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Signals" sheetId="2" state="visible" r:id="rId4"/>
    <sheet name="Data_Input" sheetId="3" state="visible" r:id="rId5"/>
    <sheet name="Calculations" sheetId="4" state="visible" r:id="rId6"/>
    <sheet name="Daily_History" sheetId="5" state="visible" r:id="rId7"/>
    <sheet name="Market_Index" sheetId="6" state="visible" r:id="rId8"/>
    <sheet name="Time_Link" sheetId="7" state="visible" r:id="rId9"/>
    <sheet name="Watchlist" sheetId="8" state="visible" r:id="rId10"/>
    <sheet name="Settings" sheetId="9" state="visible" r:id="rId11"/>
    <sheet name="API_Map" sheetId="10" state="visible" r:id="rId12"/>
    <sheet name="Documentation" sheetId="11" state="visible" r:id="rId13"/>
  </sheets>
  <definedNames>
    <definedName function="false" hidden="true" localSheetId="4" name="_xlnm._FilterDatabase" vbProcedure="false">Daily_History!$A$4:$AN$2084</definedName>
    <definedName function="false" hidden="true" localSheetId="2" name="_xlnm._FilterDatabase" vbProcedure="false">Data_Input!$A$4:$AK$12</definedName>
    <definedName function="false" hidden="false" name="ATR_PER" vbProcedure="false">Settings!$C$9</definedName>
    <definedName function="false" hidden="false" name="ATR_STOP_MULT" vbProcedure="false">Settings!$C$10</definedName>
    <definedName function="false" hidden="false" name="AW_MOM" vbProcedure="false">Settings!$C$57</definedName>
    <definedName function="false" hidden="false" name="AW_SUM" vbProcedure="false">Settings!$C$60</definedName>
    <definedName function="false" hidden="false" name="AW_TREND" vbProcedure="false">Settings!$C$56</definedName>
    <definedName function="false" hidden="false" name="AW_VAL" vbProcedure="false">Settings!$C$59</definedName>
    <definedName function="false" hidden="false" name="AW_VOL" vbProcedure="false">Settings!$C$58</definedName>
    <definedName function="false" hidden="false" name="CALC_TOTAL" vbProcedure="false">Calculations!$AP$5:$AP$64</definedName>
    <definedName function="false" hidden="false" name="CYC_1" vbProcedure="false">Settings!$C$49</definedName>
    <definedName function="false" hidden="false" name="CYC_2" vbProcedure="false">Settings!$C$50</definedName>
    <definedName function="false" hidden="false" name="CYC_3" vbProcedure="false">Settings!$C$51</definedName>
    <definedName function="false" hidden="false" name="CYC_4" vbProcedure="false">Settings!$C$52</definedName>
    <definedName function="false" hidden="false" name="DH_LASTKEY" vbProcedure="false">Daily_History!$AN$5:$AN$4084</definedName>
    <definedName function="false" hidden="false" name="MARKET_LABEL" vbProcedure="false">Market_Index!$Q$25</definedName>
    <definedName function="false" hidden="false" name="MARKET_SCORE" vbProcedure="false">Market_Index!$Q$24</definedName>
    <definedName function="false" hidden="false" name="MA_LONG1" vbProcedure="false">Settings!$C$7</definedName>
    <definedName function="false" hidden="false" name="MA_LONG2" vbProcedure="false">Settings!$C$8</definedName>
    <definedName function="false" hidden="false" name="MA_MED" vbProcedure="false">Settings!$C$6</definedName>
    <definedName function="false" hidden="false" name="MA_SHORT" vbProcedure="false">Settings!$C$5</definedName>
    <definedName function="false" hidden="false" name="MIN_LIQ_B" vbProcedure="false">Settings!$C$66</definedName>
    <definedName function="false" hidden="false" name="MI_LASTROW" vbProcedure="false">Market_Index!$Q$5</definedName>
    <definedName function="false" hidden="false" name="NF_MOD" vbProcedure="false">Settings!$C$23</definedName>
    <definedName function="false" hidden="false" name="NF_STRONG" vbProcedure="false">Settings!$C$22</definedName>
    <definedName function="false" hidden="false" name="OPT_ATM_BAND" vbProcedure="false">Settings!$C$45</definedName>
    <definedName function="false" hidden="false" name="OPT_MIN_DTE" vbProcedure="false">Settings!$C$43</definedName>
    <definedName function="false" hidden="false" name="OPT_MIN_VOL" vbProcedure="false">Settings!$C$44</definedName>
    <definedName function="false" hidden="false" name="OPT_RF" vbProcedure="false">Settings!$C$41</definedName>
    <definedName function="false" hidden="false" name="OPT_VOL" vbProcedure="false">Settings!$C$42</definedName>
    <definedName function="false" hidden="false" name="PRICE_BAND" vbProcedure="false">Settings!$C$65</definedName>
    <definedName function="false" hidden="false" name="SM_BAD" vbProcedure="false">Settings!$C$21</definedName>
    <definedName function="false" hidden="false" name="SM_MOD" vbProcedure="false">Settings!$C$19</definedName>
    <definedName function="false" hidden="false" name="SM_STRONG" vbProcedure="false">Settings!$C$18</definedName>
    <definedName function="false" hidden="false" name="SM_WEAK" vbProcedure="false">Settings!$C$20</definedName>
    <definedName function="false" hidden="false" name="STRUCT_L" vbProcedure="false">Settings!$C$64</definedName>
    <definedName function="false" hidden="false" name="STRUCT_S" vbProcedure="false">Settings!$C$63</definedName>
    <definedName function="false" hidden="false" name="TH_BUY" vbProcedure="false">Settings!$C$36</definedName>
    <definedName function="false" hidden="false" name="TH_SBUY" vbProcedure="false">Settings!$C$35</definedName>
    <definedName function="false" hidden="false" name="TH_SELL" vbProcedure="false">Settings!$C$37</definedName>
    <definedName function="false" hidden="false" name="TH_SSELL" vbProcedure="false">Settings!$C$38</definedName>
    <definedName function="false" hidden="false" name="TIME_TOL" vbProcedure="false">Settings!$C$53</definedName>
    <definedName function="false" hidden="false" name="TRADING_DAYS_Y" vbProcedure="false">Settings!$C$46</definedName>
    <definedName function="false" hidden="false" name="VOL_DRY" vbProcedure="false">Settings!$C$15</definedName>
    <definedName function="false" hidden="false" name="VOL_HIGH" vbProcedure="false">Settings!$C$13</definedName>
    <definedName function="false" hidden="false" name="VOL_MOD" vbProcedure="false">Settings!$C$14</definedName>
    <definedName function="false" hidden="false" name="WL_SYM" vbProcedure="false">Watchlist!$A$5:$A$64</definedName>
    <definedName function="false" hidden="false" name="W_MA" vbProcedure="false">Settings!$C$28</definedName>
    <definedName function="false" hidden="false" name="W_MARKET" vbProcedure="false">Settings!$C$30</definedName>
    <definedName function="false" hidden="false" name="W_SMART" vbProcedure="false">Settings!$C$27</definedName>
    <definedName function="false" hidden="false" name="W_SUM" vbProcedure="false">Settings!$C$32</definedName>
    <definedName function="false" hidden="false" name="W_TIME" vbProcedure="false">Settings!$C$31</definedName>
    <definedName function="false" hidden="false" name="W_TREND" vbProcedure="false">Settings!$C$26</definedName>
    <definedName function="false" hidden="false" name="W_VOL" vbProcedure="false">Settings!$C$29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<sst xmlns="http://schemas.openxmlformats.org/spreadsheetml/2006/main" count="7643" uniqueCount="871">
  <si>
    <t xml:space="preserve">داشبورد سیگنال بازار سرمایه ایران</t>
  </si>
  <si>
    <t xml:space="preserve">⚠️ داده‌های این فایل نمونه (DEMO) و ساختگی‌اند — واقعی نیستند. برای استفاده واقعی با scripts/tse_updater.py از tsetmc جایگزین کنید.</t>
  </si>
  <si>
    <t xml:space="preserve">۱) وضعیت کلی بازار</t>
  </si>
  <si>
    <t xml:space="preserve">تاریخ آخرین داده</t>
  </si>
  <si>
    <t xml:space="preserve">تعداد نمادهای تحت نظر</t>
  </si>
  <si>
    <t xml:space="preserve">شاخص کل</t>
  </si>
  <si>
    <t xml:space="preserve">ارزش معاملات نمادهای تحت نظر (م.ریال)</t>
  </si>
  <si>
    <t xml:space="preserve">تغییر روزانه شاخص کل</t>
  </si>
  <si>
    <t xml:space="preserve">خالص ورود پول حقیقی امروز (م.ریال)</t>
  </si>
  <si>
    <t xml:space="preserve">شاخص کل هم‌وزن</t>
  </si>
  <si>
    <t xml:space="preserve">خالص ورود پول حقیقی ۵ روزه (م.ریال)</t>
  </si>
  <si>
    <t xml:space="preserve">تغییر روزانه هم‌وزن</t>
  </si>
  <si>
    <t xml:space="preserve">میانگین امتیاز کل نمادها</t>
  </si>
  <si>
    <t xml:space="preserve">امتیاز رژیم بازار (−۱۰ تا +۱۰)</t>
  </si>
  <si>
    <t xml:space="preserve">نسبت سیگنال خرید به فروش</t>
  </si>
  <si>
    <t xml:space="preserve">وضعیت بازار</t>
  </si>
  <si>
    <t xml:space="preserve">جمع وزن‌های سیستم</t>
  </si>
  <si>
    <t xml:space="preserve">۲) خلاصه سیگنال‌ها</t>
  </si>
  <si>
    <t xml:space="preserve">خرید قوی</t>
  </si>
  <si>
    <t xml:space="preserve">خرید</t>
  </si>
  <si>
    <t xml:space="preserve">نگهداری</t>
  </si>
  <si>
    <t xml:space="preserve">فروش</t>
  </si>
  <si>
    <t xml:space="preserve">فروش قوی</t>
  </si>
  <si>
    <t xml:space="preserve">سیگنال‌های «کم‌اعتبار» (نقدشوندگی پایین):</t>
  </si>
  <si>
    <t xml:space="preserve">۳) ده نماد برتر برای خرید (فقط امتیاز ≥ حد خرید)</t>
  </si>
  <si>
    <t xml:space="preserve">رتبه</t>
  </si>
  <si>
    <t xml:space="preserve">نماد</t>
  </si>
  <si>
    <t xml:space="preserve">نام شرکت</t>
  </si>
  <si>
    <t xml:space="preserve">آخرین قیمت</t>
  </si>
  <si>
    <t xml:space="preserve">امتیاز کل</t>
  </si>
  <si>
    <t xml:space="preserve">سیگنال</t>
  </si>
  <si>
    <t xml:space="preserve">قدرت</t>
  </si>
  <si>
    <t xml:space="preserve">جریان پول هوشمند</t>
  </si>
  <si>
    <t xml:space="preserve">۴) ده نماد برتر برای فروش (فقط امتیاز ≤ حد فروش)</t>
  </si>
  <si>
    <t xml:space="preserve">خواندن این داشبورد از راست به چپ و از بالا به پایین: اول «امتیاز رژیم بازار» را ببینید.</t>
  </si>
  <si>
    <t xml:space="preserve">اگر رژیم بازار نزولی قوی است، سیگنال‌های خرید تک‌سهم را با احتیاط بیشتری بخوانید — سیستم این را با وزن W_MARKET لحاظ کرده ولی جایگزین قضاوت شما نیست.</t>
  </si>
  <si>
    <t xml:space="preserve">ردیف‌هایی که در ستون «اعتبار» شیت Signals «کم‌اعتبار» خورده‌اند، ارزش معاملات‌شان از حد MIN_LIQ_B کمتر است و سیگنالشان قابل اجرا نیست.</t>
  </si>
  <si>
    <t xml:space="preserve">جدول سیگنال نهایی (Signals)</t>
  </si>
  <si>
    <t xml:space="preserve">قابل فیلتر و مرتب‌سازی. امتیاز کل بین −۱۰ تا +۱۰ است و آستانه‌های برچسب در Settings تعریف شده‌اند.</t>
  </si>
  <si>
    <t xml:space="preserve">صنعت</t>
  </si>
  <si>
    <t xml:space="preserve">بازار</t>
  </si>
  <si>
    <t xml:space="preserve">درصد تغییر</t>
  </si>
  <si>
    <t xml:space="preserve">روند کل بازار</t>
  </si>
  <si>
    <t xml:space="preserve">روند سهم</t>
  </si>
  <si>
    <t xml:space="preserve">ساختار روند</t>
  </si>
  <si>
    <t xml:space="preserve">قدرت خریدار</t>
  </si>
  <si>
    <t xml:space="preserve">وضعیت میانگین‌ها</t>
  </si>
  <si>
    <t xml:space="preserve">نسبت حجم</t>
  </si>
  <si>
    <t xml:space="preserve">امتیاز روند</t>
  </si>
  <si>
    <t xml:space="preserve">امتیاز پول هوشمند</t>
  </si>
  <si>
    <t xml:space="preserve">امتیاز میانگین‌ها</t>
  </si>
  <si>
    <t xml:space="preserve">امتیاز حجم</t>
  </si>
  <si>
    <t xml:space="preserve">امتیاز بازار</t>
  </si>
  <si>
    <t xml:space="preserve">امتیاز زمان</t>
  </si>
  <si>
    <t xml:space="preserve">سیگنال نهایی</t>
  </si>
  <si>
    <t xml:space="preserve">قدرت سیگنال</t>
  </si>
  <si>
    <t xml:space="preserve">دلیل سیگنال</t>
  </si>
  <si>
    <t xml:space="preserve">حد ضرر پیشنهادی</t>
  </si>
  <si>
    <t xml:space="preserve">ریسک تا حد ضرر</t>
  </si>
  <si>
    <t xml:space="preserve">اعتبار</t>
  </si>
  <si>
    <t xml:space="preserve">ورود داده لحظه‌ای (Data_Input)</t>
  </si>
  <si>
    <t xml:space="preserve">قانون معماری: این شیت فقط داده خام API را نگه می‌دارد. هیچ فرمول تحلیلی اینجا نوشته نمی‌شود. ردیف خاکستری = نام دقیق فیلد JSON که اسکریپت پایتون روی آن می‌نویسد.</t>
  </si>
  <si>
    <t xml:space="preserve">کد نماد</t>
  </si>
  <si>
    <t xml:space="preserve">ISIN</t>
  </si>
  <si>
    <t xml:space="preserve">وضعیت نماد</t>
  </si>
  <si>
    <t xml:space="preserve">زمان به‌روزرسانی</t>
  </si>
  <si>
    <t xml:space="preserve">قیمت پایانی</t>
  </si>
  <si>
    <t xml:space="preserve">قیمت دیروز</t>
  </si>
  <si>
    <t xml:space="preserve">تغییر قیمت</t>
  </si>
  <si>
    <t xml:space="preserve">اولین قیمت</t>
  </si>
  <si>
    <t xml:space="preserve">بیشترین قیمت روز</t>
  </si>
  <si>
    <t xml:space="preserve">کمترین قیمت روز</t>
  </si>
  <si>
    <t xml:space="preserve">حجم معاملات</t>
  </si>
  <si>
    <t xml:space="preserve">ارزش معاملات (ریال)</t>
  </si>
  <si>
    <t xml:space="preserve">تعداد معاملات</t>
  </si>
  <si>
    <t xml:space="preserve">ارزش بازار (ریال)</t>
  </si>
  <si>
    <t xml:space="preserve">تعداد سهام</t>
  </si>
  <si>
    <t xml:space="preserve">حجم خرید حقیقی</t>
  </si>
  <si>
    <t xml:space="preserve">حجم فروش حقیقی</t>
  </si>
  <si>
    <t xml:space="preserve">تعداد خریدار حقیقی</t>
  </si>
  <si>
    <t xml:space="preserve">تعداد فروشنده حقیقی</t>
  </si>
  <si>
    <t xml:space="preserve">حجم خرید حقوقی</t>
  </si>
  <si>
    <t xml:space="preserve">حجم فروش حقوقی</t>
  </si>
  <si>
    <t xml:space="preserve">تعداد خریدار حقوقی</t>
  </si>
  <si>
    <t xml:space="preserve">تعداد فروشنده حقوقی</t>
  </si>
  <si>
    <t xml:space="preserve">بهترین قیمت خرید</t>
  </si>
  <si>
    <t xml:space="preserve">حجم بهترین خرید</t>
  </si>
  <si>
    <t xml:space="preserve">تعداد سفارش خرید</t>
  </si>
  <si>
    <t xml:space="preserve">بهترین قیمت فروش</t>
  </si>
  <si>
    <t xml:space="preserve">حجم بهترین فروش</t>
  </si>
  <si>
    <t xml:space="preserve">تعداد سفارش فروش</t>
  </si>
  <si>
    <t xml:space="preserve">EPS</t>
  </si>
  <si>
    <t xml:space="preserve">یادداشت دستی</t>
  </si>
  <si>
    <t xml:space="preserve">lVal18AFC</t>
  </si>
  <si>
    <t xml:space="preserve">lVal30</t>
  </si>
  <si>
    <t xml:space="preserve">insCode</t>
  </si>
  <si>
    <t xml:space="preserve">cIsin</t>
  </si>
  <si>
    <t xml:space="preserve">flowTitle</t>
  </si>
  <si>
    <t xml:space="preserve">lSecVal</t>
  </si>
  <si>
    <t xml:space="preserve">cEtavalTitle</t>
  </si>
  <si>
    <t xml:space="preserve">hEven</t>
  </si>
  <si>
    <t xml:space="preserve">pDrCotVal</t>
  </si>
  <si>
    <t xml:space="preserve">pClosing</t>
  </si>
  <si>
    <t xml:space="preserve">priceYesterday</t>
  </si>
  <si>
    <t xml:space="preserve">priceChange</t>
  </si>
  <si>
    <t xml:space="preserve">priceChangePercent</t>
  </si>
  <si>
    <t xml:space="preserve">firstPrice</t>
  </si>
  <si>
    <t xml:space="preserve">highValue</t>
  </si>
  <si>
    <t xml:space="preserve">lowValue</t>
  </si>
  <si>
    <t xml:space="preserve">qTotTran5J</t>
  </si>
  <si>
    <t xml:space="preserve">qTotCap</t>
  </si>
  <si>
    <t xml:space="preserve">zTotTran</t>
  </si>
  <si>
    <t xml:space="preserve">marketvalue</t>
  </si>
  <si>
    <t xml:space="preserve">sharecount</t>
  </si>
  <si>
    <t xml:space="preserve">buy_I_Volume</t>
  </si>
  <si>
    <t xml:space="preserve">sell_I_Volume</t>
  </si>
  <si>
    <t xml:space="preserve">buy_CountI</t>
  </si>
  <si>
    <t xml:space="preserve">sell_CountI</t>
  </si>
  <si>
    <t xml:space="preserve">buy_N_Volume</t>
  </si>
  <si>
    <t xml:space="preserve">sell_N_Volume</t>
  </si>
  <si>
    <t xml:space="preserve">buy_CountN</t>
  </si>
  <si>
    <t xml:space="preserve">sell_CountN</t>
  </si>
  <si>
    <t xml:space="preserve">pMeDem_1</t>
  </si>
  <si>
    <t xml:space="preserve">qTitMeDem_1</t>
  </si>
  <si>
    <t xml:space="preserve">zOrdMeDem_1</t>
  </si>
  <si>
    <t xml:space="preserve">pMeOf_1</t>
  </si>
  <si>
    <t xml:space="preserve">qTitMeOf_1</t>
  </si>
  <si>
    <t xml:space="preserve">zOrdMeOf_1</t>
  </si>
  <si>
    <t xml:space="preserve">eps</t>
  </si>
  <si>
    <t xml:space="preserve">-</t>
  </si>
  <si>
    <t xml:space="preserve">فولاد</t>
  </si>
  <si>
    <t xml:space="preserve">فولاد مباركه اصفهان</t>
  </si>
  <si>
    <t xml:space="preserve">46348559193224090</t>
  </si>
  <si>
    <t xml:space="preserve">IRO1FOLD0001</t>
  </si>
  <si>
    <t xml:space="preserve">بورس</t>
  </si>
  <si>
    <t xml:space="preserve">فلزات اساسي</t>
  </si>
  <si>
    <t xml:space="preserve">مجاز</t>
  </si>
  <si>
    <t xml:space="preserve">12:30:00</t>
  </si>
  <si>
    <t xml:space="preserve">فملي</t>
  </si>
  <si>
    <t xml:space="preserve">ملي صنايع مس ايران</t>
  </si>
  <si>
    <t xml:space="preserve">35425587644337450</t>
  </si>
  <si>
    <t xml:space="preserve">IRO1MSMI0001</t>
  </si>
  <si>
    <t xml:space="preserve">شپنا</t>
  </si>
  <si>
    <t xml:space="preserve">پالايش نفت اصفهان</t>
  </si>
  <si>
    <t xml:space="preserve">7745894403636165</t>
  </si>
  <si>
    <t xml:space="preserve">IRO1PNES0001</t>
  </si>
  <si>
    <t xml:space="preserve">فرآورده‌هاي نفتي</t>
  </si>
  <si>
    <t xml:space="preserve">خودرو</t>
  </si>
  <si>
    <t xml:space="preserve">ايران خودرو</t>
  </si>
  <si>
    <t xml:space="preserve">65883838195688438</t>
  </si>
  <si>
    <t xml:space="preserve">IRO1IKCO0001</t>
  </si>
  <si>
    <t xml:space="preserve">خودرو و ساخت قطعات</t>
  </si>
  <si>
    <t xml:space="preserve">وبملت</t>
  </si>
  <si>
    <t xml:space="preserve">بانك ملت</t>
  </si>
  <si>
    <t xml:space="preserve">778253364357513</t>
  </si>
  <si>
    <t xml:space="preserve">IRO1BMLT0001</t>
  </si>
  <si>
    <t xml:space="preserve">بانكها و موسسات اعتباري</t>
  </si>
  <si>
    <t xml:space="preserve">شستا</t>
  </si>
  <si>
    <t xml:space="preserve">سرمايه گذاري تامين اجتماعي</t>
  </si>
  <si>
    <t xml:space="preserve">2400322364771558</t>
  </si>
  <si>
    <t xml:space="preserve">IRO1TAMN0001</t>
  </si>
  <si>
    <t xml:space="preserve">چند رشته‌اي صنعتي</t>
  </si>
  <si>
    <t xml:space="preserve">اخابر</t>
  </si>
  <si>
    <t xml:space="preserve">مخابرات ايران</t>
  </si>
  <si>
    <t xml:space="preserve">22811176775480091</t>
  </si>
  <si>
    <t xml:space="preserve">IRO1MKBT0001</t>
  </si>
  <si>
    <t xml:space="preserve">مخابرات</t>
  </si>
  <si>
    <t xml:space="preserve">كگل</t>
  </si>
  <si>
    <t xml:space="preserve">معدني و صنعتي گل گهر</t>
  </si>
  <si>
    <t xml:space="preserve">35700344742885862</t>
  </si>
  <si>
    <t xml:space="preserve">IRO1GOLG0001</t>
  </si>
  <si>
    <t xml:space="preserve">استخراج كانه‌هاي فلزي</t>
  </si>
  <si>
    <t xml:space="preserve">محاسبات (Calculations)</t>
  </si>
  <si>
    <t xml:space="preserve">همه ستون‌ها فرمول‌اند. شش زیرنمره (T/S/M/V/K/Z) با وزن‌های شیت Settings ترکیب می‌شوند و امتیاز کل را می‌سازند.</t>
  </si>
  <si>
    <t xml:space="preserve">ردیف در Data_Input</t>
  </si>
  <si>
    <t xml:space="preserve">ردیف در Daily_History</t>
  </si>
  <si>
    <t xml:space="preserve">ارزش معاملات (م.ریال)</t>
  </si>
  <si>
    <t xml:space="preserve">MA کوتاه</t>
  </si>
  <si>
    <t xml:space="preserve">MA میان‌مدت</t>
  </si>
  <si>
    <t xml:space="preserve">MA بلند ۱</t>
  </si>
  <si>
    <t xml:space="preserve">MA بلند ۲</t>
  </si>
  <si>
    <t xml:space="preserve">فاصله از MA میان‌مدت</t>
  </si>
  <si>
    <t xml:space="preserve">فاصله از MA بلند</t>
  </si>
  <si>
    <t xml:space="preserve">تعداد MA زیر قیمت</t>
  </si>
  <si>
    <t xml:space="preserve">آرایش میانگین‌ها</t>
  </si>
  <si>
    <t xml:space="preserve">شیب MA کوتاه</t>
  </si>
  <si>
    <t xml:space="preserve">سقف کوتاه‌مدت</t>
  </si>
  <si>
    <t xml:space="preserve">کف کوتاه‌مدت</t>
  </si>
  <si>
    <t xml:space="preserve">سقف میان‌مدت</t>
  </si>
  <si>
    <t xml:space="preserve">کف میان‌مدت</t>
  </si>
  <si>
    <t xml:space="preserve">ATR</t>
  </si>
  <si>
    <t xml:space="preserve">ATR ٪</t>
  </si>
  <si>
    <t xml:space="preserve">میانگین حجم</t>
  </si>
  <si>
    <t xml:space="preserve">حجم امروز</t>
  </si>
  <si>
    <t xml:space="preserve">خالص حجم حقیقی</t>
  </si>
  <si>
    <t xml:space="preserve">خالص ورود پول (م.ریال)</t>
  </si>
  <si>
    <t xml:space="preserve">خالص ورود ÷ ارزش معاملات</t>
  </si>
  <si>
    <t xml:space="preserve">سرانه خرید حقیقی (م.ریال)</t>
  </si>
  <si>
    <t xml:space="preserve">سرانه فروش حقیقی (م.ریال)</t>
  </si>
  <si>
    <t xml:space="preserve">قدرت خریدار حقیقی</t>
  </si>
  <si>
    <t xml:space="preserve">خالص ورود پول ۵ روزه (م.ریال)</t>
  </si>
  <si>
    <t xml:space="preserve">نسبت خالص ۵ روزه</t>
  </si>
  <si>
    <t xml:space="preserve">امتیاز روند (T)</t>
  </si>
  <si>
    <t xml:space="preserve">امتیاز پول هوشمند (S)</t>
  </si>
  <si>
    <t xml:space="preserve">امتیاز میانگین‌ها (M)</t>
  </si>
  <si>
    <t xml:space="preserve">امتیاز حجم (V)</t>
  </si>
  <si>
    <t xml:space="preserve">امتیاز بازار (K)</t>
  </si>
  <si>
    <t xml:space="preserve">امتیاز زمان (Z)</t>
  </si>
  <si>
    <t xml:space="preserve">اعتبار نقدشوندگی</t>
  </si>
  <si>
    <t xml:space="preserve">کلید رتبه</t>
  </si>
  <si>
    <t xml:space="preserve">رتبه خرید</t>
  </si>
  <si>
    <t xml:space="preserve">رتبه فروش</t>
  </si>
  <si>
    <t xml:space="preserve">از Watchlist</t>
  </si>
  <si>
    <t xml:space="preserve">MATCH</t>
  </si>
  <si>
    <t xml:space="preserve">qTotCap/1e9</t>
  </si>
  <si>
    <t xml:space="preserve">Daily_History!V</t>
  </si>
  <si>
    <t xml:space="preserve">Daily_History!W</t>
  </si>
  <si>
    <t xml:space="preserve">Daily_History!X</t>
  </si>
  <si>
    <t xml:space="preserve">Daily_History!Y</t>
  </si>
  <si>
    <t xml:space="preserve">price/MA−1</t>
  </si>
  <si>
    <t xml:space="preserve">۰ تا ۴</t>
  </si>
  <si>
    <t xml:space="preserve">ساختار MA</t>
  </si>
  <si>
    <t xml:space="preserve">۲۰ روز</t>
  </si>
  <si>
    <t xml:space="preserve">Daily_History!AI</t>
  </si>
  <si>
    <t xml:space="preserve">Daily_History!AJ</t>
  </si>
  <si>
    <t xml:space="preserve">Daily_History!AK</t>
  </si>
  <si>
    <t xml:space="preserve">Daily_History!AL</t>
  </si>
  <si>
    <t xml:space="preserve">HH / LL</t>
  </si>
  <si>
    <t xml:space="preserve">Daily_History!AB</t>
  </si>
  <si>
    <t xml:space="preserve">نوسان نسبی</t>
  </si>
  <si>
    <t xml:space="preserve">price − k×ATR</t>
  </si>
  <si>
    <t xml:space="preserve">Daily_History!Z</t>
  </si>
  <si>
    <t xml:space="preserve">حجم ÷ میانگین</t>
  </si>
  <si>
    <t xml:space="preserve">buy_I − sell_I</t>
  </si>
  <si>
    <t xml:space="preserve">امروز</t>
  </si>
  <si>
    <t xml:space="preserve">نرمال‌شده</t>
  </si>
  <si>
    <t xml:space="preserve">buy value/buy_CountI</t>
  </si>
  <si>
    <t xml:space="preserve">sell value/sell_CountI</t>
  </si>
  <si>
    <t xml:space="preserve">سرانه خرید ÷ سرانه فروش</t>
  </si>
  <si>
    <t xml:space="preserve">Daily_History!AH</t>
  </si>
  <si>
    <t xml:space="preserve">÷ ۵×ارزش معاملات</t>
  </si>
  <si>
    <t xml:space="preserve">−۱۰ تا +۱۰</t>
  </si>
  <si>
    <t xml:space="preserve">Market_Index</t>
  </si>
  <si>
    <t xml:space="preserve">Time_Link</t>
  </si>
  <si>
    <t xml:space="preserve">میانگین وزنی</t>
  </si>
  <si>
    <t xml:space="preserve">۱ تا ۵</t>
  </si>
  <si>
    <t xml:space="preserve">MIN_LIQ_B</t>
  </si>
  <si>
    <t xml:space="preserve">tie-break</t>
  </si>
  <si>
    <t xml:space="preserve">نزولی</t>
  </si>
  <si>
    <t xml:space="preserve">صعودی</t>
  </si>
  <si>
    <t xml:space="preserve">تاریخچه روزانه نمادها (Daily_History)</t>
  </si>
  <si>
    <t xml:space="preserve">ستون‌های A تا T داده خام API است؛ ستون‌های U به بعد فرمول. قیمت و حقیقی/حقوقی عمداً در یک شیت‌اند تا میانگین‌های متحرکشان هم‌تراز باشد.</t>
  </si>
  <si>
    <t xml:space="preserve">تاریخ میلادی</t>
  </si>
  <si>
    <t xml:space="preserve">تاریخ (DEven)</t>
  </si>
  <si>
    <t xml:space="preserve">تاریخ شمسی</t>
  </si>
  <si>
    <t xml:space="preserve">بیشترین قیمت</t>
  </si>
  <si>
    <t xml:space="preserve">کمترین قیمت</t>
  </si>
  <si>
    <t xml:space="preserve">ارزش معاملات</t>
  </si>
  <si>
    <t xml:space="preserve">شمارنده ردیف نماد</t>
  </si>
  <si>
    <t xml:space="preserve">دامنه واقعی (TR)</t>
  </si>
  <si>
    <t xml:space="preserve">خالص ارزش حقیقی (ریال)</t>
  </si>
  <si>
    <t xml:space="preserve">خالص ورود پول ۵ روزه</t>
  </si>
  <si>
    <t xml:space="preserve">سقف پنجره کوتاه</t>
  </si>
  <si>
    <t xml:space="preserve">کف پنجره کوتاه</t>
  </si>
  <si>
    <t xml:space="preserve">سقف پنجره بلند</t>
  </si>
  <si>
    <t xml:space="preserve">کف پنجره بلند</t>
  </si>
  <si>
    <t xml:space="preserve">آخرین ردیف نماد؟</t>
  </si>
  <si>
    <t xml:space="preserve">کلید آخرین ردیف</t>
  </si>
  <si>
    <t xml:space="preserve">dEven</t>
  </si>
  <si>
    <t xml:space="preserve">priceFirst</t>
  </si>
  <si>
    <t xml:space="preserve">priceMax</t>
  </si>
  <si>
    <t xml:space="preserve">priceMin</t>
  </si>
  <si>
    <t xml:space="preserve">n</t>
  </si>
  <si>
    <t xml:space="preserve">MA_SHORT</t>
  </si>
  <si>
    <t xml:space="preserve">MA_MED</t>
  </si>
  <si>
    <t xml:space="preserve">MA_LONG1</t>
  </si>
  <si>
    <t xml:space="preserve">MA_LONG2</t>
  </si>
  <si>
    <t xml:space="preserve">True Range</t>
  </si>
  <si>
    <t xml:space="preserve">ATR_PER</t>
  </si>
  <si>
    <t xml:space="preserve">net × pClosing</t>
  </si>
  <si>
    <t xml:space="preserve">value/buy_CountI</t>
  </si>
  <si>
    <t xml:space="preserve">value/sell_CountI</t>
  </si>
  <si>
    <t xml:space="preserve">AE/AF</t>
  </si>
  <si>
    <t xml:space="preserve">sum 5d</t>
  </si>
  <si>
    <t xml:space="preserve">STRUCT_S</t>
  </si>
  <si>
    <t xml:space="preserve">STRUCT_L</t>
  </si>
  <si>
    <t xml:space="preserve">flag</t>
  </si>
  <si>
    <t xml:space="preserve">lookup key</t>
  </si>
  <si>
    <t xml:space="preserve">1404/06/15</t>
  </si>
  <si>
    <t xml:space="preserve">1404/06/16</t>
  </si>
  <si>
    <t xml:space="preserve">1404/06/17</t>
  </si>
  <si>
    <t xml:space="preserve">1404/06/18</t>
  </si>
  <si>
    <t xml:space="preserve">1404/06/19</t>
  </si>
  <si>
    <t xml:space="preserve">1404/06/22</t>
  </si>
  <si>
    <t xml:space="preserve">1404/06/23</t>
  </si>
  <si>
    <t xml:space="preserve">1404/06/24</t>
  </si>
  <si>
    <t xml:space="preserve">1404/06/25</t>
  </si>
  <si>
    <t xml:space="preserve">1404/06/26</t>
  </si>
  <si>
    <t xml:space="preserve">1404/06/29</t>
  </si>
  <si>
    <t xml:space="preserve">1404/06/30</t>
  </si>
  <si>
    <t xml:space="preserve">1404/06/31</t>
  </si>
  <si>
    <t xml:space="preserve">1404/07/01</t>
  </si>
  <si>
    <t xml:space="preserve">1404/07/02</t>
  </si>
  <si>
    <t xml:space="preserve">1404/07/05</t>
  </si>
  <si>
    <t xml:space="preserve">1404/07/06</t>
  </si>
  <si>
    <t xml:space="preserve">1404/07/07</t>
  </si>
  <si>
    <t xml:space="preserve">1404/07/08</t>
  </si>
  <si>
    <t xml:space="preserve">1404/07/09</t>
  </si>
  <si>
    <t xml:space="preserve">1404/07/12</t>
  </si>
  <si>
    <t xml:space="preserve">1404/07/13</t>
  </si>
  <si>
    <t xml:space="preserve">1404/07/14</t>
  </si>
  <si>
    <t xml:space="preserve">1404/07/15</t>
  </si>
  <si>
    <t xml:space="preserve">1404/07/16</t>
  </si>
  <si>
    <t xml:space="preserve">1404/07/19</t>
  </si>
  <si>
    <t xml:space="preserve">1404/07/20</t>
  </si>
  <si>
    <t xml:space="preserve">1404/07/21</t>
  </si>
  <si>
    <t xml:space="preserve">1404/07/22</t>
  </si>
  <si>
    <t xml:space="preserve">1404/07/23</t>
  </si>
  <si>
    <t xml:space="preserve">1404/07/26</t>
  </si>
  <si>
    <t xml:space="preserve">1404/07/27</t>
  </si>
  <si>
    <t xml:space="preserve">1404/07/28</t>
  </si>
  <si>
    <t xml:space="preserve">1404/07/29</t>
  </si>
  <si>
    <t xml:space="preserve">1404/07/30</t>
  </si>
  <si>
    <t xml:space="preserve">1404/08/03</t>
  </si>
  <si>
    <t xml:space="preserve">1404/08/04</t>
  </si>
  <si>
    <t xml:space="preserve">1404/08/05</t>
  </si>
  <si>
    <t xml:space="preserve">1404/08/06</t>
  </si>
  <si>
    <t xml:space="preserve">1404/08/07</t>
  </si>
  <si>
    <t xml:space="preserve">1404/08/10</t>
  </si>
  <si>
    <t xml:space="preserve">1404/08/11</t>
  </si>
  <si>
    <t xml:space="preserve">1404/08/12</t>
  </si>
  <si>
    <t xml:space="preserve">1404/08/13</t>
  </si>
  <si>
    <t xml:space="preserve">1404/08/14</t>
  </si>
  <si>
    <t xml:space="preserve">1404/08/17</t>
  </si>
  <si>
    <t xml:space="preserve">1404/08/18</t>
  </si>
  <si>
    <t xml:space="preserve">1404/08/19</t>
  </si>
  <si>
    <t xml:space="preserve">1404/08/20</t>
  </si>
  <si>
    <t xml:space="preserve">1404/08/21</t>
  </si>
  <si>
    <t xml:space="preserve">1404/08/24</t>
  </si>
  <si>
    <t xml:space="preserve">1404/08/25</t>
  </si>
  <si>
    <t xml:space="preserve">1404/08/26</t>
  </si>
  <si>
    <t xml:space="preserve">1404/08/27</t>
  </si>
  <si>
    <t xml:space="preserve">1404/08/28</t>
  </si>
  <si>
    <t xml:space="preserve">1404/09/01</t>
  </si>
  <si>
    <t xml:space="preserve">1404/09/02</t>
  </si>
  <si>
    <t xml:space="preserve">1404/09/03</t>
  </si>
  <si>
    <t xml:space="preserve">1404/09/04</t>
  </si>
  <si>
    <t xml:space="preserve">1404/09/05</t>
  </si>
  <si>
    <t xml:space="preserve">1404/09/08</t>
  </si>
  <si>
    <t xml:space="preserve">1404/09/09</t>
  </si>
  <si>
    <t xml:space="preserve">1404/09/10</t>
  </si>
  <si>
    <t xml:space="preserve">1404/09/11</t>
  </si>
  <si>
    <t xml:space="preserve">1404/09/12</t>
  </si>
  <si>
    <t xml:space="preserve">1404/09/15</t>
  </si>
  <si>
    <t xml:space="preserve">1404/09/16</t>
  </si>
  <si>
    <t xml:space="preserve">1404/09/17</t>
  </si>
  <si>
    <t xml:space="preserve">1404/09/18</t>
  </si>
  <si>
    <t xml:space="preserve">1404/09/19</t>
  </si>
  <si>
    <t xml:space="preserve">1404/09/22</t>
  </si>
  <si>
    <t xml:space="preserve">1404/09/23</t>
  </si>
  <si>
    <t xml:space="preserve">1404/09/24</t>
  </si>
  <si>
    <t xml:space="preserve">1404/09/25</t>
  </si>
  <si>
    <t xml:space="preserve">1404/09/26</t>
  </si>
  <si>
    <t xml:space="preserve">1404/09/29</t>
  </si>
  <si>
    <t xml:space="preserve">1404/09/30</t>
  </si>
  <si>
    <t xml:space="preserve">1404/10/01</t>
  </si>
  <si>
    <t xml:space="preserve">1404/10/02</t>
  </si>
  <si>
    <t xml:space="preserve">1404/10/03</t>
  </si>
  <si>
    <t xml:space="preserve">1404/10/06</t>
  </si>
  <si>
    <t xml:space="preserve">1404/10/07</t>
  </si>
  <si>
    <t xml:space="preserve">1404/10/08</t>
  </si>
  <si>
    <t xml:space="preserve">1404/10/09</t>
  </si>
  <si>
    <t xml:space="preserve">1404/10/10</t>
  </si>
  <si>
    <t xml:space="preserve">1404/10/13</t>
  </si>
  <si>
    <t xml:space="preserve">1404/10/14</t>
  </si>
  <si>
    <t xml:space="preserve">1404/10/15</t>
  </si>
  <si>
    <t xml:space="preserve">1404/10/16</t>
  </si>
  <si>
    <t xml:space="preserve">1404/10/17</t>
  </si>
  <si>
    <t xml:space="preserve">1404/10/20</t>
  </si>
  <si>
    <t xml:space="preserve">1404/10/21</t>
  </si>
  <si>
    <t xml:space="preserve">1404/10/22</t>
  </si>
  <si>
    <t xml:space="preserve">1404/10/23</t>
  </si>
  <si>
    <t xml:space="preserve">1404/10/24</t>
  </si>
  <si>
    <t xml:space="preserve">1404/10/27</t>
  </si>
  <si>
    <t xml:space="preserve">1404/10/28</t>
  </si>
  <si>
    <t xml:space="preserve">1404/10/29</t>
  </si>
  <si>
    <t xml:space="preserve">1404/10/30</t>
  </si>
  <si>
    <t xml:space="preserve">1404/11/01</t>
  </si>
  <si>
    <t xml:space="preserve">1404/11/04</t>
  </si>
  <si>
    <t xml:space="preserve">1404/11/05</t>
  </si>
  <si>
    <t xml:space="preserve">1404/11/06</t>
  </si>
  <si>
    <t xml:space="preserve">1404/11/07</t>
  </si>
  <si>
    <t xml:space="preserve">1404/11/08</t>
  </si>
  <si>
    <t xml:space="preserve">1404/11/11</t>
  </si>
  <si>
    <t xml:space="preserve">1404/11/12</t>
  </si>
  <si>
    <t xml:space="preserve">1404/11/13</t>
  </si>
  <si>
    <t xml:space="preserve">1404/11/14</t>
  </si>
  <si>
    <t xml:space="preserve">1404/11/15</t>
  </si>
  <si>
    <t xml:space="preserve">1404/11/18</t>
  </si>
  <si>
    <t xml:space="preserve">1404/11/19</t>
  </si>
  <si>
    <t xml:space="preserve">1404/11/20</t>
  </si>
  <si>
    <t xml:space="preserve">1404/11/21</t>
  </si>
  <si>
    <t xml:space="preserve">1404/11/22</t>
  </si>
  <si>
    <t xml:space="preserve">1404/11/25</t>
  </si>
  <si>
    <t xml:space="preserve">1404/11/26</t>
  </si>
  <si>
    <t xml:space="preserve">1404/11/27</t>
  </si>
  <si>
    <t xml:space="preserve">1404/11/28</t>
  </si>
  <si>
    <t xml:space="preserve">1404/11/29</t>
  </si>
  <si>
    <t xml:space="preserve">1404/12/02</t>
  </si>
  <si>
    <t xml:space="preserve">1404/12/03</t>
  </si>
  <si>
    <t xml:space="preserve">1404/12/04</t>
  </si>
  <si>
    <t xml:space="preserve">1404/12/05</t>
  </si>
  <si>
    <t xml:space="preserve">1404/12/06</t>
  </si>
  <si>
    <t xml:space="preserve">1404/12/09</t>
  </si>
  <si>
    <t xml:space="preserve">1404/12/10</t>
  </si>
  <si>
    <t xml:space="preserve">1404/12/11</t>
  </si>
  <si>
    <t xml:space="preserve">1404/12/12</t>
  </si>
  <si>
    <t xml:space="preserve">1404/12/13</t>
  </si>
  <si>
    <t xml:space="preserve">1404/12/16</t>
  </si>
  <si>
    <t xml:space="preserve">1404/12/17</t>
  </si>
  <si>
    <t xml:space="preserve">1404/12/18</t>
  </si>
  <si>
    <t xml:space="preserve">1404/12/19</t>
  </si>
  <si>
    <t xml:space="preserve">1404/12/20</t>
  </si>
  <si>
    <t xml:space="preserve">1404/12/23</t>
  </si>
  <si>
    <t xml:space="preserve">1404/12/24</t>
  </si>
  <si>
    <t xml:space="preserve">1404/12/25</t>
  </si>
  <si>
    <t xml:space="preserve">1404/12/26</t>
  </si>
  <si>
    <t xml:space="preserve">1404/12/27</t>
  </si>
  <si>
    <t xml:space="preserve">1405/01/01</t>
  </si>
  <si>
    <t xml:space="preserve">1405/01/02</t>
  </si>
  <si>
    <t xml:space="preserve">1405/01/03</t>
  </si>
  <si>
    <t xml:space="preserve">1405/01/04</t>
  </si>
  <si>
    <t xml:space="preserve">1405/01/05</t>
  </si>
  <si>
    <t xml:space="preserve">1405/01/08</t>
  </si>
  <si>
    <t xml:space="preserve">1405/01/09</t>
  </si>
  <si>
    <t xml:space="preserve">1405/01/10</t>
  </si>
  <si>
    <t xml:space="preserve">1405/01/11</t>
  </si>
  <si>
    <t xml:space="preserve">1405/01/12</t>
  </si>
  <si>
    <t xml:space="preserve">1405/01/15</t>
  </si>
  <si>
    <t xml:space="preserve">1405/01/16</t>
  </si>
  <si>
    <t xml:space="preserve">1405/01/17</t>
  </si>
  <si>
    <t xml:space="preserve">1405/01/18</t>
  </si>
  <si>
    <t xml:space="preserve">1405/01/19</t>
  </si>
  <si>
    <t xml:space="preserve">1405/01/22</t>
  </si>
  <si>
    <t xml:space="preserve">1405/01/23</t>
  </si>
  <si>
    <t xml:space="preserve">1405/01/24</t>
  </si>
  <si>
    <t xml:space="preserve">1405/01/25</t>
  </si>
  <si>
    <t xml:space="preserve">1405/01/26</t>
  </si>
  <si>
    <t xml:space="preserve">1405/01/29</t>
  </si>
  <si>
    <t xml:space="preserve">1405/01/30</t>
  </si>
  <si>
    <t xml:space="preserve">1405/01/31</t>
  </si>
  <si>
    <t xml:space="preserve">1405/02/01</t>
  </si>
  <si>
    <t xml:space="preserve">1405/02/02</t>
  </si>
  <si>
    <t xml:space="preserve">1405/02/05</t>
  </si>
  <si>
    <t xml:space="preserve">1405/02/06</t>
  </si>
  <si>
    <t xml:space="preserve">1405/02/07</t>
  </si>
  <si>
    <t xml:space="preserve">1405/02/08</t>
  </si>
  <si>
    <t xml:space="preserve">1405/02/09</t>
  </si>
  <si>
    <t xml:space="preserve">1405/02/12</t>
  </si>
  <si>
    <t xml:space="preserve">1405/02/13</t>
  </si>
  <si>
    <t xml:space="preserve">1405/02/14</t>
  </si>
  <si>
    <t xml:space="preserve">1405/02/15</t>
  </si>
  <si>
    <t xml:space="preserve">1405/02/16</t>
  </si>
  <si>
    <t xml:space="preserve">1405/02/19</t>
  </si>
  <si>
    <t xml:space="preserve">1405/02/20</t>
  </si>
  <si>
    <t xml:space="preserve">1405/02/21</t>
  </si>
  <si>
    <t xml:space="preserve">1405/02/22</t>
  </si>
  <si>
    <t xml:space="preserve">1405/02/23</t>
  </si>
  <si>
    <t xml:space="preserve">1405/02/26</t>
  </si>
  <si>
    <t xml:space="preserve">1405/02/27</t>
  </si>
  <si>
    <t xml:space="preserve">1405/02/28</t>
  </si>
  <si>
    <t xml:space="preserve">1405/02/29</t>
  </si>
  <si>
    <t xml:space="preserve">1405/02/30</t>
  </si>
  <si>
    <t xml:space="preserve">1405/03/02</t>
  </si>
  <si>
    <t xml:space="preserve">1405/03/03</t>
  </si>
  <si>
    <t xml:space="preserve">1405/03/04</t>
  </si>
  <si>
    <t xml:space="preserve">1405/03/05</t>
  </si>
  <si>
    <t xml:space="preserve">1405/03/06</t>
  </si>
  <si>
    <t xml:space="preserve">1405/03/09</t>
  </si>
  <si>
    <t xml:space="preserve">1405/03/10</t>
  </si>
  <si>
    <t xml:space="preserve">1405/03/11</t>
  </si>
  <si>
    <t xml:space="preserve">1405/03/12</t>
  </si>
  <si>
    <t xml:space="preserve">1405/03/13</t>
  </si>
  <si>
    <t xml:space="preserve">1405/03/16</t>
  </si>
  <si>
    <t xml:space="preserve">1405/03/17</t>
  </si>
  <si>
    <t xml:space="preserve">1405/03/18</t>
  </si>
  <si>
    <t xml:space="preserve">1405/03/19</t>
  </si>
  <si>
    <t xml:space="preserve">1405/03/20</t>
  </si>
  <si>
    <t xml:space="preserve">1405/03/23</t>
  </si>
  <si>
    <t xml:space="preserve">1405/03/24</t>
  </si>
  <si>
    <t xml:space="preserve">1405/03/25</t>
  </si>
  <si>
    <t xml:space="preserve">1405/03/26</t>
  </si>
  <si>
    <t xml:space="preserve">1405/03/27</t>
  </si>
  <si>
    <t xml:space="preserve">1405/03/30</t>
  </si>
  <si>
    <t xml:space="preserve">1405/03/31</t>
  </si>
  <si>
    <t xml:space="preserve">1405/04/01</t>
  </si>
  <si>
    <t xml:space="preserve">1405/04/02</t>
  </si>
  <si>
    <t xml:space="preserve">1405/04/03</t>
  </si>
  <si>
    <t xml:space="preserve">1405/04/06</t>
  </si>
  <si>
    <t xml:space="preserve">1405/04/07</t>
  </si>
  <si>
    <t xml:space="preserve">1405/04/08</t>
  </si>
  <si>
    <t xml:space="preserve">1405/04/09</t>
  </si>
  <si>
    <t xml:space="preserve">1405/04/10</t>
  </si>
  <si>
    <t xml:space="preserve">1405/04/13</t>
  </si>
  <si>
    <t xml:space="preserve">1405/04/14</t>
  </si>
  <si>
    <t xml:space="preserve">1405/04/15</t>
  </si>
  <si>
    <t xml:space="preserve">1405/04/16</t>
  </si>
  <si>
    <t xml:space="preserve">1405/04/17</t>
  </si>
  <si>
    <t xml:space="preserve">1405/04/20</t>
  </si>
  <si>
    <t xml:space="preserve">1405/04/21</t>
  </si>
  <si>
    <t xml:space="preserve">1405/04/22</t>
  </si>
  <si>
    <t xml:space="preserve">1405/04/23</t>
  </si>
  <si>
    <t xml:space="preserve">1405/04/24</t>
  </si>
  <si>
    <t xml:space="preserve">1405/04/27</t>
  </si>
  <si>
    <t xml:space="preserve">1405/04/28</t>
  </si>
  <si>
    <t xml:space="preserve">1405/04/29</t>
  </si>
  <si>
    <t xml:space="preserve">1405/04/30</t>
  </si>
  <si>
    <t xml:space="preserve">1405/04/31</t>
  </si>
  <si>
    <t xml:space="preserve">1405/05/03</t>
  </si>
  <si>
    <t xml:space="preserve">1405/05/04</t>
  </si>
  <si>
    <t xml:space="preserve">1405/05/05</t>
  </si>
  <si>
    <t xml:space="preserve">1405/05/06</t>
  </si>
  <si>
    <t xml:space="preserve">1405/05/07</t>
  </si>
  <si>
    <t xml:space="preserve">1405/05/10</t>
  </si>
  <si>
    <t xml:space="preserve">1405/05/11</t>
  </si>
  <si>
    <t xml:space="preserve">1405/05/12</t>
  </si>
  <si>
    <t xml:space="preserve">1405/05/13</t>
  </si>
  <si>
    <t xml:space="preserve">1405/05/14</t>
  </si>
  <si>
    <t xml:space="preserve">1405/05/17</t>
  </si>
  <si>
    <t xml:space="preserve">1405/05/18</t>
  </si>
  <si>
    <t xml:space="preserve">1405/05/19</t>
  </si>
  <si>
    <t xml:space="preserve">1405/05/20</t>
  </si>
  <si>
    <t xml:space="preserve">1405/05/21</t>
  </si>
  <si>
    <t xml:space="preserve">1405/05/24</t>
  </si>
  <si>
    <t xml:space="preserve">1405/05/25</t>
  </si>
  <si>
    <t xml:space="preserve">1405/05/26</t>
  </si>
  <si>
    <t xml:space="preserve">1405/05/27</t>
  </si>
  <si>
    <t xml:space="preserve">1405/05/28</t>
  </si>
  <si>
    <t xml:space="preserve">1405/05/31</t>
  </si>
  <si>
    <t xml:space="preserve">1405/06/01</t>
  </si>
  <si>
    <t xml:space="preserve">1405/06/02</t>
  </si>
  <si>
    <t xml:space="preserve">1405/06/03</t>
  </si>
  <si>
    <t xml:space="preserve">1405/06/04</t>
  </si>
  <si>
    <t xml:space="preserve">1405/06/07</t>
  </si>
  <si>
    <t xml:space="preserve">1405/06/08</t>
  </si>
  <si>
    <t xml:space="preserve">1405/06/09</t>
  </si>
  <si>
    <t xml:space="preserve">1405/06/10</t>
  </si>
  <si>
    <t xml:space="preserve">1405/06/11</t>
  </si>
  <si>
    <t xml:space="preserve">شاخص کل و هم‌وزن — رژیم بازار</t>
  </si>
  <si>
    <t xml:space="preserve">امتیاز رژیم بازار (سلول Q24) گیت کل سیستم است و در همه سیگنال‌ها با وزن W_MARKET وارد می‌شود.</t>
  </si>
  <si>
    <t xml:space="preserve">تغییر روزانه کل</t>
  </si>
  <si>
    <t xml:space="preserve">MA کوتاه کل</t>
  </si>
  <si>
    <t xml:space="preserve">MA میان‌مدت کل</t>
  </si>
  <si>
    <t xml:space="preserve">MA بلند کل</t>
  </si>
  <si>
    <t xml:space="preserve">شاخص هم‌وزن</t>
  </si>
  <si>
    <t xml:space="preserve">MA کوتاه هم‌وزن</t>
  </si>
  <si>
    <t xml:space="preserve">MA میان‌مدت هم‌وزن</t>
  </si>
  <si>
    <t xml:space="preserve">MA بلند هم‌وزن</t>
  </si>
  <si>
    <t xml:space="preserve">شمارنده</t>
  </si>
  <si>
    <t xml:space="preserve">xDrNivJIdx004</t>
  </si>
  <si>
    <t xml:space="preserve">آخرین ردیف داده</t>
  </si>
  <si>
    <t xml:space="preserve">تغییر روز شاخص کل</t>
  </si>
  <si>
    <t xml:space="preserve">شاخص کل نسبت به MA میان‌مدت</t>
  </si>
  <si>
    <t xml:space="preserve">شاخص کل نسبت به MA بلند</t>
  </si>
  <si>
    <t xml:space="preserve">تغییر روز هم‌وزن</t>
  </si>
  <si>
    <t xml:space="preserve">هم‌وزن نسبت به MA میان‌مدت</t>
  </si>
  <si>
    <t xml:space="preserve">هم‌وزن نسبت به MA بلند</t>
  </si>
  <si>
    <t xml:space="preserve">بازده ۵ روزه هم‌وزن</t>
  </si>
  <si>
    <t xml:space="preserve">بازده ۲۰ روزه هم‌وزن</t>
  </si>
  <si>
    <t xml:space="preserve">— اجزای امتیاز رژیم —</t>
  </si>
  <si>
    <t xml:space="preserve">شاخص کل &gt; MA میان‌مدت (±۱٫۵)</t>
  </si>
  <si>
    <t xml:space="preserve">شاخص کل &gt; MA بلند (±۱٫۵)</t>
  </si>
  <si>
    <t xml:space="preserve">هم‌وزن &gt; MA میان‌مدت (±۲)</t>
  </si>
  <si>
    <t xml:space="preserve">هم‌وزن &gt; MA بلند (±۲)</t>
  </si>
  <si>
    <t xml:space="preserve">مومنتوم ۵ روزه هم‌وزن (±۱٫۵)</t>
  </si>
  <si>
    <t xml:space="preserve">مومنتوم ۲۰ روزه هم‌وزن (±۱٫۵)</t>
  </si>
  <si>
    <t xml:space="preserve">پل امتیاز زمانی (Time_Link)</t>
  </si>
  <si>
    <t xml:space="preserve">این شیت را اسکریپت تحلیل زمانی پر می‌کند. تا وقتی خالی است، امتیاز زمانی صفر می‌ماند و چون وزنش هم صفر است، بر سیگنال اثری ندارد.</t>
  </si>
  <si>
    <t xml:space="preserve">امتیاز زمانی (−۱۰ تا +۱۰)</t>
  </si>
  <si>
    <t xml:space="preserve">اتکاپذیری</t>
  </si>
  <si>
    <t xml:space="preserve">چرخه معنادار؟</t>
  </si>
  <si>
    <t xml:space="preserve">تاریخ به‌روزرسانی</t>
  </si>
  <si>
    <t xml:space="preserve">منبع</t>
  </si>
  <si>
    <t xml:space="preserve">محاسبه پایتون</t>
  </si>
  <si>
    <t xml:space="preserve">برای پرکردن خودکار:  python -m timeframe export --workbook &lt;همین فایل&gt;  — اسکریپت امتیاز زمانی هر نماد را از تحلیل چرخه محاسبه و اینجا می‌نویسد.</t>
  </si>
  <si>
    <t xml:space="preserve">لیست نمادهای تحت نظر (Watchlist)</t>
  </si>
  <si>
    <t xml:space="preserve">منبع نهایی نمادها؛ شیت‌های Calculations و Signals از همین ترتیب پیروی می‌کنند.</t>
  </si>
  <si>
    <t xml:space="preserve">کد نماد (InsCode)</t>
  </si>
  <si>
    <t xml:space="preserve">شناسه ISIN</t>
  </si>
  <si>
    <t xml:space="preserve">کد تأیید شده؟</t>
  </si>
  <si>
    <t xml:space="preserve">فعال در سیگنال‌گیری</t>
  </si>
  <si>
    <t xml:space="preserve">یادداشت</t>
  </si>
  <si>
    <t xml:space="preserve">خیر</t>
  </si>
  <si>
    <t xml:space="preserve">بله</t>
  </si>
  <si>
    <t xml:space="preserve">InsCode/ISIN از حافظه درج شده و تأیید نشده — با GetInstrumentSearch اعتبارسنجی شود.</t>
  </si>
  <si>
    <t xml:space="preserve">⚠️ کدهای InsCode و ISIN بالا تأییدنشده‌اند. اسکریپت tse_updater.py آن‌ها را با endpoint جستجوی نماد بررسی و در صورت مغایرت اصلاح می‌کند و ستون «کد تأیید شده؟» را «بله» می‌کند.</t>
  </si>
  <si>
    <t xml:space="preserve">ردیف‌های زردرنگ خالی، ظرفیت آماده‌اند: نماد جدید را همین‌جا اضافه کنید — همه شیت‌های Calculations، Signals و Time_Cycles تا ردیف 64 از قبل فرمول دارند و نیازی به کشیدن دستی نیست.</t>
  </si>
  <si>
    <t xml:space="preserve">تنظیمات و پارامترهای سیستم</t>
  </si>
  <si>
    <t xml:space="preserve">هر عدد آبی‌رنگ قابل تغییر است؛ همه فرمول‌های فایل از همین سلول‌ها می‌خوانند.</t>
  </si>
  <si>
    <t xml:space="preserve">۱) پارامترهای میانگین متحرک و نوسان</t>
  </si>
  <si>
    <t xml:space="preserve">دوره میانگین متحرک کوتاه</t>
  </si>
  <si>
    <t xml:space="preserve">روزهای معاملاتی</t>
  </si>
  <si>
    <t xml:space="preserve">دوره میانگین متحرک میان‌مدت</t>
  </si>
  <si>
    <t xml:space="preserve">ستون فقرات تشخیص روند میان‌مدت</t>
  </si>
  <si>
    <t xml:space="preserve">دوره میانگین متحرک بلند ۱</t>
  </si>
  <si>
    <t xml:space="preserve">دوره میانگین متحرک بلند ۲</t>
  </si>
  <si>
    <t xml:space="preserve">مرز روند بلندمدت</t>
  </si>
  <si>
    <t xml:space="preserve">دوره ATR</t>
  </si>
  <si>
    <t xml:space="preserve">برای حد ضرر و نرمال‌سازی نوسان</t>
  </si>
  <si>
    <t xml:space="preserve">ضریب حد ضرر بر مبنای ATR</t>
  </si>
  <si>
    <t xml:space="preserve">حد ضرر = قیمت − ضریب × ATR</t>
  </si>
  <si>
    <t xml:space="preserve">۲) آستانه‌های حجم معاملات (نسبت به میانگین ۲۰ روزه)</t>
  </si>
  <si>
    <t xml:space="preserve">حجم مشکوک — بسیار بالا</t>
  </si>
  <si>
    <t xml:space="preserve">≥ ۲ برابر میانگین ۲۰ روزه</t>
  </si>
  <si>
    <t xml:space="preserve">حجم بالاتر از عادی</t>
  </si>
  <si>
    <t xml:space="preserve">حجم خشک (بی‌رمقی)</t>
  </si>
  <si>
    <t xml:space="preserve">سیگنال را تضعیف می‌کند</t>
  </si>
  <si>
    <t xml:space="preserve">۳) آستانه‌های پول هوشمند (حقیقی)</t>
  </si>
  <si>
    <t xml:space="preserve">نسبت قدرت خریدار — قوی</t>
  </si>
  <si>
    <t xml:space="preserve">سرانه خرید حقیقی ÷ سرانه فروش حقیقی</t>
  </si>
  <si>
    <t xml:space="preserve">نسبت قدرت خریدار — متوسط</t>
  </si>
  <si>
    <t xml:space="preserve">نسبت قدرت فروشنده — متوسط</t>
  </si>
  <si>
    <t xml:space="preserve">نسبت قدرت فروشنده — قوی</t>
  </si>
  <si>
    <t xml:space="preserve">خالص ورود پول حقیقی قوی (٪ ارزش معاملات)</t>
  </si>
  <si>
    <t xml:space="preserve">نرمال‌شده، نه ریال خام</t>
  </si>
  <si>
    <t xml:space="preserve">خالص ورود پول حقیقی متوسط (٪ ارزش معاملات)</t>
  </si>
  <si>
    <t xml:space="preserve">۴) وزن معیارها — جمع باید دقیقاً ۱۰۰٪ شود</t>
  </si>
  <si>
    <t xml:space="preserve">وزن روند قیمتی سهم</t>
  </si>
  <si>
    <t xml:space="preserve">وزن جریان پول هوشمند</t>
  </si>
  <si>
    <t xml:space="preserve">وزن وضعیت میانگین‌های متحرک</t>
  </si>
  <si>
    <t xml:space="preserve">وزن حجم معاملات</t>
  </si>
  <si>
    <t xml:space="preserve">وزن روند کل بازار (شاخص)</t>
  </si>
  <si>
    <t xml:space="preserve">وزن لایه زمانی (Hurst/Gann/Fib/Elliott)</t>
  </si>
  <si>
    <t xml:space="preserve">پیش‌فرض صفر — ساختار آماده، غیرفعال</t>
  </si>
  <si>
    <t xml:space="preserve">جمع وزن‌ها</t>
  </si>
  <si>
    <t xml:space="preserve">۵) آستانه سیگنال (امتیاز کل از −۱۰ تا +۱۰)</t>
  </si>
  <si>
    <t xml:space="preserve">حد «خرید قوی» (≥)</t>
  </si>
  <si>
    <t xml:space="preserve">حد «خرید» (≥)</t>
  </si>
  <si>
    <t xml:space="preserve">حد «فروش» (≤)</t>
  </si>
  <si>
    <t xml:space="preserve">حد «فروش قوی» (≤)</t>
  </si>
  <si>
    <t xml:space="preserve">۶) پارامترهای بخش آپشن</t>
  </si>
  <si>
    <t xml:space="preserve">نرخ بدون ریسک سالانه</t>
  </si>
  <si>
    <t xml:space="preserve">برای قیمت‌گذاری بلک-شولز</t>
  </si>
  <si>
    <t xml:space="preserve">نوسان فرضی سالانه دارایی پایه</t>
  </si>
  <si>
    <t xml:space="preserve">مبنای مقایسه گران/ارزان بودن قرارداد</t>
  </si>
  <si>
    <t xml:space="preserve">حداقل روز تا سررسید</t>
  </si>
  <si>
    <t xml:space="preserve">کمتر از این، سیگنال معتبر نیست</t>
  </si>
  <si>
    <t xml:space="preserve">حداقل حجم معاملات روزانه قرارداد</t>
  </si>
  <si>
    <t xml:space="preserve">فیلتر نقدشوندگی</t>
  </si>
  <si>
    <t xml:space="preserve">بازه ATM (± نسبت به قیمت اعمال)</t>
  </si>
  <si>
    <t xml:space="preserve">تعداد روز معاملاتی در سال</t>
  </si>
  <si>
    <t xml:space="preserve">۷) لایه زمانی — چرخه‌های اسمی (فعلاً غیرفعال)</t>
  </si>
  <si>
    <t xml:space="preserve">چرخه اسمی ۱ (روز معاملاتی)</t>
  </si>
  <si>
    <t xml:space="preserve">مدل چرخه‌های اسمی هرست</t>
  </si>
  <si>
    <t xml:space="preserve">چرخه اسمی ۲</t>
  </si>
  <si>
    <t xml:space="preserve">چرخه اسمی ۳ (چرخه اصلی)</t>
  </si>
  <si>
    <t xml:space="preserve">چرخه اسمی ۴</t>
  </si>
  <si>
    <t xml:space="preserve">پنجره تحمل زمانی (± روز)</t>
  </si>
  <si>
    <t xml:space="preserve">برای تطبیق تاریخ‌های Gann/Fibonacci</t>
  </si>
  <si>
    <t xml:space="preserve">۹) وزن سیگنال دارایی‌های تک‌سری (طلا، سکه، دلار، تتر)</t>
  </si>
  <si>
    <t xml:space="preserve">وزن روند</t>
  </si>
  <si>
    <t xml:space="preserve">قیمت نسبت به سه میانگین متحرک</t>
  </si>
  <si>
    <t xml:space="preserve">وزن مومنتوم</t>
  </si>
  <si>
    <t xml:space="preserve">بازده ۵ و ۲۰ و ۶۰ روزه</t>
  </si>
  <si>
    <t xml:space="preserve">وزن نوسان</t>
  </si>
  <si>
    <t xml:space="preserve">نوسان جاری نسبت به میانه تاریخی</t>
  </si>
  <si>
    <t xml:space="preserve">وزن ارزش‌گذاری</t>
  </si>
  <si>
    <t xml:space="preserve">صدک تاریخی حباب یا پریمیوم</t>
  </si>
  <si>
    <t xml:space="preserve">جمع وزن‌های دارایی</t>
  </si>
  <si>
    <t xml:space="preserve">۸) سایر</t>
  </si>
  <si>
    <t xml:space="preserve">پنجره ساختار روند کوتاه (سقف/کف)</t>
  </si>
  <si>
    <t xml:space="preserve">برای تشخیص Higher High / Lower Low</t>
  </si>
  <si>
    <t xml:space="preserve">پنجره ساختار روند بلند (سقف/کف)</t>
  </si>
  <si>
    <t xml:space="preserve">روند میان‌مدت</t>
  </si>
  <si>
    <t xml:space="preserve">دامنه نوسان روزانه بازار</t>
  </si>
  <si>
    <t xml:space="preserve">⚠️ مقدار جاری را تأیید کنید</t>
  </si>
  <si>
    <t xml:space="preserve">حداقل ارزش معاملات روزانه معتبر (میلیارد ریال)</t>
  </si>
  <si>
    <t xml:space="preserve">زیر این حد، سیگنال «کم‌اعتبار» علامت می‌خورد</t>
  </si>
  <si>
    <t xml:space="preserve">راهنمای رنگ: سلول زرد با متن آبی = ورودی قابل تغییر شما · متن مشکی = فرمول · متن سبز = ارجاع به شیت دیگر.</t>
  </si>
  <si>
    <t xml:space="preserve">نگاشت ستون‌ها به APIهای بازار (API_Map)</t>
  </si>
  <si>
    <t xml:space="preserve">این شیت قرارداد رسمی بین فایل اکسل و اسکریپت پایتون است: اسکریپت ستون مقصد هر فیلد را از همین‌جا می‌خواند. منبع: ریپازیتوری BabakEslami/tse-market-data</t>
  </si>
  <si>
    <t xml:space="preserve">شیت</t>
  </si>
  <si>
    <t xml:space="preserve">ستون</t>
  </si>
  <si>
    <t xml:space="preserve">برچسب فارسی</t>
  </si>
  <si>
    <t xml:space="preserve">فیلد JSON</t>
  </si>
  <si>
    <t xml:space="preserve">Endpoint</t>
  </si>
  <si>
    <t xml:space="preserve">توضیح فیلد</t>
  </si>
  <si>
    <t xml:space="preserve">وضعیت تأیید</t>
  </si>
  <si>
    <t xml:space="preserve">Data_Input</t>
  </si>
  <si>
    <t xml:space="preserve">A</t>
  </si>
  <si>
    <t xml:space="preserve">https://cdn.tsetmc.com/api/Instrument/GetInstrumentSearch/{Query}</t>
  </si>
  <si>
    <t xml:space="preserve">نام کوتاه نماد</t>
  </si>
  <si>
    <t xml:space="preserve">نمونه ساختاری ریپو</t>
  </si>
  <si>
    <t xml:space="preserve">B</t>
  </si>
  <si>
    <t xml:space="preserve">نام کامل شرکت/شاخص</t>
  </si>
  <si>
    <t xml:space="preserve">C</t>
  </si>
  <si>
    <t xml:space="preserve">کلید اصلی همه endpointهای cdn</t>
  </si>
  <si>
    <t xml:space="preserve">تست واقعی</t>
  </si>
  <si>
    <t xml:space="preserve">D</t>
  </si>
  <si>
    <t xml:space="preserve">https://cdn.tsetmc.com/api/Instrument/GetInstrumentIdentity/{InsCode}</t>
  </si>
  <si>
    <t xml:space="preserve">کلید اصلی endpointهای webgw</t>
  </si>
  <si>
    <t xml:space="preserve">E</t>
  </si>
  <si>
    <t xml:space="preserve">بورس / فرابورس</t>
  </si>
  <si>
    <t xml:space="preserve">F</t>
  </si>
  <si>
    <t xml:space="preserve">sector.lSecVal — نام صنعت</t>
  </si>
  <si>
    <t xml:space="preserve">G</t>
  </si>
  <si>
    <t xml:space="preserve">https://cdn.tsetmc.com/api/ClosingPrice/GetClosingPriceInfo/{InsCode}</t>
  </si>
  <si>
    <t xml:space="preserve">instrumentState.cEtavalTitle — مجاز/متوقف</t>
  </si>
  <si>
    <t xml:space="preserve">H</t>
  </si>
  <si>
    <t xml:space="preserve">زمان آخرین به‌روزرسانی</t>
  </si>
  <si>
    <t xml:space="preserve">I</t>
  </si>
  <si>
    <t xml:space="preserve">آخرین قیمت معامله</t>
  </si>
  <si>
    <t xml:space="preserve">J</t>
  </si>
  <si>
    <t xml:space="preserve">K</t>
  </si>
  <si>
    <t xml:space="preserve">https://webgw.tse.ir/InstrumentProvider/api/v1/History/Archive/fa?InstrumentId={ISIN}</t>
  </si>
  <si>
    <t xml:space="preserve">قیمت روز قبل</t>
  </si>
  <si>
    <t xml:space="preserve">L</t>
  </si>
  <si>
    <t xml:space="preserve">تغییر مطلق قیمت</t>
  </si>
  <si>
    <t xml:space="preserve">M</t>
  </si>
  <si>
    <t xml:space="preserve">N</t>
  </si>
  <si>
    <t xml:space="preserve">https://webgw.tse.ir/InstrumentProvider/api/v1/Instrument/LiveInstrumentByIdQuery/fa?InstrumentId={ISIN}</t>
  </si>
  <si>
    <t xml:space="preserve">اولین قیمت روز</t>
  </si>
  <si>
    <t xml:space="preserve">O</t>
  </si>
  <si>
    <t xml:space="preserve">⚠️ بیشترین قیمت روز — تفکیک highValue از maxValue باید با پاسخ واقعی تأیید شود</t>
  </si>
  <si>
    <t xml:space="preserve">نیازمند تأیید</t>
  </si>
  <si>
    <t xml:space="preserve">P</t>
  </si>
  <si>
    <t xml:space="preserve">⚠️ کمترین قیمت روز — همان ابهام بالا</t>
  </si>
  <si>
    <t xml:space="preserve">Q</t>
  </si>
  <si>
    <t xml:space="preserve">R</t>
  </si>
  <si>
    <t xml:space="preserve">S</t>
  </si>
  <si>
    <t xml:space="preserve">T</t>
  </si>
  <si>
    <t xml:space="preserve">ارزش بازار</t>
  </si>
  <si>
    <t xml:space="preserve">U</t>
  </si>
  <si>
    <t xml:space="preserve">V</t>
  </si>
  <si>
    <t xml:space="preserve">https://cdn.tsetmc.com/api/ClientType/GetClientType/{InsCode}/1/0</t>
  </si>
  <si>
    <t xml:space="preserve">⚠️ حجم خرید حقیقی — نام فیلد در مستند ریپو ثبت نشده</t>
  </si>
  <si>
    <t xml:space="preserve">W</t>
  </si>
  <si>
    <t xml:space="preserve">⚠️ حجم فروش حقیقی — نیازمند تأیید</t>
  </si>
  <si>
    <t xml:space="preserve">X</t>
  </si>
  <si>
    <t xml:space="preserve">⚠️ تعداد کدهای خریدار حقیقی — نیازمند تأیید</t>
  </si>
  <si>
    <t xml:space="preserve">Y</t>
  </si>
  <si>
    <t xml:space="preserve">⚠️ تعداد کدهای فروشنده حقیقی — نیازمند تأیید</t>
  </si>
  <si>
    <t xml:space="preserve">Z</t>
  </si>
  <si>
    <t xml:space="preserve">⚠️ حجم خرید حقوقی — نیازمند تأیید</t>
  </si>
  <si>
    <t xml:space="preserve">AA</t>
  </si>
  <si>
    <t xml:space="preserve">⚠️ حجم فروش حقوقی — نیازمند تأیید</t>
  </si>
  <si>
    <t xml:space="preserve">AB</t>
  </si>
  <si>
    <t xml:space="preserve">⚠️ تعداد کدهای خریدار حقوقی — نیازمند تأیید</t>
  </si>
  <si>
    <t xml:space="preserve">AC</t>
  </si>
  <si>
    <t xml:space="preserve">⚠️ تعداد کدهای فروشنده حقوقی — نیازمند تأیید</t>
  </si>
  <si>
    <t xml:space="preserve">AD</t>
  </si>
  <si>
    <t xml:space="preserve">https://cdn.tsetmc.com/api/BestLimits/{InsCode}</t>
  </si>
  <si>
    <t xml:space="preserve">bestLimits[0].pMeDem — بهترین قیمت خرید</t>
  </si>
  <si>
    <t xml:space="preserve">AE</t>
  </si>
  <si>
    <t xml:space="preserve">⚠️ حجم بهترین خرید — در نمونه ریپو نبود</t>
  </si>
  <si>
    <t xml:space="preserve">AF</t>
  </si>
  <si>
    <t xml:space="preserve">bestLimits[0].zOrdMeDem — تعداد سفارش خرید</t>
  </si>
  <si>
    <t xml:space="preserve">AG</t>
  </si>
  <si>
    <t xml:space="preserve">bestLimits[0].pMeOf — بهترین قیمت فروش</t>
  </si>
  <si>
    <t xml:space="preserve">AH</t>
  </si>
  <si>
    <t xml:space="preserve">⚠️ حجم بهترین فروش — در نمونه ریپو نبود</t>
  </si>
  <si>
    <t xml:space="preserve">AI</t>
  </si>
  <si>
    <t xml:space="preserve">bestLimits[0].zOrdMeOf — تعداد سفارش فروش</t>
  </si>
  <si>
    <t xml:space="preserve">AJ</t>
  </si>
  <si>
    <t xml:space="preserve">https://cdn.tsetmc.com/api/Instrument/GetInstrumentInfo/{InsCode}</t>
  </si>
  <si>
    <t xml:space="preserve">سود هر سهم</t>
  </si>
  <si>
    <t xml:space="preserve">Daily_History</t>
  </si>
  <si>
    <t xml:space="preserve">https://cdn.tsetmc.com/api/ClosingPrice/GetClosingPriceDailyList/{InsCode}/{Top}</t>
  </si>
  <si>
    <t xml:space="preserve">تاریخ به فرم YYYYMMDD</t>
  </si>
  <si>
    <t xml:space="preserve">اولین قیمت روز تاریخی</t>
  </si>
  <si>
    <t xml:space="preserve">بیشترین قیمت روز تاریخی</t>
  </si>
  <si>
    <t xml:space="preserve">کمترین قیمت روز تاریخی</t>
  </si>
  <si>
    <t xml:space="preserve">https://cdn.tsetmc.com/api/Index/GetIndexB1LastAll/SelectedIndexes/1</t>
  </si>
  <si>
    <t xml:space="preserve">مقدار شاخص — کل: 32097828799138957 · هم‌وزن: 67130298613737946</t>
  </si>
  <si>
    <t xml:space="preserve">—</t>
  </si>
  <si>
    <t xml:space="preserve">نامشخص</t>
  </si>
  <si>
    <t xml:space="preserve">دو الزام عملیاتی هنگام فراخوانی این APIها:</t>
  </si>
  <si>
    <t xml:space="preserve">۱) هدر User-Agent مرورگری الزامی است؛ بدون آن پاسخ‌ها بلوکه می‌شوند.</t>
  </si>
  <si>
    <t xml:space="preserve">۲) فراخوانی مستقیم از مرورگر به‌دلیل CORS/۴۰۳ کار نمی‌کند — باید از یک بک‌اند (همان اسکریپت پایتون) فراخوانی شود.</t>
  </si>
  <si>
    <t xml:space="preserve">۳) ردیف‌های زردرنگ «نیازمند تأیید»اند: نام فیلدشان از نمونه ساختاری یا استنباط آمده، نه از یک پاسخ واقعی API. قبل از اتکای عملیاتی، با یک درخواست واقعی تأیید کنید.</t>
  </si>
  <si>
    <t xml:space="preserve">راهنمای سیستم سیگنال‌دهی بازار سرمایه ایران</t>
  </si>
  <si>
    <t xml:space="preserve">نسخه ۱٫۰ · ساخته‌شده در ۱۴۰۵/۰۶/۱۴ · بدون VBA · همه محاسبات با فرمول اکسل</t>
  </si>
  <si>
    <t xml:space="preserve">⚠️ داده‌های داخل فایل نمونه (DEMO) و ساختگی‌اند. هیچ عددی در این فایل داده واقعی بازار نیست. InsCode و ISIN نمادها هم تأییدنشده‌اند. پیش از هر تصمیم معاملاتی، داده‌ها را با scripts/tse_updater.py جایگزین کنید.</t>
  </si>
  <si>
    <t xml:space="preserve">۱) فلسفه طراحی</t>
  </si>
  <si>
    <t xml:space="preserve">این فایل برای معامله‌گر میان‌مدت ساخته شده، نه روزانه. سه پرسش را پشت سر هم می‌پرسد:</t>
  </si>
  <si>
    <t xml:space="preserve">۱. بازار کجاست؟ (رژیم بازار از شاخص کل و هم‌وزن) — اگر بازار نزولی است، سیگنال خرید تک‌سهم کم‌ارزش‌تر است.</t>
  </si>
  <si>
    <t xml:space="preserve">۲. سهم در چه روندی است؟ (میانگین‌های متحرک + ساختار سقف/کف + شیب)</t>
  </si>
  <si>
    <t xml:space="preserve">۳. پول هوشمند چه می‌کند؟ (سرانه خرید و فروش حقیقی، خالص جریان نرمال‌شده)</t>
  </si>
  <si>
    <t xml:space="preserve">تحلیل بنیادی عمداً وارد نشده است. این یک انتخاب است، نه فراموشی.</t>
  </si>
  <si>
    <t xml:space="preserve">۲) یک هشدار روش‌شناختی که باید بخوانید</t>
  </si>
  <si>
    <t xml:space="preserve">«ورود پول حقیقی» به‌تنهایی سیگنال ضعیفی است. عدد خالص ریالی در نماد بزرگ همیشه بزرگ است بدون آنکه معنا داشته باشد. به همین دلیل این سیستم دو معیار نرمال‌شده را جایگزین کرده است:</t>
  </si>
  <si>
    <t xml:space="preserve">• سرانه خرید حقیقی ÷ سرانه فروش حقیقی — یعنی «هر خریدار حقیقی چقدر بزرگ‌تر از هر فروشنده حقیقی است».</t>
  </si>
  <si>
    <t xml:space="preserve">• خالص ورود پول ÷ ارزش کل معاملات همان روز — یعنی جریان به‌عنوان درصدی از نقدشوندگی، نه ریال خام.</t>
  </si>
  <si>
    <t xml:space="preserve">همچنین توجه کنید: تفکیک حقیقی/حقوقی در بازار ایران با کدهای مدیریت دارایی و صندوق‌ها آلوده می‌شود. این معیار سرنخ است، نه حقیقت.</t>
  </si>
  <si>
    <t xml:space="preserve">۳) ساختار شیت‌ها و مسیر داده</t>
  </si>
  <si>
    <t xml:space="preserve">Data_Input (لحظه‌ای)  ┐</t>
  </si>
  <si>
    <t xml:space="preserve">                      ├─→  Calculations  ─→  Signals  ─→  Dashboard</t>
  </si>
  <si>
    <t xml:space="preserve">Daily_History (تاریخی)┘         ↑                ↑</t>
  </si>
  <si>
    <t xml:space="preserve">Market_Index ───────────────────┘                │</t>
  </si>
  <si>
    <t xml:space="preserve">Time_Cycles  ───────────────────┘                │</t>
  </si>
  <si>
    <t xml:space="preserve">Settings (وزن‌ها و آستانه‌ها) ──→ همه شیت‌ها        │</t>
  </si>
  <si>
    <t xml:space="preserve">Options ─────────────────────────────────────────┘ (از Calculations سهم پایه را می‌خواند)</t>
  </si>
  <si>
    <t xml:space="preserve">قانون معماری: Data_Input و Daily_History فقط داده خام API را نگه می‌دارند؛ هیچ فرمول تحلیلی در آن‌ها نوشته نمی‌شود (به‌جز ستون‌های محاسباتی نشان‌دار Daily_History از ستون U به بعد). این تفکیک باعث می‌شود اسکریپت پایتون بتواند بدون ریسک خراب‌کردن فرمول‌ها روی داده بنویسد.</t>
  </si>
  <si>
    <t xml:space="preserve">۴) سیستم امتیازدهی</t>
  </si>
  <si>
    <t xml:space="preserve">شش زیرنمره مستقل ساخته می‌شود که هرکدام بین −۱۰ تا +۱۰ است، سپس با وزن‌های شیت Settings ترکیب می‌شوند:</t>
  </si>
  <si>
    <t xml:space="preserve">T — امتیاز روند</t>
  </si>
  <si>
    <t xml:space="preserve">قیمت نسبت به MA میان‌مدت (±۳) + آرایش MA میان/بلند (±۳) + شکست سقف یا کف کوتاه‌مدت (±۲) + شیب MA کوتاه (±۲)</t>
  </si>
  <si>
    <t xml:space="preserve">S — امتیاز پول هوشمند</t>
  </si>
  <si>
    <t xml:space="preserve">قدرت خریدار (±۴) + خالص ورود امروز نسبت به ارزش معاملات (±۳) + خالص ورود ۵ روزه (±۳)</t>
  </si>
  <si>
    <t xml:space="preserve">M — امتیاز میانگین‌ها</t>
  </si>
  <si>
    <t xml:space="preserve">(تعداد MAهایی که قیمت بالای آن‌هاست × ۵) − ۱۰ ← از −۱۰ (زیر همه) تا +۱۰ (بالای همه)</t>
  </si>
  <si>
    <t xml:space="preserve">V — امتیاز حجم</t>
  </si>
  <si>
    <t xml:space="preserve">جهت تغییر قیمت × شدت حجم نسبت به میانگین ۲۰ روزه (±۹). حجم بالا در روز مثبت تأیید است، در روز منفی هشدار.</t>
  </si>
  <si>
    <t xml:space="preserve">K — امتیاز بازار</t>
  </si>
  <si>
    <t xml:space="preserve">رژیم بازار از شاخص کل (±۳) و هم‌وزن (±۴) و مومنتوم هم‌وزن (±۳). یکسان برای همه نمادها.</t>
  </si>
  <si>
    <t xml:space="preserve">Z — امتیاز زمان</t>
  </si>
  <si>
    <t xml:space="preserve">چرخه هرست + پنجره گن + موج الیوت. پیش‌فرض وزن صفر.</t>
  </si>
  <si>
    <t xml:space="preserve">امتیاز کل = (T×W_TREND + S×W_SMART + M×W_MA + V×W_VOL + K×W_MARKET + Z×W_TIME) ÷ جمع وزن‌ها</t>
  </si>
  <si>
    <t xml:space="preserve">تقسیم بر جمع وزن‌ها عمدی است: اگر وزنی را صفر کنید یا وزن جدیدی اضافه کنید، مقیاس −۱۰ تا +۱۰ حفظ می‌شود.</t>
  </si>
  <si>
    <t xml:space="preserve">برچسب سیگنال</t>
  </si>
  <si>
    <t xml:space="preserve">امتیاز ≥ TH_SBUY → خرید قوی · ≥ TH_BUY → خرید · ≤ TH_SSELL → فروش قوی · ≤ TH_SELL → فروش · بقیه → نگهداری</t>
  </si>
  <si>
    <t xml:space="preserve">قدرت سیگنال ۱ تا ۵</t>
  </si>
  <si>
    <t xml:space="preserve">بر اساس قدرمطلق امتیاز کل: ≥۸ → ۵ · ≥۵ → ۴ · ≥۳ → ۳ · ≥۱٫۵ → ۲ · بقیه → ۱</t>
  </si>
  <si>
    <t xml:space="preserve">۵) چطور وزن‌ها را تغییر دهم؟</t>
  </si>
  <si>
    <t xml:space="preserve">فقط سلول‌های زرد شیت Settings را تغییر دهید. سلول «جمع وزن‌ها» باید ۱۰۰٪ بماند؛ اگر نماند، پیام قرمز نشان داده می‌شود ولی محاسبه همچنان درست است چون بر جمع واقعی تقسیم می‌شود.</t>
  </si>
  <si>
    <t xml:space="preserve">چند تنظیم پیشنهادی برای شروع:</t>
  </si>
  <si>
    <t xml:space="preserve">• بازار پرنوسان و بی‌روند: W_MARKET را بالا ببرید (مثلاً ۲۰٪) و W_VOL را پایین.</t>
  </si>
  <si>
    <t xml:space="preserve">• تمرکز روی پول هوشمند: W_SMART را تا ۴۵٪ ببرید ولی TH_BUY را هم بالاتر بگذارید تا سیگنال کاذب کمتر شود.</t>
  </si>
  <si>
    <t xml:space="preserve">• فعال‌سازی لایه زمانی: W_TIME را روی ۱۰٪ بگذارید و به همان اندازه از W_TREND کم کنید.</t>
  </si>
  <si>
    <t xml:space="preserve">۶) لایه زمانی — وضعیت فعلی و مسیر توسعه</t>
  </si>
  <si>
    <t xml:space="preserve">شیت Time_Cycles امروز کامل ساخته شده ولی وزنش صفر است؛ یعنی محاسبه می‌شود، نمایش داده می‌شود، اما روی سیگنال اثر ندارد. این عمدی است: یک لایه زمانی که ورودی‌هایش دستی و تأییدنشده است نباید سیگنال معاملاتی را جابه‌جا کند.</t>
  </si>
  <si>
    <t xml:space="preserve">برای فعال‌سازی واقعی، به‌ترتیب این سه کار لازم است:</t>
  </si>
  <si>
    <t xml:space="preserve">۱. طول چرخه غالب (ستون D) به‌جای عدد ثابت ۸۰، با تحلیل طیفی روی سری قیمت در پایتون استخراج شود (روش von Thienen).</t>
  </si>
  <si>
    <t xml:space="preserve">۲. تاریخ کف و سقف چرخه به‌صورت خودکار با الگوریتم تشخیص نقاط چرخش پر شود، نه چشمی.</t>
  </si>
  <si>
    <t xml:space="preserve">۳. برچسب موج الیوت دستی بماند — این تنها بخشی است که خودکارسازی‌اش بیشتر خطا می‌آورد تا فایده.</t>
  </si>
  <si>
    <t xml:space="preserve">۷) اتصال به APIها</t>
  </si>
  <si>
    <t xml:space="preserve">شیت API_Map نگاشت کامل هر ستون به فیلد JSON و endpoint را دارد. اسکریپت پایتون همان را می‌خواند و ستون مقصد را پیدا می‌کند.</t>
  </si>
  <si>
    <t xml:space="preserve">جستجوی نماد</t>
  </si>
  <si>
    <t xml:space="preserve">GET https://cdn.tsetmc.com/api/Instrument/GetInstrumentSearch/{Query}</t>
  </si>
  <si>
    <t xml:space="preserve">قیمت لحظه‌ای</t>
  </si>
  <si>
    <t xml:space="preserve">GET https://cdn.tsetmc.com/api/ClosingPrice/GetClosingPriceInfo/{InsCode}</t>
  </si>
  <si>
    <t xml:space="preserve">تاریخچه روزانه</t>
  </si>
  <si>
    <t xml:space="preserve">GET https://cdn.tsetmc.com/api/ClosingPrice/GetClosingPriceDailyList/{InsCode}/{Top}</t>
  </si>
  <si>
    <t xml:space="preserve">حقیقی/حقوقی</t>
  </si>
  <si>
    <t xml:space="preserve">GET https://cdn.tsetmc.com/api/ClientType/GetClientType/{InsCode}/1/0</t>
  </si>
  <si>
    <t xml:space="preserve">حقیقی/حقوقی تاریخی</t>
  </si>
  <si>
    <t xml:space="preserve">GET https://cdn.tsetmc.com/api/ClientType/GetClientTypeHistory/{InsCode}/{DEven}</t>
  </si>
  <si>
    <t xml:space="preserve">سفارش‌ها</t>
  </si>
  <si>
    <t xml:space="preserve">GET https://cdn.tsetmc.com/api/BestLimits/{InsCode}</t>
  </si>
  <si>
    <t xml:space="preserve">شاخص‌ها</t>
  </si>
  <si>
    <t xml:space="preserve">GET https://cdn.tsetmc.com/api/Index/GetIndexB1LastAll/SelectedIndexes/1</t>
  </si>
  <si>
    <t xml:space="preserve">دیده‌بان کامل</t>
  </si>
  <si>
    <t xml:space="preserve">GET https://webgw.tse.ir/InstrumentProvider/api/v1/MarketWatch/MarketWatchCash/fa</t>
  </si>
  <si>
    <t xml:space="preserve">لایو یک نماد</t>
  </si>
  <si>
    <t xml:space="preserve">GET https://webgw.tse.ir/InstrumentProvider/api/v1/Instrument/LiveInstrumentByIdQuery/fa?InstrumentId={ISIN}</t>
  </si>
  <si>
    <t xml:space="preserve">دیده‌بان آپشن</t>
  </si>
  <si>
    <t xml:space="preserve">GET https://webgw.tse.ir/InstrumentProvider/api/v1/MarketWatch/MarketWatchOption/fa</t>
  </si>
  <si>
    <t xml:space="preserve">دو نکته که اگر رعایت نشوند اسکریپت کار نمی‌کند: هدر User-Agent مرورگری الزامی است، و فراخوانی مستقیم از مرورگر به‌خاطر CORS شکست می‌خورد — باید از یک فرآیند سمت سرور/دسکتاپ انجام شود.</t>
  </si>
  <si>
    <t xml:space="preserve">اجرای به‌روزرسانی:   python scripts/tse_updater.py --workbook Iran_Stock_Signals.xlsx --history 300</t>
  </si>
  <si>
    <t xml:space="preserve">۸) محدودیت‌هایی که باید بدانید</t>
  </si>
  <si>
    <t xml:space="preserve">• سیستم trend-following است. در بازار رِنج، سیگنال‌های کاذب می‌دهد و این ذاتی روش است، نه ایراد فایل.</t>
  </si>
  <si>
    <t xml:space="preserve">• هیچ بک‌تستی روی این وزن‌ها انجام نشده. وزن‌های پیش‌فرض بر پایه استدلال ساختاری‌اند، نه بهینه‌سازی تاریخی.</t>
  </si>
  <si>
    <t xml:space="preserve">• نمادهای متوقف: ستون cEtavalTitle را چک کنید. برای نماد متوقف، خالی‌بودن داده تاریخی طبیعی است.</t>
  </si>
  <si>
    <t xml:space="preserve">• صف خرید/فروش: endpoint مربوطه یک delta feed است نه اسنپ‌شات؛ بازسازی دقیق عمق بازار نیاز به نگهداری وضعیت دارد.</t>
  </si>
  <si>
    <t xml:space="preserve">• تعدیل قیمت (افزایش سرمایه/سود نقدی) در تاریخچه لحاظ نشده — میانگین‌های متحرک پس از تعدیل چند روز نامعتبرند.</t>
  </si>
  <si>
    <t xml:space="preserve">• بلک-شولز در شیت آپشن برای اختیار اروپایی است و قیمت نظری اختیار فروش آمریکایی را کم‌برآورد می‌کند.</t>
  </si>
  <si>
    <t xml:space="preserve">۹) گام بعدی پیشنهادی</t>
  </si>
  <si>
    <t xml:space="preserve">۱. اجرای اسکریپت به‌روزرسانی و تأیید نام فیلدهای علامت‌خورده «نیازمند تأیید» در شیت API_Map.</t>
  </si>
  <si>
    <t xml:space="preserve">۲. افزودن ۳۰ تا ۵۰ نماد به Watchlist — سیستم با ۸ نماد نمونه ساخته شده ولی برای غربال‌گری واقعی به عمق نیاز دارد.</t>
  </si>
  <si>
    <t xml:space="preserve">۳. بک‌تست وزن‌ها روی دو سال داده تاریخی، پیش از اتکای جدی به آستانه‌های TH_*.</t>
  </si>
  <si>
    <t xml:space="preserve">۴. فعال‌سازی تدریجی لایه زمانی با وزن کوچک (۵٪ تا ۱۰٪) و مقایسه نتیجه با حالت خاموش.</t>
  </si>
</sst>
</file>

<file path=xl/styles.xml><?xml version="1.0" encoding="utf-8"?>
<styleSheet xmlns="http://schemas.openxmlformats.org/spreadsheetml/2006/main">
  <numFmts count="12">
    <numFmt numFmtId="164" formatCode="General"/>
    <numFmt numFmtId="165" formatCode="0"/>
    <numFmt numFmtId="166" formatCode="#,##0"/>
    <numFmt numFmtId="167" formatCode="0.0;\(0.0\);\-"/>
    <numFmt numFmtId="168" formatCode="0.00%;\(0.00%\);\-"/>
    <numFmt numFmtId="169" formatCode="0.00;\(0.00\);\-"/>
    <numFmt numFmtId="170" formatCode="0.0%;\(0.0%\);\-"/>
    <numFmt numFmtId="171" formatCode="General"/>
    <numFmt numFmtId="172" formatCode="#,##0;\(#,##0\);\-"/>
    <numFmt numFmtId="173" formatCode="0.00\x"/>
    <numFmt numFmtId="174" formatCode="@"/>
    <numFmt numFmtId="175" formatCode="yyyy\-mm\-dd"/>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i val="true"/>
      <sz val="9"/>
      <color rgb="FFC00000"/>
      <name val="Arial"/>
      <family val="0"/>
      <charset val="1"/>
    </font>
    <font>
      <b val="true"/>
      <sz val="11"/>
      <color rgb="FFFFFFFF"/>
      <name val="Arial"/>
      <family val="0"/>
      <charset val="1"/>
    </font>
    <font>
      <sz val="9"/>
      <name val="Arial"/>
      <family val="0"/>
      <charset val="1"/>
    </font>
    <font>
      <b val="true"/>
      <sz val="10"/>
      <color rgb="FF008000"/>
      <name val="Arial"/>
      <family val="0"/>
      <charset val="1"/>
    </font>
    <font>
      <b val="true"/>
      <sz val="12"/>
      <color rgb="FF008000"/>
      <name val="Arial"/>
      <family val="0"/>
      <charset val="1"/>
    </font>
    <font>
      <b val="true"/>
      <sz val="10"/>
      <color rgb="FFFFFFFF"/>
      <name val="Arial"/>
      <family val="0"/>
      <charset val="1"/>
    </font>
    <font>
      <b val="true"/>
      <sz val="10"/>
      <color rgb="FF006100"/>
      <name val="Arial"/>
      <family val="0"/>
      <charset val="1"/>
    </font>
    <font>
      <b val="true"/>
      <sz val="10"/>
      <color rgb="FF3F3F3F"/>
      <name val="Arial"/>
      <family val="0"/>
      <charset val="1"/>
    </font>
    <font>
      <b val="true"/>
      <sz val="10"/>
      <color rgb="FF9C0006"/>
      <name val="Arial"/>
      <family val="0"/>
      <charset val="1"/>
    </font>
    <font>
      <b val="true"/>
      <sz val="16"/>
      <name val="Arial"/>
      <family val="0"/>
      <charset val="1"/>
    </font>
    <font>
      <i val="true"/>
      <sz val="9"/>
      <name val="Arial"/>
      <family val="0"/>
      <charset val="1"/>
    </font>
    <font>
      <b val="true"/>
      <sz val="10"/>
      <color rgb="FF7F6000"/>
      <name val="Arial"/>
      <family val="0"/>
      <charset val="1"/>
    </font>
    <font>
      <b val="true"/>
      <sz val="9"/>
      <color rgb="FFFFFFFF"/>
      <name val="Arial"/>
      <family val="0"/>
      <charset val="1"/>
    </font>
    <font>
      <sz val="9"/>
      <color rgb="FF000000"/>
      <name val="Arial"/>
      <family val="0"/>
      <charset val="1"/>
    </font>
    <font>
      <b val="true"/>
      <sz val="10"/>
      <name val="Arial"/>
      <family val="0"/>
      <charset val="1"/>
    </font>
    <font>
      <i val="true"/>
      <sz val="9"/>
      <color rgb="FF404040"/>
      <name val="Arial"/>
      <family val="0"/>
      <charset val="1"/>
    </font>
    <font>
      <sz val="8"/>
      <color rgb="FF404040"/>
      <name val="Arial"/>
      <family val="0"/>
      <charset val="1"/>
    </font>
    <font>
      <i val="true"/>
      <sz val="8"/>
      <color rgb="FF808080"/>
      <name val="Arial"/>
      <family val="0"/>
      <charset val="1"/>
    </font>
    <font>
      <b val="true"/>
      <sz val="9"/>
      <name val="Arial"/>
      <family val="0"/>
      <charset val="1"/>
    </font>
    <font>
      <sz val="9"/>
      <color rgb="FF008000"/>
      <name val="Arial"/>
      <family val="0"/>
      <charset val="1"/>
    </font>
    <font>
      <b val="true"/>
      <sz val="8"/>
      <name val="Arial"/>
      <family val="0"/>
      <charset val="1"/>
    </font>
    <font>
      <sz val="8"/>
      <color rgb="FF000000"/>
      <name val="Arial"/>
      <family val="0"/>
      <charset val="1"/>
    </font>
    <font>
      <b val="true"/>
      <sz val="12"/>
      <name val="Arial"/>
      <family val="0"/>
      <charset val="1"/>
    </font>
    <font>
      <b val="true"/>
      <sz val="11"/>
      <name val="Arial"/>
      <family val="0"/>
      <charset val="1"/>
    </font>
    <font>
      <sz val="9"/>
      <color rgb="FF0000FF"/>
      <name val="Arial"/>
      <family val="0"/>
      <charset val="1"/>
    </font>
    <font>
      <b val="true"/>
      <sz val="10"/>
      <color rgb="FF0000FF"/>
      <name val="Arial"/>
      <family val="0"/>
      <charset val="1"/>
    </font>
    <font>
      <sz val="8"/>
      <color rgb="FFC00000"/>
      <name val="Arial"/>
      <family val="0"/>
      <charset val="1"/>
    </font>
    <font>
      <b val="true"/>
      <i val="true"/>
      <sz val="9"/>
      <color rgb="FF404040"/>
      <name val="Arial"/>
      <family val="0"/>
      <charset val="1"/>
    </font>
    <font>
      <sz val="10"/>
      <name val="Arial"/>
      <family val="0"/>
      <charset val="1"/>
    </font>
    <font>
      <b val="true"/>
      <sz val="12"/>
      <color rgb="FFFFFFFF"/>
      <name val="Arial"/>
      <family val="0"/>
      <charset val="1"/>
    </font>
    <font>
      <sz val="9"/>
      <name val="Consolas"/>
      <family val="0"/>
      <charset val="1"/>
    </font>
  </fonts>
  <fills count="12">
    <fill>
      <patternFill patternType="none"/>
    </fill>
    <fill>
      <patternFill patternType="gray125"/>
    </fill>
    <fill>
      <patternFill patternType="solid">
        <fgColor rgb="FF1F3864"/>
        <bgColor rgb="FF3F3F3F"/>
      </patternFill>
    </fill>
    <fill>
      <patternFill patternType="solid">
        <fgColor rgb="FF2E5C8A"/>
        <bgColor rgb="FF1F3864"/>
      </patternFill>
    </fill>
    <fill>
      <patternFill patternType="solid">
        <fgColor rgb="FF00B050"/>
        <bgColor rgb="FF008080"/>
      </patternFill>
    </fill>
    <fill>
      <patternFill patternType="solid">
        <fgColor rgb="FFC6EFCE"/>
        <bgColor rgb="FFD9E2F3"/>
      </patternFill>
    </fill>
    <fill>
      <patternFill patternType="solid">
        <fgColor rgb="FFD9D9D9"/>
        <bgColor rgb="FFD9E2F3"/>
      </patternFill>
    </fill>
    <fill>
      <patternFill patternType="solid">
        <fgColor rgb="FFFFC7CE"/>
        <bgColor rgb="FFD9D9D9"/>
      </patternFill>
    </fill>
    <fill>
      <patternFill patternType="solid">
        <fgColor rgb="FFC00000"/>
        <bgColor rgb="FF9C0006"/>
      </patternFill>
    </fill>
    <fill>
      <patternFill patternType="solid">
        <fgColor rgb="FFD9E2F3"/>
        <bgColor rgb="FFD9D9D9"/>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71" fontId="16" fillId="0" borderId="0" xfId="0" applyFont="true" applyBorder="fals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72" fontId="18" fillId="0" borderId="1" xfId="0" applyFont="true" applyBorder="true" applyAlignment="true" applyProtection="false">
      <alignment horizontal="center" vertical="center" textRotation="0" wrapText="false" indent="0" shrinkToFit="false"/>
      <protection locked="true" hidden="false"/>
    </xf>
    <xf numFmtId="167" fontId="18" fillId="0" borderId="1" xfId="0" applyFont="true" applyBorder="true" applyAlignment="true" applyProtection="false">
      <alignment horizontal="center" vertical="center"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right" vertical="center" textRotation="0" wrapText="tru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8" fontId="18" fillId="0" borderId="1" xfId="0" applyFont="true" applyBorder="true" applyAlignment="true" applyProtection="false">
      <alignment horizontal="center" vertical="center" textRotation="0" wrapText="false" indent="0" shrinkToFit="false"/>
      <protection locked="true" hidden="false"/>
    </xf>
    <xf numFmtId="173" fontId="18"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right" vertical="center" textRotation="0" wrapText="false" indent="0" shrinkToFit="false"/>
      <protection locked="true" hidden="false"/>
    </xf>
    <xf numFmtId="170" fontId="18" fillId="0" borderId="1" xfId="0" applyFont="true" applyBorder="true" applyAlignment="true" applyProtection="false">
      <alignment horizontal="center" vertical="center" textRotation="0" wrapText="fals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74" fontId="18" fillId="0" borderId="1" xfId="0" applyFont="true" applyBorder="true" applyAlignment="true" applyProtection="false">
      <alignment horizontal="center" vertical="center" textRotation="0" wrapText="false" indent="0" shrinkToFit="false"/>
      <protection locked="true" hidden="false"/>
    </xf>
    <xf numFmtId="172" fontId="24" fillId="0" borderId="1" xfId="0" applyFont="true" applyBorder="true" applyAlignment="true" applyProtection="false">
      <alignment horizontal="center" vertical="center" textRotation="0" wrapText="false" indent="0" shrinkToFit="false"/>
      <protection locked="true" hidden="false"/>
    </xf>
    <xf numFmtId="168" fontId="24" fillId="0" borderId="1" xfId="0" applyFont="true" applyBorder="true" applyAlignment="true" applyProtection="false">
      <alignment horizontal="center" vertical="center" textRotation="0" wrapText="false" indent="0" shrinkToFit="false"/>
      <protection locked="true" hidden="false"/>
    </xf>
    <xf numFmtId="167" fontId="24" fillId="0" borderId="1" xfId="0" applyFont="true" applyBorder="true" applyAlignment="true" applyProtection="false">
      <alignment horizontal="center" vertical="center" textRotation="0" wrapText="false" indent="0" shrinkToFit="false"/>
      <protection locked="true" hidden="false"/>
    </xf>
    <xf numFmtId="169" fontId="18"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74" fontId="26" fillId="0" borderId="1" xfId="0" applyFont="true" applyBorder="true" applyAlignment="true" applyProtection="false">
      <alignment horizontal="center" vertical="center" textRotation="0" wrapText="false" indent="0" shrinkToFit="false"/>
      <protection locked="true" hidden="false"/>
    </xf>
    <xf numFmtId="175" fontId="26" fillId="0" borderId="1" xfId="0" applyFont="true" applyBorder="true" applyAlignment="true" applyProtection="false">
      <alignment horizontal="center" vertical="center" textRotation="0" wrapText="false" indent="0" shrinkToFit="false"/>
      <protection locked="true" hidden="false"/>
    </xf>
    <xf numFmtId="165" fontId="26"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72" fontId="26" fillId="0" borderId="1" xfId="0" applyFont="true" applyBorder="true" applyAlignment="true" applyProtection="false">
      <alignment horizontal="center" vertical="center" textRotation="0" wrapText="false" indent="0" shrinkToFit="false"/>
      <protection locked="true" hidden="false"/>
    </xf>
    <xf numFmtId="167" fontId="26" fillId="0" borderId="1" xfId="0" applyFont="true" applyBorder="true" applyAlignment="true" applyProtection="false">
      <alignment horizontal="center" vertical="center" textRotation="0" wrapText="false" indent="0" shrinkToFit="false"/>
      <protection locked="true" hidden="false"/>
    </xf>
    <xf numFmtId="173" fontId="26" fillId="0" borderId="1" xfId="0" applyFont="true" applyBorder="true" applyAlignment="true" applyProtection="false">
      <alignment horizontal="center" vertical="center" textRotation="0" wrapText="false" indent="0" shrinkToFit="false"/>
      <protection locked="true" hidden="false"/>
    </xf>
    <xf numFmtId="166" fontId="26" fillId="0" borderId="1" xfId="0" applyFont="true" applyBorder="true" applyAlignment="true" applyProtection="false">
      <alignment horizontal="center" vertical="center" textRotation="0" wrapText="false" indent="0" shrinkToFit="false"/>
      <protection locked="true" hidden="false"/>
    </xf>
    <xf numFmtId="168" fontId="26" fillId="0" borderId="1" xfId="0" applyFont="true" applyBorder="true" applyAlignment="true" applyProtection="false">
      <alignment horizontal="center" vertical="center"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right" vertical="center" textRotation="0" wrapText="false" indent="0" shrinkToFit="false"/>
      <protection locked="true" hidden="false"/>
    </xf>
    <xf numFmtId="167" fontId="27"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7" fontId="24" fillId="10" borderId="1" xfId="0" applyFont="true" applyBorder="true" applyAlignment="true" applyProtection="false">
      <alignment horizontal="center" vertical="center" textRotation="0" wrapText="false" indent="0" shrinkToFit="false"/>
      <protection locked="true" hidden="false"/>
    </xf>
    <xf numFmtId="164" fontId="24" fillId="10"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right" vertical="center" textRotation="0" wrapText="true" indent="0" shrinkToFit="false"/>
      <protection locked="true" hidden="false"/>
    </xf>
    <xf numFmtId="164" fontId="29" fillId="10" borderId="1" xfId="0" applyFont="true" applyBorder="true" applyAlignment="true" applyProtection="false">
      <alignment horizontal="center" vertical="center" textRotation="0" wrapText="false" indent="0" shrinkToFit="false"/>
      <protection locked="true" hidden="false"/>
    </xf>
    <xf numFmtId="174" fontId="29" fillId="1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right" vertical="center" textRotation="0" wrapText="false" indent="0" shrinkToFit="false"/>
      <protection locked="true" hidden="false"/>
    </xf>
    <xf numFmtId="164" fontId="29" fillId="1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29" fillId="1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72" fontId="30" fillId="10"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right" vertical="center" textRotation="0" wrapText="false" indent="0" shrinkToFit="false"/>
      <protection locked="true" hidden="false"/>
    </xf>
    <xf numFmtId="173" fontId="30" fillId="10" borderId="1" xfId="0" applyFont="true" applyBorder="true" applyAlignment="true" applyProtection="false">
      <alignment horizontal="center" vertical="center" textRotation="0" wrapText="false" indent="0" shrinkToFit="false"/>
      <protection locked="true" hidden="false"/>
    </xf>
    <xf numFmtId="170" fontId="30" fillId="10" borderId="1" xfId="0" applyFont="true" applyBorder="true" applyAlignment="true" applyProtection="false">
      <alignment horizontal="center" vertical="center" textRotation="0" wrapText="false" indent="0" shrinkToFit="false"/>
      <protection locked="true" hidden="false"/>
    </xf>
    <xf numFmtId="170" fontId="19" fillId="0"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right" vertical="center" textRotation="0" wrapText="false" indent="0" shrinkToFit="false"/>
      <protection locked="true" hidden="false"/>
    </xf>
    <xf numFmtId="169" fontId="30" fillId="10"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right" vertical="center" textRotation="0" wrapText="false" indent="0" shrinkToFit="false"/>
      <protection locked="true" hidden="false"/>
    </xf>
    <xf numFmtId="164" fontId="26" fillId="0" borderId="1" xfId="0" applyFont="true" applyBorder="true" applyAlignment="true" applyProtection="false">
      <alignment horizontal="right"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right" vertical="center" textRotation="0" wrapText="false" indent="0" shrinkToFit="false"/>
      <protection locked="true" hidden="false"/>
    </xf>
    <xf numFmtId="164" fontId="31" fillId="0" borderId="1" xfId="0" applyFont="true" applyBorder="true" applyAlignment="true" applyProtection="false">
      <alignment horizontal="right" vertical="center" textRotation="0" wrapText="true" indent="0" shrinkToFit="false"/>
      <protection locked="true" hidden="false"/>
    </xf>
    <xf numFmtId="164" fontId="32" fillId="0" borderId="0" xfId="0" applyFont="true" applyBorder="true" applyAlignment="true" applyProtection="false">
      <alignment horizontal="right" vertical="center" textRotation="0" wrapText="true" indent="0" shrinkToFit="false"/>
      <protection locked="true" hidden="false"/>
    </xf>
    <xf numFmtId="164" fontId="33" fillId="0" borderId="0" xfId="0" applyFont="true" applyBorder="true" applyAlignment="true" applyProtection="false">
      <alignment horizontal="right" vertical="center" textRotation="0" wrapText="true" indent="0" shrinkToFit="false"/>
      <protection locked="true" hidden="false"/>
    </xf>
    <xf numFmtId="164" fontId="10" fillId="8" borderId="0" xfId="0" applyFont="true" applyBorder="true" applyAlignment="true" applyProtection="false">
      <alignment horizontal="right" vertical="center" textRotation="0" wrapText="true" indent="0" shrinkToFit="false"/>
      <protection locked="true" hidden="false"/>
    </xf>
    <xf numFmtId="164" fontId="34" fillId="3" borderId="0"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right" vertical="center" textRotation="0" wrapText="true" indent="0" shrinkToFit="false"/>
      <protection locked="true" hidden="false"/>
    </xf>
    <xf numFmtId="164" fontId="35" fillId="0" borderId="0" xfId="0" applyFont="true" applyBorder="true" applyAlignment="true" applyProtection="false">
      <alignment horizontal="left" vertical="center" textRotation="0" wrapText="false" indent="0" shrinkToFit="false"/>
      <protection locked="true" hidden="false"/>
    </xf>
    <xf numFmtId="164" fontId="23" fillId="11" borderId="1" xfId="0" applyFont="true" applyBorder="true" applyAlignment="true" applyProtection="false">
      <alignment horizontal="right" vertical="center" textRotation="0" wrapText="true" indent="0" shrinkToFit="false"/>
      <protection locked="true" hidden="false"/>
    </xf>
    <xf numFmtId="164" fontId="7" fillId="0"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0">
    <dxf>
      <font>
        <b val="1"/>
        <color rgb="FFFFFFFF"/>
      </font>
      <fill>
        <patternFill>
          <bgColor rgb="FF00B050"/>
        </patternFill>
      </fill>
    </dxf>
    <dxf>
      <font>
        <b val="1"/>
        <color rgb="FFFFFFFF"/>
      </font>
      <fill>
        <patternFill>
          <bgColor rgb="FFC00000"/>
        </patternFill>
      </fill>
    </dxf>
    <dxf>
      <font>
        <b val="1"/>
        <color rgb="FF9C0006"/>
      </font>
      <fill>
        <patternFill>
          <bgColor rgb="FFFFC7CE"/>
        </patternFill>
      </fill>
    </dxf>
    <dxf>
      <font>
        <b val="1"/>
        <color rgb="FF006100"/>
      </font>
      <fill>
        <patternFill>
          <bgColor rgb="FFC6EFCE"/>
        </patternFill>
      </fill>
    </dxf>
    <dxf>
      <font>
        <b val="1"/>
        <color rgb="FF3F3F3F"/>
      </font>
      <fill>
        <patternFill>
          <bgColor rgb="FFD9D9D9"/>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33C073"/>
          <bgColor rgb="FF000000"/>
        </patternFill>
      </fill>
    </dxf>
    <dxf>
      <fill>
        <patternFill patternType="solid">
          <fgColor rgb="FFCC3333"/>
          <bgColor rgb="FF000000"/>
        </patternFill>
      </fill>
    </dxf>
    <dxf>
      <fill>
        <patternFill patternType="solid">
          <fgColor rgb="FFCCF0DC"/>
          <bgColor rgb="FF000000"/>
        </patternFill>
      </fill>
    </dxf>
    <dxf>
      <fill>
        <patternFill patternType="solid">
          <fgColor rgb="FFD65959"/>
          <bgColor rgb="FF000000"/>
        </patternFill>
      </fill>
    </dxf>
    <dxf>
      <fill>
        <patternFill patternType="solid">
          <fgColor rgb="FF00B050"/>
          <bgColor rgb="FF000000"/>
        </patternFill>
      </fill>
    </dxf>
    <dxf>
      <fill>
        <patternFill patternType="solid">
          <fgColor rgb="FF27BC6B"/>
          <bgColor rgb="FF000000"/>
        </patternFill>
      </fill>
    </dxf>
    <dxf>
      <fill>
        <patternFill patternType="solid">
          <fgColor rgb="FF99E0B9"/>
          <bgColor rgb="FF000000"/>
        </patternFill>
      </fill>
    </dxf>
    <dxf>
      <fill>
        <patternFill patternType="solid">
          <fgColor rgb="FFC00000"/>
          <bgColor rgb="FF000000"/>
        </patternFill>
      </fill>
    </dxf>
    <dxf>
      <fill>
        <patternFill patternType="solid">
          <fgColor rgb="FFDF7F7F"/>
          <bgColor rgb="FF000000"/>
        </patternFill>
      </fill>
    </dxf>
    <dxf>
      <fill>
        <patternFill patternType="solid">
          <fgColor rgb="FFE59999"/>
          <bgColor rgb="FF000000"/>
        </patternFill>
      </fill>
    </dxf>
    <dxf>
      <fill>
        <patternFill patternType="solid">
          <fgColor rgb="FFEFBFBF"/>
          <bgColor rgb="FF000000"/>
        </patternFill>
      </fill>
    </dxf>
    <dxf>
      <fill>
        <patternFill patternType="solid">
          <fgColor rgb="FF80D8A8"/>
          <bgColor rgb="FF000000"/>
        </patternFill>
      </fill>
    </dxf>
    <dxf>
      <fill>
        <patternFill patternType="solid">
          <fgColor rgb="FFF2CCCC"/>
          <bgColor rgb="FF000000"/>
        </patternFill>
      </fill>
    </dxf>
    <dxf>
      <fill>
        <patternFill patternType="solid">
          <fgColor rgb="FFD24C4C"/>
          <bgColor rgb="FF000000"/>
        </patternFill>
      </fill>
    </dxf>
    <dxf>
      <fill>
        <patternFill patternType="solid">
          <fgColor rgb="FF5ECD90"/>
          <bgColor rgb="FF000000"/>
        </patternFill>
      </fill>
    </dxf>
    <dxf>
      <fill>
        <patternFill patternType="solid">
          <fgColor rgb="FF9BE0BA"/>
          <bgColor rgb="FF000000"/>
        </patternFill>
      </fill>
    </dxf>
    <dxf>
      <fill>
        <patternFill patternType="solid">
          <fgColor rgb="FFD04141"/>
          <bgColor rgb="FF000000"/>
        </patternFill>
      </fill>
    </dxf>
    <dxf>
      <fill>
        <patternFill patternType="solid">
          <fgColor rgb="FFD86161"/>
          <bgColor rgb="FF000000"/>
        </patternFill>
      </fill>
    </dxf>
    <dxf>
      <fill>
        <patternFill patternType="solid">
          <fgColor rgb="FFDBF4E6"/>
          <bgColor rgb="FF000000"/>
        </patternFill>
      </fill>
    </dxf>
    <dxf>
      <fill>
        <patternFill patternType="solid">
          <fgColor rgb="FFDE7A7A"/>
          <bgColor rgb="FF000000"/>
        </patternFill>
      </fill>
    </dxf>
    <dxf>
      <fill>
        <patternFill patternType="solid">
          <fgColor rgb="FFE6F8EE"/>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3F3F3F"/>
          <bgColor rgb="FF000000"/>
        </patternFill>
      </fill>
    </dxf>
    <dxf>
      <fill>
        <patternFill patternType="solid">
          <fgColor rgb="FF9C0006"/>
          <bgColor rgb="FF000000"/>
        </patternFill>
      </fill>
    </dxf>
    <dxf>
      <fill>
        <patternFill patternType="solid">
          <fgColor rgb="FF404040"/>
          <bgColor rgb="FF000000"/>
        </patternFill>
      </fill>
    </dxf>
    <dxf>
      <font>
        <b val="1"/>
        <color rgb="FF7F6000"/>
      </font>
      <fill>
        <patternFill>
          <bgColor rgb="FFFFE699"/>
        </patternFill>
      </fill>
    </dxf>
    <dxf>
      <fill>
        <patternFill patternType="solid">
          <fgColor rgb="FFD9E2F3"/>
          <bgColor rgb="FF000000"/>
        </patternFill>
      </fill>
    </dxf>
    <dxf>
      <fill>
        <patternFill patternType="solid">
          <fgColor rgb="FF808080"/>
          <bgColor rgb="FF000000"/>
        </patternFill>
      </fill>
    </dxf>
    <dxf>
      <fill>
        <patternFill patternType="solid">
          <fgColor rgb="FFBCEBD1"/>
          <bgColor rgb="FF000000"/>
        </patternFill>
      </fill>
    </dxf>
    <dxf>
      <fill>
        <patternFill patternType="solid">
          <fgColor rgb="FFD14747"/>
          <bgColor rgb="FF000000"/>
        </patternFill>
      </fill>
    </dxf>
    <dxf>
      <fill>
        <patternFill patternType="solid">
          <fgColor rgb="FFE1F6EA"/>
          <bgColor rgb="FF000000"/>
        </patternFill>
      </fill>
    </dxf>
    <dxf>
      <fill>
        <patternFill patternType="solid">
          <fgColor rgb="FFE7A1A1"/>
          <bgColor rgb="FF000000"/>
        </patternFill>
      </fill>
    </dxf>
    <dxf>
      <fill>
        <patternFill patternType="solid">
          <fgColor rgb="FFEEBDBD"/>
          <bgColor rgb="FF000000"/>
        </patternFill>
      </fill>
    </dxf>
    <dxf>
      <fill>
        <patternFill patternType="solid">
          <fgColor rgb="FFF0C3C3"/>
          <bgColor rgb="FF000000"/>
        </patternFill>
      </fill>
    </dxf>
    <dxf>
      <fill>
        <patternFill patternType="solid">
          <fgColor rgb="FFF6DDDD"/>
          <bgColor rgb="FF000000"/>
        </patternFill>
      </fill>
    </dxf>
    <dxf>
      <font>
        <color rgb="FF7F6000"/>
      </font>
      <fill>
        <patternFill>
          <bgColor rgb="FFFFE699"/>
        </patternFill>
      </fill>
    </dxf>
    <dxf>
      <fill>
        <patternFill patternType="solid">
          <fgColor rgb="FFFFF2CC"/>
          <bgColor rgb="FF000000"/>
        </patternFill>
      </fill>
    </dxf>
    <dxf>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6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00B050"/>
      <rgbColor rgb="FF006100"/>
      <rgbColor rgb="FF404040"/>
      <rgbColor rgb="FF993300"/>
      <rgbColor rgb="FF993366"/>
      <rgbColor rgb="FF2E5C8A"/>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ApiMap" displayName="tblApiMap" ref="A3:G61" headerRowCount="1" totalsRowCount="0" totalsRowShown="0">
  <autoFilter ref="A3:G61"/>
  <tableColumns count="7">
    <tableColumn id="1" name="شیت"/>
    <tableColumn id="2" name="ستون"/>
    <tableColumn id="3" name="برچسب فارسی"/>
    <tableColumn id="4" name="فیلد JSON"/>
    <tableColumn id="5" name="Endpoint"/>
    <tableColumn id="6" name="توضیح فیلد"/>
    <tableColumn id="7" name="وضعیت تأیید"/>
  </tableColumns>
</table>
</file>

<file path=xl/tables/table2.xml><?xml version="1.0" encoding="utf-8"?>
<table xmlns="http://schemas.openxmlformats.org/spreadsheetml/2006/main" id="2" name="tblSignals" displayName="tblSignals" ref="A3:Z63" headerRowCount="1" totalsRowCount="0" totalsRowShown="0">
  <autoFilter ref="A3:Z63"/>
  <tableColumns count="26">
    <tableColumn id="1" name="نماد"/>
    <tableColumn id="2" name="نام شرکت"/>
    <tableColumn id="3" name="صنعت"/>
    <tableColumn id="4" name="بازار"/>
    <tableColumn id="5" name="آخرین قیمت"/>
    <tableColumn id="6" name="درصد تغییر"/>
    <tableColumn id="7" name="روند کل بازار"/>
    <tableColumn id="8" name="روند سهم"/>
    <tableColumn id="9" name="ساختار روند"/>
    <tableColumn id="10" name="جریان پول هوشمند"/>
    <tableColumn id="11" name="قدرت خریدار"/>
    <tableColumn id="12" name="وضعیت میانگین‌ها"/>
    <tableColumn id="13" name="نسبت حجم"/>
    <tableColumn id="14" name="امتیاز روند"/>
    <tableColumn id="15" name="امتیاز پول هوشمند"/>
    <tableColumn id="16" name="امتیاز میانگین‌ها"/>
    <tableColumn id="17" name="امتیاز حجم"/>
    <tableColumn id="18" name="امتیاز بازار"/>
    <tableColumn id="19" name="امتیاز زمان"/>
    <tableColumn id="20" name="امتیاز کل"/>
    <tableColumn id="21" name="سیگنال نهایی"/>
    <tableColumn id="22" name="قدرت سیگنال"/>
    <tableColumn id="23" name="دلیل سیگنال"/>
    <tableColumn id="24" name="حد ضرر پیشنهادی"/>
    <tableColumn id="25" name="ریسک تا حد ضرر"/>
    <tableColumn id="26" name="اعتبار"/>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26"/>
    <col collapsed="false" customWidth="true" hidden="false" outlineLevel="0" max="5" min="5" style="0" width="20"/>
    <col collapsed="false" customWidth="true" hidden="false" outlineLevel="0" max="6" min="6" style="0" width="14"/>
    <col collapsed="false" customWidth="true" hidden="false" outlineLevel="0" max="8" min="7" style="0" width="30"/>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c r="G4" s="3"/>
      <c r="H4" s="3"/>
    </row>
    <row r="5" customFormat="false" ht="15" hidden="false" customHeight="false" outlineLevel="0" collapsed="false">
      <c r="A5" s="4" t="s">
        <v>3</v>
      </c>
      <c r="B5" s="5" t="str">
        <f aca="false">IFERROR(INDEX(Market_Index!$C$1:$C$5000,MI_LASTROW),"—")</f>
        <v>1405/06/11</v>
      </c>
      <c r="D5" s="4" t="s">
        <v>4</v>
      </c>
      <c r="E5" s="6" t="n">
        <f aca="false">COUNTA(Watchlist!$A$5:$A$12)</f>
        <v>8</v>
      </c>
    </row>
    <row r="6" customFormat="false" ht="15" hidden="false" customHeight="false" outlineLevel="0" collapsed="false">
      <c r="A6" s="4" t="s">
        <v>5</v>
      </c>
      <c r="B6" s="7" t="n">
        <f aca="false">IFERROR(INDEX(Market_Index!$D$1:$D$5000,MI_LASTROW),"—")</f>
        <v>2159994.4</v>
      </c>
      <c r="D6" s="4" t="s">
        <v>6</v>
      </c>
      <c r="E6" s="8" t="n">
        <f aca="false">IFERROR(SUM(Calculations!$G$5:$G$64),0)</f>
        <v>2784.821504099</v>
      </c>
    </row>
    <row r="7" customFormat="false" ht="15" hidden="false" customHeight="false" outlineLevel="0" collapsed="false">
      <c r="A7" s="4" t="s">
        <v>7</v>
      </c>
      <c r="B7" s="9" t="str">
        <f aca="false">IFERROR(INDEX(Market_Index!$E$1:$E$5000,MI_LASTROW),"—")</f>
        <v/>
      </c>
      <c r="D7" s="4" t="s">
        <v>8</v>
      </c>
      <c r="E7" s="8" t="n">
        <f aca="false">IFERROR(SUM(Calculations!$AC$5:$AC$64),0)</f>
        <v>-101.654527942</v>
      </c>
    </row>
    <row r="8" customFormat="false" ht="15" hidden="false" customHeight="false" outlineLevel="0" collapsed="false">
      <c r="A8" s="4" t="s">
        <v>9</v>
      </c>
      <c r="B8" s="7" t="n">
        <f aca="false">IFERROR(INDEX(Market_Index!$I$1:$I$5000,MI_LASTROW),"—")</f>
        <v>796843.24</v>
      </c>
      <c r="D8" s="4" t="s">
        <v>10</v>
      </c>
      <c r="E8" s="8" t="n">
        <f aca="false">IFERROR(SUM(Calculations!$AH$5:$AH$64),0)</f>
        <v>881.009987472</v>
      </c>
    </row>
    <row r="9" customFormat="false" ht="15" hidden="false" customHeight="false" outlineLevel="0" collapsed="false">
      <c r="A9" s="4" t="s">
        <v>11</v>
      </c>
      <c r="B9" s="9" t="str">
        <f aca="false">IFERROR(INDEX(Market_Index!$J$1:$J$5000,MI_LASTROW),"—")</f>
        <v/>
      </c>
      <c r="D9" s="4" t="s">
        <v>12</v>
      </c>
      <c r="E9" s="8" t="n">
        <f aca="false">IFERROR(AVERAGE(Signals!$T$4:$T$63),0)</f>
        <v>-1.259375</v>
      </c>
    </row>
    <row r="10" customFormat="false" ht="15" hidden="false" customHeight="false" outlineLevel="0" collapsed="false">
      <c r="A10" s="4" t="s">
        <v>13</v>
      </c>
      <c r="B10" s="10" t="n">
        <f aca="false">MARKET_SCORE</f>
        <v>-7</v>
      </c>
      <c r="D10" s="4" t="s">
        <v>14</v>
      </c>
      <c r="E10" s="11" t="n">
        <f aca="false">IFERROR((COUNTIF(Signals!$U$4:$U$63,"خرید قوی")+COUNTIF(Signals!$U$4:$U$63,"خرید"))/(COUNTIF(Signals!$U$4:$U$63,"فروش قوی")+COUNTIF(Signals!$U$4:$U$63,"فروش")),"—")</f>
        <v>0.5</v>
      </c>
    </row>
    <row r="11" customFormat="false" ht="15" hidden="false" customHeight="false" outlineLevel="0" collapsed="false">
      <c r="A11" s="4" t="s">
        <v>15</v>
      </c>
      <c r="B11" s="12" t="str">
        <f aca="false">MARKET_LABEL</f>
        <v>نزولی قوی</v>
      </c>
      <c r="D11" s="4" t="s">
        <v>16</v>
      </c>
      <c r="E11" s="13" t="n">
        <f aca="false">W_SUM</f>
        <v>1</v>
      </c>
    </row>
    <row r="13" customFormat="false" ht="21.75" hidden="false" customHeight="true" outlineLevel="0" collapsed="false">
      <c r="A13" s="3" t="s">
        <v>17</v>
      </c>
      <c r="B13" s="3"/>
      <c r="C13" s="3"/>
      <c r="D13" s="3"/>
      <c r="E13" s="3"/>
      <c r="F13" s="3"/>
      <c r="G13" s="3"/>
      <c r="H13" s="3"/>
    </row>
    <row r="14" customFormat="false" ht="15" hidden="false" customHeight="false" outlineLevel="0" collapsed="false">
      <c r="A14" s="14" t="s">
        <v>18</v>
      </c>
      <c r="B14" s="15" t="s">
        <v>19</v>
      </c>
      <c r="C14" s="16" t="s">
        <v>20</v>
      </c>
      <c r="D14" s="17" t="s">
        <v>21</v>
      </c>
      <c r="E14" s="18" t="s">
        <v>22</v>
      </c>
    </row>
    <row r="15" customFormat="false" ht="25.5" hidden="false" customHeight="true" outlineLevel="0" collapsed="false">
      <c r="A15" s="19" t="n">
        <f aca="false">COUNTIF(Signals!$U$4:$U$63,"خرید قوی")</f>
        <v>1</v>
      </c>
      <c r="B15" s="19" t="n">
        <f aca="false">COUNTIF(Signals!$U$4:$U$63,"خرید")</f>
        <v>1</v>
      </c>
      <c r="C15" s="19" t="n">
        <f aca="false">COUNTIF(Signals!$U$4:$U$63,"نگهداری")</f>
        <v>2</v>
      </c>
      <c r="D15" s="19" t="n">
        <f aca="false">COUNTIF(Signals!$U$4:$U$63,"فروش")</f>
        <v>1</v>
      </c>
      <c r="E15" s="19" t="n">
        <f aca="false">COUNTIF(Signals!$U$4:$U$63,"فروش قوی")</f>
        <v>3</v>
      </c>
    </row>
    <row r="16" customFormat="false" ht="15" hidden="false" customHeight="false" outlineLevel="0" collapsed="false">
      <c r="A16" s="20" t="s">
        <v>23</v>
      </c>
      <c r="B16" s="21" t="n">
        <f aca="false">COUNTIF(Signals!$Z$4:$Z$63,"کم‌اعتبار")</f>
        <v>0</v>
      </c>
    </row>
    <row r="18" customFormat="false" ht="21.75" hidden="false" customHeight="true" outlineLevel="0" collapsed="false">
      <c r="A18" s="3" t="s">
        <v>24</v>
      </c>
      <c r="B18" s="3"/>
      <c r="C18" s="3"/>
      <c r="D18" s="3"/>
      <c r="E18" s="3"/>
      <c r="F18" s="3"/>
      <c r="G18" s="3"/>
      <c r="H18" s="3"/>
    </row>
    <row r="19" customFormat="false" ht="15" hidden="false" customHeight="false" outlineLevel="0" collapsed="false">
      <c r="A19" s="22" t="s">
        <v>25</v>
      </c>
      <c r="B19" s="22" t="s">
        <v>26</v>
      </c>
      <c r="C19" s="22" t="s">
        <v>27</v>
      </c>
      <c r="D19" s="22" t="s">
        <v>28</v>
      </c>
      <c r="E19" s="22" t="s">
        <v>29</v>
      </c>
      <c r="F19" s="22" t="s">
        <v>30</v>
      </c>
      <c r="G19" s="22" t="s">
        <v>31</v>
      </c>
      <c r="H19" s="22" t="s">
        <v>32</v>
      </c>
    </row>
    <row r="20" customFormat="false" ht="15" hidden="false" customHeight="false" outlineLevel="0" collapsed="false">
      <c r="A20" s="23" t="n">
        <v>1</v>
      </c>
      <c r="B20" s="24" t="str">
        <f aca="false">IFERROR(IF(INDEX(Calculations!$AP$5:$AP$64,MATCH(1,Calculations!$AT$5:$AT$64,0))&gt;=TH_BUY,INDEX(Calculations!$A$5:$A$64,MATCH(1,Calculations!$AT$5:$AT$64,0)),""),"")</f>
        <v>شستا</v>
      </c>
      <c r="C20" s="25" t="str">
        <f aca="false">IF($B20="","",IFERROR(INDEX(Signals!$B$4:$B$63,MATCH($B20,Signals!$A$4:$A$63,0)),""))</f>
        <v>سرمايه گذاري تامين اجتماعي</v>
      </c>
      <c r="D20" s="26" t="n">
        <f aca="false">IF($B20="","",IFERROR(INDEX(Signals!$E$4:$E$63,MATCH($B20,Signals!$A$4:$A$63,0)),""))</f>
        <v>2007</v>
      </c>
      <c r="E20" s="27" t="n">
        <f aca="false">IF($B20="","",IFERROR(INDEX(Signals!$T$4:$T$63,MATCH($B20,Signals!$A$4:$A$63,0)),""))</f>
        <v>6.35</v>
      </c>
      <c r="F20" s="23" t="str">
        <f aca="false">IF($B20="","",IFERROR(INDEX(Signals!$U$4:$U$63,MATCH($B20,Signals!$A$4:$A$63,0)),""))</f>
        <v>خرید قوی</v>
      </c>
      <c r="G20" s="28" t="n">
        <f aca="false">IF($B20="","",IFERROR(INDEX(Signals!$V$4:$V$63,MATCH($B20,Signals!$A$4:$A$63,0)),""))</f>
        <v>4</v>
      </c>
      <c r="H20" s="25" t="str">
        <f aca="false">IF($B20="","",IFERROR(INDEX(Signals!$J$4:$J$63,MATCH($B20,Signals!$A$4:$A$63,0)),""))</f>
        <v>ورود قوی پول حقیقی</v>
      </c>
    </row>
    <row r="21" customFormat="false" ht="15" hidden="false" customHeight="false" outlineLevel="0" collapsed="false">
      <c r="A21" s="23" t="n">
        <v>2</v>
      </c>
      <c r="B21" s="24" t="str">
        <f aca="false">IFERROR(IF(INDEX(Calculations!$AP$5:$AP$64,MATCH(2,Calculations!$AT$5:$AT$64,0))&gt;=TH_BUY,INDEX(Calculations!$A$5:$A$64,MATCH(2,Calculations!$AT$5:$AT$64,0)),""),"")</f>
        <v>اخابر</v>
      </c>
      <c r="C21" s="25" t="str">
        <f aca="false">IF($B21="","",IFERROR(INDEX(Signals!$B$4:$B$63,MATCH($B21,Signals!$A$4:$A$63,0)),""))</f>
        <v>مخابرات ايران</v>
      </c>
      <c r="D21" s="26" t="n">
        <f aca="false">IF($B21="","",IFERROR(INDEX(Signals!$E$4:$E$63,MATCH($B21,Signals!$A$4:$A$63,0)),""))</f>
        <v>1194</v>
      </c>
      <c r="E21" s="27" t="n">
        <f aca="false">IF($B21="","",IFERROR(INDEX(Signals!$T$4:$T$63,MATCH($B21,Signals!$A$4:$A$63,0)),""))</f>
        <v>3.95</v>
      </c>
      <c r="F21" s="23" t="str">
        <f aca="false">IF($B21="","",IFERROR(INDEX(Signals!$U$4:$U$63,MATCH($B21,Signals!$A$4:$A$63,0)),""))</f>
        <v>خرید</v>
      </c>
      <c r="G21" s="28" t="n">
        <f aca="false">IF($B21="","",IFERROR(INDEX(Signals!$V$4:$V$63,MATCH($B21,Signals!$A$4:$A$63,0)),""))</f>
        <v>3</v>
      </c>
      <c r="H21" s="25" t="str">
        <f aca="false">IF($B21="","",IFERROR(INDEX(Signals!$J$4:$J$63,MATCH($B21,Signals!$A$4:$A$63,0)),""))</f>
        <v>ورود قوی پول حقیقی</v>
      </c>
    </row>
    <row r="22" customFormat="false" ht="15" hidden="false" customHeight="false" outlineLevel="0" collapsed="false">
      <c r="A22" s="23" t="n">
        <v>3</v>
      </c>
      <c r="B22" s="24" t="str">
        <f aca="false">IFERROR(IF(INDEX(Calculations!$AP$5:$AP$64,MATCH(3,Calculations!$AT$5:$AT$64,0))&gt;=TH_BUY,INDEX(Calculations!$A$5:$A$64,MATCH(3,Calculations!$AT$5:$AT$64,0)),""),"")</f>
        <v/>
      </c>
      <c r="C22" s="25" t="str">
        <f aca="false">IF($B22="","",IFERROR(INDEX(Signals!$B$4:$B$63,MATCH($B22,Signals!$A$4:$A$63,0)),""))</f>
        <v/>
      </c>
      <c r="D22" s="26" t="str">
        <f aca="false">IF($B22="","",IFERROR(INDEX(Signals!$E$4:$E$63,MATCH($B22,Signals!$A$4:$A$63,0)),""))</f>
        <v/>
      </c>
      <c r="E22" s="27" t="str">
        <f aca="false">IF($B22="","",IFERROR(INDEX(Signals!$T$4:$T$63,MATCH($B22,Signals!$A$4:$A$63,0)),""))</f>
        <v/>
      </c>
      <c r="F22" s="23" t="str">
        <f aca="false">IF($B22="","",IFERROR(INDEX(Signals!$U$4:$U$63,MATCH($B22,Signals!$A$4:$A$63,0)),""))</f>
        <v/>
      </c>
      <c r="G22" s="28" t="str">
        <f aca="false">IF($B22="","",IFERROR(INDEX(Signals!$V$4:$V$63,MATCH($B22,Signals!$A$4:$A$63,0)),""))</f>
        <v/>
      </c>
      <c r="H22" s="25" t="str">
        <f aca="false">IF($B22="","",IFERROR(INDEX(Signals!$J$4:$J$63,MATCH($B22,Signals!$A$4:$A$63,0)),""))</f>
        <v/>
      </c>
    </row>
    <row r="23" customFormat="false" ht="15" hidden="false" customHeight="false" outlineLevel="0" collapsed="false">
      <c r="A23" s="23" t="n">
        <v>4</v>
      </c>
      <c r="B23" s="24" t="str">
        <f aca="false">IFERROR(IF(INDEX(Calculations!$AP$5:$AP$64,MATCH(4,Calculations!$AT$5:$AT$64,0))&gt;=TH_BUY,INDEX(Calculations!$A$5:$A$64,MATCH(4,Calculations!$AT$5:$AT$64,0)),""),"")</f>
        <v/>
      </c>
      <c r="C23" s="25" t="str">
        <f aca="false">IF($B23="","",IFERROR(INDEX(Signals!$B$4:$B$63,MATCH($B23,Signals!$A$4:$A$63,0)),""))</f>
        <v/>
      </c>
      <c r="D23" s="26" t="str">
        <f aca="false">IF($B23="","",IFERROR(INDEX(Signals!$E$4:$E$63,MATCH($B23,Signals!$A$4:$A$63,0)),""))</f>
        <v/>
      </c>
      <c r="E23" s="27" t="str">
        <f aca="false">IF($B23="","",IFERROR(INDEX(Signals!$T$4:$T$63,MATCH($B23,Signals!$A$4:$A$63,0)),""))</f>
        <v/>
      </c>
      <c r="F23" s="23" t="str">
        <f aca="false">IF($B23="","",IFERROR(INDEX(Signals!$U$4:$U$63,MATCH($B23,Signals!$A$4:$A$63,0)),""))</f>
        <v/>
      </c>
      <c r="G23" s="28" t="str">
        <f aca="false">IF($B23="","",IFERROR(INDEX(Signals!$V$4:$V$63,MATCH($B23,Signals!$A$4:$A$63,0)),""))</f>
        <v/>
      </c>
      <c r="H23" s="25" t="str">
        <f aca="false">IF($B23="","",IFERROR(INDEX(Signals!$J$4:$J$63,MATCH($B23,Signals!$A$4:$A$63,0)),""))</f>
        <v/>
      </c>
    </row>
    <row r="24" customFormat="false" ht="15" hidden="false" customHeight="false" outlineLevel="0" collapsed="false">
      <c r="A24" s="23" t="n">
        <v>5</v>
      </c>
      <c r="B24" s="24" t="str">
        <f aca="false">IFERROR(IF(INDEX(Calculations!$AP$5:$AP$64,MATCH(5,Calculations!$AT$5:$AT$64,0))&gt;=TH_BUY,INDEX(Calculations!$A$5:$A$64,MATCH(5,Calculations!$AT$5:$AT$64,0)),""),"")</f>
        <v/>
      </c>
      <c r="C24" s="25" t="str">
        <f aca="false">IF($B24="","",IFERROR(INDEX(Signals!$B$4:$B$63,MATCH($B24,Signals!$A$4:$A$63,0)),""))</f>
        <v/>
      </c>
      <c r="D24" s="26" t="str">
        <f aca="false">IF($B24="","",IFERROR(INDEX(Signals!$E$4:$E$63,MATCH($B24,Signals!$A$4:$A$63,0)),""))</f>
        <v/>
      </c>
      <c r="E24" s="27" t="str">
        <f aca="false">IF($B24="","",IFERROR(INDEX(Signals!$T$4:$T$63,MATCH($B24,Signals!$A$4:$A$63,0)),""))</f>
        <v/>
      </c>
      <c r="F24" s="23" t="str">
        <f aca="false">IF($B24="","",IFERROR(INDEX(Signals!$U$4:$U$63,MATCH($B24,Signals!$A$4:$A$63,0)),""))</f>
        <v/>
      </c>
      <c r="G24" s="28" t="str">
        <f aca="false">IF($B24="","",IFERROR(INDEX(Signals!$V$4:$V$63,MATCH($B24,Signals!$A$4:$A$63,0)),""))</f>
        <v/>
      </c>
      <c r="H24" s="25" t="str">
        <f aca="false">IF($B24="","",IFERROR(INDEX(Signals!$J$4:$J$63,MATCH($B24,Signals!$A$4:$A$63,0)),""))</f>
        <v/>
      </c>
    </row>
    <row r="25" customFormat="false" ht="15" hidden="false" customHeight="false" outlineLevel="0" collapsed="false">
      <c r="A25" s="23" t="n">
        <v>6</v>
      </c>
      <c r="B25" s="24" t="str">
        <f aca="false">IFERROR(IF(INDEX(Calculations!$AP$5:$AP$64,MATCH(6,Calculations!$AT$5:$AT$64,0))&gt;=TH_BUY,INDEX(Calculations!$A$5:$A$64,MATCH(6,Calculations!$AT$5:$AT$64,0)),""),"")</f>
        <v/>
      </c>
      <c r="C25" s="25" t="str">
        <f aca="false">IF($B25="","",IFERROR(INDEX(Signals!$B$4:$B$63,MATCH($B25,Signals!$A$4:$A$63,0)),""))</f>
        <v/>
      </c>
      <c r="D25" s="26" t="str">
        <f aca="false">IF($B25="","",IFERROR(INDEX(Signals!$E$4:$E$63,MATCH($B25,Signals!$A$4:$A$63,0)),""))</f>
        <v/>
      </c>
      <c r="E25" s="27" t="str">
        <f aca="false">IF($B25="","",IFERROR(INDEX(Signals!$T$4:$T$63,MATCH($B25,Signals!$A$4:$A$63,0)),""))</f>
        <v/>
      </c>
      <c r="F25" s="23" t="str">
        <f aca="false">IF($B25="","",IFERROR(INDEX(Signals!$U$4:$U$63,MATCH($B25,Signals!$A$4:$A$63,0)),""))</f>
        <v/>
      </c>
      <c r="G25" s="28" t="str">
        <f aca="false">IF($B25="","",IFERROR(INDEX(Signals!$V$4:$V$63,MATCH($B25,Signals!$A$4:$A$63,0)),""))</f>
        <v/>
      </c>
      <c r="H25" s="25" t="str">
        <f aca="false">IF($B25="","",IFERROR(INDEX(Signals!$J$4:$J$63,MATCH($B25,Signals!$A$4:$A$63,0)),""))</f>
        <v/>
      </c>
    </row>
    <row r="26" customFormat="false" ht="15" hidden="false" customHeight="false" outlineLevel="0" collapsed="false">
      <c r="A26" s="23" t="n">
        <v>7</v>
      </c>
      <c r="B26" s="24" t="str">
        <f aca="false">IFERROR(IF(INDEX(Calculations!$AP$5:$AP$64,MATCH(7,Calculations!$AT$5:$AT$64,0))&gt;=TH_BUY,INDEX(Calculations!$A$5:$A$64,MATCH(7,Calculations!$AT$5:$AT$64,0)),""),"")</f>
        <v/>
      </c>
      <c r="C26" s="25" t="str">
        <f aca="false">IF($B26="","",IFERROR(INDEX(Signals!$B$4:$B$63,MATCH($B26,Signals!$A$4:$A$63,0)),""))</f>
        <v/>
      </c>
      <c r="D26" s="26" t="str">
        <f aca="false">IF($B26="","",IFERROR(INDEX(Signals!$E$4:$E$63,MATCH($B26,Signals!$A$4:$A$63,0)),""))</f>
        <v/>
      </c>
      <c r="E26" s="27" t="str">
        <f aca="false">IF($B26="","",IFERROR(INDEX(Signals!$T$4:$T$63,MATCH($B26,Signals!$A$4:$A$63,0)),""))</f>
        <v/>
      </c>
      <c r="F26" s="23" t="str">
        <f aca="false">IF($B26="","",IFERROR(INDEX(Signals!$U$4:$U$63,MATCH($B26,Signals!$A$4:$A$63,0)),""))</f>
        <v/>
      </c>
      <c r="G26" s="28" t="str">
        <f aca="false">IF($B26="","",IFERROR(INDEX(Signals!$V$4:$V$63,MATCH($B26,Signals!$A$4:$A$63,0)),""))</f>
        <v/>
      </c>
      <c r="H26" s="25" t="str">
        <f aca="false">IF($B26="","",IFERROR(INDEX(Signals!$J$4:$J$63,MATCH($B26,Signals!$A$4:$A$63,0)),""))</f>
        <v/>
      </c>
    </row>
    <row r="27" customFormat="false" ht="15" hidden="false" customHeight="false" outlineLevel="0" collapsed="false">
      <c r="A27" s="23" t="n">
        <v>8</v>
      </c>
      <c r="B27" s="24" t="str">
        <f aca="false">IFERROR(IF(INDEX(Calculations!$AP$5:$AP$64,MATCH(8,Calculations!$AT$5:$AT$64,0))&gt;=TH_BUY,INDEX(Calculations!$A$5:$A$64,MATCH(8,Calculations!$AT$5:$AT$64,0)),""),"")</f>
        <v/>
      </c>
      <c r="C27" s="25" t="str">
        <f aca="false">IF($B27="","",IFERROR(INDEX(Signals!$B$4:$B$63,MATCH($B27,Signals!$A$4:$A$63,0)),""))</f>
        <v/>
      </c>
      <c r="D27" s="26" t="str">
        <f aca="false">IF($B27="","",IFERROR(INDEX(Signals!$E$4:$E$63,MATCH($B27,Signals!$A$4:$A$63,0)),""))</f>
        <v/>
      </c>
      <c r="E27" s="27" t="str">
        <f aca="false">IF($B27="","",IFERROR(INDEX(Signals!$T$4:$T$63,MATCH($B27,Signals!$A$4:$A$63,0)),""))</f>
        <v/>
      </c>
      <c r="F27" s="23" t="str">
        <f aca="false">IF($B27="","",IFERROR(INDEX(Signals!$U$4:$U$63,MATCH($B27,Signals!$A$4:$A$63,0)),""))</f>
        <v/>
      </c>
      <c r="G27" s="28" t="str">
        <f aca="false">IF($B27="","",IFERROR(INDEX(Signals!$V$4:$V$63,MATCH($B27,Signals!$A$4:$A$63,0)),""))</f>
        <v/>
      </c>
      <c r="H27" s="25" t="str">
        <f aca="false">IF($B27="","",IFERROR(INDEX(Signals!$J$4:$J$63,MATCH($B27,Signals!$A$4:$A$63,0)),""))</f>
        <v/>
      </c>
    </row>
    <row r="28" customFormat="false" ht="15" hidden="false" customHeight="false" outlineLevel="0" collapsed="false">
      <c r="A28" s="23" t="n">
        <v>9</v>
      </c>
      <c r="B28" s="24" t="str">
        <f aca="false">IFERROR(IF(INDEX(Calculations!$AP$5:$AP$64,MATCH(9,Calculations!$AT$5:$AT$64,0))&gt;=TH_BUY,INDEX(Calculations!$A$5:$A$64,MATCH(9,Calculations!$AT$5:$AT$64,0)),""),"")</f>
        <v/>
      </c>
      <c r="C28" s="25" t="str">
        <f aca="false">IF($B28="","",IFERROR(INDEX(Signals!$B$4:$B$63,MATCH($B28,Signals!$A$4:$A$63,0)),""))</f>
        <v/>
      </c>
      <c r="D28" s="26" t="str">
        <f aca="false">IF($B28="","",IFERROR(INDEX(Signals!$E$4:$E$63,MATCH($B28,Signals!$A$4:$A$63,0)),""))</f>
        <v/>
      </c>
      <c r="E28" s="27" t="str">
        <f aca="false">IF($B28="","",IFERROR(INDEX(Signals!$T$4:$T$63,MATCH($B28,Signals!$A$4:$A$63,0)),""))</f>
        <v/>
      </c>
      <c r="F28" s="23" t="str">
        <f aca="false">IF($B28="","",IFERROR(INDEX(Signals!$U$4:$U$63,MATCH($B28,Signals!$A$4:$A$63,0)),""))</f>
        <v/>
      </c>
      <c r="G28" s="28" t="str">
        <f aca="false">IF($B28="","",IFERROR(INDEX(Signals!$V$4:$V$63,MATCH($B28,Signals!$A$4:$A$63,0)),""))</f>
        <v/>
      </c>
      <c r="H28" s="25" t="str">
        <f aca="false">IF($B28="","",IFERROR(INDEX(Signals!$J$4:$J$63,MATCH($B28,Signals!$A$4:$A$63,0)),""))</f>
        <v/>
      </c>
    </row>
    <row r="29" customFormat="false" ht="15" hidden="false" customHeight="false" outlineLevel="0" collapsed="false">
      <c r="A29" s="23" t="n">
        <v>10</v>
      </c>
      <c r="B29" s="24" t="str">
        <f aca="false">IFERROR(IF(INDEX(Calculations!$AP$5:$AP$64,MATCH(10,Calculations!$AT$5:$AT$64,0))&gt;=TH_BUY,INDEX(Calculations!$A$5:$A$64,MATCH(10,Calculations!$AT$5:$AT$64,0)),""),"")</f>
        <v/>
      </c>
      <c r="C29" s="25" t="str">
        <f aca="false">IF($B29="","",IFERROR(INDEX(Signals!$B$4:$B$63,MATCH($B29,Signals!$A$4:$A$63,0)),""))</f>
        <v/>
      </c>
      <c r="D29" s="26" t="str">
        <f aca="false">IF($B29="","",IFERROR(INDEX(Signals!$E$4:$E$63,MATCH($B29,Signals!$A$4:$A$63,0)),""))</f>
        <v/>
      </c>
      <c r="E29" s="27" t="str">
        <f aca="false">IF($B29="","",IFERROR(INDEX(Signals!$T$4:$T$63,MATCH($B29,Signals!$A$4:$A$63,0)),""))</f>
        <v/>
      </c>
      <c r="F29" s="23" t="str">
        <f aca="false">IF($B29="","",IFERROR(INDEX(Signals!$U$4:$U$63,MATCH($B29,Signals!$A$4:$A$63,0)),""))</f>
        <v/>
      </c>
      <c r="G29" s="28" t="str">
        <f aca="false">IF($B29="","",IFERROR(INDEX(Signals!$V$4:$V$63,MATCH($B29,Signals!$A$4:$A$63,0)),""))</f>
        <v/>
      </c>
      <c r="H29" s="25" t="str">
        <f aca="false">IF($B29="","",IFERROR(INDEX(Signals!$J$4:$J$63,MATCH($B29,Signals!$A$4:$A$63,0)),""))</f>
        <v/>
      </c>
    </row>
    <row r="31" customFormat="false" ht="21.75" hidden="false" customHeight="true" outlineLevel="0" collapsed="false">
      <c r="A31" s="3" t="s">
        <v>33</v>
      </c>
      <c r="B31" s="3"/>
      <c r="C31" s="3"/>
      <c r="D31" s="3"/>
      <c r="E31" s="3"/>
      <c r="F31" s="3"/>
      <c r="G31" s="3"/>
      <c r="H31" s="3"/>
    </row>
    <row r="32" customFormat="false" ht="15" hidden="false" customHeight="false" outlineLevel="0" collapsed="false">
      <c r="A32" s="22" t="s">
        <v>25</v>
      </c>
      <c r="B32" s="22" t="s">
        <v>26</v>
      </c>
      <c r="C32" s="22" t="s">
        <v>27</v>
      </c>
      <c r="D32" s="22" t="s">
        <v>28</v>
      </c>
      <c r="E32" s="22" t="s">
        <v>29</v>
      </c>
      <c r="F32" s="22" t="s">
        <v>30</v>
      </c>
      <c r="G32" s="22" t="s">
        <v>31</v>
      </c>
      <c r="H32" s="22" t="s">
        <v>32</v>
      </c>
    </row>
    <row r="33" customFormat="false" ht="15" hidden="false" customHeight="false" outlineLevel="0" collapsed="false">
      <c r="A33" s="23" t="n">
        <v>1</v>
      </c>
      <c r="B33" s="24" t="str">
        <f aca="false">IFERROR(IF(INDEX(Calculations!$AP$5:$AP$64,MATCH(1,Calculations!$AU$5:$AU$64,0))&lt;=TH_SELL,INDEX(Calculations!$A$5:$A$64,MATCH(1,Calculations!$AU$5:$AU$64,0)),""),"")</f>
        <v>وبملت</v>
      </c>
      <c r="C33" s="25" t="str">
        <f aca="false">IF($B33="","",IFERROR(INDEX(Signals!$B$4:$B$63,MATCH($B33,Signals!$A$4:$A$63,0)),""))</f>
        <v>بانك ملت</v>
      </c>
      <c r="D33" s="26" t="n">
        <f aca="false">IF($B33="","",IFERROR(INDEX(Signals!$E$4:$E$63,MATCH($B33,Signals!$A$4:$A$63,0)),""))</f>
        <v>4483</v>
      </c>
      <c r="E33" s="27" t="n">
        <f aca="false">IF($B33="","",IFERROR(INDEX(Signals!$T$4:$T$63,MATCH($B33,Signals!$A$4:$A$63,0)),""))</f>
        <v>-7.45</v>
      </c>
      <c r="F33" s="23" t="str">
        <f aca="false">IF($B33="","",IFERROR(INDEX(Signals!$U$4:$U$63,MATCH($B33,Signals!$A$4:$A$63,0)),""))</f>
        <v>فروش قوی</v>
      </c>
      <c r="G33" s="28" t="n">
        <f aca="false">IF($B33="","",IFERROR(INDEX(Signals!$V$4:$V$63,MATCH($B33,Signals!$A$4:$A$63,0)),""))</f>
        <v>4</v>
      </c>
      <c r="H33" s="25" t="str">
        <f aca="false">IF($B33="","",IFERROR(INDEX(Signals!$J$4:$J$63,MATCH($B33,Signals!$A$4:$A$63,0)),""))</f>
        <v>خروج قوی پول حقیقی</v>
      </c>
    </row>
    <row r="34" customFormat="false" ht="15" hidden="false" customHeight="false" outlineLevel="0" collapsed="false">
      <c r="A34" s="23" t="n">
        <v>2</v>
      </c>
      <c r="B34" s="24" t="str">
        <f aca="false">IFERROR(IF(INDEX(Calculations!$AP$5:$AP$64,MATCH(2,Calculations!$AU$5:$AU$64,0))&lt;=TH_SELL,INDEX(Calculations!$A$5:$A$64,MATCH(2,Calculations!$AU$5:$AU$64,0)),""),"")</f>
        <v>شپنا</v>
      </c>
      <c r="C34" s="25" t="str">
        <f aca="false">IF($B34="","",IFERROR(INDEX(Signals!$B$4:$B$63,MATCH($B34,Signals!$A$4:$A$63,0)),""))</f>
        <v>پالايش نفت اصفهان</v>
      </c>
      <c r="D34" s="26" t="n">
        <f aca="false">IF($B34="","",IFERROR(INDEX(Signals!$E$4:$E$63,MATCH($B34,Signals!$A$4:$A$63,0)),""))</f>
        <v>3784</v>
      </c>
      <c r="E34" s="27" t="n">
        <f aca="false">IF($B34="","",IFERROR(INDEX(Signals!$T$4:$T$63,MATCH($B34,Signals!$A$4:$A$63,0)),""))</f>
        <v>-6.175</v>
      </c>
      <c r="F34" s="23" t="str">
        <f aca="false">IF($B34="","",IFERROR(INDEX(Signals!$U$4:$U$63,MATCH($B34,Signals!$A$4:$A$63,0)),""))</f>
        <v>فروش قوی</v>
      </c>
      <c r="G34" s="28" t="n">
        <f aca="false">IF($B34="","",IFERROR(INDEX(Signals!$V$4:$V$63,MATCH($B34,Signals!$A$4:$A$63,0)),""))</f>
        <v>4</v>
      </c>
      <c r="H34" s="25" t="str">
        <f aca="false">IF($B34="","",IFERROR(INDEX(Signals!$J$4:$J$63,MATCH($B34,Signals!$A$4:$A$63,0)),""))</f>
        <v>خروج پول حقیقی</v>
      </c>
    </row>
    <row r="35" customFormat="false" ht="15" hidden="false" customHeight="false" outlineLevel="0" collapsed="false">
      <c r="A35" s="23" t="n">
        <v>3</v>
      </c>
      <c r="B35" s="24" t="str">
        <f aca="false">IFERROR(IF(INDEX(Calculations!$AP$5:$AP$64,MATCH(3,Calculations!$AU$5:$AU$64,0))&lt;=TH_SELL,INDEX(Calculations!$A$5:$A$64,MATCH(3,Calculations!$AU$5:$AU$64,0)),""),"")</f>
        <v>فملي</v>
      </c>
      <c r="C35" s="25" t="str">
        <f aca="false">IF($B35="","",IFERROR(INDEX(Signals!$B$4:$B$63,MATCH($B35,Signals!$A$4:$A$63,0)),""))</f>
        <v>ملي صنايع مس ايران</v>
      </c>
      <c r="D35" s="26" t="n">
        <f aca="false">IF($B35="","",IFERROR(INDEX(Signals!$E$4:$E$63,MATCH($B35,Signals!$A$4:$A$63,0)),""))</f>
        <v>6713</v>
      </c>
      <c r="E35" s="27" t="n">
        <f aca="false">IF($B35="","",IFERROR(INDEX(Signals!$T$4:$T$63,MATCH($B35,Signals!$A$4:$A$63,0)),""))</f>
        <v>-5.2</v>
      </c>
      <c r="F35" s="23" t="str">
        <f aca="false">IF($B35="","",IFERROR(INDEX(Signals!$U$4:$U$63,MATCH($B35,Signals!$A$4:$A$63,0)),""))</f>
        <v>فروش قوی</v>
      </c>
      <c r="G35" s="28" t="n">
        <f aca="false">IF($B35="","",IFERROR(INDEX(Signals!$V$4:$V$63,MATCH($B35,Signals!$A$4:$A$63,0)),""))</f>
        <v>4</v>
      </c>
      <c r="H35" s="25" t="str">
        <f aca="false">IF($B35="","",IFERROR(INDEX(Signals!$J$4:$J$63,MATCH($B35,Signals!$A$4:$A$63,0)),""))</f>
        <v>خروج پول حقیقی</v>
      </c>
    </row>
    <row r="36" customFormat="false" ht="15" hidden="false" customHeight="false" outlineLevel="0" collapsed="false">
      <c r="A36" s="23" t="n">
        <v>4</v>
      </c>
      <c r="B36" s="24" t="str">
        <f aca="false">IFERROR(IF(INDEX(Calculations!$AP$5:$AP$64,MATCH(4,Calculations!$AU$5:$AU$64,0))&lt;=TH_SELL,INDEX(Calculations!$A$5:$A$64,MATCH(4,Calculations!$AU$5:$AU$64,0)),""),"")</f>
        <v>كگل</v>
      </c>
      <c r="C36" s="25" t="str">
        <f aca="false">IF($B36="","",IFERROR(INDEX(Signals!$B$4:$B$63,MATCH($B36,Signals!$A$4:$A$63,0)),""))</f>
        <v>معدني و صنعتي گل گهر</v>
      </c>
      <c r="D36" s="26" t="n">
        <f aca="false">IF($B36="","",IFERROR(INDEX(Signals!$E$4:$E$63,MATCH($B36,Signals!$A$4:$A$63,0)),""))</f>
        <v>11194</v>
      </c>
      <c r="E36" s="27" t="n">
        <f aca="false">IF($B36="","",IFERROR(INDEX(Signals!$T$4:$T$63,MATCH($B36,Signals!$A$4:$A$63,0)),""))</f>
        <v>-4</v>
      </c>
      <c r="F36" s="23" t="str">
        <f aca="false">IF($B36="","",IFERROR(INDEX(Signals!$U$4:$U$63,MATCH($B36,Signals!$A$4:$A$63,0)),""))</f>
        <v>فروش</v>
      </c>
      <c r="G36" s="28" t="n">
        <f aca="false">IF($B36="","",IFERROR(INDEX(Signals!$V$4:$V$63,MATCH($B36,Signals!$A$4:$A$63,0)),""))</f>
        <v>3</v>
      </c>
      <c r="H36" s="25" t="str">
        <f aca="false">IF($B36="","",IFERROR(INDEX(Signals!$J$4:$J$63,MATCH($B36,Signals!$A$4:$A$63,0)),""))</f>
        <v>ورود پول حقیقی</v>
      </c>
    </row>
    <row r="37" customFormat="false" ht="15" hidden="false" customHeight="false" outlineLevel="0" collapsed="false">
      <c r="A37" s="23" t="n">
        <v>5</v>
      </c>
      <c r="B37" s="24" t="str">
        <f aca="false">IFERROR(IF(INDEX(Calculations!$AP$5:$AP$64,MATCH(5,Calculations!$AU$5:$AU$64,0))&lt;=TH_SELL,INDEX(Calculations!$A$5:$A$64,MATCH(5,Calculations!$AU$5:$AU$64,0)),""),"")</f>
        <v/>
      </c>
      <c r="C37" s="25" t="str">
        <f aca="false">IF($B37="","",IFERROR(INDEX(Signals!$B$4:$B$63,MATCH($B37,Signals!$A$4:$A$63,0)),""))</f>
        <v/>
      </c>
      <c r="D37" s="26" t="str">
        <f aca="false">IF($B37="","",IFERROR(INDEX(Signals!$E$4:$E$63,MATCH($B37,Signals!$A$4:$A$63,0)),""))</f>
        <v/>
      </c>
      <c r="E37" s="27" t="str">
        <f aca="false">IF($B37="","",IFERROR(INDEX(Signals!$T$4:$T$63,MATCH($B37,Signals!$A$4:$A$63,0)),""))</f>
        <v/>
      </c>
      <c r="F37" s="23" t="str">
        <f aca="false">IF($B37="","",IFERROR(INDEX(Signals!$U$4:$U$63,MATCH($B37,Signals!$A$4:$A$63,0)),""))</f>
        <v/>
      </c>
      <c r="G37" s="28" t="str">
        <f aca="false">IF($B37="","",IFERROR(INDEX(Signals!$V$4:$V$63,MATCH($B37,Signals!$A$4:$A$63,0)),""))</f>
        <v/>
      </c>
      <c r="H37" s="25" t="str">
        <f aca="false">IF($B37="","",IFERROR(INDEX(Signals!$J$4:$J$63,MATCH($B37,Signals!$A$4:$A$63,0)),""))</f>
        <v/>
      </c>
    </row>
    <row r="38" customFormat="false" ht="15" hidden="false" customHeight="false" outlineLevel="0" collapsed="false">
      <c r="A38" s="23" t="n">
        <v>6</v>
      </c>
      <c r="B38" s="24" t="str">
        <f aca="false">IFERROR(IF(INDEX(Calculations!$AP$5:$AP$64,MATCH(6,Calculations!$AU$5:$AU$64,0))&lt;=TH_SELL,INDEX(Calculations!$A$5:$A$64,MATCH(6,Calculations!$AU$5:$AU$64,0)),""),"")</f>
        <v/>
      </c>
      <c r="C38" s="25" t="str">
        <f aca="false">IF($B38="","",IFERROR(INDEX(Signals!$B$4:$B$63,MATCH($B38,Signals!$A$4:$A$63,0)),""))</f>
        <v/>
      </c>
      <c r="D38" s="26" t="str">
        <f aca="false">IF($B38="","",IFERROR(INDEX(Signals!$E$4:$E$63,MATCH($B38,Signals!$A$4:$A$63,0)),""))</f>
        <v/>
      </c>
      <c r="E38" s="27" t="str">
        <f aca="false">IF($B38="","",IFERROR(INDEX(Signals!$T$4:$T$63,MATCH($B38,Signals!$A$4:$A$63,0)),""))</f>
        <v/>
      </c>
      <c r="F38" s="23" t="str">
        <f aca="false">IF($B38="","",IFERROR(INDEX(Signals!$U$4:$U$63,MATCH($B38,Signals!$A$4:$A$63,0)),""))</f>
        <v/>
      </c>
      <c r="G38" s="28" t="str">
        <f aca="false">IF($B38="","",IFERROR(INDEX(Signals!$V$4:$V$63,MATCH($B38,Signals!$A$4:$A$63,0)),""))</f>
        <v/>
      </c>
      <c r="H38" s="25" t="str">
        <f aca="false">IF($B38="","",IFERROR(INDEX(Signals!$J$4:$J$63,MATCH($B38,Signals!$A$4:$A$63,0)),""))</f>
        <v/>
      </c>
    </row>
    <row r="39" customFormat="false" ht="15" hidden="false" customHeight="false" outlineLevel="0" collapsed="false">
      <c r="A39" s="23" t="n">
        <v>7</v>
      </c>
      <c r="B39" s="24" t="str">
        <f aca="false">IFERROR(IF(INDEX(Calculations!$AP$5:$AP$64,MATCH(7,Calculations!$AU$5:$AU$64,0))&lt;=TH_SELL,INDEX(Calculations!$A$5:$A$64,MATCH(7,Calculations!$AU$5:$AU$64,0)),""),"")</f>
        <v/>
      </c>
      <c r="C39" s="25" t="str">
        <f aca="false">IF($B39="","",IFERROR(INDEX(Signals!$B$4:$B$63,MATCH($B39,Signals!$A$4:$A$63,0)),""))</f>
        <v/>
      </c>
      <c r="D39" s="26" t="str">
        <f aca="false">IF($B39="","",IFERROR(INDEX(Signals!$E$4:$E$63,MATCH($B39,Signals!$A$4:$A$63,0)),""))</f>
        <v/>
      </c>
      <c r="E39" s="27" t="str">
        <f aca="false">IF($B39="","",IFERROR(INDEX(Signals!$T$4:$T$63,MATCH($B39,Signals!$A$4:$A$63,0)),""))</f>
        <v/>
      </c>
      <c r="F39" s="23" t="str">
        <f aca="false">IF($B39="","",IFERROR(INDEX(Signals!$U$4:$U$63,MATCH($B39,Signals!$A$4:$A$63,0)),""))</f>
        <v/>
      </c>
      <c r="G39" s="28" t="str">
        <f aca="false">IF($B39="","",IFERROR(INDEX(Signals!$V$4:$V$63,MATCH($B39,Signals!$A$4:$A$63,0)),""))</f>
        <v/>
      </c>
      <c r="H39" s="25" t="str">
        <f aca="false">IF($B39="","",IFERROR(INDEX(Signals!$J$4:$J$63,MATCH($B39,Signals!$A$4:$A$63,0)),""))</f>
        <v/>
      </c>
    </row>
    <row r="40" customFormat="false" ht="15" hidden="false" customHeight="false" outlineLevel="0" collapsed="false">
      <c r="A40" s="23" t="n">
        <v>8</v>
      </c>
      <c r="B40" s="24" t="str">
        <f aca="false">IFERROR(IF(INDEX(Calculations!$AP$5:$AP$64,MATCH(8,Calculations!$AU$5:$AU$64,0))&lt;=TH_SELL,INDEX(Calculations!$A$5:$A$64,MATCH(8,Calculations!$AU$5:$AU$64,0)),""),"")</f>
        <v/>
      </c>
      <c r="C40" s="25" t="str">
        <f aca="false">IF($B40="","",IFERROR(INDEX(Signals!$B$4:$B$63,MATCH($B40,Signals!$A$4:$A$63,0)),""))</f>
        <v/>
      </c>
      <c r="D40" s="26" t="str">
        <f aca="false">IF($B40="","",IFERROR(INDEX(Signals!$E$4:$E$63,MATCH($B40,Signals!$A$4:$A$63,0)),""))</f>
        <v/>
      </c>
      <c r="E40" s="27" t="str">
        <f aca="false">IF($B40="","",IFERROR(INDEX(Signals!$T$4:$T$63,MATCH($B40,Signals!$A$4:$A$63,0)),""))</f>
        <v/>
      </c>
      <c r="F40" s="23" t="str">
        <f aca="false">IF($B40="","",IFERROR(INDEX(Signals!$U$4:$U$63,MATCH($B40,Signals!$A$4:$A$63,0)),""))</f>
        <v/>
      </c>
      <c r="G40" s="28" t="str">
        <f aca="false">IF($B40="","",IFERROR(INDEX(Signals!$V$4:$V$63,MATCH($B40,Signals!$A$4:$A$63,0)),""))</f>
        <v/>
      </c>
      <c r="H40" s="25" t="str">
        <f aca="false">IF($B40="","",IFERROR(INDEX(Signals!$J$4:$J$63,MATCH($B40,Signals!$A$4:$A$63,0)),""))</f>
        <v/>
      </c>
    </row>
    <row r="41" customFormat="false" ht="15" hidden="false" customHeight="false" outlineLevel="0" collapsed="false">
      <c r="A41" s="23" t="n">
        <v>9</v>
      </c>
      <c r="B41" s="24" t="str">
        <f aca="false">IFERROR(IF(INDEX(Calculations!$AP$5:$AP$64,MATCH(9,Calculations!$AU$5:$AU$64,0))&lt;=TH_SELL,INDEX(Calculations!$A$5:$A$64,MATCH(9,Calculations!$AU$5:$AU$64,0)),""),"")</f>
        <v/>
      </c>
      <c r="C41" s="25" t="str">
        <f aca="false">IF($B41="","",IFERROR(INDEX(Signals!$B$4:$B$63,MATCH($B41,Signals!$A$4:$A$63,0)),""))</f>
        <v/>
      </c>
      <c r="D41" s="26" t="str">
        <f aca="false">IF($B41="","",IFERROR(INDEX(Signals!$E$4:$E$63,MATCH($B41,Signals!$A$4:$A$63,0)),""))</f>
        <v/>
      </c>
      <c r="E41" s="27" t="str">
        <f aca="false">IF($B41="","",IFERROR(INDEX(Signals!$T$4:$T$63,MATCH($B41,Signals!$A$4:$A$63,0)),""))</f>
        <v/>
      </c>
      <c r="F41" s="23" t="str">
        <f aca="false">IF($B41="","",IFERROR(INDEX(Signals!$U$4:$U$63,MATCH($B41,Signals!$A$4:$A$63,0)),""))</f>
        <v/>
      </c>
      <c r="G41" s="28" t="str">
        <f aca="false">IF($B41="","",IFERROR(INDEX(Signals!$V$4:$V$63,MATCH($B41,Signals!$A$4:$A$63,0)),""))</f>
        <v/>
      </c>
      <c r="H41" s="25" t="str">
        <f aca="false">IF($B41="","",IFERROR(INDEX(Signals!$J$4:$J$63,MATCH($B41,Signals!$A$4:$A$63,0)),""))</f>
        <v/>
      </c>
    </row>
    <row r="42" customFormat="false" ht="15" hidden="false" customHeight="false" outlineLevel="0" collapsed="false">
      <c r="A42" s="23" t="n">
        <v>10</v>
      </c>
      <c r="B42" s="24" t="str">
        <f aca="false">IFERROR(IF(INDEX(Calculations!$AP$5:$AP$64,MATCH(10,Calculations!$AU$5:$AU$64,0))&lt;=TH_SELL,INDEX(Calculations!$A$5:$A$64,MATCH(10,Calculations!$AU$5:$AU$64,0)),""),"")</f>
        <v/>
      </c>
      <c r="C42" s="25" t="str">
        <f aca="false">IF($B42="","",IFERROR(INDEX(Signals!$B$4:$B$63,MATCH($B42,Signals!$A$4:$A$63,0)),""))</f>
        <v/>
      </c>
      <c r="D42" s="26" t="str">
        <f aca="false">IF($B42="","",IFERROR(INDEX(Signals!$E$4:$E$63,MATCH($B42,Signals!$A$4:$A$63,0)),""))</f>
        <v/>
      </c>
      <c r="E42" s="27" t="str">
        <f aca="false">IF($B42="","",IFERROR(INDEX(Signals!$T$4:$T$63,MATCH($B42,Signals!$A$4:$A$63,0)),""))</f>
        <v/>
      </c>
      <c r="F42" s="23" t="str">
        <f aca="false">IF($B42="","",IFERROR(INDEX(Signals!$U$4:$U$63,MATCH($B42,Signals!$A$4:$A$63,0)),""))</f>
        <v/>
      </c>
      <c r="G42" s="28" t="str">
        <f aca="false">IF($B42="","",IFERROR(INDEX(Signals!$V$4:$V$63,MATCH($B42,Signals!$A$4:$A$63,0)),""))</f>
        <v/>
      </c>
      <c r="H42" s="25" t="str">
        <f aca="false">IF($B42="","",IFERROR(INDEX(Signals!$J$4:$J$63,MATCH($B42,Signals!$A$4:$A$63,0)),""))</f>
        <v/>
      </c>
    </row>
    <row r="44" customFormat="false" ht="15" hidden="false" customHeight="true" outlineLevel="0" collapsed="false">
      <c r="A44" s="29" t="s">
        <v>34</v>
      </c>
      <c r="B44" s="29"/>
      <c r="C44" s="29"/>
      <c r="D44" s="29"/>
      <c r="E44" s="29"/>
      <c r="F44" s="29"/>
      <c r="G44" s="29"/>
      <c r="H44" s="29"/>
    </row>
    <row r="45" customFormat="false" ht="15" hidden="false" customHeight="true" outlineLevel="0" collapsed="false">
      <c r="A45" s="29" t="s">
        <v>35</v>
      </c>
      <c r="B45" s="29"/>
      <c r="C45" s="29"/>
      <c r="D45" s="29"/>
      <c r="E45" s="29"/>
      <c r="F45" s="29"/>
      <c r="G45" s="29"/>
      <c r="H45" s="29"/>
    </row>
    <row r="46" customFormat="false" ht="15" hidden="false" customHeight="true" outlineLevel="0" collapsed="false">
      <c r="A46" s="29" t="s">
        <v>36</v>
      </c>
      <c r="B46" s="29"/>
      <c r="C46" s="29"/>
      <c r="D46" s="29"/>
      <c r="E46" s="29"/>
      <c r="F46" s="29"/>
      <c r="G46" s="29"/>
      <c r="H46" s="29"/>
    </row>
  </sheetData>
  <mergeCells count="5">
    <mergeCell ref="A1:H1"/>
    <mergeCell ref="A2:H2"/>
    <mergeCell ref="A44:H44"/>
    <mergeCell ref="A45:H45"/>
    <mergeCell ref="A46:H46"/>
  </mergeCells>
  <conditionalFormatting sqref="B10">
    <cfRule type="cellIs" priority="2" operator="greaterThanOrEqual" aboveAverage="0" equalAverage="0" bottom="0" percent="0" rank="0" text="" dxfId="0">
      <formula>5</formula>
    </cfRule>
    <cfRule type="cellIs" priority="3" operator="lessThanOrEqual" aboveAverage="0" equalAverage="0" bottom="0" percent="0" rank="0" text="" dxfId="1">
      <formula>-5</formula>
    </cfRule>
  </conditionalFormatting>
  <conditionalFormatting sqref="E7">
    <cfRule type="cellIs" priority="4" operator="lessThan" aboveAverage="0" equalAverage="0" bottom="0" percent="0" rank="0" text="" dxfId="2">
      <formula>0</formula>
    </cfRule>
    <cfRule type="cellIs" priority="5" operator="greaterThan" aboveAverage="0" equalAverage="0" bottom="0" percent="0" rank="0" text="" dxfId="3">
      <formula>0</formula>
    </cfRule>
  </conditionalFormatting>
  <conditionalFormatting sqref="E11">
    <cfRule type="cellIs" priority="6" operator="notEqual" aboveAverage="0" equalAverage="0" bottom="0" percent="0" rank="0" text="" dxfId="1">
      <formula>1</formula>
    </cfRule>
  </conditionalFormatting>
  <conditionalFormatting sqref="F20:F29">
    <cfRule type="cellIs" priority="7" operator="equal" aboveAverage="0" equalAverage="0" bottom="0" percent="0" rank="0" text="" dxfId="0">
      <formula>"خرید قوی"</formula>
    </cfRule>
    <cfRule type="cellIs" priority="8" operator="equal" aboveAverage="0" equalAverage="0" bottom="0" percent="0" rank="0" text="" dxfId="3">
      <formula>"خرید"</formula>
    </cfRule>
    <cfRule type="cellIs" priority="9" operator="equal" aboveAverage="0" equalAverage="0" bottom="0" percent="0" rank="0" text="" dxfId="4">
      <formula>"نگهداری"</formula>
    </cfRule>
    <cfRule type="cellIs" priority="10" operator="equal" aboveAverage="0" equalAverage="0" bottom="0" percent="0" rank="0" text="" dxfId="2">
      <formula>"فروش"</formula>
    </cfRule>
    <cfRule type="cellIs" priority="11" operator="equal" aboveAverage="0" equalAverage="0" bottom="0" percent="0" rank="0" text="" dxfId="1">
      <formula>"فروش قوی"</formula>
    </cfRule>
  </conditionalFormatting>
  <conditionalFormatting sqref="E20:E29">
    <cfRule type="colorScale" priority="12">
      <colorScale>
        <cfvo type="num" val="-10"/>
        <cfvo type="num" val="0"/>
        <cfvo type="num" val="10"/>
        <color rgb="FFC00000"/>
        <color rgb="FFFFFFFF"/>
        <color rgb="FF00B050"/>
      </colorScale>
    </cfRule>
  </conditionalFormatting>
  <conditionalFormatting sqref="F33:F42">
    <cfRule type="cellIs" priority="13" operator="equal" aboveAverage="0" equalAverage="0" bottom="0" percent="0" rank="0" text="" dxfId="0">
      <formula>"خرید قوی"</formula>
    </cfRule>
    <cfRule type="cellIs" priority="14" operator="equal" aboveAverage="0" equalAverage="0" bottom="0" percent="0" rank="0" text="" dxfId="3">
      <formula>"خرید"</formula>
    </cfRule>
    <cfRule type="cellIs" priority="15" operator="equal" aboveAverage="0" equalAverage="0" bottom="0" percent="0" rank="0" text="" dxfId="4">
      <formula>"نگهداری"</formula>
    </cfRule>
    <cfRule type="cellIs" priority="16" operator="equal" aboveAverage="0" equalAverage="0" bottom="0" percent="0" rank="0" text="" dxfId="2">
      <formula>"فروش"</formula>
    </cfRule>
    <cfRule type="cellIs" priority="17" operator="equal" aboveAverage="0" equalAverage="0" bottom="0" percent="0" rank="0" text="" dxfId="1">
      <formula>"فروش قوی"</formula>
    </cfRule>
  </conditionalFormatting>
  <conditionalFormatting sqref="E33:E42">
    <cfRule type="colorScale" priority="18">
      <colorScale>
        <cfvo type="num" val="-10"/>
        <cfvo type="num" val="0"/>
        <cfvo type="num" val="10"/>
        <color rgb="FFC00000"/>
        <color rgb="FFFFFFFF"/>
        <color rgb="FF00B05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2"/>
    <col collapsed="false" customWidth="true" hidden="false" outlineLevel="0" max="4" min="4" style="0" width="9"/>
    <col collapsed="false" customWidth="true" hidden="false" outlineLevel="0" max="5" min="5" style="0" width="12"/>
    <col collapsed="false" customWidth="true" hidden="false" outlineLevel="0" max="6" min="6" style="0" width="11"/>
    <col collapsed="false" customWidth="true" hidden="false" outlineLevel="0" max="7" min="7" style="0" width="14"/>
    <col collapsed="false" customWidth="true" hidden="false" outlineLevel="0" max="8" min="8" style="0" width="13"/>
    <col collapsed="false" customWidth="true" hidden="false" outlineLevel="0" max="10" min="9" style="0" width="20"/>
    <col collapsed="false" customWidth="true" hidden="false" outlineLevel="0" max="11" min="11" style="0" width="11"/>
    <col collapsed="false" customWidth="true" hidden="false" outlineLevel="0" max="12" min="12" style="0" width="18"/>
    <col collapsed="false" customWidth="true" hidden="false" outlineLevel="0" max="14" min="13" style="0" width="10"/>
    <col collapsed="false" customWidth="true" hidden="false" outlineLevel="0" max="16" min="15" style="0" width="11"/>
    <col collapsed="false" customWidth="true" hidden="false" outlineLevel="0" max="19" min="17" style="0" width="10"/>
    <col collapsed="false" customWidth="true" hidden="false" outlineLevel="0" max="20" min="20" style="0" width="11"/>
    <col collapsed="false" customWidth="true" hidden="false" outlineLevel="0" max="21" min="21" style="0" width="15"/>
    <col collapsed="false" customWidth="true" hidden="false" outlineLevel="0" max="22" min="22" style="0" width="10"/>
    <col collapsed="false" customWidth="true" hidden="false" outlineLevel="0" max="23" min="23" style="0" width="70"/>
    <col collapsed="false" customWidth="true" hidden="false" outlineLevel="0" max="24" min="24" style="0" width="13"/>
    <col collapsed="false" customWidth="true" hidden="false" outlineLevel="0" max="25" min="25" style="0" width="12"/>
    <col collapsed="false" customWidth="true" hidden="false" outlineLevel="0" max="26" min="26" style="0" width="13"/>
  </cols>
  <sheetData>
    <row r="1" customFormat="false" ht="27.75" hidden="false" customHeight="true" outlineLevel="0" collapsed="false">
      <c r="A1" s="1" t="s">
        <v>37</v>
      </c>
      <c r="B1" s="1"/>
      <c r="C1" s="1"/>
      <c r="D1" s="1"/>
      <c r="E1" s="1"/>
      <c r="F1" s="1"/>
      <c r="G1" s="1"/>
      <c r="H1" s="1"/>
      <c r="I1" s="1"/>
      <c r="J1" s="1"/>
      <c r="K1" s="1"/>
      <c r="L1" s="1"/>
      <c r="M1" s="1"/>
      <c r="N1" s="1"/>
      <c r="O1" s="1"/>
      <c r="P1" s="1"/>
      <c r="Q1" s="1"/>
      <c r="R1" s="1"/>
      <c r="S1" s="1"/>
      <c r="T1" s="1"/>
      <c r="U1" s="1"/>
      <c r="V1" s="1"/>
      <c r="W1" s="1"/>
      <c r="X1" s="1"/>
      <c r="Y1" s="1"/>
      <c r="Z1" s="1"/>
    </row>
    <row r="2" customFormat="false" ht="18" hidden="false" customHeight="true" outlineLevel="0" collapsed="false">
      <c r="A2" s="30" t="s">
        <v>38</v>
      </c>
      <c r="B2" s="30"/>
      <c r="C2" s="30"/>
      <c r="D2" s="30"/>
      <c r="E2" s="30"/>
      <c r="F2" s="30"/>
      <c r="G2" s="30"/>
      <c r="H2" s="30"/>
      <c r="I2" s="30"/>
      <c r="J2" s="30"/>
      <c r="K2" s="30"/>
      <c r="L2" s="30"/>
      <c r="M2" s="30"/>
      <c r="N2" s="30"/>
      <c r="O2" s="30"/>
      <c r="P2" s="30"/>
      <c r="Q2" s="30"/>
      <c r="R2" s="30"/>
      <c r="S2" s="30"/>
      <c r="T2" s="30"/>
      <c r="U2" s="30"/>
      <c r="V2" s="30"/>
      <c r="W2" s="30"/>
      <c r="X2" s="30"/>
      <c r="Y2" s="30"/>
      <c r="Z2" s="30"/>
    </row>
    <row r="3" customFormat="false" ht="31.5" hidden="false" customHeight="true" outlineLevel="0" collapsed="false">
      <c r="A3" s="31" t="s">
        <v>26</v>
      </c>
      <c r="B3" s="31" t="s">
        <v>27</v>
      </c>
      <c r="C3" s="31" t="s">
        <v>39</v>
      </c>
      <c r="D3" s="31" t="s">
        <v>40</v>
      </c>
      <c r="E3" s="31" t="s">
        <v>28</v>
      </c>
      <c r="F3" s="31" t="s">
        <v>41</v>
      </c>
      <c r="G3" s="31" t="s">
        <v>42</v>
      </c>
      <c r="H3" s="31" t="s">
        <v>43</v>
      </c>
      <c r="I3" s="31" t="s">
        <v>44</v>
      </c>
      <c r="J3" s="31" t="s">
        <v>32</v>
      </c>
      <c r="K3" s="31" t="s">
        <v>45</v>
      </c>
      <c r="L3" s="31" t="s">
        <v>46</v>
      </c>
      <c r="M3" s="31" t="s">
        <v>47</v>
      </c>
      <c r="N3" s="31" t="s">
        <v>48</v>
      </c>
      <c r="O3" s="31" t="s">
        <v>49</v>
      </c>
      <c r="P3" s="31" t="s">
        <v>50</v>
      </c>
      <c r="Q3" s="31" t="s">
        <v>51</v>
      </c>
      <c r="R3" s="31" t="s">
        <v>52</v>
      </c>
      <c r="S3" s="31" t="s">
        <v>53</v>
      </c>
      <c r="T3" s="31" t="s">
        <v>29</v>
      </c>
      <c r="U3" s="31" t="s">
        <v>54</v>
      </c>
      <c r="V3" s="31" t="s">
        <v>55</v>
      </c>
      <c r="W3" s="31" t="s">
        <v>56</v>
      </c>
      <c r="X3" s="31" t="s">
        <v>57</v>
      </c>
      <c r="Y3" s="31" t="s">
        <v>58</v>
      </c>
      <c r="Z3" s="31" t="s">
        <v>59</v>
      </c>
    </row>
    <row r="4" customFormat="false" ht="15" hidden="false" customHeight="false" outlineLevel="0" collapsed="false">
      <c r="A4" s="24" t="str">
        <f aca="false">IF(Calculations!$A$5="","",Calculations!$A$5)</f>
        <v>فولاد</v>
      </c>
      <c r="B4" s="25" t="str">
        <f aca="false">IF($A4="","",IFERROR(INDEX(Watchlist!$B$1:$B$5000,MATCH($A4,Watchlist!$A$1:$A$5000,0)),""))</f>
        <v>فولاد مباركه اصفهان</v>
      </c>
      <c r="C4" s="25" t="str">
        <f aca="false">IF($A4="","",IFERROR(INDEX(Watchlist!$F$1:$F$5000,MATCH($A4,Watchlist!$A$1:$A$5000,0)),""))</f>
        <v>فلزات اساسي</v>
      </c>
      <c r="D4" s="23" t="str">
        <f aca="false">IF($A4="","",IFERROR(INDEX(Watchlist!$E$1:$E$5000,MATCH($A4,Watchlist!$A$1:$A$5000,0)),""))</f>
        <v>بورس</v>
      </c>
      <c r="E4" s="26" t="n">
        <f aca="false">IF($A4="","",IFERROR(Calculations!$D$5,""))</f>
        <v>8466</v>
      </c>
      <c r="F4" s="32" t="n">
        <f aca="false">IF($A4="","",IFERROR(Calculations!$F$5,""))</f>
        <v>-0.0127871181624438</v>
      </c>
      <c r="G4" s="23" t="str">
        <f aca="false">IF($A4="","",MARKET_LABEL)</f>
        <v>نزولی قوی</v>
      </c>
      <c r="H4" s="23" t="str">
        <f aca="false">IF($A4="","",IF($N4&gt;=6,"صعودی قوی",IF($N4&gt;=2,"صعودی",IF($N4&lt;=-6,"نزولی قوی",IF($N4&lt;=-2,"نزولی","خنثی")))))</f>
        <v>صعودی قوی</v>
      </c>
      <c r="I4" s="23" t="str">
        <f aca="false">IF($A4="","",IFERROR(Calculations!$U$5,""))</f>
        <v>درون محدوده</v>
      </c>
      <c r="J4" s="23" t="str">
        <f aca="false">IF($A4="","",IF($O4&gt;=6,"ورود قوی پول حقیقی",IF($O4&gt;=2,"ورود پول حقیقی",IF($O4&lt;=-6,"خروج قوی پول حقیقی",IF($O4&lt;=-2,"خروج پول حقیقی","متعادل")))))</f>
        <v>خروج پول حقیقی</v>
      </c>
      <c r="K4" s="33" t="n">
        <f aca="false">IF($A4="","",IFERROR(Calculations!$AG$5,""))</f>
        <v>0.413569939927266</v>
      </c>
      <c r="L4" s="23" t="str">
        <f aca="false">IF($A4="","",IFERROR(Calculations!$O$5,""))</f>
        <v>آرایش صعودی کامل</v>
      </c>
      <c r="M4" s="33" t="n">
        <f aca="false">IF($A4="","",IFERROR(Calculations!$AA$5,""))</f>
        <v>0.955996256489162</v>
      </c>
      <c r="N4" s="27" t="n">
        <f aca="false">IF($A4="","",IFERROR(Calculations!$AJ$5,0))</f>
        <v>8</v>
      </c>
      <c r="O4" s="27" t="n">
        <f aca="false">IF($A4="","",IFERROR(Calculations!$AK$5,0))</f>
        <v>-4</v>
      </c>
      <c r="P4" s="27" t="n">
        <f aca="false">IF($A4="","",IFERROR(Calculations!$AL$5,0))</f>
        <v>5</v>
      </c>
      <c r="Q4" s="27" t="n">
        <f aca="false">IF($A4="","",IFERROR(Calculations!$AM$5,0))</f>
        <v>-2</v>
      </c>
      <c r="R4" s="27" t="n">
        <f aca="false">IF($A4="","",IFERROR(Calculations!$AN$5,0))</f>
        <v>-7</v>
      </c>
      <c r="S4" s="27" t="n">
        <f aca="false">IF($A4="","",IFERROR(Calculations!$AO$5,0))</f>
        <v>0</v>
      </c>
      <c r="T4" s="27" t="n">
        <f aca="false">IF($A4="","",IFERROR(Calculations!$AP$5,0))</f>
        <v>1.45</v>
      </c>
      <c r="U4" s="23" t="str">
        <f aca="false">IF($A4="","",IF($T4&gt;=TH_SBUY,"خرید قوی",IF($T4&gt;=TH_BUY,"خرید",IF($T4&lt;=TH_SSELL,"فروش قوی",IF($T4&lt;=TH_SELL,"فروش","نگهداری")))))</f>
        <v>نگهداری</v>
      </c>
      <c r="V4" s="28" t="n">
        <f aca="false">IF($A4="","",IFERROR(Calculations!$AQ$5,1))</f>
        <v>1</v>
      </c>
      <c r="W4" s="34" t="str">
        <f aca="false">IF($A4="","","روند: "&amp;$H4&amp;" | ساختار: "&amp;$I4&amp;" | پول هوشمند: "&amp;$J4&amp;" | قدرت خریدار: "&amp;IFERROR(TEXT($K4,"0.00"),"—")&amp;"x"&amp;" | میانگین‌ها: "&amp;IFERROR(TEXT(Calculations!$N$5,"0"),"—")&amp;"/4 ("&amp;$L4&amp;")"&amp;" | حجم: "&amp;IFERROR(TEXT($M4,"0.00"),"—")&amp;"x"&amp;" | بازار: "&amp;$G4)</f>
        <v>روند: صعودی قوی | ساختار: درون محدوده | پول هوشمند: خروج پول حقیقی | قدرت خریدار: 0.41x | میانگین‌ها: 3/4 (آرایش صعودی کامل) | حجم: 0.96x | بازار: نزولی قوی</v>
      </c>
      <c r="X4" s="26" t="n">
        <f aca="false">IF($A4="","",IFERROR(Calculations!$X$5,""))</f>
        <v>7979.28571428572</v>
      </c>
      <c r="Y4" s="35" t="n">
        <f aca="false">IF($A4="","",IFERROR(($E4-$X4)/$E4,""))</f>
        <v>0.0574904660659444</v>
      </c>
      <c r="Z4" s="23" t="str">
        <f aca="false">IF($A4="","",IFERROR(Calculations!$AR$5,""))</f>
        <v>معتبر</v>
      </c>
    </row>
    <row r="5" customFormat="false" ht="15" hidden="false" customHeight="false" outlineLevel="0" collapsed="false">
      <c r="A5" s="24" t="str">
        <f aca="false">IF(Calculations!$A$6="","",Calculations!$A$6)</f>
        <v>فملي</v>
      </c>
      <c r="B5" s="25" t="str">
        <f aca="false">IF($A5="","",IFERROR(INDEX(Watchlist!$B$1:$B$5000,MATCH($A5,Watchlist!$A$1:$A$5000,0)),""))</f>
        <v>ملي صنايع مس ايران</v>
      </c>
      <c r="C5" s="25" t="str">
        <f aca="false">IF($A5="","",IFERROR(INDEX(Watchlist!$F$1:$F$5000,MATCH($A5,Watchlist!$A$1:$A$5000,0)),""))</f>
        <v>فلزات اساسي</v>
      </c>
      <c r="D5" s="23" t="str">
        <f aca="false">IF($A5="","",IFERROR(INDEX(Watchlist!$E$1:$E$5000,MATCH($A5,Watchlist!$A$1:$A$5000,0)),""))</f>
        <v>بورس</v>
      </c>
      <c r="E5" s="26" t="n">
        <f aca="false">IF($A5="","",IFERROR(Calculations!$D$6,""))</f>
        <v>6713</v>
      </c>
      <c r="F5" s="32" t="n">
        <f aca="false">IF($A5="","",IFERROR(Calculations!$F$6,""))</f>
        <v>-0.00653691873421483</v>
      </c>
      <c r="G5" s="23" t="str">
        <f aca="false">IF($A5="","",MARKET_LABEL)</f>
        <v>نزولی قوی</v>
      </c>
      <c r="H5" s="23" t="str">
        <f aca="false">IF($A5="","",IF($N5&gt;=6,"صعودی قوی",IF($N5&gt;=2,"صعودی",IF($N5&lt;=-6,"نزولی قوی",IF($N5&lt;=-2,"نزولی","خنثی")))))</f>
        <v>نزولی قوی</v>
      </c>
      <c r="I5" s="23" t="str">
        <f aca="false">IF($A5="","",IFERROR(Calculations!$U$6,""))</f>
        <v>درون محدوده</v>
      </c>
      <c r="J5" s="23" t="str">
        <f aca="false">IF($A5="","",IF($O5&gt;=6,"ورود قوی پول حقیقی",IF($O5&gt;=2,"ورود پول حقیقی",IF($O5&lt;=-6,"خروج قوی پول حقیقی",IF($O5&lt;=-2,"خروج پول حقیقی","متعادل")))))</f>
        <v>خروج پول حقیقی</v>
      </c>
      <c r="K5" s="33" t="n">
        <f aca="false">IF($A5="","",IFERROR(Calculations!$AG$6,""))</f>
        <v>0.605035596266335</v>
      </c>
      <c r="L5" s="23" t="str">
        <f aca="false">IF($A5="","",IFERROR(Calculations!$O$6,""))</f>
        <v>آرایش نزولی کامل</v>
      </c>
      <c r="M5" s="33" t="n">
        <f aca="false">IF($A5="","",IFERROR(Calculations!$AA$6,""))</f>
        <v>0.984050181675573</v>
      </c>
      <c r="N5" s="27" t="n">
        <f aca="false">IF($A5="","",IFERROR(Calculations!$AJ$6,0))</f>
        <v>-8</v>
      </c>
      <c r="O5" s="27" t="n">
        <f aca="false">IF($A5="","",IFERROR(Calculations!$AK$6,0))</f>
        <v>-2.5</v>
      </c>
      <c r="P5" s="27" t="n">
        <f aca="false">IF($A5="","",IFERROR(Calculations!$AL$6,0))</f>
        <v>-5</v>
      </c>
      <c r="Q5" s="27" t="n">
        <f aca="false">IF($A5="","",IFERROR(Calculations!$AM$6,0))</f>
        <v>-2</v>
      </c>
      <c r="R5" s="27" t="n">
        <f aca="false">IF($A5="","",IFERROR(Calculations!$AN$6,0))</f>
        <v>-7</v>
      </c>
      <c r="S5" s="27" t="n">
        <f aca="false">IF($A5="","",IFERROR(Calculations!$AO$6,0))</f>
        <v>0</v>
      </c>
      <c r="T5" s="27" t="n">
        <f aca="false">IF($A5="","",IFERROR(Calculations!$AP$6,0))</f>
        <v>-5.2</v>
      </c>
      <c r="U5" s="23" t="str">
        <f aca="false">IF($A5="","",IF($T5&gt;=TH_SBUY,"خرید قوی",IF($T5&gt;=TH_BUY,"خرید",IF($T5&lt;=TH_SSELL,"فروش قوی",IF($T5&lt;=TH_SELL,"فروش","نگهداری")))))</f>
        <v>فروش قوی</v>
      </c>
      <c r="V5" s="28" t="n">
        <f aca="false">IF($A5="","",IFERROR(Calculations!$AQ$6,1))</f>
        <v>4</v>
      </c>
      <c r="W5" s="34" t="str">
        <f aca="false">IF($A5="","","روند: "&amp;$H5&amp;" | ساختار: "&amp;$I5&amp;" | پول هوشمند: "&amp;$J5&amp;" | قدرت خریدار: "&amp;IFERROR(TEXT($K5,"0.00"),"—")&amp;"x"&amp;" | میانگین‌ها: "&amp;IFERROR(TEXT(Calculations!$N$6,"0"),"—")&amp;"/4 ("&amp;$L5&amp;")"&amp;" | حجم: "&amp;IFERROR(TEXT($M5,"0.00"),"—")&amp;"x"&amp;" | بازار: "&amp;$G5)</f>
        <v>روند: نزولی قوی | ساختار: درون محدوده | پول هوشمند: خروج پول حقیقی | قدرت خریدار: 0.61x | میانگین‌ها: 1/4 (آرایش نزولی کامل) | حجم: 0.98x | بازار: نزولی قوی</v>
      </c>
      <c r="X5" s="26" t="n">
        <f aca="false">IF($A5="","",IFERROR(Calculations!$X$6,""))</f>
        <v>6119.42857142857</v>
      </c>
      <c r="Y5" s="35" t="n">
        <f aca="false">IF($A5="","",IFERROR(($E5-$X5)/$E5,""))</f>
        <v>0.0884211870358154</v>
      </c>
      <c r="Z5" s="23" t="str">
        <f aca="false">IF($A5="","",IFERROR(Calculations!$AR$6,""))</f>
        <v>معتبر</v>
      </c>
    </row>
    <row r="6" customFormat="false" ht="15" hidden="false" customHeight="false" outlineLevel="0" collapsed="false">
      <c r="A6" s="24" t="str">
        <f aca="false">IF(Calculations!$A$7="","",Calculations!$A$7)</f>
        <v>شپنا</v>
      </c>
      <c r="B6" s="25" t="str">
        <f aca="false">IF($A6="","",IFERROR(INDEX(Watchlist!$B$1:$B$5000,MATCH($A6,Watchlist!$A$1:$A$5000,0)),""))</f>
        <v>پالايش نفت اصفهان</v>
      </c>
      <c r="C6" s="25" t="str">
        <f aca="false">IF($A6="","",IFERROR(INDEX(Watchlist!$F$1:$F$5000,MATCH($A6,Watchlist!$A$1:$A$5000,0)),""))</f>
        <v>فرآورده‌هاي نفتي</v>
      </c>
      <c r="D6" s="23" t="str">
        <f aca="false">IF($A6="","",IFERROR(INDEX(Watchlist!$E$1:$E$5000,MATCH($A6,Watchlist!$A$1:$A$5000,0)),""))</f>
        <v>بورس</v>
      </c>
      <c r="E6" s="26" t="n">
        <f aca="false">IF($A6="","",IFERROR(Calculations!$D$7,""))</f>
        <v>3784</v>
      </c>
      <c r="F6" s="32" t="n">
        <f aca="false">IF($A6="","",IFERROR(Calculations!$F$7,""))</f>
        <v>-0.0116679925749138</v>
      </c>
      <c r="G6" s="23" t="str">
        <f aca="false">IF($A6="","",MARKET_LABEL)</f>
        <v>نزولی قوی</v>
      </c>
      <c r="H6" s="23" t="str">
        <f aca="false">IF($A6="","",IF($N6&gt;=6,"صعودی قوی",IF($N6&gt;=2,"صعودی",IF($N6&lt;=-6,"نزولی قوی",IF($N6&lt;=-2,"نزولی","خنثی")))))</f>
        <v>نزولی قوی</v>
      </c>
      <c r="I6" s="23" t="str">
        <f aca="false">IF($A6="","",IFERROR(Calculations!$U$7,""))</f>
        <v>درون محدوده</v>
      </c>
      <c r="J6" s="23" t="str">
        <f aca="false">IF($A6="","",IF($O6&gt;=6,"ورود قوی پول حقیقی",IF($O6&gt;=2,"ورود پول حقیقی",IF($O6&lt;=-6,"خروج قوی پول حقیقی",IF($O6&lt;=-2,"خروج پول حقیقی","متعادل")))))</f>
        <v>خروج پول حقیقی</v>
      </c>
      <c r="K6" s="33" t="n">
        <f aca="false">IF($A6="","",IFERROR(Calculations!$AG$7,""))</f>
        <v>0.700280092242356</v>
      </c>
      <c r="L6" s="23" t="str">
        <f aca="false">IF($A6="","",IFERROR(Calculations!$O$7,""))</f>
        <v>تقاطع مرگ</v>
      </c>
      <c r="M6" s="33" t="n">
        <f aca="false">IF($A6="","",IFERROR(Calculations!$AA$7,""))</f>
        <v>0.828257279874229</v>
      </c>
      <c r="N6" s="27" t="n">
        <f aca="false">IF($A6="","",IFERROR(Calculations!$AJ$7,0))</f>
        <v>-6.5</v>
      </c>
      <c r="O6" s="27" t="n">
        <f aca="false">IF($A6="","",IFERROR(Calculations!$AK$7,0))</f>
        <v>-5</v>
      </c>
      <c r="P6" s="27" t="n">
        <f aca="false">IF($A6="","",IFERROR(Calculations!$AL$7,0))</f>
        <v>-10</v>
      </c>
      <c r="Q6" s="27" t="n">
        <f aca="false">IF($A6="","",IFERROR(Calculations!$AM$7,0))</f>
        <v>-2</v>
      </c>
      <c r="R6" s="27" t="n">
        <f aca="false">IF($A6="","",IFERROR(Calculations!$AN$7,0))</f>
        <v>-7</v>
      </c>
      <c r="S6" s="27" t="n">
        <f aca="false">IF($A6="","",IFERROR(Calculations!$AO$7,0))</f>
        <v>0</v>
      </c>
      <c r="T6" s="27" t="n">
        <f aca="false">IF($A6="","",IFERROR(Calculations!$AP$7,0))</f>
        <v>-6.175</v>
      </c>
      <c r="U6" s="23" t="str">
        <f aca="false">IF($A6="","",IF($T6&gt;=TH_SBUY,"خرید قوی",IF($T6&gt;=TH_BUY,"خرید",IF($T6&lt;=TH_SSELL,"فروش قوی",IF($T6&lt;=TH_SELL,"فروش","نگهداری")))))</f>
        <v>فروش قوی</v>
      </c>
      <c r="V6" s="28" t="n">
        <f aca="false">IF($A6="","",IFERROR(Calculations!$AQ$7,1))</f>
        <v>4</v>
      </c>
      <c r="W6" s="34" t="str">
        <f aca="false">IF($A6="","","روند: "&amp;$H6&amp;" | ساختار: "&amp;$I6&amp;" | پول هوشمند: "&amp;$J6&amp;" | قدرت خریدار: "&amp;IFERROR(TEXT($K6,"0.00"),"—")&amp;"x"&amp;" | میانگین‌ها: "&amp;IFERROR(TEXT(Calculations!$N$7,"0"),"—")&amp;"/4 ("&amp;$L6&amp;")"&amp;" | حجم: "&amp;IFERROR(TEXT($M6,"0.00"),"—")&amp;"x"&amp;" | بازار: "&amp;$G6)</f>
        <v>روند: نزولی قوی | ساختار: درون محدوده | پول هوشمند: خروج پول حقیقی | قدرت خریدار: 0.70x | میانگین‌ها: 0/4 (تقاطع مرگ) | حجم: 0.83x | بازار: نزولی قوی</v>
      </c>
      <c r="X6" s="26" t="n">
        <f aca="false">IF($A6="","",IFERROR(Calculations!$X$7,""))</f>
        <v>3537.14285714286</v>
      </c>
      <c r="Y6" s="35" t="n">
        <f aca="false">IF($A6="","",IFERROR(($E6-$X6)/$E6,""))</f>
        <v>0.0652370884929024</v>
      </c>
      <c r="Z6" s="23" t="str">
        <f aca="false">IF($A6="","",IFERROR(Calculations!$AR$7,""))</f>
        <v>معتبر</v>
      </c>
    </row>
    <row r="7" customFormat="false" ht="15" hidden="false" customHeight="false" outlineLevel="0" collapsed="false">
      <c r="A7" s="24" t="str">
        <f aca="false">IF(Calculations!$A$8="","",Calculations!$A$8)</f>
        <v>خودرو</v>
      </c>
      <c r="B7" s="25" t="str">
        <f aca="false">IF($A7="","",IFERROR(INDEX(Watchlist!$B$1:$B$5000,MATCH($A7,Watchlist!$A$1:$A$5000,0)),""))</f>
        <v>ايران خودرو</v>
      </c>
      <c r="C7" s="25" t="str">
        <f aca="false">IF($A7="","",IFERROR(INDEX(Watchlist!$F$1:$F$5000,MATCH($A7,Watchlist!$A$1:$A$5000,0)),""))</f>
        <v>خودرو و ساخت قطعات</v>
      </c>
      <c r="D7" s="23" t="str">
        <f aca="false">IF($A7="","",IFERROR(INDEX(Watchlist!$E$1:$E$5000,MATCH($A7,Watchlist!$A$1:$A$5000,0)),""))</f>
        <v>بورس</v>
      </c>
      <c r="E7" s="26" t="n">
        <f aca="false">IF($A7="","",IFERROR(Calculations!$D$8,""))</f>
        <v>3785</v>
      </c>
      <c r="F7" s="32" t="n">
        <f aca="false">IF($A7="","",IFERROR(Calculations!$F$8,""))</f>
        <v>-0.0350214159737969</v>
      </c>
      <c r="G7" s="23" t="str">
        <f aca="false">IF($A7="","",MARKET_LABEL)</f>
        <v>نزولی قوی</v>
      </c>
      <c r="H7" s="23" t="str">
        <f aca="false">IF($A7="","",IF($N7&gt;=6,"صعودی قوی",IF($N7&gt;=2,"صعودی",IF($N7&lt;=-6,"نزولی قوی",IF($N7&lt;=-2,"نزولی","خنثی")))))</f>
        <v>صعودی قوی</v>
      </c>
      <c r="I7" s="23" t="str">
        <f aca="false">IF($A7="","",IFERROR(Calculations!$U$8,""))</f>
        <v>درون محدوده</v>
      </c>
      <c r="J7" s="23" t="str">
        <f aca="false">IF($A7="","",IF($O7&gt;=6,"ورود قوی پول حقیقی",IF($O7&gt;=2,"ورود پول حقیقی",IF($O7&lt;=-6,"خروج قوی پول حقیقی",IF($O7&lt;=-2,"خروج پول حقیقی","متعادل")))))</f>
        <v>خروج قوی پول حقیقی</v>
      </c>
      <c r="K7" s="33" t="n">
        <f aca="false">IF($A7="","",IFERROR(Calculations!$AG$8,""))</f>
        <v>0.688138142786529</v>
      </c>
      <c r="L7" s="23" t="str">
        <f aca="false">IF($A7="","",IFERROR(Calculations!$O$8,""))</f>
        <v>آرایش صعودی کامل</v>
      </c>
      <c r="M7" s="33" t="n">
        <f aca="false">IF($A7="","",IFERROR(Calculations!$AA$8,""))</f>
        <v>0.980711447604434</v>
      </c>
      <c r="N7" s="27" t="n">
        <f aca="false">IF($A7="","",IFERROR(Calculations!$AJ$8,0))</f>
        <v>8</v>
      </c>
      <c r="O7" s="27" t="n">
        <f aca="false">IF($A7="","",IFERROR(Calculations!$AK$8,0))</f>
        <v>-8</v>
      </c>
      <c r="P7" s="27" t="n">
        <f aca="false">IF($A7="","",IFERROR(Calculations!$AL$8,0))</f>
        <v>10</v>
      </c>
      <c r="Q7" s="27" t="n">
        <f aca="false">IF($A7="","",IFERROR(Calculations!$AM$8,0))</f>
        <v>-2</v>
      </c>
      <c r="R7" s="27" t="n">
        <f aca="false">IF($A7="","",IFERROR(Calculations!$AN$8,0))</f>
        <v>-7</v>
      </c>
      <c r="S7" s="27" t="n">
        <f aca="false">IF($A7="","",IFERROR(Calculations!$AO$8,0))</f>
        <v>0</v>
      </c>
      <c r="T7" s="27" t="n">
        <f aca="false">IF($A7="","",IFERROR(Calculations!$AP$8,0))</f>
        <v>1</v>
      </c>
      <c r="U7" s="23" t="str">
        <f aca="false">IF($A7="","",IF($T7&gt;=TH_SBUY,"خرید قوی",IF($T7&gt;=TH_BUY,"خرید",IF($T7&lt;=TH_SSELL,"فروش قوی",IF($T7&lt;=TH_SELL,"فروش","نگهداری")))))</f>
        <v>نگهداری</v>
      </c>
      <c r="V7" s="28" t="n">
        <f aca="false">IF($A7="","",IFERROR(Calculations!$AQ$8,1))</f>
        <v>1</v>
      </c>
      <c r="W7" s="34" t="str">
        <f aca="false">IF($A7="","","روند: "&amp;$H7&amp;" | ساختار: "&amp;$I7&amp;" | پول هوشمند: "&amp;$J7&amp;" | قدرت خریدار: "&amp;IFERROR(TEXT($K7,"0.00"),"—")&amp;"x"&amp;" | میانگین‌ها: "&amp;IFERROR(TEXT(Calculations!$N$8,"0"),"—")&amp;"/4 ("&amp;$L7&amp;")"&amp;" | حجم: "&amp;IFERROR(TEXT($M7,"0.00"),"—")&amp;"x"&amp;" | بازار: "&amp;$G7)</f>
        <v>روند: صعودی قوی | ساختار: درون محدوده | پول هوشمند: خروج قوی پول حقیقی | قدرت خریدار: 0.69x | میانگین‌ها: 4/4 (آرایش صعودی کامل) | حجم: 0.98x | بازار: نزولی قوی</v>
      </c>
      <c r="X7" s="26" t="n">
        <f aca="false">IF($A7="","",IFERROR(Calculations!$X$8,""))</f>
        <v>3402.14285714286</v>
      </c>
      <c r="Y7" s="35" t="n">
        <f aca="false">IF($A7="","",IFERROR(($E7-$X7)/$E7,""))</f>
        <v>0.101151160596339</v>
      </c>
      <c r="Z7" s="23" t="str">
        <f aca="false">IF($A7="","",IFERROR(Calculations!$AR$8,""))</f>
        <v>معتبر</v>
      </c>
    </row>
    <row r="8" customFormat="false" ht="15" hidden="false" customHeight="false" outlineLevel="0" collapsed="false">
      <c r="A8" s="24" t="str">
        <f aca="false">IF(Calculations!$A$9="","",Calculations!$A$9)</f>
        <v>وبملت</v>
      </c>
      <c r="B8" s="25" t="str">
        <f aca="false">IF($A8="","",IFERROR(INDEX(Watchlist!$B$1:$B$5000,MATCH($A8,Watchlist!$A$1:$A$5000,0)),""))</f>
        <v>بانك ملت</v>
      </c>
      <c r="C8" s="25" t="str">
        <f aca="false">IF($A8="","",IFERROR(INDEX(Watchlist!$F$1:$F$5000,MATCH($A8,Watchlist!$A$1:$A$5000,0)),""))</f>
        <v>بانكها و موسسات اعتباري</v>
      </c>
      <c r="D8" s="23" t="str">
        <f aca="false">IF($A8="","",IFERROR(INDEX(Watchlist!$E$1:$E$5000,MATCH($A8,Watchlist!$A$1:$A$5000,0)),""))</f>
        <v>بورس</v>
      </c>
      <c r="E8" s="26" t="n">
        <f aca="false">IF($A8="","",IFERROR(Calculations!$D$9,""))</f>
        <v>4483</v>
      </c>
      <c r="F8" s="32" t="n">
        <f aca="false">IF($A8="","",IFERROR(Calculations!$F$9,""))</f>
        <v>-0.0359255202628697</v>
      </c>
      <c r="G8" s="23" t="str">
        <f aca="false">IF($A8="","",MARKET_LABEL)</f>
        <v>نزولی قوی</v>
      </c>
      <c r="H8" s="23" t="str">
        <f aca="false">IF($A8="","",IF($N8&gt;=6,"صعودی قوی",IF($N8&gt;=2,"صعودی",IF($N8&lt;=-6,"نزولی قوی",IF($N8&lt;=-2,"نزولی","خنثی")))))</f>
        <v>نزولی قوی</v>
      </c>
      <c r="I8" s="23" t="str">
        <f aca="false">IF($A8="","",IFERROR(Calculations!$U$9,""))</f>
        <v>درون محدوده</v>
      </c>
      <c r="J8" s="23" t="str">
        <f aca="false">IF($A8="","",IF($O8&gt;=6,"ورود قوی پول حقیقی",IF($O8&gt;=2,"ورود پول حقیقی",IF($O8&lt;=-6,"خروج قوی پول حقیقی",IF($O8&lt;=-2,"خروج پول حقیقی","متعادل")))))</f>
        <v>خروج قوی پول حقیقی</v>
      </c>
      <c r="K8" s="33" t="n">
        <f aca="false">IF($A8="","",IFERROR(Calculations!$AG$9,""))</f>
        <v>0.426310436605189</v>
      </c>
      <c r="L8" s="23" t="str">
        <f aca="false">IF($A8="","",IFERROR(Calculations!$O$9,""))</f>
        <v>آرایش نزولی کامل</v>
      </c>
      <c r="M8" s="33" t="n">
        <f aca="false">IF($A8="","",IFERROR(Calculations!$AA$9,""))</f>
        <v>0.868006128250178</v>
      </c>
      <c r="N8" s="27" t="n">
        <f aca="false">IF($A8="","",IFERROR(Calculations!$AJ$9,0))</f>
        <v>-8</v>
      </c>
      <c r="O8" s="27" t="n">
        <f aca="false">IF($A8="","",IFERROR(Calculations!$AK$9,0))</f>
        <v>-10</v>
      </c>
      <c r="P8" s="27" t="n">
        <f aca="false">IF($A8="","",IFERROR(Calculations!$AL$9,0))</f>
        <v>-5</v>
      </c>
      <c r="Q8" s="27" t="n">
        <f aca="false">IF($A8="","",IFERROR(Calculations!$AM$9,0))</f>
        <v>-2</v>
      </c>
      <c r="R8" s="27" t="n">
        <f aca="false">IF($A8="","",IFERROR(Calculations!$AN$9,0))</f>
        <v>-7</v>
      </c>
      <c r="S8" s="27" t="n">
        <f aca="false">IF($A8="","",IFERROR(Calculations!$AO$9,0))</f>
        <v>0</v>
      </c>
      <c r="T8" s="27" t="n">
        <f aca="false">IF($A8="","",IFERROR(Calculations!$AP$9,0))</f>
        <v>-7.45</v>
      </c>
      <c r="U8" s="23" t="str">
        <f aca="false">IF($A8="","",IF($T8&gt;=TH_SBUY,"خرید قوی",IF($T8&gt;=TH_BUY,"خرید",IF($T8&lt;=TH_SSELL,"فروش قوی",IF($T8&lt;=TH_SELL,"فروش","نگهداری")))))</f>
        <v>فروش قوی</v>
      </c>
      <c r="V8" s="28" t="n">
        <f aca="false">IF($A8="","",IFERROR(Calculations!$AQ$9,1))</f>
        <v>4</v>
      </c>
      <c r="W8" s="34" t="str">
        <f aca="false">IF($A8="","","روند: "&amp;$H8&amp;" | ساختار: "&amp;$I8&amp;" | پول هوشمند: "&amp;$J8&amp;" | قدرت خریدار: "&amp;IFERROR(TEXT($K8,"0.00"),"—")&amp;"x"&amp;" | میانگین‌ها: "&amp;IFERROR(TEXT(Calculations!$N$9,"0"),"—")&amp;"/4 ("&amp;$L8&amp;")"&amp;" | حجم: "&amp;IFERROR(TEXT($M8,"0.00"),"—")&amp;"x"&amp;" | بازار: "&amp;$G8)</f>
        <v>روند: نزولی قوی | ساختار: درون محدوده | پول هوشمند: خروج قوی پول حقیقی | قدرت خریدار: 0.43x | میانگین‌ها: 1/4 (آرایش نزولی کامل) | حجم: 0.87x | بازار: نزولی قوی</v>
      </c>
      <c r="X8" s="26" t="n">
        <f aca="false">IF($A8="","",IFERROR(Calculations!$X$9,""))</f>
        <v>4208.28571428572</v>
      </c>
      <c r="Y8" s="35" t="n">
        <f aca="false">IF($A8="","",IFERROR(($E8-$X8)/$E8,""))</f>
        <v>0.0612791179376055</v>
      </c>
      <c r="Z8" s="23" t="str">
        <f aca="false">IF($A8="","",IFERROR(Calculations!$AR$9,""))</f>
        <v>معتبر</v>
      </c>
    </row>
    <row r="9" customFormat="false" ht="15" hidden="false" customHeight="false" outlineLevel="0" collapsed="false">
      <c r="A9" s="24" t="str">
        <f aca="false">IF(Calculations!$A$10="","",Calculations!$A$10)</f>
        <v>شستا</v>
      </c>
      <c r="B9" s="25" t="str">
        <f aca="false">IF($A9="","",IFERROR(INDEX(Watchlist!$B$1:$B$5000,MATCH($A9,Watchlist!$A$1:$A$5000,0)),""))</f>
        <v>سرمايه گذاري تامين اجتماعي</v>
      </c>
      <c r="C9" s="25" t="str">
        <f aca="false">IF($A9="","",IFERROR(INDEX(Watchlist!$F$1:$F$5000,MATCH($A9,Watchlist!$A$1:$A$5000,0)),""))</f>
        <v>چند رشته‌اي صنعتي</v>
      </c>
      <c r="D9" s="23" t="str">
        <f aca="false">IF($A9="","",IFERROR(INDEX(Watchlist!$E$1:$E$5000,MATCH($A9,Watchlist!$A$1:$A$5000,0)),""))</f>
        <v>بورس</v>
      </c>
      <c r="E9" s="26" t="n">
        <f aca="false">IF($A9="","",IFERROR(Calculations!$D$10,""))</f>
        <v>2007</v>
      </c>
      <c r="F9" s="32" t="n">
        <f aca="false">IF($A9="","",IFERROR(Calculations!$F$10,""))</f>
        <v>0.00603925515853045</v>
      </c>
      <c r="G9" s="23" t="str">
        <f aca="false">IF($A9="","",MARKET_LABEL)</f>
        <v>نزولی قوی</v>
      </c>
      <c r="H9" s="23" t="str">
        <f aca="false">IF($A9="","",IF($N9&gt;=6,"صعودی قوی",IF($N9&gt;=2,"صعودی",IF($N9&lt;=-6,"نزولی قوی",IF($N9&lt;=-2,"نزولی","خنثی")))))</f>
        <v>صعودی قوی</v>
      </c>
      <c r="I9" s="23" t="str">
        <f aca="false">IF($A9="","",IFERROR(Calculations!$U$10,""))</f>
        <v>درون محدوده</v>
      </c>
      <c r="J9" s="23" t="str">
        <f aca="false">IF($A9="","",IF($O9&gt;=6,"ورود قوی پول حقیقی",IF($O9&gt;=2,"ورود پول حقیقی",IF($O9&lt;=-6,"خروج قوی پول حقیقی",IF($O9&lt;=-2,"خروج پول حقیقی","متعادل")))))</f>
        <v>ورود قوی پول حقیقی</v>
      </c>
      <c r="K9" s="33" t="n">
        <f aca="false">IF($A9="","",IFERROR(Calculations!$AG$10,""))</f>
        <v>1.54897633644296</v>
      </c>
      <c r="L9" s="23" t="str">
        <f aca="false">IF($A9="","",IFERROR(Calculations!$O$10,""))</f>
        <v>آرایش صعودی کامل</v>
      </c>
      <c r="M9" s="33" t="n">
        <f aca="false">IF($A9="","",IFERROR(Calculations!$AA$10,""))</f>
        <v>0.739318759907888</v>
      </c>
      <c r="N9" s="27" t="n">
        <f aca="false">IF($A9="","",IFERROR(Calculations!$AJ$10,0))</f>
        <v>8</v>
      </c>
      <c r="O9" s="27" t="n">
        <f aca="false">IF($A9="","",IFERROR(Calculations!$AK$10,0))</f>
        <v>8.5</v>
      </c>
      <c r="P9" s="27" t="n">
        <f aca="false">IF($A9="","",IFERROR(Calculations!$AL$10,0))</f>
        <v>10</v>
      </c>
      <c r="Q9" s="27" t="n">
        <f aca="false">IF($A9="","",IFERROR(Calculations!$AM$10,0))</f>
        <v>2</v>
      </c>
      <c r="R9" s="27" t="n">
        <f aca="false">IF($A9="","",IFERROR(Calculations!$AN$10,0))</f>
        <v>-7</v>
      </c>
      <c r="S9" s="27" t="n">
        <f aca="false">IF($A9="","",IFERROR(Calculations!$AO$10,0))</f>
        <v>0</v>
      </c>
      <c r="T9" s="27" t="n">
        <f aca="false">IF($A9="","",IFERROR(Calculations!$AP$10,0))</f>
        <v>6.35</v>
      </c>
      <c r="U9" s="23" t="str">
        <f aca="false">IF($A9="","",IF($T9&gt;=TH_SBUY,"خرید قوی",IF($T9&gt;=TH_BUY,"خرید",IF($T9&lt;=TH_SSELL,"فروش قوی",IF($T9&lt;=TH_SELL,"فروش","نگهداری")))))</f>
        <v>خرید قوی</v>
      </c>
      <c r="V9" s="28" t="n">
        <f aca="false">IF($A9="","",IFERROR(Calculations!$AQ$10,1))</f>
        <v>4</v>
      </c>
      <c r="W9" s="34" t="str">
        <f aca="false">IF($A9="","","روند: "&amp;$H9&amp;" | ساختار: "&amp;$I9&amp;" | پول هوشمند: "&amp;$J9&amp;" | قدرت خریدار: "&amp;IFERROR(TEXT($K9,"0.00"),"—")&amp;"x"&amp;" | میانگین‌ها: "&amp;IFERROR(TEXT(Calculations!$N$10,"0"),"—")&amp;"/4 ("&amp;$L9&amp;")"&amp;" | حجم: "&amp;IFERROR(TEXT($M9,"0.00"),"—")&amp;"x"&amp;" | بازار: "&amp;$G9)</f>
        <v>روند: صعودی قوی | ساختار: درون محدوده | پول هوشمند: ورود قوی پول حقیقی | قدرت خریدار: 1.55x | میانگین‌ها: 4/4 (آرایش صعودی کامل) | حجم: 0.74x | بازار: نزولی قوی</v>
      </c>
      <c r="X9" s="26" t="n">
        <f aca="false">IF($A9="","",IFERROR(Calculations!$X$10,""))</f>
        <v>1850.14285714286</v>
      </c>
      <c r="Y9" s="35" t="n">
        <f aca="false">IF($A9="","",IFERROR(($E9-$X9)/$E9,""))</f>
        <v>0.0781550288276746</v>
      </c>
      <c r="Z9" s="23" t="str">
        <f aca="false">IF($A9="","",IFERROR(Calculations!$AR$10,""))</f>
        <v>معتبر</v>
      </c>
    </row>
    <row r="10" customFormat="false" ht="15" hidden="false" customHeight="false" outlineLevel="0" collapsed="false">
      <c r="A10" s="24" t="str">
        <f aca="false">IF(Calculations!$A$11="","",Calculations!$A$11)</f>
        <v>اخابر</v>
      </c>
      <c r="B10" s="25" t="str">
        <f aca="false">IF($A10="","",IFERROR(INDEX(Watchlist!$B$1:$B$5000,MATCH($A10,Watchlist!$A$1:$A$5000,0)),""))</f>
        <v>مخابرات ايران</v>
      </c>
      <c r="C10" s="25" t="str">
        <f aca="false">IF($A10="","",IFERROR(INDEX(Watchlist!$F$1:$F$5000,MATCH($A10,Watchlist!$A$1:$A$5000,0)),""))</f>
        <v>مخابرات</v>
      </c>
      <c r="D10" s="23" t="str">
        <f aca="false">IF($A10="","",IFERROR(INDEX(Watchlist!$E$1:$E$5000,MATCH($A10,Watchlist!$A$1:$A$5000,0)),""))</f>
        <v>بورس</v>
      </c>
      <c r="E10" s="26" t="n">
        <f aca="false">IF($A10="","",IFERROR(Calculations!$D$11,""))</f>
        <v>1194</v>
      </c>
      <c r="F10" s="32" t="n">
        <f aca="false">IF($A10="","",IFERROR(Calculations!$F$11,""))</f>
        <v>0.0131795716639209</v>
      </c>
      <c r="G10" s="23" t="str">
        <f aca="false">IF($A10="","",MARKET_LABEL)</f>
        <v>نزولی قوی</v>
      </c>
      <c r="H10" s="23" t="str">
        <f aca="false">IF($A10="","",IF($N10&gt;=6,"صعودی قوی",IF($N10&gt;=2,"صعودی",IF($N10&lt;=-6,"نزولی قوی",IF($N10&lt;=-2,"نزولی","خنثی")))))</f>
        <v>صعودی</v>
      </c>
      <c r="I10" s="23" t="str">
        <f aca="false">IF($A10="","",IFERROR(Calculations!$U$11,""))</f>
        <v>درون محدوده</v>
      </c>
      <c r="J10" s="23" t="str">
        <f aca="false">IF($A10="","",IF($O10&gt;=6,"ورود قوی پول حقیقی",IF($O10&gt;=2,"ورود پول حقیقی",IF($O10&lt;=-6,"خروج قوی پول حقیقی",IF($O10&lt;=-2,"خروج پول حقیقی","متعادل")))))</f>
        <v>ورود قوی پول حقیقی</v>
      </c>
      <c r="K10" s="33" t="n">
        <f aca="false">IF($A10="","",IFERROR(Calculations!$AG$11,""))</f>
        <v>1.7285200699853</v>
      </c>
      <c r="L10" s="23" t="str">
        <f aca="false">IF($A10="","",IFERROR(Calculations!$O$11,""))</f>
        <v>تقاطع مرگ</v>
      </c>
      <c r="M10" s="33" t="n">
        <f aca="false">IF($A10="","",IFERROR(Calculations!$AA$11,""))</f>
        <v>0.871154830043937</v>
      </c>
      <c r="N10" s="27" t="n">
        <f aca="false">IF($A10="","",IFERROR(Calculations!$AJ$11,0))</f>
        <v>2</v>
      </c>
      <c r="O10" s="27" t="n">
        <f aca="false">IF($A10="","",IFERROR(Calculations!$AK$11,0))</f>
        <v>10</v>
      </c>
      <c r="P10" s="27" t="n">
        <f aca="false">IF($A10="","",IFERROR(Calculations!$AL$11,0))</f>
        <v>5</v>
      </c>
      <c r="Q10" s="27" t="n">
        <f aca="false">IF($A10="","",IFERROR(Calculations!$AM$11,0))</f>
        <v>2</v>
      </c>
      <c r="R10" s="27" t="n">
        <f aca="false">IF($A10="","",IFERROR(Calculations!$AN$11,0))</f>
        <v>-7</v>
      </c>
      <c r="S10" s="27" t="n">
        <f aca="false">IF($A10="","",IFERROR(Calculations!$AO$11,0))</f>
        <v>0</v>
      </c>
      <c r="T10" s="27" t="n">
        <f aca="false">IF($A10="","",IFERROR(Calculations!$AP$11,0))</f>
        <v>3.95</v>
      </c>
      <c r="U10" s="23" t="str">
        <f aca="false">IF($A10="","",IF($T10&gt;=TH_SBUY,"خرید قوی",IF($T10&gt;=TH_BUY,"خرید",IF($T10&lt;=TH_SSELL,"فروش قوی",IF($T10&lt;=TH_SELL,"فروش","نگهداری")))))</f>
        <v>خرید</v>
      </c>
      <c r="V10" s="28" t="n">
        <f aca="false">IF($A10="","",IFERROR(Calculations!$AQ$11,1))</f>
        <v>3</v>
      </c>
      <c r="W10" s="34" t="str">
        <f aca="false">IF($A10="","","روند: "&amp;$H10&amp;" | ساختار: "&amp;$I10&amp;" | پول هوشمند: "&amp;$J10&amp;" | قدرت خریدار: "&amp;IFERROR(TEXT($K10,"0.00"),"—")&amp;"x"&amp;" | میانگین‌ها: "&amp;IFERROR(TEXT(Calculations!$N$11,"0"),"—")&amp;"/4 ("&amp;$L10&amp;")"&amp;" | حجم: "&amp;IFERROR(TEXT($M10,"0.00"),"—")&amp;"x"&amp;" | بازار: "&amp;$G10)</f>
        <v>روند: صعودی | ساختار: درون محدوده | پول هوشمند: ورود قوی پول حقیقی | قدرت خریدار: 1.73x | میانگین‌ها: 3/4 (تقاطع مرگ) | حجم: 0.87x | بازار: نزولی قوی</v>
      </c>
      <c r="X10" s="26" t="n">
        <f aca="false">IF($A10="","",IFERROR(Calculations!$X$11,""))</f>
        <v>1117.85714285714</v>
      </c>
      <c r="Y10" s="35" t="n">
        <f aca="false">IF($A10="","",IFERROR(($E10-$X10)/$E10,""))</f>
        <v>0.0637712371380713</v>
      </c>
      <c r="Z10" s="23" t="str">
        <f aca="false">IF($A10="","",IFERROR(Calculations!$AR$11,""))</f>
        <v>معتبر</v>
      </c>
    </row>
    <row r="11" customFormat="false" ht="15" hidden="false" customHeight="false" outlineLevel="0" collapsed="false">
      <c r="A11" s="24" t="str">
        <f aca="false">IF(Calculations!$A$12="","",Calculations!$A$12)</f>
        <v>كگل</v>
      </c>
      <c r="B11" s="25" t="str">
        <f aca="false">IF($A11="","",IFERROR(INDEX(Watchlist!$B$1:$B$5000,MATCH($A11,Watchlist!$A$1:$A$5000,0)),""))</f>
        <v>معدني و صنعتي گل گهر</v>
      </c>
      <c r="C11" s="25" t="str">
        <f aca="false">IF($A11="","",IFERROR(INDEX(Watchlist!$F$1:$F$5000,MATCH($A11,Watchlist!$A$1:$A$5000,0)),""))</f>
        <v>استخراج كانه‌هاي فلزي</v>
      </c>
      <c r="D11" s="23" t="str">
        <f aca="false">IF($A11="","",IFERROR(INDEX(Watchlist!$E$1:$E$5000,MATCH($A11,Watchlist!$A$1:$A$5000,0)),""))</f>
        <v>بورس</v>
      </c>
      <c r="E11" s="26" t="n">
        <f aca="false">IF($A11="","",IFERROR(Calculations!$D$12,""))</f>
        <v>11194</v>
      </c>
      <c r="F11" s="32" t="n">
        <f aca="false">IF($A11="","",IFERROR(Calculations!$F$12,""))</f>
        <v>-0.0183771306818182</v>
      </c>
      <c r="G11" s="23" t="str">
        <f aca="false">IF($A11="","",MARKET_LABEL)</f>
        <v>نزولی قوی</v>
      </c>
      <c r="H11" s="23" t="str">
        <f aca="false">IF($A11="","",IF($N11&gt;=6,"صعودی قوی",IF($N11&gt;=2,"صعودی",IF($N11&lt;=-6,"نزولی قوی",IF($N11&lt;=-2,"نزولی","خنثی")))))</f>
        <v>نزولی قوی</v>
      </c>
      <c r="I11" s="23" t="str">
        <f aca="false">IF($A11="","",IFERROR(Calculations!$U$12,""))</f>
        <v>درون محدوده</v>
      </c>
      <c r="J11" s="23" t="str">
        <f aca="false">IF($A11="","",IF($O11&gt;=6,"ورود قوی پول حقیقی",IF($O11&gt;=2,"ورود پول حقیقی",IF($O11&lt;=-6,"خروج قوی پول حقیقی",IF($O11&lt;=-2,"خروج پول حقیقی","متعادل")))))</f>
        <v>ورود پول حقیقی</v>
      </c>
      <c r="K11" s="33" t="n">
        <f aca="false">IF($A11="","",IFERROR(Calculations!$AG$12,""))</f>
        <v>0.653436337460908</v>
      </c>
      <c r="L11" s="23" t="str">
        <f aca="false">IF($A11="","",IFERROR(Calculations!$O$12,""))</f>
        <v>تقاطع مرگ</v>
      </c>
      <c r="M11" s="33" t="n">
        <f aca="false">IF($A11="","",IFERROR(Calculations!$AA$12,""))</f>
        <v>0.992002820229594</v>
      </c>
      <c r="N11" s="27" t="n">
        <f aca="false">IF($A11="","",IFERROR(Calculations!$AJ$12,0))</f>
        <v>-8</v>
      </c>
      <c r="O11" s="27" t="n">
        <f aca="false">IF($A11="","",IFERROR(Calculations!$AK$12,0))</f>
        <v>4</v>
      </c>
      <c r="P11" s="27" t="n">
        <f aca="false">IF($A11="","",IFERROR(Calculations!$AL$12,0))</f>
        <v>-10</v>
      </c>
      <c r="Q11" s="27" t="n">
        <f aca="false">IF($A11="","",IFERROR(Calculations!$AM$12,0))</f>
        <v>-2</v>
      </c>
      <c r="R11" s="27" t="n">
        <f aca="false">IF($A11="","",IFERROR(Calculations!$AN$12,0))</f>
        <v>-7</v>
      </c>
      <c r="S11" s="27" t="n">
        <f aca="false">IF($A11="","",IFERROR(Calculations!$AO$12,0))</f>
        <v>0</v>
      </c>
      <c r="T11" s="27" t="n">
        <f aca="false">IF($A11="","",IFERROR(Calculations!$AP$12,0))</f>
        <v>-4</v>
      </c>
      <c r="U11" s="23" t="str">
        <f aca="false">IF($A11="","",IF($T11&gt;=TH_SBUY,"خرید قوی",IF($T11&gt;=TH_BUY,"خرید",IF($T11&lt;=TH_SSELL,"فروش قوی",IF($T11&lt;=TH_SELL,"فروش","نگهداری")))))</f>
        <v>فروش</v>
      </c>
      <c r="V11" s="28" t="n">
        <f aca="false">IF($A11="","",IFERROR(Calculations!$AQ$12,1))</f>
        <v>3</v>
      </c>
      <c r="W11" s="34" t="str">
        <f aca="false">IF($A11="","","روند: "&amp;$H11&amp;" | ساختار: "&amp;$I11&amp;" | پول هوشمند: "&amp;$J11&amp;" | قدرت خریدار: "&amp;IFERROR(TEXT($K11,"0.00"),"—")&amp;"x"&amp;" | میانگین‌ها: "&amp;IFERROR(TEXT(Calculations!$N$12,"0"),"—")&amp;"/4 ("&amp;$L11&amp;")"&amp;" | حجم: "&amp;IFERROR(TEXT($M11,"0.00"),"—")&amp;"x"&amp;" | بازار: "&amp;$G11)</f>
        <v>روند: نزولی قوی | ساختار: درون محدوده | پول هوشمند: ورود پول حقیقی | قدرت خریدار: 0.65x | میانگین‌ها: 0/4 (تقاطع مرگ) | حجم: 0.99x | بازار: نزولی قوی</v>
      </c>
      <c r="X11" s="26" t="n">
        <f aca="false">IF($A11="","",IFERROR(Calculations!$X$12,""))</f>
        <v>10534.2857142857</v>
      </c>
      <c r="Y11" s="35" t="n">
        <f aca="false">IF($A11="","",IFERROR(($E11-$X11)/$E11,""))</f>
        <v>0.0589346333494985</v>
      </c>
      <c r="Z11" s="23" t="str">
        <f aca="false">IF($A11="","",IFERROR(Calculations!$AR$12,""))</f>
        <v>معتبر</v>
      </c>
    </row>
    <row r="12" customFormat="false" ht="15" hidden="false" customHeight="false" outlineLevel="0" collapsed="false">
      <c r="A12" s="24" t="str">
        <f aca="false">IF(Calculations!$A$13="","",Calculations!$A$13)</f>
        <v/>
      </c>
      <c r="B12" s="25" t="str">
        <f aca="false">IF($A12="","",IFERROR(INDEX(Watchlist!$B$1:$B$5000,MATCH($A12,Watchlist!$A$1:$A$5000,0)),""))</f>
        <v/>
      </c>
      <c r="C12" s="25" t="str">
        <f aca="false">IF($A12="","",IFERROR(INDEX(Watchlist!$F$1:$F$5000,MATCH($A12,Watchlist!$A$1:$A$5000,0)),""))</f>
        <v/>
      </c>
      <c r="D12" s="23" t="str">
        <f aca="false">IF($A12="","",IFERROR(INDEX(Watchlist!$E$1:$E$5000,MATCH($A12,Watchlist!$A$1:$A$5000,0)),""))</f>
        <v/>
      </c>
      <c r="E12" s="26" t="str">
        <f aca="false">IF($A12="","",IFERROR(Calculations!$D$13,""))</f>
        <v/>
      </c>
      <c r="F12" s="32" t="str">
        <f aca="false">IF($A12="","",IFERROR(Calculations!$F$13,""))</f>
        <v/>
      </c>
      <c r="G12" s="23" t="str">
        <f aca="false">IF($A12="","",MARKET_LABEL)</f>
        <v/>
      </c>
      <c r="H12" s="23" t="str">
        <f aca="false">IF($A12="","",IF($N12&gt;=6,"صعودی قوی",IF($N12&gt;=2,"صعودی",IF($N12&lt;=-6,"نزولی قوی",IF($N12&lt;=-2,"نزولی","خنثی")))))</f>
        <v/>
      </c>
      <c r="I12" s="23" t="str">
        <f aca="false">IF($A12="","",IFERROR(Calculations!$U$13,""))</f>
        <v/>
      </c>
      <c r="J12" s="23" t="str">
        <f aca="false">IF($A12="","",IF($O12&gt;=6,"ورود قوی پول حقیقی",IF($O12&gt;=2,"ورود پول حقیقی",IF($O12&lt;=-6,"خروج قوی پول حقیقی",IF($O12&lt;=-2,"خروج پول حقیقی","متعادل")))))</f>
        <v/>
      </c>
      <c r="K12" s="33" t="str">
        <f aca="false">IF($A12="","",IFERROR(Calculations!$AG$13,""))</f>
        <v/>
      </c>
      <c r="L12" s="23" t="str">
        <f aca="false">IF($A12="","",IFERROR(Calculations!$O$13,""))</f>
        <v/>
      </c>
      <c r="M12" s="33" t="str">
        <f aca="false">IF($A12="","",IFERROR(Calculations!$AA$13,""))</f>
        <v/>
      </c>
      <c r="N12" s="27" t="str">
        <f aca="false">IF($A12="","",IFERROR(Calculations!$AJ$13,0))</f>
        <v/>
      </c>
      <c r="O12" s="27" t="str">
        <f aca="false">IF($A12="","",IFERROR(Calculations!$AK$13,0))</f>
        <v/>
      </c>
      <c r="P12" s="27" t="str">
        <f aca="false">IF($A12="","",IFERROR(Calculations!$AL$13,0))</f>
        <v/>
      </c>
      <c r="Q12" s="27" t="str">
        <f aca="false">IF($A12="","",IFERROR(Calculations!$AM$13,0))</f>
        <v/>
      </c>
      <c r="R12" s="27" t="str">
        <f aca="false">IF($A12="","",IFERROR(Calculations!$AN$13,0))</f>
        <v/>
      </c>
      <c r="S12" s="27" t="str">
        <f aca="false">IF($A12="","",IFERROR(Calculations!$AO$13,0))</f>
        <v/>
      </c>
      <c r="T12" s="27" t="str">
        <f aca="false">IF($A12="","",IFERROR(Calculations!$AP$13,0))</f>
        <v/>
      </c>
      <c r="U12" s="23" t="str">
        <f aca="false">IF($A12="","",IF($T12&gt;=TH_SBUY,"خرید قوی",IF($T12&gt;=TH_BUY,"خرید",IF($T12&lt;=TH_SSELL,"فروش قوی",IF($T12&lt;=TH_SELL,"فروش","نگهداری")))))</f>
        <v/>
      </c>
      <c r="V12" s="28" t="str">
        <f aca="false">IF($A12="","",IFERROR(Calculations!$AQ$13,1))</f>
        <v/>
      </c>
      <c r="W12" s="34" t="str">
        <f aca="false">IF($A12="","","روند: "&amp;$H12&amp;" | ساختار: "&amp;$I12&amp;" | پول هوشمند: "&amp;$J12&amp;" | قدرت خریدار: "&amp;IFERROR(TEXT($K12,"0.00"),"—")&amp;"x"&amp;" | میانگین‌ها: "&amp;IFERROR(TEXT(Calculations!$N$13,"0"),"—")&amp;"/4 ("&amp;$L12&amp;")"&amp;" | حجم: "&amp;IFERROR(TEXT($M12,"0.00"),"—")&amp;"x"&amp;" | بازار: "&amp;$G12)</f>
        <v/>
      </c>
      <c r="X12" s="26" t="str">
        <f aca="false">IF($A12="","",IFERROR(Calculations!$X$13,""))</f>
        <v/>
      </c>
      <c r="Y12" s="35" t="str">
        <f aca="false">IF($A12="","",IFERROR(($E12-$X12)/$E12,""))</f>
        <v/>
      </c>
      <c r="Z12" s="23" t="str">
        <f aca="false">IF($A12="","",IFERROR(Calculations!$AR$13,""))</f>
        <v/>
      </c>
    </row>
    <row r="13" customFormat="false" ht="15" hidden="false" customHeight="false" outlineLevel="0" collapsed="false">
      <c r="A13" s="24" t="str">
        <f aca="false">IF(Calculations!$A$14="","",Calculations!$A$14)</f>
        <v/>
      </c>
      <c r="B13" s="25" t="str">
        <f aca="false">IF($A13="","",IFERROR(INDEX(Watchlist!$B$1:$B$5000,MATCH($A13,Watchlist!$A$1:$A$5000,0)),""))</f>
        <v/>
      </c>
      <c r="C13" s="25" t="str">
        <f aca="false">IF($A13="","",IFERROR(INDEX(Watchlist!$F$1:$F$5000,MATCH($A13,Watchlist!$A$1:$A$5000,0)),""))</f>
        <v/>
      </c>
      <c r="D13" s="23" t="str">
        <f aca="false">IF($A13="","",IFERROR(INDEX(Watchlist!$E$1:$E$5000,MATCH($A13,Watchlist!$A$1:$A$5000,0)),""))</f>
        <v/>
      </c>
      <c r="E13" s="26" t="str">
        <f aca="false">IF($A13="","",IFERROR(Calculations!$D$14,""))</f>
        <v/>
      </c>
      <c r="F13" s="32" t="str">
        <f aca="false">IF($A13="","",IFERROR(Calculations!$F$14,""))</f>
        <v/>
      </c>
      <c r="G13" s="23" t="str">
        <f aca="false">IF($A13="","",MARKET_LABEL)</f>
        <v/>
      </c>
      <c r="H13" s="23" t="str">
        <f aca="false">IF($A13="","",IF($N13&gt;=6,"صعودی قوی",IF($N13&gt;=2,"صعودی",IF($N13&lt;=-6,"نزولی قوی",IF($N13&lt;=-2,"نزولی","خنثی")))))</f>
        <v/>
      </c>
      <c r="I13" s="23" t="str">
        <f aca="false">IF($A13="","",IFERROR(Calculations!$U$14,""))</f>
        <v/>
      </c>
      <c r="J13" s="23" t="str">
        <f aca="false">IF($A13="","",IF($O13&gt;=6,"ورود قوی پول حقیقی",IF($O13&gt;=2,"ورود پول حقیقی",IF($O13&lt;=-6,"خروج قوی پول حقیقی",IF($O13&lt;=-2,"خروج پول حقیقی","متعادل")))))</f>
        <v/>
      </c>
      <c r="K13" s="33" t="str">
        <f aca="false">IF($A13="","",IFERROR(Calculations!$AG$14,""))</f>
        <v/>
      </c>
      <c r="L13" s="23" t="str">
        <f aca="false">IF($A13="","",IFERROR(Calculations!$O$14,""))</f>
        <v/>
      </c>
      <c r="M13" s="33" t="str">
        <f aca="false">IF($A13="","",IFERROR(Calculations!$AA$14,""))</f>
        <v/>
      </c>
      <c r="N13" s="27" t="str">
        <f aca="false">IF($A13="","",IFERROR(Calculations!$AJ$14,0))</f>
        <v/>
      </c>
      <c r="O13" s="27" t="str">
        <f aca="false">IF($A13="","",IFERROR(Calculations!$AK$14,0))</f>
        <v/>
      </c>
      <c r="P13" s="27" t="str">
        <f aca="false">IF($A13="","",IFERROR(Calculations!$AL$14,0))</f>
        <v/>
      </c>
      <c r="Q13" s="27" t="str">
        <f aca="false">IF($A13="","",IFERROR(Calculations!$AM$14,0))</f>
        <v/>
      </c>
      <c r="R13" s="27" t="str">
        <f aca="false">IF($A13="","",IFERROR(Calculations!$AN$14,0))</f>
        <v/>
      </c>
      <c r="S13" s="27" t="str">
        <f aca="false">IF($A13="","",IFERROR(Calculations!$AO$14,0))</f>
        <v/>
      </c>
      <c r="T13" s="27" t="str">
        <f aca="false">IF($A13="","",IFERROR(Calculations!$AP$14,0))</f>
        <v/>
      </c>
      <c r="U13" s="23" t="str">
        <f aca="false">IF($A13="","",IF($T13&gt;=TH_SBUY,"خرید قوی",IF($T13&gt;=TH_BUY,"خرید",IF($T13&lt;=TH_SSELL,"فروش قوی",IF($T13&lt;=TH_SELL,"فروش","نگهداری")))))</f>
        <v/>
      </c>
      <c r="V13" s="28" t="str">
        <f aca="false">IF($A13="","",IFERROR(Calculations!$AQ$14,1))</f>
        <v/>
      </c>
      <c r="W13" s="34" t="str">
        <f aca="false">IF($A13="","","روند: "&amp;$H13&amp;" | ساختار: "&amp;$I13&amp;" | پول هوشمند: "&amp;$J13&amp;" | قدرت خریدار: "&amp;IFERROR(TEXT($K13,"0.00"),"—")&amp;"x"&amp;" | میانگین‌ها: "&amp;IFERROR(TEXT(Calculations!$N$14,"0"),"—")&amp;"/4 ("&amp;$L13&amp;")"&amp;" | حجم: "&amp;IFERROR(TEXT($M13,"0.00"),"—")&amp;"x"&amp;" | بازار: "&amp;$G13)</f>
        <v/>
      </c>
      <c r="X13" s="26" t="str">
        <f aca="false">IF($A13="","",IFERROR(Calculations!$X$14,""))</f>
        <v/>
      </c>
      <c r="Y13" s="35" t="str">
        <f aca="false">IF($A13="","",IFERROR(($E13-$X13)/$E13,""))</f>
        <v/>
      </c>
      <c r="Z13" s="23" t="str">
        <f aca="false">IF($A13="","",IFERROR(Calculations!$AR$14,""))</f>
        <v/>
      </c>
    </row>
    <row r="14" customFormat="false" ht="15" hidden="false" customHeight="false" outlineLevel="0" collapsed="false">
      <c r="A14" s="24" t="str">
        <f aca="false">IF(Calculations!$A$15="","",Calculations!$A$15)</f>
        <v/>
      </c>
      <c r="B14" s="25" t="str">
        <f aca="false">IF($A14="","",IFERROR(INDEX(Watchlist!$B$1:$B$5000,MATCH($A14,Watchlist!$A$1:$A$5000,0)),""))</f>
        <v/>
      </c>
      <c r="C14" s="25" t="str">
        <f aca="false">IF($A14="","",IFERROR(INDEX(Watchlist!$F$1:$F$5000,MATCH($A14,Watchlist!$A$1:$A$5000,0)),""))</f>
        <v/>
      </c>
      <c r="D14" s="23" t="str">
        <f aca="false">IF($A14="","",IFERROR(INDEX(Watchlist!$E$1:$E$5000,MATCH($A14,Watchlist!$A$1:$A$5000,0)),""))</f>
        <v/>
      </c>
      <c r="E14" s="26" t="str">
        <f aca="false">IF($A14="","",IFERROR(Calculations!$D$15,""))</f>
        <v/>
      </c>
      <c r="F14" s="32" t="str">
        <f aca="false">IF($A14="","",IFERROR(Calculations!$F$15,""))</f>
        <v/>
      </c>
      <c r="G14" s="23" t="str">
        <f aca="false">IF($A14="","",MARKET_LABEL)</f>
        <v/>
      </c>
      <c r="H14" s="23" t="str">
        <f aca="false">IF($A14="","",IF($N14&gt;=6,"صعودی قوی",IF($N14&gt;=2,"صعودی",IF($N14&lt;=-6,"نزولی قوی",IF($N14&lt;=-2,"نزولی","خنثی")))))</f>
        <v/>
      </c>
      <c r="I14" s="23" t="str">
        <f aca="false">IF($A14="","",IFERROR(Calculations!$U$15,""))</f>
        <v/>
      </c>
      <c r="J14" s="23" t="str">
        <f aca="false">IF($A14="","",IF($O14&gt;=6,"ورود قوی پول حقیقی",IF($O14&gt;=2,"ورود پول حقیقی",IF($O14&lt;=-6,"خروج قوی پول حقیقی",IF($O14&lt;=-2,"خروج پول حقیقی","متعادل")))))</f>
        <v/>
      </c>
      <c r="K14" s="33" t="str">
        <f aca="false">IF($A14="","",IFERROR(Calculations!$AG$15,""))</f>
        <v/>
      </c>
      <c r="L14" s="23" t="str">
        <f aca="false">IF($A14="","",IFERROR(Calculations!$O$15,""))</f>
        <v/>
      </c>
      <c r="M14" s="33" t="str">
        <f aca="false">IF($A14="","",IFERROR(Calculations!$AA$15,""))</f>
        <v/>
      </c>
      <c r="N14" s="27" t="str">
        <f aca="false">IF($A14="","",IFERROR(Calculations!$AJ$15,0))</f>
        <v/>
      </c>
      <c r="O14" s="27" t="str">
        <f aca="false">IF($A14="","",IFERROR(Calculations!$AK$15,0))</f>
        <v/>
      </c>
      <c r="P14" s="27" t="str">
        <f aca="false">IF($A14="","",IFERROR(Calculations!$AL$15,0))</f>
        <v/>
      </c>
      <c r="Q14" s="27" t="str">
        <f aca="false">IF($A14="","",IFERROR(Calculations!$AM$15,0))</f>
        <v/>
      </c>
      <c r="R14" s="27" t="str">
        <f aca="false">IF($A14="","",IFERROR(Calculations!$AN$15,0))</f>
        <v/>
      </c>
      <c r="S14" s="27" t="str">
        <f aca="false">IF($A14="","",IFERROR(Calculations!$AO$15,0))</f>
        <v/>
      </c>
      <c r="T14" s="27" t="str">
        <f aca="false">IF($A14="","",IFERROR(Calculations!$AP$15,0))</f>
        <v/>
      </c>
      <c r="U14" s="23" t="str">
        <f aca="false">IF($A14="","",IF($T14&gt;=TH_SBUY,"خرید قوی",IF($T14&gt;=TH_BUY,"خرید",IF($T14&lt;=TH_SSELL,"فروش قوی",IF($T14&lt;=TH_SELL,"فروش","نگهداری")))))</f>
        <v/>
      </c>
      <c r="V14" s="28" t="str">
        <f aca="false">IF($A14="","",IFERROR(Calculations!$AQ$15,1))</f>
        <v/>
      </c>
      <c r="W14" s="34" t="str">
        <f aca="false">IF($A14="","","روند: "&amp;$H14&amp;" | ساختار: "&amp;$I14&amp;" | پول هوشمند: "&amp;$J14&amp;" | قدرت خریدار: "&amp;IFERROR(TEXT($K14,"0.00"),"—")&amp;"x"&amp;" | میانگین‌ها: "&amp;IFERROR(TEXT(Calculations!$N$15,"0"),"—")&amp;"/4 ("&amp;$L14&amp;")"&amp;" | حجم: "&amp;IFERROR(TEXT($M14,"0.00"),"—")&amp;"x"&amp;" | بازار: "&amp;$G14)</f>
        <v/>
      </c>
      <c r="X14" s="26" t="str">
        <f aca="false">IF($A14="","",IFERROR(Calculations!$X$15,""))</f>
        <v/>
      </c>
      <c r="Y14" s="35" t="str">
        <f aca="false">IF($A14="","",IFERROR(($E14-$X14)/$E14,""))</f>
        <v/>
      </c>
      <c r="Z14" s="23" t="str">
        <f aca="false">IF($A14="","",IFERROR(Calculations!$AR$15,""))</f>
        <v/>
      </c>
    </row>
    <row r="15" customFormat="false" ht="15" hidden="false" customHeight="false" outlineLevel="0" collapsed="false">
      <c r="A15" s="24" t="str">
        <f aca="false">IF(Calculations!$A$16="","",Calculations!$A$16)</f>
        <v/>
      </c>
      <c r="B15" s="25" t="str">
        <f aca="false">IF($A15="","",IFERROR(INDEX(Watchlist!$B$1:$B$5000,MATCH($A15,Watchlist!$A$1:$A$5000,0)),""))</f>
        <v/>
      </c>
      <c r="C15" s="25" t="str">
        <f aca="false">IF($A15="","",IFERROR(INDEX(Watchlist!$F$1:$F$5000,MATCH($A15,Watchlist!$A$1:$A$5000,0)),""))</f>
        <v/>
      </c>
      <c r="D15" s="23" t="str">
        <f aca="false">IF($A15="","",IFERROR(INDEX(Watchlist!$E$1:$E$5000,MATCH($A15,Watchlist!$A$1:$A$5000,0)),""))</f>
        <v/>
      </c>
      <c r="E15" s="26" t="str">
        <f aca="false">IF($A15="","",IFERROR(Calculations!$D$16,""))</f>
        <v/>
      </c>
      <c r="F15" s="32" t="str">
        <f aca="false">IF($A15="","",IFERROR(Calculations!$F$16,""))</f>
        <v/>
      </c>
      <c r="G15" s="23" t="str">
        <f aca="false">IF($A15="","",MARKET_LABEL)</f>
        <v/>
      </c>
      <c r="H15" s="23" t="str">
        <f aca="false">IF($A15="","",IF($N15&gt;=6,"صعودی قوی",IF($N15&gt;=2,"صعودی",IF($N15&lt;=-6,"نزولی قوی",IF($N15&lt;=-2,"نزولی","خنثی")))))</f>
        <v/>
      </c>
      <c r="I15" s="23" t="str">
        <f aca="false">IF($A15="","",IFERROR(Calculations!$U$16,""))</f>
        <v/>
      </c>
      <c r="J15" s="23" t="str">
        <f aca="false">IF($A15="","",IF($O15&gt;=6,"ورود قوی پول حقیقی",IF($O15&gt;=2,"ورود پول حقیقی",IF($O15&lt;=-6,"خروج قوی پول حقیقی",IF($O15&lt;=-2,"خروج پول حقیقی","متعادل")))))</f>
        <v/>
      </c>
      <c r="K15" s="33" t="str">
        <f aca="false">IF($A15="","",IFERROR(Calculations!$AG$16,""))</f>
        <v/>
      </c>
      <c r="L15" s="23" t="str">
        <f aca="false">IF($A15="","",IFERROR(Calculations!$O$16,""))</f>
        <v/>
      </c>
      <c r="M15" s="33" t="str">
        <f aca="false">IF($A15="","",IFERROR(Calculations!$AA$16,""))</f>
        <v/>
      </c>
      <c r="N15" s="27" t="str">
        <f aca="false">IF($A15="","",IFERROR(Calculations!$AJ$16,0))</f>
        <v/>
      </c>
      <c r="O15" s="27" t="str">
        <f aca="false">IF($A15="","",IFERROR(Calculations!$AK$16,0))</f>
        <v/>
      </c>
      <c r="P15" s="27" t="str">
        <f aca="false">IF($A15="","",IFERROR(Calculations!$AL$16,0))</f>
        <v/>
      </c>
      <c r="Q15" s="27" t="str">
        <f aca="false">IF($A15="","",IFERROR(Calculations!$AM$16,0))</f>
        <v/>
      </c>
      <c r="R15" s="27" t="str">
        <f aca="false">IF($A15="","",IFERROR(Calculations!$AN$16,0))</f>
        <v/>
      </c>
      <c r="S15" s="27" t="str">
        <f aca="false">IF($A15="","",IFERROR(Calculations!$AO$16,0))</f>
        <v/>
      </c>
      <c r="T15" s="27" t="str">
        <f aca="false">IF($A15="","",IFERROR(Calculations!$AP$16,0))</f>
        <v/>
      </c>
      <c r="U15" s="23" t="str">
        <f aca="false">IF($A15="","",IF($T15&gt;=TH_SBUY,"خرید قوی",IF($T15&gt;=TH_BUY,"خرید",IF($T15&lt;=TH_SSELL,"فروش قوی",IF($T15&lt;=TH_SELL,"فروش","نگهداری")))))</f>
        <v/>
      </c>
      <c r="V15" s="28" t="str">
        <f aca="false">IF($A15="","",IFERROR(Calculations!$AQ$16,1))</f>
        <v/>
      </c>
      <c r="W15" s="34" t="str">
        <f aca="false">IF($A15="","","روند: "&amp;$H15&amp;" | ساختار: "&amp;$I15&amp;" | پول هوشمند: "&amp;$J15&amp;" | قدرت خریدار: "&amp;IFERROR(TEXT($K15,"0.00"),"—")&amp;"x"&amp;" | میانگین‌ها: "&amp;IFERROR(TEXT(Calculations!$N$16,"0"),"—")&amp;"/4 ("&amp;$L15&amp;")"&amp;" | حجم: "&amp;IFERROR(TEXT($M15,"0.00"),"—")&amp;"x"&amp;" | بازار: "&amp;$G15)</f>
        <v/>
      </c>
      <c r="X15" s="26" t="str">
        <f aca="false">IF($A15="","",IFERROR(Calculations!$X$16,""))</f>
        <v/>
      </c>
      <c r="Y15" s="35" t="str">
        <f aca="false">IF($A15="","",IFERROR(($E15-$X15)/$E15,""))</f>
        <v/>
      </c>
      <c r="Z15" s="23" t="str">
        <f aca="false">IF($A15="","",IFERROR(Calculations!$AR$16,""))</f>
        <v/>
      </c>
    </row>
    <row r="16" customFormat="false" ht="15" hidden="false" customHeight="false" outlineLevel="0" collapsed="false">
      <c r="A16" s="24" t="str">
        <f aca="false">IF(Calculations!$A$17="","",Calculations!$A$17)</f>
        <v/>
      </c>
      <c r="B16" s="25" t="str">
        <f aca="false">IF($A16="","",IFERROR(INDEX(Watchlist!$B$1:$B$5000,MATCH($A16,Watchlist!$A$1:$A$5000,0)),""))</f>
        <v/>
      </c>
      <c r="C16" s="25" t="str">
        <f aca="false">IF($A16="","",IFERROR(INDEX(Watchlist!$F$1:$F$5000,MATCH($A16,Watchlist!$A$1:$A$5000,0)),""))</f>
        <v/>
      </c>
      <c r="D16" s="23" t="str">
        <f aca="false">IF($A16="","",IFERROR(INDEX(Watchlist!$E$1:$E$5000,MATCH($A16,Watchlist!$A$1:$A$5000,0)),""))</f>
        <v/>
      </c>
      <c r="E16" s="26" t="str">
        <f aca="false">IF($A16="","",IFERROR(Calculations!$D$17,""))</f>
        <v/>
      </c>
      <c r="F16" s="32" t="str">
        <f aca="false">IF($A16="","",IFERROR(Calculations!$F$17,""))</f>
        <v/>
      </c>
      <c r="G16" s="23" t="str">
        <f aca="false">IF($A16="","",MARKET_LABEL)</f>
        <v/>
      </c>
      <c r="H16" s="23" t="str">
        <f aca="false">IF($A16="","",IF($N16&gt;=6,"صعودی قوی",IF($N16&gt;=2,"صعودی",IF($N16&lt;=-6,"نزولی قوی",IF($N16&lt;=-2,"نزولی","خنثی")))))</f>
        <v/>
      </c>
      <c r="I16" s="23" t="str">
        <f aca="false">IF($A16="","",IFERROR(Calculations!$U$17,""))</f>
        <v/>
      </c>
      <c r="J16" s="23" t="str">
        <f aca="false">IF($A16="","",IF($O16&gt;=6,"ورود قوی پول حقیقی",IF($O16&gt;=2,"ورود پول حقیقی",IF($O16&lt;=-6,"خروج قوی پول حقیقی",IF($O16&lt;=-2,"خروج پول حقیقی","متعادل")))))</f>
        <v/>
      </c>
      <c r="K16" s="33" t="str">
        <f aca="false">IF($A16="","",IFERROR(Calculations!$AG$17,""))</f>
        <v/>
      </c>
      <c r="L16" s="23" t="str">
        <f aca="false">IF($A16="","",IFERROR(Calculations!$O$17,""))</f>
        <v/>
      </c>
      <c r="M16" s="33" t="str">
        <f aca="false">IF($A16="","",IFERROR(Calculations!$AA$17,""))</f>
        <v/>
      </c>
      <c r="N16" s="27" t="str">
        <f aca="false">IF($A16="","",IFERROR(Calculations!$AJ$17,0))</f>
        <v/>
      </c>
      <c r="O16" s="27" t="str">
        <f aca="false">IF($A16="","",IFERROR(Calculations!$AK$17,0))</f>
        <v/>
      </c>
      <c r="P16" s="27" t="str">
        <f aca="false">IF($A16="","",IFERROR(Calculations!$AL$17,0))</f>
        <v/>
      </c>
      <c r="Q16" s="27" t="str">
        <f aca="false">IF($A16="","",IFERROR(Calculations!$AM$17,0))</f>
        <v/>
      </c>
      <c r="R16" s="27" t="str">
        <f aca="false">IF($A16="","",IFERROR(Calculations!$AN$17,0))</f>
        <v/>
      </c>
      <c r="S16" s="27" t="str">
        <f aca="false">IF($A16="","",IFERROR(Calculations!$AO$17,0))</f>
        <v/>
      </c>
      <c r="T16" s="27" t="str">
        <f aca="false">IF($A16="","",IFERROR(Calculations!$AP$17,0))</f>
        <v/>
      </c>
      <c r="U16" s="23" t="str">
        <f aca="false">IF($A16="","",IF($T16&gt;=TH_SBUY,"خرید قوی",IF($T16&gt;=TH_BUY,"خرید",IF($T16&lt;=TH_SSELL,"فروش قوی",IF($T16&lt;=TH_SELL,"فروش","نگهداری")))))</f>
        <v/>
      </c>
      <c r="V16" s="28" t="str">
        <f aca="false">IF($A16="","",IFERROR(Calculations!$AQ$17,1))</f>
        <v/>
      </c>
      <c r="W16" s="34" t="str">
        <f aca="false">IF($A16="","","روند: "&amp;$H16&amp;" | ساختار: "&amp;$I16&amp;" | پول هوشمند: "&amp;$J16&amp;" | قدرت خریدار: "&amp;IFERROR(TEXT($K16,"0.00"),"—")&amp;"x"&amp;" | میانگین‌ها: "&amp;IFERROR(TEXT(Calculations!$N$17,"0"),"—")&amp;"/4 ("&amp;$L16&amp;")"&amp;" | حجم: "&amp;IFERROR(TEXT($M16,"0.00"),"—")&amp;"x"&amp;" | بازار: "&amp;$G16)</f>
        <v/>
      </c>
      <c r="X16" s="26" t="str">
        <f aca="false">IF($A16="","",IFERROR(Calculations!$X$17,""))</f>
        <v/>
      </c>
      <c r="Y16" s="35" t="str">
        <f aca="false">IF($A16="","",IFERROR(($E16-$X16)/$E16,""))</f>
        <v/>
      </c>
      <c r="Z16" s="23" t="str">
        <f aca="false">IF($A16="","",IFERROR(Calculations!$AR$17,""))</f>
        <v/>
      </c>
    </row>
    <row r="17" customFormat="false" ht="15" hidden="false" customHeight="false" outlineLevel="0" collapsed="false">
      <c r="A17" s="24" t="str">
        <f aca="false">IF(Calculations!$A$18="","",Calculations!$A$18)</f>
        <v/>
      </c>
      <c r="B17" s="25" t="str">
        <f aca="false">IF($A17="","",IFERROR(INDEX(Watchlist!$B$1:$B$5000,MATCH($A17,Watchlist!$A$1:$A$5000,0)),""))</f>
        <v/>
      </c>
      <c r="C17" s="25" t="str">
        <f aca="false">IF($A17="","",IFERROR(INDEX(Watchlist!$F$1:$F$5000,MATCH($A17,Watchlist!$A$1:$A$5000,0)),""))</f>
        <v/>
      </c>
      <c r="D17" s="23" t="str">
        <f aca="false">IF($A17="","",IFERROR(INDEX(Watchlist!$E$1:$E$5000,MATCH($A17,Watchlist!$A$1:$A$5000,0)),""))</f>
        <v/>
      </c>
      <c r="E17" s="26" t="str">
        <f aca="false">IF($A17="","",IFERROR(Calculations!$D$18,""))</f>
        <v/>
      </c>
      <c r="F17" s="32" t="str">
        <f aca="false">IF($A17="","",IFERROR(Calculations!$F$18,""))</f>
        <v/>
      </c>
      <c r="G17" s="23" t="str">
        <f aca="false">IF($A17="","",MARKET_LABEL)</f>
        <v/>
      </c>
      <c r="H17" s="23" t="str">
        <f aca="false">IF($A17="","",IF($N17&gt;=6,"صعودی قوی",IF($N17&gt;=2,"صعودی",IF($N17&lt;=-6,"نزولی قوی",IF($N17&lt;=-2,"نزولی","خنثی")))))</f>
        <v/>
      </c>
      <c r="I17" s="23" t="str">
        <f aca="false">IF($A17="","",IFERROR(Calculations!$U$18,""))</f>
        <v/>
      </c>
      <c r="J17" s="23" t="str">
        <f aca="false">IF($A17="","",IF($O17&gt;=6,"ورود قوی پول حقیقی",IF($O17&gt;=2,"ورود پول حقیقی",IF($O17&lt;=-6,"خروج قوی پول حقیقی",IF($O17&lt;=-2,"خروج پول حقیقی","متعادل")))))</f>
        <v/>
      </c>
      <c r="K17" s="33" t="str">
        <f aca="false">IF($A17="","",IFERROR(Calculations!$AG$18,""))</f>
        <v/>
      </c>
      <c r="L17" s="23" t="str">
        <f aca="false">IF($A17="","",IFERROR(Calculations!$O$18,""))</f>
        <v/>
      </c>
      <c r="M17" s="33" t="str">
        <f aca="false">IF($A17="","",IFERROR(Calculations!$AA$18,""))</f>
        <v/>
      </c>
      <c r="N17" s="27" t="str">
        <f aca="false">IF($A17="","",IFERROR(Calculations!$AJ$18,0))</f>
        <v/>
      </c>
      <c r="O17" s="27" t="str">
        <f aca="false">IF($A17="","",IFERROR(Calculations!$AK$18,0))</f>
        <v/>
      </c>
      <c r="P17" s="27" t="str">
        <f aca="false">IF($A17="","",IFERROR(Calculations!$AL$18,0))</f>
        <v/>
      </c>
      <c r="Q17" s="27" t="str">
        <f aca="false">IF($A17="","",IFERROR(Calculations!$AM$18,0))</f>
        <v/>
      </c>
      <c r="R17" s="27" t="str">
        <f aca="false">IF($A17="","",IFERROR(Calculations!$AN$18,0))</f>
        <v/>
      </c>
      <c r="S17" s="27" t="str">
        <f aca="false">IF($A17="","",IFERROR(Calculations!$AO$18,0))</f>
        <v/>
      </c>
      <c r="T17" s="27" t="str">
        <f aca="false">IF($A17="","",IFERROR(Calculations!$AP$18,0))</f>
        <v/>
      </c>
      <c r="U17" s="23" t="str">
        <f aca="false">IF($A17="","",IF($T17&gt;=TH_SBUY,"خرید قوی",IF($T17&gt;=TH_BUY,"خرید",IF($T17&lt;=TH_SSELL,"فروش قوی",IF($T17&lt;=TH_SELL,"فروش","نگهداری")))))</f>
        <v/>
      </c>
      <c r="V17" s="28" t="str">
        <f aca="false">IF($A17="","",IFERROR(Calculations!$AQ$18,1))</f>
        <v/>
      </c>
      <c r="W17" s="34" t="str">
        <f aca="false">IF($A17="","","روند: "&amp;$H17&amp;" | ساختار: "&amp;$I17&amp;" | پول هوشمند: "&amp;$J17&amp;" | قدرت خریدار: "&amp;IFERROR(TEXT($K17,"0.00"),"—")&amp;"x"&amp;" | میانگین‌ها: "&amp;IFERROR(TEXT(Calculations!$N$18,"0"),"—")&amp;"/4 ("&amp;$L17&amp;")"&amp;" | حجم: "&amp;IFERROR(TEXT($M17,"0.00"),"—")&amp;"x"&amp;" | بازار: "&amp;$G17)</f>
        <v/>
      </c>
      <c r="X17" s="26" t="str">
        <f aca="false">IF($A17="","",IFERROR(Calculations!$X$18,""))</f>
        <v/>
      </c>
      <c r="Y17" s="35" t="str">
        <f aca="false">IF($A17="","",IFERROR(($E17-$X17)/$E17,""))</f>
        <v/>
      </c>
      <c r="Z17" s="23" t="str">
        <f aca="false">IF($A17="","",IFERROR(Calculations!$AR$18,""))</f>
        <v/>
      </c>
    </row>
    <row r="18" customFormat="false" ht="15" hidden="false" customHeight="false" outlineLevel="0" collapsed="false">
      <c r="A18" s="24" t="str">
        <f aca="false">IF(Calculations!$A$19="","",Calculations!$A$19)</f>
        <v/>
      </c>
      <c r="B18" s="25" t="str">
        <f aca="false">IF($A18="","",IFERROR(INDEX(Watchlist!$B$1:$B$5000,MATCH($A18,Watchlist!$A$1:$A$5000,0)),""))</f>
        <v/>
      </c>
      <c r="C18" s="25" t="str">
        <f aca="false">IF($A18="","",IFERROR(INDEX(Watchlist!$F$1:$F$5000,MATCH($A18,Watchlist!$A$1:$A$5000,0)),""))</f>
        <v/>
      </c>
      <c r="D18" s="23" t="str">
        <f aca="false">IF($A18="","",IFERROR(INDEX(Watchlist!$E$1:$E$5000,MATCH($A18,Watchlist!$A$1:$A$5000,0)),""))</f>
        <v/>
      </c>
      <c r="E18" s="26" t="str">
        <f aca="false">IF($A18="","",IFERROR(Calculations!$D$19,""))</f>
        <v/>
      </c>
      <c r="F18" s="32" t="str">
        <f aca="false">IF($A18="","",IFERROR(Calculations!$F$19,""))</f>
        <v/>
      </c>
      <c r="G18" s="23" t="str">
        <f aca="false">IF($A18="","",MARKET_LABEL)</f>
        <v/>
      </c>
      <c r="H18" s="23" t="str">
        <f aca="false">IF($A18="","",IF($N18&gt;=6,"صعودی قوی",IF($N18&gt;=2,"صعودی",IF($N18&lt;=-6,"نزولی قوی",IF($N18&lt;=-2,"نزولی","خنثی")))))</f>
        <v/>
      </c>
      <c r="I18" s="23" t="str">
        <f aca="false">IF($A18="","",IFERROR(Calculations!$U$19,""))</f>
        <v/>
      </c>
      <c r="J18" s="23" t="str">
        <f aca="false">IF($A18="","",IF($O18&gt;=6,"ورود قوی پول حقیقی",IF($O18&gt;=2,"ورود پول حقیقی",IF($O18&lt;=-6,"خروج قوی پول حقیقی",IF($O18&lt;=-2,"خروج پول حقیقی","متعادل")))))</f>
        <v/>
      </c>
      <c r="K18" s="33" t="str">
        <f aca="false">IF($A18="","",IFERROR(Calculations!$AG$19,""))</f>
        <v/>
      </c>
      <c r="L18" s="23" t="str">
        <f aca="false">IF($A18="","",IFERROR(Calculations!$O$19,""))</f>
        <v/>
      </c>
      <c r="M18" s="33" t="str">
        <f aca="false">IF($A18="","",IFERROR(Calculations!$AA$19,""))</f>
        <v/>
      </c>
      <c r="N18" s="27" t="str">
        <f aca="false">IF($A18="","",IFERROR(Calculations!$AJ$19,0))</f>
        <v/>
      </c>
      <c r="O18" s="27" t="str">
        <f aca="false">IF($A18="","",IFERROR(Calculations!$AK$19,0))</f>
        <v/>
      </c>
      <c r="P18" s="27" t="str">
        <f aca="false">IF($A18="","",IFERROR(Calculations!$AL$19,0))</f>
        <v/>
      </c>
      <c r="Q18" s="27" t="str">
        <f aca="false">IF($A18="","",IFERROR(Calculations!$AM$19,0))</f>
        <v/>
      </c>
      <c r="R18" s="27" t="str">
        <f aca="false">IF($A18="","",IFERROR(Calculations!$AN$19,0))</f>
        <v/>
      </c>
      <c r="S18" s="27" t="str">
        <f aca="false">IF($A18="","",IFERROR(Calculations!$AO$19,0))</f>
        <v/>
      </c>
      <c r="T18" s="27" t="str">
        <f aca="false">IF($A18="","",IFERROR(Calculations!$AP$19,0))</f>
        <v/>
      </c>
      <c r="U18" s="23" t="str">
        <f aca="false">IF($A18="","",IF($T18&gt;=TH_SBUY,"خرید قوی",IF($T18&gt;=TH_BUY,"خرید",IF($T18&lt;=TH_SSELL,"فروش قوی",IF($T18&lt;=TH_SELL,"فروش","نگهداری")))))</f>
        <v/>
      </c>
      <c r="V18" s="28" t="str">
        <f aca="false">IF($A18="","",IFERROR(Calculations!$AQ$19,1))</f>
        <v/>
      </c>
      <c r="W18" s="34" t="str">
        <f aca="false">IF($A18="","","روند: "&amp;$H18&amp;" | ساختار: "&amp;$I18&amp;" | پول هوشمند: "&amp;$J18&amp;" | قدرت خریدار: "&amp;IFERROR(TEXT($K18,"0.00"),"—")&amp;"x"&amp;" | میانگین‌ها: "&amp;IFERROR(TEXT(Calculations!$N$19,"0"),"—")&amp;"/4 ("&amp;$L18&amp;")"&amp;" | حجم: "&amp;IFERROR(TEXT($M18,"0.00"),"—")&amp;"x"&amp;" | بازار: "&amp;$G18)</f>
        <v/>
      </c>
      <c r="X18" s="26" t="str">
        <f aca="false">IF($A18="","",IFERROR(Calculations!$X$19,""))</f>
        <v/>
      </c>
      <c r="Y18" s="35" t="str">
        <f aca="false">IF($A18="","",IFERROR(($E18-$X18)/$E18,""))</f>
        <v/>
      </c>
      <c r="Z18" s="23" t="str">
        <f aca="false">IF($A18="","",IFERROR(Calculations!$AR$19,""))</f>
        <v/>
      </c>
    </row>
    <row r="19" customFormat="false" ht="15" hidden="false" customHeight="false" outlineLevel="0" collapsed="false">
      <c r="A19" s="24" t="str">
        <f aca="false">IF(Calculations!$A$20="","",Calculations!$A$20)</f>
        <v/>
      </c>
      <c r="B19" s="25" t="str">
        <f aca="false">IF($A19="","",IFERROR(INDEX(Watchlist!$B$1:$B$5000,MATCH($A19,Watchlist!$A$1:$A$5000,0)),""))</f>
        <v/>
      </c>
      <c r="C19" s="25" t="str">
        <f aca="false">IF($A19="","",IFERROR(INDEX(Watchlist!$F$1:$F$5000,MATCH($A19,Watchlist!$A$1:$A$5000,0)),""))</f>
        <v/>
      </c>
      <c r="D19" s="23" t="str">
        <f aca="false">IF($A19="","",IFERROR(INDEX(Watchlist!$E$1:$E$5000,MATCH($A19,Watchlist!$A$1:$A$5000,0)),""))</f>
        <v/>
      </c>
      <c r="E19" s="26" t="str">
        <f aca="false">IF($A19="","",IFERROR(Calculations!$D$20,""))</f>
        <v/>
      </c>
      <c r="F19" s="32" t="str">
        <f aca="false">IF($A19="","",IFERROR(Calculations!$F$20,""))</f>
        <v/>
      </c>
      <c r="G19" s="23" t="str">
        <f aca="false">IF($A19="","",MARKET_LABEL)</f>
        <v/>
      </c>
      <c r="H19" s="23" t="str">
        <f aca="false">IF($A19="","",IF($N19&gt;=6,"صعودی قوی",IF($N19&gt;=2,"صعودی",IF($N19&lt;=-6,"نزولی قوی",IF($N19&lt;=-2,"نزولی","خنثی")))))</f>
        <v/>
      </c>
      <c r="I19" s="23" t="str">
        <f aca="false">IF($A19="","",IFERROR(Calculations!$U$20,""))</f>
        <v/>
      </c>
      <c r="J19" s="23" t="str">
        <f aca="false">IF($A19="","",IF($O19&gt;=6,"ورود قوی پول حقیقی",IF($O19&gt;=2,"ورود پول حقیقی",IF($O19&lt;=-6,"خروج قوی پول حقیقی",IF($O19&lt;=-2,"خروج پول حقیقی","متعادل")))))</f>
        <v/>
      </c>
      <c r="K19" s="33" t="str">
        <f aca="false">IF($A19="","",IFERROR(Calculations!$AG$20,""))</f>
        <v/>
      </c>
      <c r="L19" s="23" t="str">
        <f aca="false">IF($A19="","",IFERROR(Calculations!$O$20,""))</f>
        <v/>
      </c>
      <c r="M19" s="33" t="str">
        <f aca="false">IF($A19="","",IFERROR(Calculations!$AA$20,""))</f>
        <v/>
      </c>
      <c r="N19" s="27" t="str">
        <f aca="false">IF($A19="","",IFERROR(Calculations!$AJ$20,0))</f>
        <v/>
      </c>
      <c r="O19" s="27" t="str">
        <f aca="false">IF($A19="","",IFERROR(Calculations!$AK$20,0))</f>
        <v/>
      </c>
      <c r="P19" s="27" t="str">
        <f aca="false">IF($A19="","",IFERROR(Calculations!$AL$20,0))</f>
        <v/>
      </c>
      <c r="Q19" s="27" t="str">
        <f aca="false">IF($A19="","",IFERROR(Calculations!$AM$20,0))</f>
        <v/>
      </c>
      <c r="R19" s="27" t="str">
        <f aca="false">IF($A19="","",IFERROR(Calculations!$AN$20,0))</f>
        <v/>
      </c>
      <c r="S19" s="27" t="str">
        <f aca="false">IF($A19="","",IFERROR(Calculations!$AO$20,0))</f>
        <v/>
      </c>
      <c r="T19" s="27" t="str">
        <f aca="false">IF($A19="","",IFERROR(Calculations!$AP$20,0))</f>
        <v/>
      </c>
      <c r="U19" s="23" t="str">
        <f aca="false">IF($A19="","",IF($T19&gt;=TH_SBUY,"خرید قوی",IF($T19&gt;=TH_BUY,"خرید",IF($T19&lt;=TH_SSELL,"فروش قوی",IF($T19&lt;=TH_SELL,"فروش","نگهداری")))))</f>
        <v/>
      </c>
      <c r="V19" s="28" t="str">
        <f aca="false">IF($A19="","",IFERROR(Calculations!$AQ$20,1))</f>
        <v/>
      </c>
      <c r="W19" s="34" t="str">
        <f aca="false">IF($A19="","","روند: "&amp;$H19&amp;" | ساختار: "&amp;$I19&amp;" | پول هوشمند: "&amp;$J19&amp;" | قدرت خریدار: "&amp;IFERROR(TEXT($K19,"0.00"),"—")&amp;"x"&amp;" | میانگین‌ها: "&amp;IFERROR(TEXT(Calculations!$N$20,"0"),"—")&amp;"/4 ("&amp;$L19&amp;")"&amp;" | حجم: "&amp;IFERROR(TEXT($M19,"0.00"),"—")&amp;"x"&amp;" | بازار: "&amp;$G19)</f>
        <v/>
      </c>
      <c r="X19" s="26" t="str">
        <f aca="false">IF($A19="","",IFERROR(Calculations!$X$20,""))</f>
        <v/>
      </c>
      <c r="Y19" s="35" t="str">
        <f aca="false">IF($A19="","",IFERROR(($E19-$X19)/$E19,""))</f>
        <v/>
      </c>
      <c r="Z19" s="23" t="str">
        <f aca="false">IF($A19="","",IFERROR(Calculations!$AR$20,""))</f>
        <v/>
      </c>
    </row>
    <row r="20" customFormat="false" ht="15" hidden="false" customHeight="false" outlineLevel="0" collapsed="false">
      <c r="A20" s="24" t="str">
        <f aca="false">IF(Calculations!$A$21="","",Calculations!$A$21)</f>
        <v/>
      </c>
      <c r="B20" s="25" t="str">
        <f aca="false">IF($A20="","",IFERROR(INDEX(Watchlist!$B$1:$B$5000,MATCH($A20,Watchlist!$A$1:$A$5000,0)),""))</f>
        <v/>
      </c>
      <c r="C20" s="25" t="str">
        <f aca="false">IF($A20="","",IFERROR(INDEX(Watchlist!$F$1:$F$5000,MATCH($A20,Watchlist!$A$1:$A$5000,0)),""))</f>
        <v/>
      </c>
      <c r="D20" s="23" t="str">
        <f aca="false">IF($A20="","",IFERROR(INDEX(Watchlist!$E$1:$E$5000,MATCH($A20,Watchlist!$A$1:$A$5000,0)),""))</f>
        <v/>
      </c>
      <c r="E20" s="26" t="str">
        <f aca="false">IF($A20="","",IFERROR(Calculations!$D$21,""))</f>
        <v/>
      </c>
      <c r="F20" s="32" t="str">
        <f aca="false">IF($A20="","",IFERROR(Calculations!$F$21,""))</f>
        <v/>
      </c>
      <c r="G20" s="23" t="str">
        <f aca="false">IF($A20="","",MARKET_LABEL)</f>
        <v/>
      </c>
      <c r="H20" s="23" t="str">
        <f aca="false">IF($A20="","",IF($N20&gt;=6,"صعودی قوی",IF($N20&gt;=2,"صعودی",IF($N20&lt;=-6,"نزولی قوی",IF($N20&lt;=-2,"نزولی","خنثی")))))</f>
        <v/>
      </c>
      <c r="I20" s="23" t="str">
        <f aca="false">IF($A20="","",IFERROR(Calculations!$U$21,""))</f>
        <v/>
      </c>
      <c r="J20" s="23" t="str">
        <f aca="false">IF($A20="","",IF($O20&gt;=6,"ورود قوی پول حقیقی",IF($O20&gt;=2,"ورود پول حقیقی",IF($O20&lt;=-6,"خروج قوی پول حقیقی",IF($O20&lt;=-2,"خروج پول حقیقی","متعادل")))))</f>
        <v/>
      </c>
      <c r="K20" s="33" t="str">
        <f aca="false">IF($A20="","",IFERROR(Calculations!$AG$21,""))</f>
        <v/>
      </c>
      <c r="L20" s="23" t="str">
        <f aca="false">IF($A20="","",IFERROR(Calculations!$O$21,""))</f>
        <v/>
      </c>
      <c r="M20" s="33" t="str">
        <f aca="false">IF($A20="","",IFERROR(Calculations!$AA$21,""))</f>
        <v/>
      </c>
      <c r="N20" s="27" t="str">
        <f aca="false">IF($A20="","",IFERROR(Calculations!$AJ$21,0))</f>
        <v/>
      </c>
      <c r="O20" s="27" t="str">
        <f aca="false">IF($A20="","",IFERROR(Calculations!$AK$21,0))</f>
        <v/>
      </c>
      <c r="P20" s="27" t="str">
        <f aca="false">IF($A20="","",IFERROR(Calculations!$AL$21,0))</f>
        <v/>
      </c>
      <c r="Q20" s="27" t="str">
        <f aca="false">IF($A20="","",IFERROR(Calculations!$AM$21,0))</f>
        <v/>
      </c>
      <c r="R20" s="27" t="str">
        <f aca="false">IF($A20="","",IFERROR(Calculations!$AN$21,0))</f>
        <v/>
      </c>
      <c r="S20" s="27" t="str">
        <f aca="false">IF($A20="","",IFERROR(Calculations!$AO$21,0))</f>
        <v/>
      </c>
      <c r="T20" s="27" t="str">
        <f aca="false">IF($A20="","",IFERROR(Calculations!$AP$21,0))</f>
        <v/>
      </c>
      <c r="U20" s="23" t="str">
        <f aca="false">IF($A20="","",IF($T20&gt;=TH_SBUY,"خرید قوی",IF($T20&gt;=TH_BUY,"خرید",IF($T20&lt;=TH_SSELL,"فروش قوی",IF($T20&lt;=TH_SELL,"فروش","نگهداری")))))</f>
        <v/>
      </c>
      <c r="V20" s="28" t="str">
        <f aca="false">IF($A20="","",IFERROR(Calculations!$AQ$21,1))</f>
        <v/>
      </c>
      <c r="W20" s="34" t="str">
        <f aca="false">IF($A20="","","روند: "&amp;$H20&amp;" | ساختار: "&amp;$I20&amp;" | پول هوشمند: "&amp;$J20&amp;" | قدرت خریدار: "&amp;IFERROR(TEXT($K20,"0.00"),"—")&amp;"x"&amp;" | میانگین‌ها: "&amp;IFERROR(TEXT(Calculations!$N$21,"0"),"—")&amp;"/4 ("&amp;$L20&amp;")"&amp;" | حجم: "&amp;IFERROR(TEXT($M20,"0.00"),"—")&amp;"x"&amp;" | بازار: "&amp;$G20)</f>
        <v/>
      </c>
      <c r="X20" s="26" t="str">
        <f aca="false">IF($A20="","",IFERROR(Calculations!$X$21,""))</f>
        <v/>
      </c>
      <c r="Y20" s="35" t="str">
        <f aca="false">IF($A20="","",IFERROR(($E20-$X20)/$E20,""))</f>
        <v/>
      </c>
      <c r="Z20" s="23" t="str">
        <f aca="false">IF($A20="","",IFERROR(Calculations!$AR$21,""))</f>
        <v/>
      </c>
    </row>
    <row r="21" customFormat="false" ht="15" hidden="false" customHeight="false" outlineLevel="0" collapsed="false">
      <c r="A21" s="24" t="str">
        <f aca="false">IF(Calculations!$A$22="","",Calculations!$A$22)</f>
        <v/>
      </c>
      <c r="B21" s="25" t="str">
        <f aca="false">IF($A21="","",IFERROR(INDEX(Watchlist!$B$1:$B$5000,MATCH($A21,Watchlist!$A$1:$A$5000,0)),""))</f>
        <v/>
      </c>
      <c r="C21" s="25" t="str">
        <f aca="false">IF($A21="","",IFERROR(INDEX(Watchlist!$F$1:$F$5000,MATCH($A21,Watchlist!$A$1:$A$5000,0)),""))</f>
        <v/>
      </c>
      <c r="D21" s="23" t="str">
        <f aca="false">IF($A21="","",IFERROR(INDEX(Watchlist!$E$1:$E$5000,MATCH($A21,Watchlist!$A$1:$A$5000,0)),""))</f>
        <v/>
      </c>
      <c r="E21" s="26" t="str">
        <f aca="false">IF($A21="","",IFERROR(Calculations!$D$22,""))</f>
        <v/>
      </c>
      <c r="F21" s="32" t="str">
        <f aca="false">IF($A21="","",IFERROR(Calculations!$F$22,""))</f>
        <v/>
      </c>
      <c r="G21" s="23" t="str">
        <f aca="false">IF($A21="","",MARKET_LABEL)</f>
        <v/>
      </c>
      <c r="H21" s="23" t="str">
        <f aca="false">IF($A21="","",IF($N21&gt;=6,"صعودی قوی",IF($N21&gt;=2,"صعودی",IF($N21&lt;=-6,"نزولی قوی",IF($N21&lt;=-2,"نزولی","خنثی")))))</f>
        <v/>
      </c>
      <c r="I21" s="23" t="str">
        <f aca="false">IF($A21="","",IFERROR(Calculations!$U$22,""))</f>
        <v/>
      </c>
      <c r="J21" s="23" t="str">
        <f aca="false">IF($A21="","",IF($O21&gt;=6,"ورود قوی پول حقیقی",IF($O21&gt;=2,"ورود پول حقیقی",IF($O21&lt;=-6,"خروج قوی پول حقیقی",IF($O21&lt;=-2,"خروج پول حقیقی","متعادل")))))</f>
        <v/>
      </c>
      <c r="K21" s="33" t="str">
        <f aca="false">IF($A21="","",IFERROR(Calculations!$AG$22,""))</f>
        <v/>
      </c>
      <c r="L21" s="23" t="str">
        <f aca="false">IF($A21="","",IFERROR(Calculations!$O$22,""))</f>
        <v/>
      </c>
      <c r="M21" s="33" t="str">
        <f aca="false">IF($A21="","",IFERROR(Calculations!$AA$22,""))</f>
        <v/>
      </c>
      <c r="N21" s="27" t="str">
        <f aca="false">IF($A21="","",IFERROR(Calculations!$AJ$22,0))</f>
        <v/>
      </c>
      <c r="O21" s="27" t="str">
        <f aca="false">IF($A21="","",IFERROR(Calculations!$AK$22,0))</f>
        <v/>
      </c>
      <c r="P21" s="27" t="str">
        <f aca="false">IF($A21="","",IFERROR(Calculations!$AL$22,0))</f>
        <v/>
      </c>
      <c r="Q21" s="27" t="str">
        <f aca="false">IF($A21="","",IFERROR(Calculations!$AM$22,0))</f>
        <v/>
      </c>
      <c r="R21" s="27" t="str">
        <f aca="false">IF($A21="","",IFERROR(Calculations!$AN$22,0))</f>
        <v/>
      </c>
      <c r="S21" s="27" t="str">
        <f aca="false">IF($A21="","",IFERROR(Calculations!$AO$22,0))</f>
        <v/>
      </c>
      <c r="T21" s="27" t="str">
        <f aca="false">IF($A21="","",IFERROR(Calculations!$AP$22,0))</f>
        <v/>
      </c>
      <c r="U21" s="23" t="str">
        <f aca="false">IF($A21="","",IF($T21&gt;=TH_SBUY,"خرید قوی",IF($T21&gt;=TH_BUY,"خرید",IF($T21&lt;=TH_SSELL,"فروش قوی",IF($T21&lt;=TH_SELL,"فروش","نگهداری")))))</f>
        <v/>
      </c>
      <c r="V21" s="28" t="str">
        <f aca="false">IF($A21="","",IFERROR(Calculations!$AQ$22,1))</f>
        <v/>
      </c>
      <c r="W21" s="34" t="str">
        <f aca="false">IF($A21="","","روند: "&amp;$H21&amp;" | ساختار: "&amp;$I21&amp;" | پول هوشمند: "&amp;$J21&amp;" | قدرت خریدار: "&amp;IFERROR(TEXT($K21,"0.00"),"—")&amp;"x"&amp;" | میانگین‌ها: "&amp;IFERROR(TEXT(Calculations!$N$22,"0"),"—")&amp;"/4 ("&amp;$L21&amp;")"&amp;" | حجم: "&amp;IFERROR(TEXT($M21,"0.00"),"—")&amp;"x"&amp;" | بازار: "&amp;$G21)</f>
        <v/>
      </c>
      <c r="X21" s="26" t="str">
        <f aca="false">IF($A21="","",IFERROR(Calculations!$X$22,""))</f>
        <v/>
      </c>
      <c r="Y21" s="35" t="str">
        <f aca="false">IF($A21="","",IFERROR(($E21-$X21)/$E21,""))</f>
        <v/>
      </c>
      <c r="Z21" s="23" t="str">
        <f aca="false">IF($A21="","",IFERROR(Calculations!$AR$22,""))</f>
        <v/>
      </c>
    </row>
    <row r="22" customFormat="false" ht="15" hidden="false" customHeight="false" outlineLevel="0" collapsed="false">
      <c r="A22" s="24" t="str">
        <f aca="false">IF(Calculations!$A$23="","",Calculations!$A$23)</f>
        <v/>
      </c>
      <c r="B22" s="25" t="str">
        <f aca="false">IF($A22="","",IFERROR(INDEX(Watchlist!$B$1:$B$5000,MATCH($A22,Watchlist!$A$1:$A$5000,0)),""))</f>
        <v/>
      </c>
      <c r="C22" s="25" t="str">
        <f aca="false">IF($A22="","",IFERROR(INDEX(Watchlist!$F$1:$F$5000,MATCH($A22,Watchlist!$A$1:$A$5000,0)),""))</f>
        <v/>
      </c>
      <c r="D22" s="23" t="str">
        <f aca="false">IF($A22="","",IFERROR(INDEX(Watchlist!$E$1:$E$5000,MATCH($A22,Watchlist!$A$1:$A$5000,0)),""))</f>
        <v/>
      </c>
      <c r="E22" s="26" t="str">
        <f aca="false">IF($A22="","",IFERROR(Calculations!$D$23,""))</f>
        <v/>
      </c>
      <c r="F22" s="32" t="str">
        <f aca="false">IF($A22="","",IFERROR(Calculations!$F$23,""))</f>
        <v/>
      </c>
      <c r="G22" s="23" t="str">
        <f aca="false">IF($A22="","",MARKET_LABEL)</f>
        <v/>
      </c>
      <c r="H22" s="23" t="str">
        <f aca="false">IF($A22="","",IF($N22&gt;=6,"صعودی قوی",IF($N22&gt;=2,"صعودی",IF($N22&lt;=-6,"نزولی قوی",IF($N22&lt;=-2,"نزولی","خنثی")))))</f>
        <v/>
      </c>
      <c r="I22" s="23" t="str">
        <f aca="false">IF($A22="","",IFERROR(Calculations!$U$23,""))</f>
        <v/>
      </c>
      <c r="J22" s="23" t="str">
        <f aca="false">IF($A22="","",IF($O22&gt;=6,"ورود قوی پول حقیقی",IF($O22&gt;=2,"ورود پول حقیقی",IF($O22&lt;=-6,"خروج قوی پول حقیقی",IF($O22&lt;=-2,"خروج پول حقیقی","متعادل")))))</f>
        <v/>
      </c>
      <c r="K22" s="33" t="str">
        <f aca="false">IF($A22="","",IFERROR(Calculations!$AG$23,""))</f>
        <v/>
      </c>
      <c r="L22" s="23" t="str">
        <f aca="false">IF($A22="","",IFERROR(Calculations!$O$23,""))</f>
        <v/>
      </c>
      <c r="M22" s="33" t="str">
        <f aca="false">IF($A22="","",IFERROR(Calculations!$AA$23,""))</f>
        <v/>
      </c>
      <c r="N22" s="27" t="str">
        <f aca="false">IF($A22="","",IFERROR(Calculations!$AJ$23,0))</f>
        <v/>
      </c>
      <c r="O22" s="27" t="str">
        <f aca="false">IF($A22="","",IFERROR(Calculations!$AK$23,0))</f>
        <v/>
      </c>
      <c r="P22" s="27" t="str">
        <f aca="false">IF($A22="","",IFERROR(Calculations!$AL$23,0))</f>
        <v/>
      </c>
      <c r="Q22" s="27" t="str">
        <f aca="false">IF($A22="","",IFERROR(Calculations!$AM$23,0))</f>
        <v/>
      </c>
      <c r="R22" s="27" t="str">
        <f aca="false">IF($A22="","",IFERROR(Calculations!$AN$23,0))</f>
        <v/>
      </c>
      <c r="S22" s="27" t="str">
        <f aca="false">IF($A22="","",IFERROR(Calculations!$AO$23,0))</f>
        <v/>
      </c>
      <c r="T22" s="27" t="str">
        <f aca="false">IF($A22="","",IFERROR(Calculations!$AP$23,0))</f>
        <v/>
      </c>
      <c r="U22" s="23" t="str">
        <f aca="false">IF($A22="","",IF($T22&gt;=TH_SBUY,"خرید قوی",IF($T22&gt;=TH_BUY,"خرید",IF($T22&lt;=TH_SSELL,"فروش قوی",IF($T22&lt;=TH_SELL,"فروش","نگهداری")))))</f>
        <v/>
      </c>
      <c r="V22" s="28" t="str">
        <f aca="false">IF($A22="","",IFERROR(Calculations!$AQ$23,1))</f>
        <v/>
      </c>
      <c r="W22" s="34" t="str">
        <f aca="false">IF($A22="","","روند: "&amp;$H22&amp;" | ساختار: "&amp;$I22&amp;" | پول هوشمند: "&amp;$J22&amp;" | قدرت خریدار: "&amp;IFERROR(TEXT($K22,"0.00"),"—")&amp;"x"&amp;" | میانگین‌ها: "&amp;IFERROR(TEXT(Calculations!$N$23,"0"),"—")&amp;"/4 ("&amp;$L22&amp;")"&amp;" | حجم: "&amp;IFERROR(TEXT($M22,"0.00"),"—")&amp;"x"&amp;" | بازار: "&amp;$G22)</f>
        <v/>
      </c>
      <c r="X22" s="26" t="str">
        <f aca="false">IF($A22="","",IFERROR(Calculations!$X$23,""))</f>
        <v/>
      </c>
      <c r="Y22" s="35" t="str">
        <f aca="false">IF($A22="","",IFERROR(($E22-$X22)/$E22,""))</f>
        <v/>
      </c>
      <c r="Z22" s="23" t="str">
        <f aca="false">IF($A22="","",IFERROR(Calculations!$AR$23,""))</f>
        <v/>
      </c>
    </row>
    <row r="23" customFormat="false" ht="15" hidden="false" customHeight="false" outlineLevel="0" collapsed="false">
      <c r="A23" s="24" t="str">
        <f aca="false">IF(Calculations!$A$24="","",Calculations!$A$24)</f>
        <v/>
      </c>
      <c r="B23" s="25" t="str">
        <f aca="false">IF($A23="","",IFERROR(INDEX(Watchlist!$B$1:$B$5000,MATCH($A23,Watchlist!$A$1:$A$5000,0)),""))</f>
        <v/>
      </c>
      <c r="C23" s="25" t="str">
        <f aca="false">IF($A23="","",IFERROR(INDEX(Watchlist!$F$1:$F$5000,MATCH($A23,Watchlist!$A$1:$A$5000,0)),""))</f>
        <v/>
      </c>
      <c r="D23" s="23" t="str">
        <f aca="false">IF($A23="","",IFERROR(INDEX(Watchlist!$E$1:$E$5000,MATCH($A23,Watchlist!$A$1:$A$5000,0)),""))</f>
        <v/>
      </c>
      <c r="E23" s="26" t="str">
        <f aca="false">IF($A23="","",IFERROR(Calculations!$D$24,""))</f>
        <v/>
      </c>
      <c r="F23" s="32" t="str">
        <f aca="false">IF($A23="","",IFERROR(Calculations!$F$24,""))</f>
        <v/>
      </c>
      <c r="G23" s="23" t="str">
        <f aca="false">IF($A23="","",MARKET_LABEL)</f>
        <v/>
      </c>
      <c r="H23" s="23" t="str">
        <f aca="false">IF($A23="","",IF($N23&gt;=6,"صعودی قوی",IF($N23&gt;=2,"صعودی",IF($N23&lt;=-6,"نزولی قوی",IF($N23&lt;=-2,"نزولی","خنثی")))))</f>
        <v/>
      </c>
      <c r="I23" s="23" t="str">
        <f aca="false">IF($A23="","",IFERROR(Calculations!$U$24,""))</f>
        <v/>
      </c>
      <c r="J23" s="23" t="str">
        <f aca="false">IF($A23="","",IF($O23&gt;=6,"ورود قوی پول حقیقی",IF($O23&gt;=2,"ورود پول حقیقی",IF($O23&lt;=-6,"خروج قوی پول حقیقی",IF($O23&lt;=-2,"خروج پول حقیقی","متعادل")))))</f>
        <v/>
      </c>
      <c r="K23" s="33" t="str">
        <f aca="false">IF($A23="","",IFERROR(Calculations!$AG$24,""))</f>
        <v/>
      </c>
      <c r="L23" s="23" t="str">
        <f aca="false">IF($A23="","",IFERROR(Calculations!$O$24,""))</f>
        <v/>
      </c>
      <c r="M23" s="33" t="str">
        <f aca="false">IF($A23="","",IFERROR(Calculations!$AA$24,""))</f>
        <v/>
      </c>
      <c r="N23" s="27" t="str">
        <f aca="false">IF($A23="","",IFERROR(Calculations!$AJ$24,0))</f>
        <v/>
      </c>
      <c r="O23" s="27" t="str">
        <f aca="false">IF($A23="","",IFERROR(Calculations!$AK$24,0))</f>
        <v/>
      </c>
      <c r="P23" s="27" t="str">
        <f aca="false">IF($A23="","",IFERROR(Calculations!$AL$24,0))</f>
        <v/>
      </c>
      <c r="Q23" s="27" t="str">
        <f aca="false">IF($A23="","",IFERROR(Calculations!$AM$24,0))</f>
        <v/>
      </c>
      <c r="R23" s="27" t="str">
        <f aca="false">IF($A23="","",IFERROR(Calculations!$AN$24,0))</f>
        <v/>
      </c>
      <c r="S23" s="27" t="str">
        <f aca="false">IF($A23="","",IFERROR(Calculations!$AO$24,0))</f>
        <v/>
      </c>
      <c r="T23" s="27" t="str">
        <f aca="false">IF($A23="","",IFERROR(Calculations!$AP$24,0))</f>
        <v/>
      </c>
      <c r="U23" s="23" t="str">
        <f aca="false">IF($A23="","",IF($T23&gt;=TH_SBUY,"خرید قوی",IF($T23&gt;=TH_BUY,"خرید",IF($T23&lt;=TH_SSELL,"فروش قوی",IF($T23&lt;=TH_SELL,"فروش","نگهداری")))))</f>
        <v/>
      </c>
      <c r="V23" s="28" t="str">
        <f aca="false">IF($A23="","",IFERROR(Calculations!$AQ$24,1))</f>
        <v/>
      </c>
      <c r="W23" s="34" t="str">
        <f aca="false">IF($A23="","","روند: "&amp;$H23&amp;" | ساختار: "&amp;$I23&amp;" | پول هوشمند: "&amp;$J23&amp;" | قدرت خریدار: "&amp;IFERROR(TEXT($K23,"0.00"),"—")&amp;"x"&amp;" | میانگین‌ها: "&amp;IFERROR(TEXT(Calculations!$N$24,"0"),"—")&amp;"/4 ("&amp;$L23&amp;")"&amp;" | حجم: "&amp;IFERROR(TEXT($M23,"0.00"),"—")&amp;"x"&amp;" | بازار: "&amp;$G23)</f>
        <v/>
      </c>
      <c r="X23" s="26" t="str">
        <f aca="false">IF($A23="","",IFERROR(Calculations!$X$24,""))</f>
        <v/>
      </c>
      <c r="Y23" s="35" t="str">
        <f aca="false">IF($A23="","",IFERROR(($E23-$X23)/$E23,""))</f>
        <v/>
      </c>
      <c r="Z23" s="23" t="str">
        <f aca="false">IF($A23="","",IFERROR(Calculations!$AR$24,""))</f>
        <v/>
      </c>
    </row>
    <row r="24" customFormat="false" ht="15" hidden="false" customHeight="false" outlineLevel="0" collapsed="false">
      <c r="A24" s="24" t="str">
        <f aca="false">IF(Calculations!$A$25="","",Calculations!$A$25)</f>
        <v/>
      </c>
      <c r="B24" s="25" t="str">
        <f aca="false">IF($A24="","",IFERROR(INDEX(Watchlist!$B$1:$B$5000,MATCH($A24,Watchlist!$A$1:$A$5000,0)),""))</f>
        <v/>
      </c>
      <c r="C24" s="25" t="str">
        <f aca="false">IF($A24="","",IFERROR(INDEX(Watchlist!$F$1:$F$5000,MATCH($A24,Watchlist!$A$1:$A$5000,0)),""))</f>
        <v/>
      </c>
      <c r="D24" s="23" t="str">
        <f aca="false">IF($A24="","",IFERROR(INDEX(Watchlist!$E$1:$E$5000,MATCH($A24,Watchlist!$A$1:$A$5000,0)),""))</f>
        <v/>
      </c>
      <c r="E24" s="26" t="str">
        <f aca="false">IF($A24="","",IFERROR(Calculations!$D$25,""))</f>
        <v/>
      </c>
      <c r="F24" s="32" t="str">
        <f aca="false">IF($A24="","",IFERROR(Calculations!$F$25,""))</f>
        <v/>
      </c>
      <c r="G24" s="23" t="str">
        <f aca="false">IF($A24="","",MARKET_LABEL)</f>
        <v/>
      </c>
      <c r="H24" s="23" t="str">
        <f aca="false">IF($A24="","",IF($N24&gt;=6,"صعودی قوی",IF($N24&gt;=2,"صعودی",IF($N24&lt;=-6,"نزولی قوی",IF($N24&lt;=-2,"نزولی","خنثی")))))</f>
        <v/>
      </c>
      <c r="I24" s="23" t="str">
        <f aca="false">IF($A24="","",IFERROR(Calculations!$U$25,""))</f>
        <v/>
      </c>
      <c r="J24" s="23" t="str">
        <f aca="false">IF($A24="","",IF($O24&gt;=6,"ورود قوی پول حقیقی",IF($O24&gt;=2,"ورود پول حقیقی",IF($O24&lt;=-6,"خروج قوی پول حقیقی",IF($O24&lt;=-2,"خروج پول حقیقی","متعادل")))))</f>
        <v/>
      </c>
      <c r="K24" s="33" t="str">
        <f aca="false">IF($A24="","",IFERROR(Calculations!$AG$25,""))</f>
        <v/>
      </c>
      <c r="L24" s="23" t="str">
        <f aca="false">IF($A24="","",IFERROR(Calculations!$O$25,""))</f>
        <v/>
      </c>
      <c r="M24" s="33" t="str">
        <f aca="false">IF($A24="","",IFERROR(Calculations!$AA$25,""))</f>
        <v/>
      </c>
      <c r="N24" s="27" t="str">
        <f aca="false">IF($A24="","",IFERROR(Calculations!$AJ$25,0))</f>
        <v/>
      </c>
      <c r="O24" s="27" t="str">
        <f aca="false">IF($A24="","",IFERROR(Calculations!$AK$25,0))</f>
        <v/>
      </c>
      <c r="P24" s="27" t="str">
        <f aca="false">IF($A24="","",IFERROR(Calculations!$AL$25,0))</f>
        <v/>
      </c>
      <c r="Q24" s="27" t="str">
        <f aca="false">IF($A24="","",IFERROR(Calculations!$AM$25,0))</f>
        <v/>
      </c>
      <c r="R24" s="27" t="str">
        <f aca="false">IF($A24="","",IFERROR(Calculations!$AN$25,0))</f>
        <v/>
      </c>
      <c r="S24" s="27" t="str">
        <f aca="false">IF($A24="","",IFERROR(Calculations!$AO$25,0))</f>
        <v/>
      </c>
      <c r="T24" s="27" t="str">
        <f aca="false">IF($A24="","",IFERROR(Calculations!$AP$25,0))</f>
        <v/>
      </c>
      <c r="U24" s="23" t="str">
        <f aca="false">IF($A24="","",IF($T24&gt;=TH_SBUY,"خرید قوی",IF($T24&gt;=TH_BUY,"خرید",IF($T24&lt;=TH_SSELL,"فروش قوی",IF($T24&lt;=TH_SELL,"فروش","نگهداری")))))</f>
        <v/>
      </c>
      <c r="V24" s="28" t="str">
        <f aca="false">IF($A24="","",IFERROR(Calculations!$AQ$25,1))</f>
        <v/>
      </c>
      <c r="W24" s="34" t="str">
        <f aca="false">IF($A24="","","روند: "&amp;$H24&amp;" | ساختار: "&amp;$I24&amp;" | پول هوشمند: "&amp;$J24&amp;" | قدرت خریدار: "&amp;IFERROR(TEXT($K24,"0.00"),"—")&amp;"x"&amp;" | میانگین‌ها: "&amp;IFERROR(TEXT(Calculations!$N$25,"0"),"—")&amp;"/4 ("&amp;$L24&amp;")"&amp;" | حجم: "&amp;IFERROR(TEXT($M24,"0.00"),"—")&amp;"x"&amp;" | بازار: "&amp;$G24)</f>
        <v/>
      </c>
      <c r="X24" s="26" t="str">
        <f aca="false">IF($A24="","",IFERROR(Calculations!$X$25,""))</f>
        <v/>
      </c>
      <c r="Y24" s="35" t="str">
        <f aca="false">IF($A24="","",IFERROR(($E24-$X24)/$E24,""))</f>
        <v/>
      </c>
      <c r="Z24" s="23" t="str">
        <f aca="false">IF($A24="","",IFERROR(Calculations!$AR$25,""))</f>
        <v/>
      </c>
    </row>
    <row r="25" customFormat="false" ht="15" hidden="false" customHeight="false" outlineLevel="0" collapsed="false">
      <c r="A25" s="24" t="str">
        <f aca="false">IF(Calculations!$A$26="","",Calculations!$A$26)</f>
        <v/>
      </c>
      <c r="B25" s="25" t="str">
        <f aca="false">IF($A25="","",IFERROR(INDEX(Watchlist!$B$1:$B$5000,MATCH($A25,Watchlist!$A$1:$A$5000,0)),""))</f>
        <v/>
      </c>
      <c r="C25" s="25" t="str">
        <f aca="false">IF($A25="","",IFERROR(INDEX(Watchlist!$F$1:$F$5000,MATCH($A25,Watchlist!$A$1:$A$5000,0)),""))</f>
        <v/>
      </c>
      <c r="D25" s="23" t="str">
        <f aca="false">IF($A25="","",IFERROR(INDEX(Watchlist!$E$1:$E$5000,MATCH($A25,Watchlist!$A$1:$A$5000,0)),""))</f>
        <v/>
      </c>
      <c r="E25" s="26" t="str">
        <f aca="false">IF($A25="","",IFERROR(Calculations!$D$26,""))</f>
        <v/>
      </c>
      <c r="F25" s="32" t="str">
        <f aca="false">IF($A25="","",IFERROR(Calculations!$F$26,""))</f>
        <v/>
      </c>
      <c r="G25" s="23" t="str">
        <f aca="false">IF($A25="","",MARKET_LABEL)</f>
        <v/>
      </c>
      <c r="H25" s="23" t="str">
        <f aca="false">IF($A25="","",IF($N25&gt;=6,"صعودی قوی",IF($N25&gt;=2,"صعودی",IF($N25&lt;=-6,"نزولی قوی",IF($N25&lt;=-2,"نزولی","خنثی")))))</f>
        <v/>
      </c>
      <c r="I25" s="23" t="str">
        <f aca="false">IF($A25="","",IFERROR(Calculations!$U$26,""))</f>
        <v/>
      </c>
      <c r="J25" s="23" t="str">
        <f aca="false">IF($A25="","",IF($O25&gt;=6,"ورود قوی پول حقیقی",IF($O25&gt;=2,"ورود پول حقیقی",IF($O25&lt;=-6,"خروج قوی پول حقیقی",IF($O25&lt;=-2,"خروج پول حقیقی","متعادل")))))</f>
        <v/>
      </c>
      <c r="K25" s="33" t="str">
        <f aca="false">IF($A25="","",IFERROR(Calculations!$AG$26,""))</f>
        <v/>
      </c>
      <c r="L25" s="23" t="str">
        <f aca="false">IF($A25="","",IFERROR(Calculations!$O$26,""))</f>
        <v/>
      </c>
      <c r="M25" s="33" t="str">
        <f aca="false">IF($A25="","",IFERROR(Calculations!$AA$26,""))</f>
        <v/>
      </c>
      <c r="N25" s="27" t="str">
        <f aca="false">IF($A25="","",IFERROR(Calculations!$AJ$26,0))</f>
        <v/>
      </c>
      <c r="O25" s="27" t="str">
        <f aca="false">IF($A25="","",IFERROR(Calculations!$AK$26,0))</f>
        <v/>
      </c>
      <c r="P25" s="27" t="str">
        <f aca="false">IF($A25="","",IFERROR(Calculations!$AL$26,0))</f>
        <v/>
      </c>
      <c r="Q25" s="27" t="str">
        <f aca="false">IF($A25="","",IFERROR(Calculations!$AM$26,0))</f>
        <v/>
      </c>
      <c r="R25" s="27" t="str">
        <f aca="false">IF($A25="","",IFERROR(Calculations!$AN$26,0))</f>
        <v/>
      </c>
      <c r="S25" s="27" t="str">
        <f aca="false">IF($A25="","",IFERROR(Calculations!$AO$26,0))</f>
        <v/>
      </c>
      <c r="T25" s="27" t="str">
        <f aca="false">IF($A25="","",IFERROR(Calculations!$AP$26,0))</f>
        <v/>
      </c>
      <c r="U25" s="23" t="str">
        <f aca="false">IF($A25="","",IF($T25&gt;=TH_SBUY,"خرید قوی",IF($T25&gt;=TH_BUY,"خرید",IF($T25&lt;=TH_SSELL,"فروش قوی",IF($T25&lt;=TH_SELL,"فروش","نگهداری")))))</f>
        <v/>
      </c>
      <c r="V25" s="28" t="str">
        <f aca="false">IF($A25="","",IFERROR(Calculations!$AQ$26,1))</f>
        <v/>
      </c>
      <c r="W25" s="34" t="str">
        <f aca="false">IF($A25="","","روند: "&amp;$H25&amp;" | ساختار: "&amp;$I25&amp;" | پول هوشمند: "&amp;$J25&amp;" | قدرت خریدار: "&amp;IFERROR(TEXT($K25,"0.00"),"—")&amp;"x"&amp;" | میانگین‌ها: "&amp;IFERROR(TEXT(Calculations!$N$26,"0"),"—")&amp;"/4 ("&amp;$L25&amp;")"&amp;" | حجم: "&amp;IFERROR(TEXT($M25,"0.00"),"—")&amp;"x"&amp;" | بازار: "&amp;$G25)</f>
        <v/>
      </c>
      <c r="X25" s="26" t="str">
        <f aca="false">IF($A25="","",IFERROR(Calculations!$X$26,""))</f>
        <v/>
      </c>
      <c r="Y25" s="35" t="str">
        <f aca="false">IF($A25="","",IFERROR(($E25-$X25)/$E25,""))</f>
        <v/>
      </c>
      <c r="Z25" s="23" t="str">
        <f aca="false">IF($A25="","",IFERROR(Calculations!$AR$26,""))</f>
        <v/>
      </c>
    </row>
    <row r="26" customFormat="false" ht="15" hidden="false" customHeight="false" outlineLevel="0" collapsed="false">
      <c r="A26" s="24" t="str">
        <f aca="false">IF(Calculations!$A$27="","",Calculations!$A$27)</f>
        <v/>
      </c>
      <c r="B26" s="25" t="str">
        <f aca="false">IF($A26="","",IFERROR(INDEX(Watchlist!$B$1:$B$5000,MATCH($A26,Watchlist!$A$1:$A$5000,0)),""))</f>
        <v/>
      </c>
      <c r="C26" s="25" t="str">
        <f aca="false">IF($A26="","",IFERROR(INDEX(Watchlist!$F$1:$F$5000,MATCH($A26,Watchlist!$A$1:$A$5000,0)),""))</f>
        <v/>
      </c>
      <c r="D26" s="23" t="str">
        <f aca="false">IF($A26="","",IFERROR(INDEX(Watchlist!$E$1:$E$5000,MATCH($A26,Watchlist!$A$1:$A$5000,0)),""))</f>
        <v/>
      </c>
      <c r="E26" s="26" t="str">
        <f aca="false">IF($A26="","",IFERROR(Calculations!$D$27,""))</f>
        <v/>
      </c>
      <c r="F26" s="32" t="str">
        <f aca="false">IF($A26="","",IFERROR(Calculations!$F$27,""))</f>
        <v/>
      </c>
      <c r="G26" s="23" t="str">
        <f aca="false">IF($A26="","",MARKET_LABEL)</f>
        <v/>
      </c>
      <c r="H26" s="23" t="str">
        <f aca="false">IF($A26="","",IF($N26&gt;=6,"صعودی قوی",IF($N26&gt;=2,"صعودی",IF($N26&lt;=-6,"نزولی قوی",IF($N26&lt;=-2,"نزولی","خنثی")))))</f>
        <v/>
      </c>
      <c r="I26" s="23" t="str">
        <f aca="false">IF($A26="","",IFERROR(Calculations!$U$27,""))</f>
        <v/>
      </c>
      <c r="J26" s="23" t="str">
        <f aca="false">IF($A26="","",IF($O26&gt;=6,"ورود قوی پول حقیقی",IF($O26&gt;=2,"ورود پول حقیقی",IF($O26&lt;=-6,"خروج قوی پول حقیقی",IF($O26&lt;=-2,"خروج پول حقیقی","متعادل")))))</f>
        <v/>
      </c>
      <c r="K26" s="33" t="str">
        <f aca="false">IF($A26="","",IFERROR(Calculations!$AG$27,""))</f>
        <v/>
      </c>
      <c r="L26" s="23" t="str">
        <f aca="false">IF($A26="","",IFERROR(Calculations!$O$27,""))</f>
        <v/>
      </c>
      <c r="M26" s="33" t="str">
        <f aca="false">IF($A26="","",IFERROR(Calculations!$AA$27,""))</f>
        <v/>
      </c>
      <c r="N26" s="27" t="str">
        <f aca="false">IF($A26="","",IFERROR(Calculations!$AJ$27,0))</f>
        <v/>
      </c>
      <c r="O26" s="27" t="str">
        <f aca="false">IF($A26="","",IFERROR(Calculations!$AK$27,0))</f>
        <v/>
      </c>
      <c r="P26" s="27" t="str">
        <f aca="false">IF($A26="","",IFERROR(Calculations!$AL$27,0))</f>
        <v/>
      </c>
      <c r="Q26" s="27" t="str">
        <f aca="false">IF($A26="","",IFERROR(Calculations!$AM$27,0))</f>
        <v/>
      </c>
      <c r="R26" s="27" t="str">
        <f aca="false">IF($A26="","",IFERROR(Calculations!$AN$27,0))</f>
        <v/>
      </c>
      <c r="S26" s="27" t="str">
        <f aca="false">IF($A26="","",IFERROR(Calculations!$AO$27,0))</f>
        <v/>
      </c>
      <c r="T26" s="27" t="str">
        <f aca="false">IF($A26="","",IFERROR(Calculations!$AP$27,0))</f>
        <v/>
      </c>
      <c r="U26" s="23" t="str">
        <f aca="false">IF($A26="","",IF($T26&gt;=TH_SBUY,"خرید قوی",IF($T26&gt;=TH_BUY,"خرید",IF($T26&lt;=TH_SSELL,"فروش قوی",IF($T26&lt;=TH_SELL,"فروش","نگهداری")))))</f>
        <v/>
      </c>
      <c r="V26" s="28" t="str">
        <f aca="false">IF($A26="","",IFERROR(Calculations!$AQ$27,1))</f>
        <v/>
      </c>
      <c r="W26" s="34" t="str">
        <f aca="false">IF($A26="","","روند: "&amp;$H26&amp;" | ساختار: "&amp;$I26&amp;" | پول هوشمند: "&amp;$J26&amp;" | قدرت خریدار: "&amp;IFERROR(TEXT($K26,"0.00"),"—")&amp;"x"&amp;" | میانگین‌ها: "&amp;IFERROR(TEXT(Calculations!$N$27,"0"),"—")&amp;"/4 ("&amp;$L26&amp;")"&amp;" | حجم: "&amp;IFERROR(TEXT($M26,"0.00"),"—")&amp;"x"&amp;" | بازار: "&amp;$G26)</f>
        <v/>
      </c>
      <c r="X26" s="26" t="str">
        <f aca="false">IF($A26="","",IFERROR(Calculations!$X$27,""))</f>
        <v/>
      </c>
      <c r="Y26" s="35" t="str">
        <f aca="false">IF($A26="","",IFERROR(($E26-$X26)/$E26,""))</f>
        <v/>
      </c>
      <c r="Z26" s="23" t="str">
        <f aca="false">IF($A26="","",IFERROR(Calculations!$AR$27,""))</f>
        <v/>
      </c>
    </row>
    <row r="27" customFormat="false" ht="15" hidden="false" customHeight="false" outlineLevel="0" collapsed="false">
      <c r="A27" s="24" t="str">
        <f aca="false">IF(Calculations!$A$28="","",Calculations!$A$28)</f>
        <v/>
      </c>
      <c r="B27" s="25" t="str">
        <f aca="false">IF($A27="","",IFERROR(INDEX(Watchlist!$B$1:$B$5000,MATCH($A27,Watchlist!$A$1:$A$5000,0)),""))</f>
        <v/>
      </c>
      <c r="C27" s="25" t="str">
        <f aca="false">IF($A27="","",IFERROR(INDEX(Watchlist!$F$1:$F$5000,MATCH($A27,Watchlist!$A$1:$A$5000,0)),""))</f>
        <v/>
      </c>
      <c r="D27" s="23" t="str">
        <f aca="false">IF($A27="","",IFERROR(INDEX(Watchlist!$E$1:$E$5000,MATCH($A27,Watchlist!$A$1:$A$5000,0)),""))</f>
        <v/>
      </c>
      <c r="E27" s="26" t="str">
        <f aca="false">IF($A27="","",IFERROR(Calculations!$D$28,""))</f>
        <v/>
      </c>
      <c r="F27" s="32" t="str">
        <f aca="false">IF($A27="","",IFERROR(Calculations!$F$28,""))</f>
        <v/>
      </c>
      <c r="G27" s="23" t="str">
        <f aca="false">IF($A27="","",MARKET_LABEL)</f>
        <v/>
      </c>
      <c r="H27" s="23" t="str">
        <f aca="false">IF($A27="","",IF($N27&gt;=6,"صعودی قوی",IF($N27&gt;=2,"صعودی",IF($N27&lt;=-6,"نزولی قوی",IF($N27&lt;=-2,"نزولی","خنثی")))))</f>
        <v/>
      </c>
      <c r="I27" s="23" t="str">
        <f aca="false">IF($A27="","",IFERROR(Calculations!$U$28,""))</f>
        <v/>
      </c>
      <c r="J27" s="23" t="str">
        <f aca="false">IF($A27="","",IF($O27&gt;=6,"ورود قوی پول حقیقی",IF($O27&gt;=2,"ورود پول حقیقی",IF($O27&lt;=-6,"خروج قوی پول حقیقی",IF($O27&lt;=-2,"خروج پول حقیقی","متعادل")))))</f>
        <v/>
      </c>
      <c r="K27" s="33" t="str">
        <f aca="false">IF($A27="","",IFERROR(Calculations!$AG$28,""))</f>
        <v/>
      </c>
      <c r="L27" s="23" t="str">
        <f aca="false">IF($A27="","",IFERROR(Calculations!$O$28,""))</f>
        <v/>
      </c>
      <c r="M27" s="33" t="str">
        <f aca="false">IF($A27="","",IFERROR(Calculations!$AA$28,""))</f>
        <v/>
      </c>
      <c r="N27" s="27" t="str">
        <f aca="false">IF($A27="","",IFERROR(Calculations!$AJ$28,0))</f>
        <v/>
      </c>
      <c r="O27" s="27" t="str">
        <f aca="false">IF($A27="","",IFERROR(Calculations!$AK$28,0))</f>
        <v/>
      </c>
      <c r="P27" s="27" t="str">
        <f aca="false">IF($A27="","",IFERROR(Calculations!$AL$28,0))</f>
        <v/>
      </c>
      <c r="Q27" s="27" t="str">
        <f aca="false">IF($A27="","",IFERROR(Calculations!$AM$28,0))</f>
        <v/>
      </c>
      <c r="R27" s="27" t="str">
        <f aca="false">IF($A27="","",IFERROR(Calculations!$AN$28,0))</f>
        <v/>
      </c>
      <c r="S27" s="27" t="str">
        <f aca="false">IF($A27="","",IFERROR(Calculations!$AO$28,0))</f>
        <v/>
      </c>
      <c r="T27" s="27" t="str">
        <f aca="false">IF($A27="","",IFERROR(Calculations!$AP$28,0))</f>
        <v/>
      </c>
      <c r="U27" s="23" t="str">
        <f aca="false">IF($A27="","",IF($T27&gt;=TH_SBUY,"خرید قوی",IF($T27&gt;=TH_BUY,"خرید",IF($T27&lt;=TH_SSELL,"فروش قوی",IF($T27&lt;=TH_SELL,"فروش","نگهداری")))))</f>
        <v/>
      </c>
      <c r="V27" s="28" t="str">
        <f aca="false">IF($A27="","",IFERROR(Calculations!$AQ$28,1))</f>
        <v/>
      </c>
      <c r="W27" s="34" t="str">
        <f aca="false">IF($A27="","","روند: "&amp;$H27&amp;" | ساختار: "&amp;$I27&amp;" | پول هوشمند: "&amp;$J27&amp;" | قدرت خریدار: "&amp;IFERROR(TEXT($K27,"0.00"),"—")&amp;"x"&amp;" | میانگین‌ها: "&amp;IFERROR(TEXT(Calculations!$N$28,"0"),"—")&amp;"/4 ("&amp;$L27&amp;")"&amp;" | حجم: "&amp;IFERROR(TEXT($M27,"0.00"),"—")&amp;"x"&amp;" | بازار: "&amp;$G27)</f>
        <v/>
      </c>
      <c r="X27" s="26" t="str">
        <f aca="false">IF($A27="","",IFERROR(Calculations!$X$28,""))</f>
        <v/>
      </c>
      <c r="Y27" s="35" t="str">
        <f aca="false">IF($A27="","",IFERROR(($E27-$X27)/$E27,""))</f>
        <v/>
      </c>
      <c r="Z27" s="23" t="str">
        <f aca="false">IF($A27="","",IFERROR(Calculations!$AR$28,""))</f>
        <v/>
      </c>
    </row>
    <row r="28" customFormat="false" ht="15" hidden="false" customHeight="false" outlineLevel="0" collapsed="false">
      <c r="A28" s="24" t="str">
        <f aca="false">IF(Calculations!$A$29="","",Calculations!$A$29)</f>
        <v/>
      </c>
      <c r="B28" s="25" t="str">
        <f aca="false">IF($A28="","",IFERROR(INDEX(Watchlist!$B$1:$B$5000,MATCH($A28,Watchlist!$A$1:$A$5000,0)),""))</f>
        <v/>
      </c>
      <c r="C28" s="25" t="str">
        <f aca="false">IF($A28="","",IFERROR(INDEX(Watchlist!$F$1:$F$5000,MATCH($A28,Watchlist!$A$1:$A$5000,0)),""))</f>
        <v/>
      </c>
      <c r="D28" s="23" t="str">
        <f aca="false">IF($A28="","",IFERROR(INDEX(Watchlist!$E$1:$E$5000,MATCH($A28,Watchlist!$A$1:$A$5000,0)),""))</f>
        <v/>
      </c>
      <c r="E28" s="26" t="str">
        <f aca="false">IF($A28="","",IFERROR(Calculations!$D$29,""))</f>
        <v/>
      </c>
      <c r="F28" s="32" t="str">
        <f aca="false">IF($A28="","",IFERROR(Calculations!$F$29,""))</f>
        <v/>
      </c>
      <c r="G28" s="23" t="str">
        <f aca="false">IF($A28="","",MARKET_LABEL)</f>
        <v/>
      </c>
      <c r="H28" s="23" t="str">
        <f aca="false">IF($A28="","",IF($N28&gt;=6,"صعودی قوی",IF($N28&gt;=2,"صعودی",IF($N28&lt;=-6,"نزولی قوی",IF($N28&lt;=-2,"نزولی","خنثی")))))</f>
        <v/>
      </c>
      <c r="I28" s="23" t="str">
        <f aca="false">IF($A28="","",IFERROR(Calculations!$U$29,""))</f>
        <v/>
      </c>
      <c r="J28" s="23" t="str">
        <f aca="false">IF($A28="","",IF($O28&gt;=6,"ورود قوی پول حقیقی",IF($O28&gt;=2,"ورود پول حقیقی",IF($O28&lt;=-6,"خروج قوی پول حقیقی",IF($O28&lt;=-2,"خروج پول حقیقی","متعادل")))))</f>
        <v/>
      </c>
      <c r="K28" s="33" t="str">
        <f aca="false">IF($A28="","",IFERROR(Calculations!$AG$29,""))</f>
        <v/>
      </c>
      <c r="L28" s="23" t="str">
        <f aca="false">IF($A28="","",IFERROR(Calculations!$O$29,""))</f>
        <v/>
      </c>
      <c r="M28" s="33" t="str">
        <f aca="false">IF($A28="","",IFERROR(Calculations!$AA$29,""))</f>
        <v/>
      </c>
      <c r="N28" s="27" t="str">
        <f aca="false">IF($A28="","",IFERROR(Calculations!$AJ$29,0))</f>
        <v/>
      </c>
      <c r="O28" s="27" t="str">
        <f aca="false">IF($A28="","",IFERROR(Calculations!$AK$29,0))</f>
        <v/>
      </c>
      <c r="P28" s="27" t="str">
        <f aca="false">IF($A28="","",IFERROR(Calculations!$AL$29,0))</f>
        <v/>
      </c>
      <c r="Q28" s="27" t="str">
        <f aca="false">IF($A28="","",IFERROR(Calculations!$AM$29,0))</f>
        <v/>
      </c>
      <c r="R28" s="27" t="str">
        <f aca="false">IF($A28="","",IFERROR(Calculations!$AN$29,0))</f>
        <v/>
      </c>
      <c r="S28" s="27" t="str">
        <f aca="false">IF($A28="","",IFERROR(Calculations!$AO$29,0))</f>
        <v/>
      </c>
      <c r="T28" s="27" t="str">
        <f aca="false">IF($A28="","",IFERROR(Calculations!$AP$29,0))</f>
        <v/>
      </c>
      <c r="U28" s="23" t="str">
        <f aca="false">IF($A28="","",IF($T28&gt;=TH_SBUY,"خرید قوی",IF($T28&gt;=TH_BUY,"خرید",IF($T28&lt;=TH_SSELL,"فروش قوی",IF($T28&lt;=TH_SELL,"فروش","نگهداری")))))</f>
        <v/>
      </c>
      <c r="V28" s="28" t="str">
        <f aca="false">IF($A28="","",IFERROR(Calculations!$AQ$29,1))</f>
        <v/>
      </c>
      <c r="W28" s="34" t="str">
        <f aca="false">IF($A28="","","روند: "&amp;$H28&amp;" | ساختار: "&amp;$I28&amp;" | پول هوشمند: "&amp;$J28&amp;" | قدرت خریدار: "&amp;IFERROR(TEXT($K28,"0.00"),"—")&amp;"x"&amp;" | میانگین‌ها: "&amp;IFERROR(TEXT(Calculations!$N$29,"0"),"—")&amp;"/4 ("&amp;$L28&amp;")"&amp;" | حجم: "&amp;IFERROR(TEXT($M28,"0.00"),"—")&amp;"x"&amp;" | بازار: "&amp;$G28)</f>
        <v/>
      </c>
      <c r="X28" s="26" t="str">
        <f aca="false">IF($A28="","",IFERROR(Calculations!$X$29,""))</f>
        <v/>
      </c>
      <c r="Y28" s="35" t="str">
        <f aca="false">IF($A28="","",IFERROR(($E28-$X28)/$E28,""))</f>
        <v/>
      </c>
      <c r="Z28" s="23" t="str">
        <f aca="false">IF($A28="","",IFERROR(Calculations!$AR$29,""))</f>
        <v/>
      </c>
    </row>
    <row r="29" customFormat="false" ht="15" hidden="false" customHeight="false" outlineLevel="0" collapsed="false">
      <c r="A29" s="24" t="str">
        <f aca="false">IF(Calculations!$A$30="","",Calculations!$A$30)</f>
        <v/>
      </c>
      <c r="B29" s="25" t="str">
        <f aca="false">IF($A29="","",IFERROR(INDEX(Watchlist!$B$1:$B$5000,MATCH($A29,Watchlist!$A$1:$A$5000,0)),""))</f>
        <v/>
      </c>
      <c r="C29" s="25" t="str">
        <f aca="false">IF($A29="","",IFERROR(INDEX(Watchlist!$F$1:$F$5000,MATCH($A29,Watchlist!$A$1:$A$5000,0)),""))</f>
        <v/>
      </c>
      <c r="D29" s="23" t="str">
        <f aca="false">IF($A29="","",IFERROR(INDEX(Watchlist!$E$1:$E$5000,MATCH($A29,Watchlist!$A$1:$A$5000,0)),""))</f>
        <v/>
      </c>
      <c r="E29" s="26" t="str">
        <f aca="false">IF($A29="","",IFERROR(Calculations!$D$30,""))</f>
        <v/>
      </c>
      <c r="F29" s="32" t="str">
        <f aca="false">IF($A29="","",IFERROR(Calculations!$F$30,""))</f>
        <v/>
      </c>
      <c r="G29" s="23" t="str">
        <f aca="false">IF($A29="","",MARKET_LABEL)</f>
        <v/>
      </c>
      <c r="H29" s="23" t="str">
        <f aca="false">IF($A29="","",IF($N29&gt;=6,"صعودی قوی",IF($N29&gt;=2,"صعودی",IF($N29&lt;=-6,"نزولی قوی",IF($N29&lt;=-2,"نزولی","خنثی")))))</f>
        <v/>
      </c>
      <c r="I29" s="23" t="str">
        <f aca="false">IF($A29="","",IFERROR(Calculations!$U$30,""))</f>
        <v/>
      </c>
      <c r="J29" s="23" t="str">
        <f aca="false">IF($A29="","",IF($O29&gt;=6,"ورود قوی پول حقیقی",IF($O29&gt;=2,"ورود پول حقیقی",IF($O29&lt;=-6,"خروج قوی پول حقیقی",IF($O29&lt;=-2,"خروج پول حقیقی","متعادل")))))</f>
        <v/>
      </c>
      <c r="K29" s="33" t="str">
        <f aca="false">IF($A29="","",IFERROR(Calculations!$AG$30,""))</f>
        <v/>
      </c>
      <c r="L29" s="23" t="str">
        <f aca="false">IF($A29="","",IFERROR(Calculations!$O$30,""))</f>
        <v/>
      </c>
      <c r="M29" s="33" t="str">
        <f aca="false">IF($A29="","",IFERROR(Calculations!$AA$30,""))</f>
        <v/>
      </c>
      <c r="N29" s="27" t="str">
        <f aca="false">IF($A29="","",IFERROR(Calculations!$AJ$30,0))</f>
        <v/>
      </c>
      <c r="O29" s="27" t="str">
        <f aca="false">IF($A29="","",IFERROR(Calculations!$AK$30,0))</f>
        <v/>
      </c>
      <c r="P29" s="27" t="str">
        <f aca="false">IF($A29="","",IFERROR(Calculations!$AL$30,0))</f>
        <v/>
      </c>
      <c r="Q29" s="27" t="str">
        <f aca="false">IF($A29="","",IFERROR(Calculations!$AM$30,0))</f>
        <v/>
      </c>
      <c r="R29" s="27" t="str">
        <f aca="false">IF($A29="","",IFERROR(Calculations!$AN$30,0))</f>
        <v/>
      </c>
      <c r="S29" s="27" t="str">
        <f aca="false">IF($A29="","",IFERROR(Calculations!$AO$30,0))</f>
        <v/>
      </c>
      <c r="T29" s="27" t="str">
        <f aca="false">IF($A29="","",IFERROR(Calculations!$AP$30,0))</f>
        <v/>
      </c>
      <c r="U29" s="23" t="str">
        <f aca="false">IF($A29="","",IF($T29&gt;=TH_SBUY,"خرید قوی",IF($T29&gt;=TH_BUY,"خرید",IF($T29&lt;=TH_SSELL,"فروش قوی",IF($T29&lt;=TH_SELL,"فروش","نگهداری")))))</f>
        <v/>
      </c>
      <c r="V29" s="28" t="str">
        <f aca="false">IF($A29="","",IFERROR(Calculations!$AQ$30,1))</f>
        <v/>
      </c>
      <c r="W29" s="34" t="str">
        <f aca="false">IF($A29="","","روند: "&amp;$H29&amp;" | ساختار: "&amp;$I29&amp;" | پول هوشمند: "&amp;$J29&amp;" | قدرت خریدار: "&amp;IFERROR(TEXT($K29,"0.00"),"—")&amp;"x"&amp;" | میانگین‌ها: "&amp;IFERROR(TEXT(Calculations!$N$30,"0"),"—")&amp;"/4 ("&amp;$L29&amp;")"&amp;" | حجم: "&amp;IFERROR(TEXT($M29,"0.00"),"—")&amp;"x"&amp;" | بازار: "&amp;$G29)</f>
        <v/>
      </c>
      <c r="X29" s="26" t="str">
        <f aca="false">IF($A29="","",IFERROR(Calculations!$X$30,""))</f>
        <v/>
      </c>
      <c r="Y29" s="35" t="str">
        <f aca="false">IF($A29="","",IFERROR(($E29-$X29)/$E29,""))</f>
        <v/>
      </c>
      <c r="Z29" s="23" t="str">
        <f aca="false">IF($A29="","",IFERROR(Calculations!$AR$30,""))</f>
        <v/>
      </c>
    </row>
    <row r="30" customFormat="false" ht="15" hidden="false" customHeight="false" outlineLevel="0" collapsed="false">
      <c r="A30" s="24" t="str">
        <f aca="false">IF(Calculations!$A$31="","",Calculations!$A$31)</f>
        <v/>
      </c>
      <c r="B30" s="25" t="str">
        <f aca="false">IF($A30="","",IFERROR(INDEX(Watchlist!$B$1:$B$5000,MATCH($A30,Watchlist!$A$1:$A$5000,0)),""))</f>
        <v/>
      </c>
      <c r="C30" s="25" t="str">
        <f aca="false">IF($A30="","",IFERROR(INDEX(Watchlist!$F$1:$F$5000,MATCH($A30,Watchlist!$A$1:$A$5000,0)),""))</f>
        <v/>
      </c>
      <c r="D30" s="23" t="str">
        <f aca="false">IF($A30="","",IFERROR(INDEX(Watchlist!$E$1:$E$5000,MATCH($A30,Watchlist!$A$1:$A$5000,0)),""))</f>
        <v/>
      </c>
      <c r="E30" s="26" t="str">
        <f aca="false">IF($A30="","",IFERROR(Calculations!$D$31,""))</f>
        <v/>
      </c>
      <c r="F30" s="32" t="str">
        <f aca="false">IF($A30="","",IFERROR(Calculations!$F$31,""))</f>
        <v/>
      </c>
      <c r="G30" s="23" t="str">
        <f aca="false">IF($A30="","",MARKET_LABEL)</f>
        <v/>
      </c>
      <c r="H30" s="23" t="str">
        <f aca="false">IF($A30="","",IF($N30&gt;=6,"صعودی قوی",IF($N30&gt;=2,"صعودی",IF($N30&lt;=-6,"نزولی قوی",IF($N30&lt;=-2,"نزولی","خنثی")))))</f>
        <v/>
      </c>
      <c r="I30" s="23" t="str">
        <f aca="false">IF($A30="","",IFERROR(Calculations!$U$31,""))</f>
        <v/>
      </c>
      <c r="J30" s="23" t="str">
        <f aca="false">IF($A30="","",IF($O30&gt;=6,"ورود قوی پول حقیقی",IF($O30&gt;=2,"ورود پول حقیقی",IF($O30&lt;=-6,"خروج قوی پول حقیقی",IF($O30&lt;=-2,"خروج پول حقیقی","متعادل")))))</f>
        <v/>
      </c>
      <c r="K30" s="33" t="str">
        <f aca="false">IF($A30="","",IFERROR(Calculations!$AG$31,""))</f>
        <v/>
      </c>
      <c r="L30" s="23" t="str">
        <f aca="false">IF($A30="","",IFERROR(Calculations!$O$31,""))</f>
        <v/>
      </c>
      <c r="M30" s="33" t="str">
        <f aca="false">IF($A30="","",IFERROR(Calculations!$AA$31,""))</f>
        <v/>
      </c>
      <c r="N30" s="27" t="str">
        <f aca="false">IF($A30="","",IFERROR(Calculations!$AJ$31,0))</f>
        <v/>
      </c>
      <c r="O30" s="27" t="str">
        <f aca="false">IF($A30="","",IFERROR(Calculations!$AK$31,0))</f>
        <v/>
      </c>
      <c r="P30" s="27" t="str">
        <f aca="false">IF($A30="","",IFERROR(Calculations!$AL$31,0))</f>
        <v/>
      </c>
      <c r="Q30" s="27" t="str">
        <f aca="false">IF($A30="","",IFERROR(Calculations!$AM$31,0))</f>
        <v/>
      </c>
      <c r="R30" s="27" t="str">
        <f aca="false">IF($A30="","",IFERROR(Calculations!$AN$31,0))</f>
        <v/>
      </c>
      <c r="S30" s="27" t="str">
        <f aca="false">IF($A30="","",IFERROR(Calculations!$AO$31,0))</f>
        <v/>
      </c>
      <c r="T30" s="27" t="str">
        <f aca="false">IF($A30="","",IFERROR(Calculations!$AP$31,0))</f>
        <v/>
      </c>
      <c r="U30" s="23" t="str">
        <f aca="false">IF($A30="","",IF($T30&gt;=TH_SBUY,"خرید قوی",IF($T30&gt;=TH_BUY,"خرید",IF($T30&lt;=TH_SSELL,"فروش قوی",IF($T30&lt;=TH_SELL,"فروش","نگهداری")))))</f>
        <v/>
      </c>
      <c r="V30" s="28" t="str">
        <f aca="false">IF($A30="","",IFERROR(Calculations!$AQ$31,1))</f>
        <v/>
      </c>
      <c r="W30" s="34" t="str">
        <f aca="false">IF($A30="","","روند: "&amp;$H30&amp;" | ساختار: "&amp;$I30&amp;" | پول هوشمند: "&amp;$J30&amp;" | قدرت خریدار: "&amp;IFERROR(TEXT($K30,"0.00"),"—")&amp;"x"&amp;" | میانگین‌ها: "&amp;IFERROR(TEXT(Calculations!$N$31,"0"),"—")&amp;"/4 ("&amp;$L30&amp;")"&amp;" | حجم: "&amp;IFERROR(TEXT($M30,"0.00"),"—")&amp;"x"&amp;" | بازار: "&amp;$G30)</f>
        <v/>
      </c>
      <c r="X30" s="26" t="str">
        <f aca="false">IF($A30="","",IFERROR(Calculations!$X$31,""))</f>
        <v/>
      </c>
      <c r="Y30" s="35" t="str">
        <f aca="false">IF($A30="","",IFERROR(($E30-$X30)/$E30,""))</f>
        <v/>
      </c>
      <c r="Z30" s="23" t="str">
        <f aca="false">IF($A30="","",IFERROR(Calculations!$AR$31,""))</f>
        <v/>
      </c>
    </row>
    <row r="31" customFormat="false" ht="15" hidden="false" customHeight="false" outlineLevel="0" collapsed="false">
      <c r="A31" s="24" t="str">
        <f aca="false">IF(Calculations!$A$32="","",Calculations!$A$32)</f>
        <v/>
      </c>
      <c r="B31" s="25" t="str">
        <f aca="false">IF($A31="","",IFERROR(INDEX(Watchlist!$B$1:$B$5000,MATCH($A31,Watchlist!$A$1:$A$5000,0)),""))</f>
        <v/>
      </c>
      <c r="C31" s="25" t="str">
        <f aca="false">IF($A31="","",IFERROR(INDEX(Watchlist!$F$1:$F$5000,MATCH($A31,Watchlist!$A$1:$A$5000,0)),""))</f>
        <v/>
      </c>
      <c r="D31" s="23" t="str">
        <f aca="false">IF($A31="","",IFERROR(INDEX(Watchlist!$E$1:$E$5000,MATCH($A31,Watchlist!$A$1:$A$5000,0)),""))</f>
        <v/>
      </c>
      <c r="E31" s="26" t="str">
        <f aca="false">IF($A31="","",IFERROR(Calculations!$D$32,""))</f>
        <v/>
      </c>
      <c r="F31" s="32" t="str">
        <f aca="false">IF($A31="","",IFERROR(Calculations!$F$32,""))</f>
        <v/>
      </c>
      <c r="G31" s="23" t="str">
        <f aca="false">IF($A31="","",MARKET_LABEL)</f>
        <v/>
      </c>
      <c r="H31" s="23" t="str">
        <f aca="false">IF($A31="","",IF($N31&gt;=6,"صعودی قوی",IF($N31&gt;=2,"صعودی",IF($N31&lt;=-6,"نزولی قوی",IF($N31&lt;=-2,"نزولی","خنثی")))))</f>
        <v/>
      </c>
      <c r="I31" s="23" t="str">
        <f aca="false">IF($A31="","",IFERROR(Calculations!$U$32,""))</f>
        <v/>
      </c>
      <c r="J31" s="23" t="str">
        <f aca="false">IF($A31="","",IF($O31&gt;=6,"ورود قوی پول حقیقی",IF($O31&gt;=2,"ورود پول حقیقی",IF($O31&lt;=-6,"خروج قوی پول حقیقی",IF($O31&lt;=-2,"خروج پول حقیقی","متعادل")))))</f>
        <v/>
      </c>
      <c r="K31" s="33" t="str">
        <f aca="false">IF($A31="","",IFERROR(Calculations!$AG$32,""))</f>
        <v/>
      </c>
      <c r="L31" s="23" t="str">
        <f aca="false">IF($A31="","",IFERROR(Calculations!$O$32,""))</f>
        <v/>
      </c>
      <c r="M31" s="33" t="str">
        <f aca="false">IF($A31="","",IFERROR(Calculations!$AA$32,""))</f>
        <v/>
      </c>
      <c r="N31" s="27" t="str">
        <f aca="false">IF($A31="","",IFERROR(Calculations!$AJ$32,0))</f>
        <v/>
      </c>
      <c r="O31" s="27" t="str">
        <f aca="false">IF($A31="","",IFERROR(Calculations!$AK$32,0))</f>
        <v/>
      </c>
      <c r="P31" s="27" t="str">
        <f aca="false">IF($A31="","",IFERROR(Calculations!$AL$32,0))</f>
        <v/>
      </c>
      <c r="Q31" s="27" t="str">
        <f aca="false">IF($A31="","",IFERROR(Calculations!$AM$32,0))</f>
        <v/>
      </c>
      <c r="R31" s="27" t="str">
        <f aca="false">IF($A31="","",IFERROR(Calculations!$AN$32,0))</f>
        <v/>
      </c>
      <c r="S31" s="27" t="str">
        <f aca="false">IF($A31="","",IFERROR(Calculations!$AO$32,0))</f>
        <v/>
      </c>
      <c r="T31" s="27" t="str">
        <f aca="false">IF($A31="","",IFERROR(Calculations!$AP$32,0))</f>
        <v/>
      </c>
      <c r="U31" s="23" t="str">
        <f aca="false">IF($A31="","",IF($T31&gt;=TH_SBUY,"خرید قوی",IF($T31&gt;=TH_BUY,"خرید",IF($T31&lt;=TH_SSELL,"فروش قوی",IF($T31&lt;=TH_SELL,"فروش","نگهداری")))))</f>
        <v/>
      </c>
      <c r="V31" s="28" t="str">
        <f aca="false">IF($A31="","",IFERROR(Calculations!$AQ$32,1))</f>
        <v/>
      </c>
      <c r="W31" s="34" t="str">
        <f aca="false">IF($A31="","","روند: "&amp;$H31&amp;" | ساختار: "&amp;$I31&amp;" | پول هوشمند: "&amp;$J31&amp;" | قدرت خریدار: "&amp;IFERROR(TEXT($K31,"0.00"),"—")&amp;"x"&amp;" | میانگین‌ها: "&amp;IFERROR(TEXT(Calculations!$N$32,"0"),"—")&amp;"/4 ("&amp;$L31&amp;")"&amp;" | حجم: "&amp;IFERROR(TEXT($M31,"0.00"),"—")&amp;"x"&amp;" | بازار: "&amp;$G31)</f>
        <v/>
      </c>
      <c r="X31" s="26" t="str">
        <f aca="false">IF($A31="","",IFERROR(Calculations!$X$32,""))</f>
        <v/>
      </c>
      <c r="Y31" s="35" t="str">
        <f aca="false">IF($A31="","",IFERROR(($E31-$X31)/$E31,""))</f>
        <v/>
      </c>
      <c r="Z31" s="23" t="str">
        <f aca="false">IF($A31="","",IFERROR(Calculations!$AR$32,""))</f>
        <v/>
      </c>
    </row>
    <row r="32" customFormat="false" ht="15" hidden="false" customHeight="false" outlineLevel="0" collapsed="false">
      <c r="A32" s="24" t="str">
        <f aca="false">IF(Calculations!$A$33="","",Calculations!$A$33)</f>
        <v/>
      </c>
      <c r="B32" s="25" t="str">
        <f aca="false">IF($A32="","",IFERROR(INDEX(Watchlist!$B$1:$B$5000,MATCH($A32,Watchlist!$A$1:$A$5000,0)),""))</f>
        <v/>
      </c>
      <c r="C32" s="25" t="str">
        <f aca="false">IF($A32="","",IFERROR(INDEX(Watchlist!$F$1:$F$5000,MATCH($A32,Watchlist!$A$1:$A$5000,0)),""))</f>
        <v/>
      </c>
      <c r="D32" s="23" t="str">
        <f aca="false">IF($A32="","",IFERROR(INDEX(Watchlist!$E$1:$E$5000,MATCH($A32,Watchlist!$A$1:$A$5000,0)),""))</f>
        <v/>
      </c>
      <c r="E32" s="26" t="str">
        <f aca="false">IF($A32="","",IFERROR(Calculations!$D$33,""))</f>
        <v/>
      </c>
      <c r="F32" s="32" t="str">
        <f aca="false">IF($A32="","",IFERROR(Calculations!$F$33,""))</f>
        <v/>
      </c>
      <c r="G32" s="23" t="str">
        <f aca="false">IF($A32="","",MARKET_LABEL)</f>
        <v/>
      </c>
      <c r="H32" s="23" t="str">
        <f aca="false">IF($A32="","",IF($N32&gt;=6,"صعودی قوی",IF($N32&gt;=2,"صعودی",IF($N32&lt;=-6,"نزولی قوی",IF($N32&lt;=-2,"نزولی","خنثی")))))</f>
        <v/>
      </c>
      <c r="I32" s="23" t="str">
        <f aca="false">IF($A32="","",IFERROR(Calculations!$U$33,""))</f>
        <v/>
      </c>
      <c r="J32" s="23" t="str">
        <f aca="false">IF($A32="","",IF($O32&gt;=6,"ورود قوی پول حقیقی",IF($O32&gt;=2,"ورود پول حقیقی",IF($O32&lt;=-6,"خروج قوی پول حقیقی",IF($O32&lt;=-2,"خروج پول حقیقی","متعادل")))))</f>
        <v/>
      </c>
      <c r="K32" s="33" t="str">
        <f aca="false">IF($A32="","",IFERROR(Calculations!$AG$33,""))</f>
        <v/>
      </c>
      <c r="L32" s="23" t="str">
        <f aca="false">IF($A32="","",IFERROR(Calculations!$O$33,""))</f>
        <v/>
      </c>
      <c r="M32" s="33" t="str">
        <f aca="false">IF($A32="","",IFERROR(Calculations!$AA$33,""))</f>
        <v/>
      </c>
      <c r="N32" s="27" t="str">
        <f aca="false">IF($A32="","",IFERROR(Calculations!$AJ$33,0))</f>
        <v/>
      </c>
      <c r="O32" s="27" t="str">
        <f aca="false">IF($A32="","",IFERROR(Calculations!$AK$33,0))</f>
        <v/>
      </c>
      <c r="P32" s="27" t="str">
        <f aca="false">IF($A32="","",IFERROR(Calculations!$AL$33,0))</f>
        <v/>
      </c>
      <c r="Q32" s="27" t="str">
        <f aca="false">IF($A32="","",IFERROR(Calculations!$AM$33,0))</f>
        <v/>
      </c>
      <c r="R32" s="27" t="str">
        <f aca="false">IF($A32="","",IFERROR(Calculations!$AN$33,0))</f>
        <v/>
      </c>
      <c r="S32" s="27" t="str">
        <f aca="false">IF($A32="","",IFERROR(Calculations!$AO$33,0))</f>
        <v/>
      </c>
      <c r="T32" s="27" t="str">
        <f aca="false">IF($A32="","",IFERROR(Calculations!$AP$33,0))</f>
        <v/>
      </c>
      <c r="U32" s="23" t="str">
        <f aca="false">IF($A32="","",IF($T32&gt;=TH_SBUY,"خرید قوی",IF($T32&gt;=TH_BUY,"خرید",IF($T32&lt;=TH_SSELL,"فروش قوی",IF($T32&lt;=TH_SELL,"فروش","نگهداری")))))</f>
        <v/>
      </c>
      <c r="V32" s="28" t="str">
        <f aca="false">IF($A32="","",IFERROR(Calculations!$AQ$33,1))</f>
        <v/>
      </c>
      <c r="W32" s="34" t="str">
        <f aca="false">IF($A32="","","روند: "&amp;$H32&amp;" | ساختار: "&amp;$I32&amp;" | پول هوشمند: "&amp;$J32&amp;" | قدرت خریدار: "&amp;IFERROR(TEXT($K32,"0.00"),"—")&amp;"x"&amp;" | میانگین‌ها: "&amp;IFERROR(TEXT(Calculations!$N$33,"0"),"—")&amp;"/4 ("&amp;$L32&amp;")"&amp;" | حجم: "&amp;IFERROR(TEXT($M32,"0.00"),"—")&amp;"x"&amp;" | بازار: "&amp;$G32)</f>
        <v/>
      </c>
      <c r="X32" s="26" t="str">
        <f aca="false">IF($A32="","",IFERROR(Calculations!$X$33,""))</f>
        <v/>
      </c>
      <c r="Y32" s="35" t="str">
        <f aca="false">IF($A32="","",IFERROR(($E32-$X32)/$E32,""))</f>
        <v/>
      </c>
      <c r="Z32" s="23" t="str">
        <f aca="false">IF($A32="","",IFERROR(Calculations!$AR$33,""))</f>
        <v/>
      </c>
    </row>
    <row r="33" customFormat="false" ht="15" hidden="false" customHeight="false" outlineLevel="0" collapsed="false">
      <c r="A33" s="24" t="str">
        <f aca="false">IF(Calculations!$A$34="","",Calculations!$A$34)</f>
        <v/>
      </c>
      <c r="B33" s="25" t="str">
        <f aca="false">IF($A33="","",IFERROR(INDEX(Watchlist!$B$1:$B$5000,MATCH($A33,Watchlist!$A$1:$A$5000,0)),""))</f>
        <v/>
      </c>
      <c r="C33" s="25" t="str">
        <f aca="false">IF($A33="","",IFERROR(INDEX(Watchlist!$F$1:$F$5000,MATCH($A33,Watchlist!$A$1:$A$5000,0)),""))</f>
        <v/>
      </c>
      <c r="D33" s="23" t="str">
        <f aca="false">IF($A33="","",IFERROR(INDEX(Watchlist!$E$1:$E$5000,MATCH($A33,Watchlist!$A$1:$A$5000,0)),""))</f>
        <v/>
      </c>
      <c r="E33" s="26" t="str">
        <f aca="false">IF($A33="","",IFERROR(Calculations!$D$34,""))</f>
        <v/>
      </c>
      <c r="F33" s="32" t="str">
        <f aca="false">IF($A33="","",IFERROR(Calculations!$F$34,""))</f>
        <v/>
      </c>
      <c r="G33" s="23" t="str">
        <f aca="false">IF($A33="","",MARKET_LABEL)</f>
        <v/>
      </c>
      <c r="H33" s="23" t="str">
        <f aca="false">IF($A33="","",IF($N33&gt;=6,"صعودی قوی",IF($N33&gt;=2,"صعودی",IF($N33&lt;=-6,"نزولی قوی",IF($N33&lt;=-2,"نزولی","خنثی")))))</f>
        <v/>
      </c>
      <c r="I33" s="23" t="str">
        <f aca="false">IF($A33="","",IFERROR(Calculations!$U$34,""))</f>
        <v/>
      </c>
      <c r="J33" s="23" t="str">
        <f aca="false">IF($A33="","",IF($O33&gt;=6,"ورود قوی پول حقیقی",IF($O33&gt;=2,"ورود پول حقیقی",IF($O33&lt;=-6,"خروج قوی پول حقیقی",IF($O33&lt;=-2,"خروج پول حقیقی","متعادل")))))</f>
        <v/>
      </c>
      <c r="K33" s="33" t="str">
        <f aca="false">IF($A33="","",IFERROR(Calculations!$AG$34,""))</f>
        <v/>
      </c>
      <c r="L33" s="23" t="str">
        <f aca="false">IF($A33="","",IFERROR(Calculations!$O$34,""))</f>
        <v/>
      </c>
      <c r="M33" s="33" t="str">
        <f aca="false">IF($A33="","",IFERROR(Calculations!$AA$34,""))</f>
        <v/>
      </c>
      <c r="N33" s="27" t="str">
        <f aca="false">IF($A33="","",IFERROR(Calculations!$AJ$34,0))</f>
        <v/>
      </c>
      <c r="O33" s="27" t="str">
        <f aca="false">IF($A33="","",IFERROR(Calculations!$AK$34,0))</f>
        <v/>
      </c>
      <c r="P33" s="27" t="str">
        <f aca="false">IF($A33="","",IFERROR(Calculations!$AL$34,0))</f>
        <v/>
      </c>
      <c r="Q33" s="27" t="str">
        <f aca="false">IF($A33="","",IFERROR(Calculations!$AM$34,0))</f>
        <v/>
      </c>
      <c r="R33" s="27" t="str">
        <f aca="false">IF($A33="","",IFERROR(Calculations!$AN$34,0))</f>
        <v/>
      </c>
      <c r="S33" s="27" t="str">
        <f aca="false">IF($A33="","",IFERROR(Calculations!$AO$34,0))</f>
        <v/>
      </c>
      <c r="T33" s="27" t="str">
        <f aca="false">IF($A33="","",IFERROR(Calculations!$AP$34,0))</f>
        <v/>
      </c>
      <c r="U33" s="23" t="str">
        <f aca="false">IF($A33="","",IF($T33&gt;=TH_SBUY,"خرید قوی",IF($T33&gt;=TH_BUY,"خرید",IF($T33&lt;=TH_SSELL,"فروش قوی",IF($T33&lt;=TH_SELL,"فروش","نگهداری")))))</f>
        <v/>
      </c>
      <c r="V33" s="28" t="str">
        <f aca="false">IF($A33="","",IFERROR(Calculations!$AQ$34,1))</f>
        <v/>
      </c>
      <c r="W33" s="34" t="str">
        <f aca="false">IF($A33="","","روند: "&amp;$H33&amp;" | ساختار: "&amp;$I33&amp;" | پول هوشمند: "&amp;$J33&amp;" | قدرت خریدار: "&amp;IFERROR(TEXT($K33,"0.00"),"—")&amp;"x"&amp;" | میانگین‌ها: "&amp;IFERROR(TEXT(Calculations!$N$34,"0"),"—")&amp;"/4 ("&amp;$L33&amp;")"&amp;" | حجم: "&amp;IFERROR(TEXT($M33,"0.00"),"—")&amp;"x"&amp;" | بازار: "&amp;$G33)</f>
        <v/>
      </c>
      <c r="X33" s="26" t="str">
        <f aca="false">IF($A33="","",IFERROR(Calculations!$X$34,""))</f>
        <v/>
      </c>
      <c r="Y33" s="35" t="str">
        <f aca="false">IF($A33="","",IFERROR(($E33-$X33)/$E33,""))</f>
        <v/>
      </c>
      <c r="Z33" s="23" t="str">
        <f aca="false">IF($A33="","",IFERROR(Calculations!$AR$34,""))</f>
        <v/>
      </c>
    </row>
    <row r="34" customFormat="false" ht="15" hidden="false" customHeight="false" outlineLevel="0" collapsed="false">
      <c r="A34" s="24" t="str">
        <f aca="false">IF(Calculations!$A$35="","",Calculations!$A$35)</f>
        <v/>
      </c>
      <c r="B34" s="25" t="str">
        <f aca="false">IF($A34="","",IFERROR(INDEX(Watchlist!$B$1:$B$5000,MATCH($A34,Watchlist!$A$1:$A$5000,0)),""))</f>
        <v/>
      </c>
      <c r="C34" s="25" t="str">
        <f aca="false">IF($A34="","",IFERROR(INDEX(Watchlist!$F$1:$F$5000,MATCH($A34,Watchlist!$A$1:$A$5000,0)),""))</f>
        <v/>
      </c>
      <c r="D34" s="23" t="str">
        <f aca="false">IF($A34="","",IFERROR(INDEX(Watchlist!$E$1:$E$5000,MATCH($A34,Watchlist!$A$1:$A$5000,0)),""))</f>
        <v/>
      </c>
      <c r="E34" s="26" t="str">
        <f aca="false">IF($A34="","",IFERROR(Calculations!$D$35,""))</f>
        <v/>
      </c>
      <c r="F34" s="32" t="str">
        <f aca="false">IF($A34="","",IFERROR(Calculations!$F$35,""))</f>
        <v/>
      </c>
      <c r="G34" s="23" t="str">
        <f aca="false">IF($A34="","",MARKET_LABEL)</f>
        <v/>
      </c>
      <c r="H34" s="23" t="str">
        <f aca="false">IF($A34="","",IF($N34&gt;=6,"صعودی قوی",IF($N34&gt;=2,"صعودی",IF($N34&lt;=-6,"نزولی قوی",IF($N34&lt;=-2,"نزولی","خنثی")))))</f>
        <v/>
      </c>
      <c r="I34" s="23" t="str">
        <f aca="false">IF($A34="","",IFERROR(Calculations!$U$35,""))</f>
        <v/>
      </c>
      <c r="J34" s="23" t="str">
        <f aca="false">IF($A34="","",IF($O34&gt;=6,"ورود قوی پول حقیقی",IF($O34&gt;=2,"ورود پول حقیقی",IF($O34&lt;=-6,"خروج قوی پول حقیقی",IF($O34&lt;=-2,"خروج پول حقیقی","متعادل")))))</f>
        <v/>
      </c>
      <c r="K34" s="33" t="str">
        <f aca="false">IF($A34="","",IFERROR(Calculations!$AG$35,""))</f>
        <v/>
      </c>
      <c r="L34" s="23" t="str">
        <f aca="false">IF($A34="","",IFERROR(Calculations!$O$35,""))</f>
        <v/>
      </c>
      <c r="M34" s="33" t="str">
        <f aca="false">IF($A34="","",IFERROR(Calculations!$AA$35,""))</f>
        <v/>
      </c>
      <c r="N34" s="27" t="str">
        <f aca="false">IF($A34="","",IFERROR(Calculations!$AJ$35,0))</f>
        <v/>
      </c>
      <c r="O34" s="27" t="str">
        <f aca="false">IF($A34="","",IFERROR(Calculations!$AK$35,0))</f>
        <v/>
      </c>
      <c r="P34" s="27" t="str">
        <f aca="false">IF($A34="","",IFERROR(Calculations!$AL$35,0))</f>
        <v/>
      </c>
      <c r="Q34" s="27" t="str">
        <f aca="false">IF($A34="","",IFERROR(Calculations!$AM$35,0))</f>
        <v/>
      </c>
      <c r="R34" s="27" t="str">
        <f aca="false">IF($A34="","",IFERROR(Calculations!$AN$35,0))</f>
        <v/>
      </c>
      <c r="S34" s="27" t="str">
        <f aca="false">IF($A34="","",IFERROR(Calculations!$AO$35,0))</f>
        <v/>
      </c>
      <c r="T34" s="27" t="str">
        <f aca="false">IF($A34="","",IFERROR(Calculations!$AP$35,0))</f>
        <v/>
      </c>
      <c r="U34" s="23" t="str">
        <f aca="false">IF($A34="","",IF($T34&gt;=TH_SBUY,"خرید قوی",IF($T34&gt;=TH_BUY,"خرید",IF($T34&lt;=TH_SSELL,"فروش قوی",IF($T34&lt;=TH_SELL,"فروش","نگهداری")))))</f>
        <v/>
      </c>
      <c r="V34" s="28" t="str">
        <f aca="false">IF($A34="","",IFERROR(Calculations!$AQ$35,1))</f>
        <v/>
      </c>
      <c r="W34" s="34" t="str">
        <f aca="false">IF($A34="","","روند: "&amp;$H34&amp;" | ساختار: "&amp;$I34&amp;" | پول هوشمند: "&amp;$J34&amp;" | قدرت خریدار: "&amp;IFERROR(TEXT($K34,"0.00"),"—")&amp;"x"&amp;" | میانگین‌ها: "&amp;IFERROR(TEXT(Calculations!$N$35,"0"),"—")&amp;"/4 ("&amp;$L34&amp;")"&amp;" | حجم: "&amp;IFERROR(TEXT($M34,"0.00"),"—")&amp;"x"&amp;" | بازار: "&amp;$G34)</f>
        <v/>
      </c>
      <c r="X34" s="26" t="str">
        <f aca="false">IF($A34="","",IFERROR(Calculations!$X$35,""))</f>
        <v/>
      </c>
      <c r="Y34" s="35" t="str">
        <f aca="false">IF($A34="","",IFERROR(($E34-$X34)/$E34,""))</f>
        <v/>
      </c>
      <c r="Z34" s="23" t="str">
        <f aca="false">IF($A34="","",IFERROR(Calculations!$AR$35,""))</f>
        <v/>
      </c>
    </row>
    <row r="35" customFormat="false" ht="15" hidden="false" customHeight="false" outlineLevel="0" collapsed="false">
      <c r="A35" s="24" t="str">
        <f aca="false">IF(Calculations!$A$36="","",Calculations!$A$36)</f>
        <v/>
      </c>
      <c r="B35" s="25" t="str">
        <f aca="false">IF($A35="","",IFERROR(INDEX(Watchlist!$B$1:$B$5000,MATCH($A35,Watchlist!$A$1:$A$5000,0)),""))</f>
        <v/>
      </c>
      <c r="C35" s="25" t="str">
        <f aca="false">IF($A35="","",IFERROR(INDEX(Watchlist!$F$1:$F$5000,MATCH($A35,Watchlist!$A$1:$A$5000,0)),""))</f>
        <v/>
      </c>
      <c r="D35" s="23" t="str">
        <f aca="false">IF($A35="","",IFERROR(INDEX(Watchlist!$E$1:$E$5000,MATCH($A35,Watchlist!$A$1:$A$5000,0)),""))</f>
        <v/>
      </c>
      <c r="E35" s="26" t="str">
        <f aca="false">IF($A35="","",IFERROR(Calculations!$D$36,""))</f>
        <v/>
      </c>
      <c r="F35" s="32" t="str">
        <f aca="false">IF($A35="","",IFERROR(Calculations!$F$36,""))</f>
        <v/>
      </c>
      <c r="G35" s="23" t="str">
        <f aca="false">IF($A35="","",MARKET_LABEL)</f>
        <v/>
      </c>
      <c r="H35" s="23" t="str">
        <f aca="false">IF($A35="","",IF($N35&gt;=6,"صعودی قوی",IF($N35&gt;=2,"صعودی",IF($N35&lt;=-6,"نزولی قوی",IF($N35&lt;=-2,"نزولی","خنثی")))))</f>
        <v/>
      </c>
      <c r="I35" s="23" t="str">
        <f aca="false">IF($A35="","",IFERROR(Calculations!$U$36,""))</f>
        <v/>
      </c>
      <c r="J35" s="23" t="str">
        <f aca="false">IF($A35="","",IF($O35&gt;=6,"ورود قوی پول حقیقی",IF($O35&gt;=2,"ورود پول حقیقی",IF($O35&lt;=-6,"خروج قوی پول حقیقی",IF($O35&lt;=-2,"خروج پول حقیقی","متعادل")))))</f>
        <v/>
      </c>
      <c r="K35" s="33" t="str">
        <f aca="false">IF($A35="","",IFERROR(Calculations!$AG$36,""))</f>
        <v/>
      </c>
      <c r="L35" s="23" t="str">
        <f aca="false">IF($A35="","",IFERROR(Calculations!$O$36,""))</f>
        <v/>
      </c>
      <c r="M35" s="33" t="str">
        <f aca="false">IF($A35="","",IFERROR(Calculations!$AA$36,""))</f>
        <v/>
      </c>
      <c r="N35" s="27" t="str">
        <f aca="false">IF($A35="","",IFERROR(Calculations!$AJ$36,0))</f>
        <v/>
      </c>
      <c r="O35" s="27" t="str">
        <f aca="false">IF($A35="","",IFERROR(Calculations!$AK$36,0))</f>
        <v/>
      </c>
      <c r="P35" s="27" t="str">
        <f aca="false">IF($A35="","",IFERROR(Calculations!$AL$36,0))</f>
        <v/>
      </c>
      <c r="Q35" s="27" t="str">
        <f aca="false">IF($A35="","",IFERROR(Calculations!$AM$36,0))</f>
        <v/>
      </c>
      <c r="R35" s="27" t="str">
        <f aca="false">IF($A35="","",IFERROR(Calculations!$AN$36,0))</f>
        <v/>
      </c>
      <c r="S35" s="27" t="str">
        <f aca="false">IF($A35="","",IFERROR(Calculations!$AO$36,0))</f>
        <v/>
      </c>
      <c r="T35" s="27" t="str">
        <f aca="false">IF($A35="","",IFERROR(Calculations!$AP$36,0))</f>
        <v/>
      </c>
      <c r="U35" s="23" t="str">
        <f aca="false">IF($A35="","",IF($T35&gt;=TH_SBUY,"خرید قوی",IF($T35&gt;=TH_BUY,"خرید",IF($T35&lt;=TH_SSELL,"فروش قوی",IF($T35&lt;=TH_SELL,"فروش","نگهداری")))))</f>
        <v/>
      </c>
      <c r="V35" s="28" t="str">
        <f aca="false">IF($A35="","",IFERROR(Calculations!$AQ$36,1))</f>
        <v/>
      </c>
      <c r="W35" s="34" t="str">
        <f aca="false">IF($A35="","","روند: "&amp;$H35&amp;" | ساختار: "&amp;$I35&amp;" | پول هوشمند: "&amp;$J35&amp;" | قدرت خریدار: "&amp;IFERROR(TEXT($K35,"0.00"),"—")&amp;"x"&amp;" | میانگین‌ها: "&amp;IFERROR(TEXT(Calculations!$N$36,"0"),"—")&amp;"/4 ("&amp;$L35&amp;")"&amp;" | حجم: "&amp;IFERROR(TEXT($M35,"0.00"),"—")&amp;"x"&amp;" | بازار: "&amp;$G35)</f>
        <v/>
      </c>
      <c r="X35" s="26" t="str">
        <f aca="false">IF($A35="","",IFERROR(Calculations!$X$36,""))</f>
        <v/>
      </c>
      <c r="Y35" s="35" t="str">
        <f aca="false">IF($A35="","",IFERROR(($E35-$X35)/$E35,""))</f>
        <v/>
      </c>
      <c r="Z35" s="23" t="str">
        <f aca="false">IF($A35="","",IFERROR(Calculations!$AR$36,""))</f>
        <v/>
      </c>
    </row>
    <row r="36" customFormat="false" ht="15" hidden="false" customHeight="false" outlineLevel="0" collapsed="false">
      <c r="A36" s="24" t="str">
        <f aca="false">IF(Calculations!$A$37="","",Calculations!$A$37)</f>
        <v/>
      </c>
      <c r="B36" s="25" t="str">
        <f aca="false">IF($A36="","",IFERROR(INDEX(Watchlist!$B$1:$B$5000,MATCH($A36,Watchlist!$A$1:$A$5000,0)),""))</f>
        <v/>
      </c>
      <c r="C36" s="25" t="str">
        <f aca="false">IF($A36="","",IFERROR(INDEX(Watchlist!$F$1:$F$5000,MATCH($A36,Watchlist!$A$1:$A$5000,0)),""))</f>
        <v/>
      </c>
      <c r="D36" s="23" t="str">
        <f aca="false">IF($A36="","",IFERROR(INDEX(Watchlist!$E$1:$E$5000,MATCH($A36,Watchlist!$A$1:$A$5000,0)),""))</f>
        <v/>
      </c>
      <c r="E36" s="26" t="str">
        <f aca="false">IF($A36="","",IFERROR(Calculations!$D$37,""))</f>
        <v/>
      </c>
      <c r="F36" s="32" t="str">
        <f aca="false">IF($A36="","",IFERROR(Calculations!$F$37,""))</f>
        <v/>
      </c>
      <c r="G36" s="23" t="str">
        <f aca="false">IF($A36="","",MARKET_LABEL)</f>
        <v/>
      </c>
      <c r="H36" s="23" t="str">
        <f aca="false">IF($A36="","",IF($N36&gt;=6,"صعودی قوی",IF($N36&gt;=2,"صعودی",IF($N36&lt;=-6,"نزولی قوی",IF($N36&lt;=-2,"نزولی","خنثی")))))</f>
        <v/>
      </c>
      <c r="I36" s="23" t="str">
        <f aca="false">IF($A36="","",IFERROR(Calculations!$U$37,""))</f>
        <v/>
      </c>
      <c r="J36" s="23" t="str">
        <f aca="false">IF($A36="","",IF($O36&gt;=6,"ورود قوی پول حقیقی",IF($O36&gt;=2,"ورود پول حقیقی",IF($O36&lt;=-6,"خروج قوی پول حقیقی",IF($O36&lt;=-2,"خروج پول حقیقی","متعادل")))))</f>
        <v/>
      </c>
      <c r="K36" s="33" t="str">
        <f aca="false">IF($A36="","",IFERROR(Calculations!$AG$37,""))</f>
        <v/>
      </c>
      <c r="L36" s="23" t="str">
        <f aca="false">IF($A36="","",IFERROR(Calculations!$O$37,""))</f>
        <v/>
      </c>
      <c r="M36" s="33" t="str">
        <f aca="false">IF($A36="","",IFERROR(Calculations!$AA$37,""))</f>
        <v/>
      </c>
      <c r="N36" s="27" t="str">
        <f aca="false">IF($A36="","",IFERROR(Calculations!$AJ$37,0))</f>
        <v/>
      </c>
      <c r="O36" s="27" t="str">
        <f aca="false">IF($A36="","",IFERROR(Calculations!$AK$37,0))</f>
        <v/>
      </c>
      <c r="P36" s="27" t="str">
        <f aca="false">IF($A36="","",IFERROR(Calculations!$AL$37,0))</f>
        <v/>
      </c>
      <c r="Q36" s="27" t="str">
        <f aca="false">IF($A36="","",IFERROR(Calculations!$AM$37,0))</f>
        <v/>
      </c>
      <c r="R36" s="27" t="str">
        <f aca="false">IF($A36="","",IFERROR(Calculations!$AN$37,0))</f>
        <v/>
      </c>
      <c r="S36" s="27" t="str">
        <f aca="false">IF($A36="","",IFERROR(Calculations!$AO$37,0))</f>
        <v/>
      </c>
      <c r="T36" s="27" t="str">
        <f aca="false">IF($A36="","",IFERROR(Calculations!$AP$37,0))</f>
        <v/>
      </c>
      <c r="U36" s="23" t="str">
        <f aca="false">IF($A36="","",IF($T36&gt;=TH_SBUY,"خرید قوی",IF($T36&gt;=TH_BUY,"خرید",IF($T36&lt;=TH_SSELL,"فروش قوی",IF($T36&lt;=TH_SELL,"فروش","نگهداری")))))</f>
        <v/>
      </c>
      <c r="V36" s="28" t="str">
        <f aca="false">IF($A36="","",IFERROR(Calculations!$AQ$37,1))</f>
        <v/>
      </c>
      <c r="W36" s="34" t="str">
        <f aca="false">IF($A36="","","روند: "&amp;$H36&amp;" | ساختار: "&amp;$I36&amp;" | پول هوشمند: "&amp;$J36&amp;" | قدرت خریدار: "&amp;IFERROR(TEXT($K36,"0.00"),"—")&amp;"x"&amp;" | میانگین‌ها: "&amp;IFERROR(TEXT(Calculations!$N$37,"0"),"—")&amp;"/4 ("&amp;$L36&amp;")"&amp;" | حجم: "&amp;IFERROR(TEXT($M36,"0.00"),"—")&amp;"x"&amp;" | بازار: "&amp;$G36)</f>
        <v/>
      </c>
      <c r="X36" s="26" t="str">
        <f aca="false">IF($A36="","",IFERROR(Calculations!$X$37,""))</f>
        <v/>
      </c>
      <c r="Y36" s="35" t="str">
        <f aca="false">IF($A36="","",IFERROR(($E36-$X36)/$E36,""))</f>
        <v/>
      </c>
      <c r="Z36" s="23" t="str">
        <f aca="false">IF($A36="","",IFERROR(Calculations!$AR$37,""))</f>
        <v/>
      </c>
    </row>
    <row r="37" customFormat="false" ht="15" hidden="false" customHeight="false" outlineLevel="0" collapsed="false">
      <c r="A37" s="24" t="str">
        <f aca="false">IF(Calculations!$A$38="","",Calculations!$A$38)</f>
        <v/>
      </c>
      <c r="B37" s="25" t="str">
        <f aca="false">IF($A37="","",IFERROR(INDEX(Watchlist!$B$1:$B$5000,MATCH($A37,Watchlist!$A$1:$A$5000,0)),""))</f>
        <v/>
      </c>
      <c r="C37" s="25" t="str">
        <f aca="false">IF($A37="","",IFERROR(INDEX(Watchlist!$F$1:$F$5000,MATCH($A37,Watchlist!$A$1:$A$5000,0)),""))</f>
        <v/>
      </c>
      <c r="D37" s="23" t="str">
        <f aca="false">IF($A37="","",IFERROR(INDEX(Watchlist!$E$1:$E$5000,MATCH($A37,Watchlist!$A$1:$A$5000,0)),""))</f>
        <v/>
      </c>
      <c r="E37" s="26" t="str">
        <f aca="false">IF($A37="","",IFERROR(Calculations!$D$38,""))</f>
        <v/>
      </c>
      <c r="F37" s="32" t="str">
        <f aca="false">IF($A37="","",IFERROR(Calculations!$F$38,""))</f>
        <v/>
      </c>
      <c r="G37" s="23" t="str">
        <f aca="false">IF($A37="","",MARKET_LABEL)</f>
        <v/>
      </c>
      <c r="H37" s="23" t="str">
        <f aca="false">IF($A37="","",IF($N37&gt;=6,"صعودی قوی",IF($N37&gt;=2,"صعودی",IF($N37&lt;=-6,"نزولی قوی",IF($N37&lt;=-2,"نزولی","خنثی")))))</f>
        <v/>
      </c>
      <c r="I37" s="23" t="str">
        <f aca="false">IF($A37="","",IFERROR(Calculations!$U$38,""))</f>
        <v/>
      </c>
      <c r="J37" s="23" t="str">
        <f aca="false">IF($A37="","",IF($O37&gt;=6,"ورود قوی پول حقیقی",IF($O37&gt;=2,"ورود پول حقیقی",IF($O37&lt;=-6,"خروج قوی پول حقیقی",IF($O37&lt;=-2,"خروج پول حقیقی","متعادل")))))</f>
        <v/>
      </c>
      <c r="K37" s="33" t="str">
        <f aca="false">IF($A37="","",IFERROR(Calculations!$AG$38,""))</f>
        <v/>
      </c>
      <c r="L37" s="23" t="str">
        <f aca="false">IF($A37="","",IFERROR(Calculations!$O$38,""))</f>
        <v/>
      </c>
      <c r="M37" s="33" t="str">
        <f aca="false">IF($A37="","",IFERROR(Calculations!$AA$38,""))</f>
        <v/>
      </c>
      <c r="N37" s="27" t="str">
        <f aca="false">IF($A37="","",IFERROR(Calculations!$AJ$38,0))</f>
        <v/>
      </c>
      <c r="O37" s="27" t="str">
        <f aca="false">IF($A37="","",IFERROR(Calculations!$AK$38,0))</f>
        <v/>
      </c>
      <c r="P37" s="27" t="str">
        <f aca="false">IF($A37="","",IFERROR(Calculations!$AL$38,0))</f>
        <v/>
      </c>
      <c r="Q37" s="27" t="str">
        <f aca="false">IF($A37="","",IFERROR(Calculations!$AM$38,0))</f>
        <v/>
      </c>
      <c r="R37" s="27" t="str">
        <f aca="false">IF($A37="","",IFERROR(Calculations!$AN$38,0))</f>
        <v/>
      </c>
      <c r="S37" s="27" t="str">
        <f aca="false">IF($A37="","",IFERROR(Calculations!$AO$38,0))</f>
        <v/>
      </c>
      <c r="T37" s="27" t="str">
        <f aca="false">IF($A37="","",IFERROR(Calculations!$AP$38,0))</f>
        <v/>
      </c>
      <c r="U37" s="23" t="str">
        <f aca="false">IF($A37="","",IF($T37&gt;=TH_SBUY,"خرید قوی",IF($T37&gt;=TH_BUY,"خرید",IF($T37&lt;=TH_SSELL,"فروش قوی",IF($T37&lt;=TH_SELL,"فروش","نگهداری")))))</f>
        <v/>
      </c>
      <c r="V37" s="28" t="str">
        <f aca="false">IF($A37="","",IFERROR(Calculations!$AQ$38,1))</f>
        <v/>
      </c>
      <c r="W37" s="34" t="str">
        <f aca="false">IF($A37="","","روند: "&amp;$H37&amp;" | ساختار: "&amp;$I37&amp;" | پول هوشمند: "&amp;$J37&amp;" | قدرت خریدار: "&amp;IFERROR(TEXT($K37,"0.00"),"—")&amp;"x"&amp;" | میانگین‌ها: "&amp;IFERROR(TEXT(Calculations!$N$38,"0"),"—")&amp;"/4 ("&amp;$L37&amp;")"&amp;" | حجم: "&amp;IFERROR(TEXT($M37,"0.00"),"—")&amp;"x"&amp;" | بازار: "&amp;$G37)</f>
        <v/>
      </c>
      <c r="X37" s="26" t="str">
        <f aca="false">IF($A37="","",IFERROR(Calculations!$X$38,""))</f>
        <v/>
      </c>
      <c r="Y37" s="35" t="str">
        <f aca="false">IF($A37="","",IFERROR(($E37-$X37)/$E37,""))</f>
        <v/>
      </c>
      <c r="Z37" s="23" t="str">
        <f aca="false">IF($A37="","",IFERROR(Calculations!$AR$38,""))</f>
        <v/>
      </c>
    </row>
    <row r="38" customFormat="false" ht="15" hidden="false" customHeight="false" outlineLevel="0" collapsed="false">
      <c r="A38" s="24" t="str">
        <f aca="false">IF(Calculations!$A$39="","",Calculations!$A$39)</f>
        <v/>
      </c>
      <c r="B38" s="25" t="str">
        <f aca="false">IF($A38="","",IFERROR(INDEX(Watchlist!$B$1:$B$5000,MATCH($A38,Watchlist!$A$1:$A$5000,0)),""))</f>
        <v/>
      </c>
      <c r="C38" s="25" t="str">
        <f aca="false">IF($A38="","",IFERROR(INDEX(Watchlist!$F$1:$F$5000,MATCH($A38,Watchlist!$A$1:$A$5000,0)),""))</f>
        <v/>
      </c>
      <c r="D38" s="23" t="str">
        <f aca="false">IF($A38="","",IFERROR(INDEX(Watchlist!$E$1:$E$5000,MATCH($A38,Watchlist!$A$1:$A$5000,0)),""))</f>
        <v/>
      </c>
      <c r="E38" s="26" t="str">
        <f aca="false">IF($A38="","",IFERROR(Calculations!$D$39,""))</f>
        <v/>
      </c>
      <c r="F38" s="32" t="str">
        <f aca="false">IF($A38="","",IFERROR(Calculations!$F$39,""))</f>
        <v/>
      </c>
      <c r="G38" s="23" t="str">
        <f aca="false">IF($A38="","",MARKET_LABEL)</f>
        <v/>
      </c>
      <c r="H38" s="23" t="str">
        <f aca="false">IF($A38="","",IF($N38&gt;=6,"صعودی قوی",IF($N38&gt;=2,"صعودی",IF($N38&lt;=-6,"نزولی قوی",IF($N38&lt;=-2,"نزولی","خنثی")))))</f>
        <v/>
      </c>
      <c r="I38" s="23" t="str">
        <f aca="false">IF($A38="","",IFERROR(Calculations!$U$39,""))</f>
        <v/>
      </c>
      <c r="J38" s="23" t="str">
        <f aca="false">IF($A38="","",IF($O38&gt;=6,"ورود قوی پول حقیقی",IF($O38&gt;=2,"ورود پول حقیقی",IF($O38&lt;=-6,"خروج قوی پول حقیقی",IF($O38&lt;=-2,"خروج پول حقیقی","متعادل")))))</f>
        <v/>
      </c>
      <c r="K38" s="33" t="str">
        <f aca="false">IF($A38="","",IFERROR(Calculations!$AG$39,""))</f>
        <v/>
      </c>
      <c r="L38" s="23" t="str">
        <f aca="false">IF($A38="","",IFERROR(Calculations!$O$39,""))</f>
        <v/>
      </c>
      <c r="M38" s="33" t="str">
        <f aca="false">IF($A38="","",IFERROR(Calculations!$AA$39,""))</f>
        <v/>
      </c>
      <c r="N38" s="27" t="str">
        <f aca="false">IF($A38="","",IFERROR(Calculations!$AJ$39,0))</f>
        <v/>
      </c>
      <c r="O38" s="27" t="str">
        <f aca="false">IF($A38="","",IFERROR(Calculations!$AK$39,0))</f>
        <v/>
      </c>
      <c r="P38" s="27" t="str">
        <f aca="false">IF($A38="","",IFERROR(Calculations!$AL$39,0))</f>
        <v/>
      </c>
      <c r="Q38" s="27" t="str">
        <f aca="false">IF($A38="","",IFERROR(Calculations!$AM$39,0))</f>
        <v/>
      </c>
      <c r="R38" s="27" t="str">
        <f aca="false">IF($A38="","",IFERROR(Calculations!$AN$39,0))</f>
        <v/>
      </c>
      <c r="S38" s="27" t="str">
        <f aca="false">IF($A38="","",IFERROR(Calculations!$AO$39,0))</f>
        <v/>
      </c>
      <c r="T38" s="27" t="str">
        <f aca="false">IF($A38="","",IFERROR(Calculations!$AP$39,0))</f>
        <v/>
      </c>
      <c r="U38" s="23" t="str">
        <f aca="false">IF($A38="","",IF($T38&gt;=TH_SBUY,"خرید قوی",IF($T38&gt;=TH_BUY,"خرید",IF($T38&lt;=TH_SSELL,"فروش قوی",IF($T38&lt;=TH_SELL,"فروش","نگهداری")))))</f>
        <v/>
      </c>
      <c r="V38" s="28" t="str">
        <f aca="false">IF($A38="","",IFERROR(Calculations!$AQ$39,1))</f>
        <v/>
      </c>
      <c r="W38" s="34" t="str">
        <f aca="false">IF($A38="","","روند: "&amp;$H38&amp;" | ساختار: "&amp;$I38&amp;" | پول هوشمند: "&amp;$J38&amp;" | قدرت خریدار: "&amp;IFERROR(TEXT($K38,"0.00"),"—")&amp;"x"&amp;" | میانگین‌ها: "&amp;IFERROR(TEXT(Calculations!$N$39,"0"),"—")&amp;"/4 ("&amp;$L38&amp;")"&amp;" | حجم: "&amp;IFERROR(TEXT($M38,"0.00"),"—")&amp;"x"&amp;" | بازار: "&amp;$G38)</f>
        <v/>
      </c>
      <c r="X38" s="26" t="str">
        <f aca="false">IF($A38="","",IFERROR(Calculations!$X$39,""))</f>
        <v/>
      </c>
      <c r="Y38" s="35" t="str">
        <f aca="false">IF($A38="","",IFERROR(($E38-$X38)/$E38,""))</f>
        <v/>
      </c>
      <c r="Z38" s="23" t="str">
        <f aca="false">IF($A38="","",IFERROR(Calculations!$AR$39,""))</f>
        <v/>
      </c>
    </row>
    <row r="39" customFormat="false" ht="15" hidden="false" customHeight="false" outlineLevel="0" collapsed="false">
      <c r="A39" s="24" t="str">
        <f aca="false">IF(Calculations!$A$40="","",Calculations!$A$40)</f>
        <v/>
      </c>
      <c r="B39" s="25" t="str">
        <f aca="false">IF($A39="","",IFERROR(INDEX(Watchlist!$B$1:$B$5000,MATCH($A39,Watchlist!$A$1:$A$5000,0)),""))</f>
        <v/>
      </c>
      <c r="C39" s="25" t="str">
        <f aca="false">IF($A39="","",IFERROR(INDEX(Watchlist!$F$1:$F$5000,MATCH($A39,Watchlist!$A$1:$A$5000,0)),""))</f>
        <v/>
      </c>
      <c r="D39" s="23" t="str">
        <f aca="false">IF($A39="","",IFERROR(INDEX(Watchlist!$E$1:$E$5000,MATCH($A39,Watchlist!$A$1:$A$5000,0)),""))</f>
        <v/>
      </c>
      <c r="E39" s="26" t="str">
        <f aca="false">IF($A39="","",IFERROR(Calculations!$D$40,""))</f>
        <v/>
      </c>
      <c r="F39" s="32" t="str">
        <f aca="false">IF($A39="","",IFERROR(Calculations!$F$40,""))</f>
        <v/>
      </c>
      <c r="G39" s="23" t="str">
        <f aca="false">IF($A39="","",MARKET_LABEL)</f>
        <v/>
      </c>
      <c r="H39" s="23" t="str">
        <f aca="false">IF($A39="","",IF($N39&gt;=6,"صعودی قوی",IF($N39&gt;=2,"صعودی",IF($N39&lt;=-6,"نزولی قوی",IF($N39&lt;=-2,"نزولی","خنثی")))))</f>
        <v/>
      </c>
      <c r="I39" s="23" t="str">
        <f aca="false">IF($A39="","",IFERROR(Calculations!$U$40,""))</f>
        <v/>
      </c>
      <c r="J39" s="23" t="str">
        <f aca="false">IF($A39="","",IF($O39&gt;=6,"ورود قوی پول حقیقی",IF($O39&gt;=2,"ورود پول حقیقی",IF($O39&lt;=-6,"خروج قوی پول حقیقی",IF($O39&lt;=-2,"خروج پول حقیقی","متعادل")))))</f>
        <v/>
      </c>
      <c r="K39" s="33" t="str">
        <f aca="false">IF($A39="","",IFERROR(Calculations!$AG$40,""))</f>
        <v/>
      </c>
      <c r="L39" s="23" t="str">
        <f aca="false">IF($A39="","",IFERROR(Calculations!$O$40,""))</f>
        <v/>
      </c>
      <c r="M39" s="33" t="str">
        <f aca="false">IF($A39="","",IFERROR(Calculations!$AA$40,""))</f>
        <v/>
      </c>
      <c r="N39" s="27" t="str">
        <f aca="false">IF($A39="","",IFERROR(Calculations!$AJ$40,0))</f>
        <v/>
      </c>
      <c r="O39" s="27" t="str">
        <f aca="false">IF($A39="","",IFERROR(Calculations!$AK$40,0))</f>
        <v/>
      </c>
      <c r="P39" s="27" t="str">
        <f aca="false">IF($A39="","",IFERROR(Calculations!$AL$40,0))</f>
        <v/>
      </c>
      <c r="Q39" s="27" t="str">
        <f aca="false">IF($A39="","",IFERROR(Calculations!$AM$40,0))</f>
        <v/>
      </c>
      <c r="R39" s="27" t="str">
        <f aca="false">IF($A39="","",IFERROR(Calculations!$AN$40,0))</f>
        <v/>
      </c>
      <c r="S39" s="27" t="str">
        <f aca="false">IF($A39="","",IFERROR(Calculations!$AO$40,0))</f>
        <v/>
      </c>
      <c r="T39" s="27" t="str">
        <f aca="false">IF($A39="","",IFERROR(Calculations!$AP$40,0))</f>
        <v/>
      </c>
      <c r="U39" s="23" t="str">
        <f aca="false">IF($A39="","",IF($T39&gt;=TH_SBUY,"خرید قوی",IF($T39&gt;=TH_BUY,"خرید",IF($T39&lt;=TH_SSELL,"فروش قوی",IF($T39&lt;=TH_SELL,"فروش","نگهداری")))))</f>
        <v/>
      </c>
      <c r="V39" s="28" t="str">
        <f aca="false">IF($A39="","",IFERROR(Calculations!$AQ$40,1))</f>
        <v/>
      </c>
      <c r="W39" s="34" t="str">
        <f aca="false">IF($A39="","","روند: "&amp;$H39&amp;" | ساختار: "&amp;$I39&amp;" | پول هوشمند: "&amp;$J39&amp;" | قدرت خریدار: "&amp;IFERROR(TEXT($K39,"0.00"),"—")&amp;"x"&amp;" | میانگین‌ها: "&amp;IFERROR(TEXT(Calculations!$N$40,"0"),"—")&amp;"/4 ("&amp;$L39&amp;")"&amp;" | حجم: "&amp;IFERROR(TEXT($M39,"0.00"),"—")&amp;"x"&amp;" | بازار: "&amp;$G39)</f>
        <v/>
      </c>
      <c r="X39" s="26" t="str">
        <f aca="false">IF($A39="","",IFERROR(Calculations!$X$40,""))</f>
        <v/>
      </c>
      <c r="Y39" s="35" t="str">
        <f aca="false">IF($A39="","",IFERROR(($E39-$X39)/$E39,""))</f>
        <v/>
      </c>
      <c r="Z39" s="23" t="str">
        <f aca="false">IF($A39="","",IFERROR(Calculations!$AR$40,""))</f>
        <v/>
      </c>
    </row>
    <row r="40" customFormat="false" ht="15" hidden="false" customHeight="false" outlineLevel="0" collapsed="false">
      <c r="A40" s="24" t="str">
        <f aca="false">IF(Calculations!$A$41="","",Calculations!$A$41)</f>
        <v/>
      </c>
      <c r="B40" s="25" t="str">
        <f aca="false">IF($A40="","",IFERROR(INDEX(Watchlist!$B$1:$B$5000,MATCH($A40,Watchlist!$A$1:$A$5000,0)),""))</f>
        <v/>
      </c>
      <c r="C40" s="25" t="str">
        <f aca="false">IF($A40="","",IFERROR(INDEX(Watchlist!$F$1:$F$5000,MATCH($A40,Watchlist!$A$1:$A$5000,0)),""))</f>
        <v/>
      </c>
      <c r="D40" s="23" t="str">
        <f aca="false">IF($A40="","",IFERROR(INDEX(Watchlist!$E$1:$E$5000,MATCH($A40,Watchlist!$A$1:$A$5000,0)),""))</f>
        <v/>
      </c>
      <c r="E40" s="26" t="str">
        <f aca="false">IF($A40="","",IFERROR(Calculations!$D$41,""))</f>
        <v/>
      </c>
      <c r="F40" s="32" t="str">
        <f aca="false">IF($A40="","",IFERROR(Calculations!$F$41,""))</f>
        <v/>
      </c>
      <c r="G40" s="23" t="str">
        <f aca="false">IF($A40="","",MARKET_LABEL)</f>
        <v/>
      </c>
      <c r="H40" s="23" t="str">
        <f aca="false">IF($A40="","",IF($N40&gt;=6,"صعودی قوی",IF($N40&gt;=2,"صعودی",IF($N40&lt;=-6,"نزولی قوی",IF($N40&lt;=-2,"نزولی","خنثی")))))</f>
        <v/>
      </c>
      <c r="I40" s="23" t="str">
        <f aca="false">IF($A40="","",IFERROR(Calculations!$U$41,""))</f>
        <v/>
      </c>
      <c r="J40" s="23" t="str">
        <f aca="false">IF($A40="","",IF($O40&gt;=6,"ورود قوی پول حقیقی",IF($O40&gt;=2,"ورود پول حقیقی",IF($O40&lt;=-6,"خروج قوی پول حقیقی",IF($O40&lt;=-2,"خروج پول حقیقی","متعادل")))))</f>
        <v/>
      </c>
      <c r="K40" s="33" t="str">
        <f aca="false">IF($A40="","",IFERROR(Calculations!$AG$41,""))</f>
        <v/>
      </c>
      <c r="L40" s="23" t="str">
        <f aca="false">IF($A40="","",IFERROR(Calculations!$O$41,""))</f>
        <v/>
      </c>
      <c r="M40" s="33" t="str">
        <f aca="false">IF($A40="","",IFERROR(Calculations!$AA$41,""))</f>
        <v/>
      </c>
      <c r="N40" s="27" t="str">
        <f aca="false">IF($A40="","",IFERROR(Calculations!$AJ$41,0))</f>
        <v/>
      </c>
      <c r="O40" s="27" t="str">
        <f aca="false">IF($A40="","",IFERROR(Calculations!$AK$41,0))</f>
        <v/>
      </c>
      <c r="P40" s="27" t="str">
        <f aca="false">IF($A40="","",IFERROR(Calculations!$AL$41,0))</f>
        <v/>
      </c>
      <c r="Q40" s="27" t="str">
        <f aca="false">IF($A40="","",IFERROR(Calculations!$AM$41,0))</f>
        <v/>
      </c>
      <c r="R40" s="27" t="str">
        <f aca="false">IF($A40="","",IFERROR(Calculations!$AN$41,0))</f>
        <v/>
      </c>
      <c r="S40" s="27" t="str">
        <f aca="false">IF($A40="","",IFERROR(Calculations!$AO$41,0))</f>
        <v/>
      </c>
      <c r="T40" s="27" t="str">
        <f aca="false">IF($A40="","",IFERROR(Calculations!$AP$41,0))</f>
        <v/>
      </c>
      <c r="U40" s="23" t="str">
        <f aca="false">IF($A40="","",IF($T40&gt;=TH_SBUY,"خرید قوی",IF($T40&gt;=TH_BUY,"خرید",IF($T40&lt;=TH_SSELL,"فروش قوی",IF($T40&lt;=TH_SELL,"فروش","نگهداری")))))</f>
        <v/>
      </c>
      <c r="V40" s="28" t="str">
        <f aca="false">IF($A40="","",IFERROR(Calculations!$AQ$41,1))</f>
        <v/>
      </c>
      <c r="W40" s="34" t="str">
        <f aca="false">IF($A40="","","روند: "&amp;$H40&amp;" | ساختار: "&amp;$I40&amp;" | پول هوشمند: "&amp;$J40&amp;" | قدرت خریدار: "&amp;IFERROR(TEXT($K40,"0.00"),"—")&amp;"x"&amp;" | میانگین‌ها: "&amp;IFERROR(TEXT(Calculations!$N$41,"0"),"—")&amp;"/4 ("&amp;$L40&amp;")"&amp;" | حجم: "&amp;IFERROR(TEXT($M40,"0.00"),"—")&amp;"x"&amp;" | بازار: "&amp;$G40)</f>
        <v/>
      </c>
      <c r="X40" s="26" t="str">
        <f aca="false">IF($A40="","",IFERROR(Calculations!$X$41,""))</f>
        <v/>
      </c>
      <c r="Y40" s="35" t="str">
        <f aca="false">IF($A40="","",IFERROR(($E40-$X40)/$E40,""))</f>
        <v/>
      </c>
      <c r="Z40" s="23" t="str">
        <f aca="false">IF($A40="","",IFERROR(Calculations!$AR$41,""))</f>
        <v/>
      </c>
    </row>
    <row r="41" customFormat="false" ht="15" hidden="false" customHeight="false" outlineLevel="0" collapsed="false">
      <c r="A41" s="24" t="str">
        <f aca="false">IF(Calculations!$A$42="","",Calculations!$A$42)</f>
        <v/>
      </c>
      <c r="B41" s="25" t="str">
        <f aca="false">IF($A41="","",IFERROR(INDEX(Watchlist!$B$1:$B$5000,MATCH($A41,Watchlist!$A$1:$A$5000,0)),""))</f>
        <v/>
      </c>
      <c r="C41" s="25" t="str">
        <f aca="false">IF($A41="","",IFERROR(INDEX(Watchlist!$F$1:$F$5000,MATCH($A41,Watchlist!$A$1:$A$5000,0)),""))</f>
        <v/>
      </c>
      <c r="D41" s="23" t="str">
        <f aca="false">IF($A41="","",IFERROR(INDEX(Watchlist!$E$1:$E$5000,MATCH($A41,Watchlist!$A$1:$A$5000,0)),""))</f>
        <v/>
      </c>
      <c r="E41" s="26" t="str">
        <f aca="false">IF($A41="","",IFERROR(Calculations!$D$42,""))</f>
        <v/>
      </c>
      <c r="F41" s="32" t="str">
        <f aca="false">IF($A41="","",IFERROR(Calculations!$F$42,""))</f>
        <v/>
      </c>
      <c r="G41" s="23" t="str">
        <f aca="false">IF($A41="","",MARKET_LABEL)</f>
        <v/>
      </c>
      <c r="H41" s="23" t="str">
        <f aca="false">IF($A41="","",IF($N41&gt;=6,"صعودی قوی",IF($N41&gt;=2,"صعودی",IF($N41&lt;=-6,"نزولی قوی",IF($N41&lt;=-2,"نزولی","خنثی")))))</f>
        <v/>
      </c>
      <c r="I41" s="23" t="str">
        <f aca="false">IF($A41="","",IFERROR(Calculations!$U$42,""))</f>
        <v/>
      </c>
      <c r="J41" s="23" t="str">
        <f aca="false">IF($A41="","",IF($O41&gt;=6,"ورود قوی پول حقیقی",IF($O41&gt;=2,"ورود پول حقیقی",IF($O41&lt;=-6,"خروج قوی پول حقیقی",IF($O41&lt;=-2,"خروج پول حقیقی","متعادل")))))</f>
        <v/>
      </c>
      <c r="K41" s="33" t="str">
        <f aca="false">IF($A41="","",IFERROR(Calculations!$AG$42,""))</f>
        <v/>
      </c>
      <c r="L41" s="23" t="str">
        <f aca="false">IF($A41="","",IFERROR(Calculations!$O$42,""))</f>
        <v/>
      </c>
      <c r="M41" s="33" t="str">
        <f aca="false">IF($A41="","",IFERROR(Calculations!$AA$42,""))</f>
        <v/>
      </c>
      <c r="N41" s="27" t="str">
        <f aca="false">IF($A41="","",IFERROR(Calculations!$AJ$42,0))</f>
        <v/>
      </c>
      <c r="O41" s="27" t="str">
        <f aca="false">IF($A41="","",IFERROR(Calculations!$AK$42,0))</f>
        <v/>
      </c>
      <c r="P41" s="27" t="str">
        <f aca="false">IF($A41="","",IFERROR(Calculations!$AL$42,0))</f>
        <v/>
      </c>
      <c r="Q41" s="27" t="str">
        <f aca="false">IF($A41="","",IFERROR(Calculations!$AM$42,0))</f>
        <v/>
      </c>
      <c r="R41" s="27" t="str">
        <f aca="false">IF($A41="","",IFERROR(Calculations!$AN$42,0))</f>
        <v/>
      </c>
      <c r="S41" s="27" t="str">
        <f aca="false">IF($A41="","",IFERROR(Calculations!$AO$42,0))</f>
        <v/>
      </c>
      <c r="T41" s="27" t="str">
        <f aca="false">IF($A41="","",IFERROR(Calculations!$AP$42,0))</f>
        <v/>
      </c>
      <c r="U41" s="23" t="str">
        <f aca="false">IF($A41="","",IF($T41&gt;=TH_SBUY,"خرید قوی",IF($T41&gt;=TH_BUY,"خرید",IF($T41&lt;=TH_SSELL,"فروش قوی",IF($T41&lt;=TH_SELL,"فروش","نگهداری")))))</f>
        <v/>
      </c>
      <c r="V41" s="28" t="str">
        <f aca="false">IF($A41="","",IFERROR(Calculations!$AQ$42,1))</f>
        <v/>
      </c>
      <c r="W41" s="34" t="str">
        <f aca="false">IF($A41="","","روند: "&amp;$H41&amp;" | ساختار: "&amp;$I41&amp;" | پول هوشمند: "&amp;$J41&amp;" | قدرت خریدار: "&amp;IFERROR(TEXT($K41,"0.00"),"—")&amp;"x"&amp;" | میانگین‌ها: "&amp;IFERROR(TEXT(Calculations!$N$42,"0"),"—")&amp;"/4 ("&amp;$L41&amp;")"&amp;" | حجم: "&amp;IFERROR(TEXT($M41,"0.00"),"—")&amp;"x"&amp;" | بازار: "&amp;$G41)</f>
        <v/>
      </c>
      <c r="X41" s="26" t="str">
        <f aca="false">IF($A41="","",IFERROR(Calculations!$X$42,""))</f>
        <v/>
      </c>
      <c r="Y41" s="35" t="str">
        <f aca="false">IF($A41="","",IFERROR(($E41-$X41)/$E41,""))</f>
        <v/>
      </c>
      <c r="Z41" s="23" t="str">
        <f aca="false">IF($A41="","",IFERROR(Calculations!$AR$42,""))</f>
        <v/>
      </c>
    </row>
    <row r="42" customFormat="false" ht="15" hidden="false" customHeight="false" outlineLevel="0" collapsed="false">
      <c r="A42" s="24" t="str">
        <f aca="false">IF(Calculations!$A$43="","",Calculations!$A$43)</f>
        <v/>
      </c>
      <c r="B42" s="25" t="str">
        <f aca="false">IF($A42="","",IFERROR(INDEX(Watchlist!$B$1:$B$5000,MATCH($A42,Watchlist!$A$1:$A$5000,0)),""))</f>
        <v/>
      </c>
      <c r="C42" s="25" t="str">
        <f aca="false">IF($A42="","",IFERROR(INDEX(Watchlist!$F$1:$F$5000,MATCH($A42,Watchlist!$A$1:$A$5000,0)),""))</f>
        <v/>
      </c>
      <c r="D42" s="23" t="str">
        <f aca="false">IF($A42="","",IFERROR(INDEX(Watchlist!$E$1:$E$5000,MATCH($A42,Watchlist!$A$1:$A$5000,0)),""))</f>
        <v/>
      </c>
      <c r="E42" s="26" t="str">
        <f aca="false">IF($A42="","",IFERROR(Calculations!$D$43,""))</f>
        <v/>
      </c>
      <c r="F42" s="32" t="str">
        <f aca="false">IF($A42="","",IFERROR(Calculations!$F$43,""))</f>
        <v/>
      </c>
      <c r="G42" s="23" t="str">
        <f aca="false">IF($A42="","",MARKET_LABEL)</f>
        <v/>
      </c>
      <c r="H42" s="23" t="str">
        <f aca="false">IF($A42="","",IF($N42&gt;=6,"صعودی قوی",IF($N42&gt;=2,"صعودی",IF($N42&lt;=-6,"نزولی قوی",IF($N42&lt;=-2,"نزولی","خنثی")))))</f>
        <v/>
      </c>
      <c r="I42" s="23" t="str">
        <f aca="false">IF($A42="","",IFERROR(Calculations!$U$43,""))</f>
        <v/>
      </c>
      <c r="J42" s="23" t="str">
        <f aca="false">IF($A42="","",IF($O42&gt;=6,"ورود قوی پول حقیقی",IF($O42&gt;=2,"ورود پول حقیقی",IF($O42&lt;=-6,"خروج قوی پول حقیقی",IF($O42&lt;=-2,"خروج پول حقیقی","متعادل")))))</f>
        <v/>
      </c>
      <c r="K42" s="33" t="str">
        <f aca="false">IF($A42="","",IFERROR(Calculations!$AG$43,""))</f>
        <v/>
      </c>
      <c r="L42" s="23" t="str">
        <f aca="false">IF($A42="","",IFERROR(Calculations!$O$43,""))</f>
        <v/>
      </c>
      <c r="M42" s="33" t="str">
        <f aca="false">IF($A42="","",IFERROR(Calculations!$AA$43,""))</f>
        <v/>
      </c>
      <c r="N42" s="27" t="str">
        <f aca="false">IF($A42="","",IFERROR(Calculations!$AJ$43,0))</f>
        <v/>
      </c>
      <c r="O42" s="27" t="str">
        <f aca="false">IF($A42="","",IFERROR(Calculations!$AK$43,0))</f>
        <v/>
      </c>
      <c r="P42" s="27" t="str">
        <f aca="false">IF($A42="","",IFERROR(Calculations!$AL$43,0))</f>
        <v/>
      </c>
      <c r="Q42" s="27" t="str">
        <f aca="false">IF($A42="","",IFERROR(Calculations!$AM$43,0))</f>
        <v/>
      </c>
      <c r="R42" s="27" t="str">
        <f aca="false">IF($A42="","",IFERROR(Calculations!$AN$43,0))</f>
        <v/>
      </c>
      <c r="S42" s="27" t="str">
        <f aca="false">IF($A42="","",IFERROR(Calculations!$AO$43,0))</f>
        <v/>
      </c>
      <c r="T42" s="27" t="str">
        <f aca="false">IF($A42="","",IFERROR(Calculations!$AP$43,0))</f>
        <v/>
      </c>
      <c r="U42" s="23" t="str">
        <f aca="false">IF($A42="","",IF($T42&gt;=TH_SBUY,"خرید قوی",IF($T42&gt;=TH_BUY,"خرید",IF($T42&lt;=TH_SSELL,"فروش قوی",IF($T42&lt;=TH_SELL,"فروش","نگهداری")))))</f>
        <v/>
      </c>
      <c r="V42" s="28" t="str">
        <f aca="false">IF($A42="","",IFERROR(Calculations!$AQ$43,1))</f>
        <v/>
      </c>
      <c r="W42" s="34" t="str">
        <f aca="false">IF($A42="","","روند: "&amp;$H42&amp;" | ساختار: "&amp;$I42&amp;" | پول هوشمند: "&amp;$J42&amp;" | قدرت خریدار: "&amp;IFERROR(TEXT($K42,"0.00"),"—")&amp;"x"&amp;" | میانگین‌ها: "&amp;IFERROR(TEXT(Calculations!$N$43,"0"),"—")&amp;"/4 ("&amp;$L42&amp;")"&amp;" | حجم: "&amp;IFERROR(TEXT($M42,"0.00"),"—")&amp;"x"&amp;" | بازار: "&amp;$G42)</f>
        <v/>
      </c>
      <c r="X42" s="26" t="str">
        <f aca="false">IF($A42="","",IFERROR(Calculations!$X$43,""))</f>
        <v/>
      </c>
      <c r="Y42" s="35" t="str">
        <f aca="false">IF($A42="","",IFERROR(($E42-$X42)/$E42,""))</f>
        <v/>
      </c>
      <c r="Z42" s="23" t="str">
        <f aca="false">IF($A42="","",IFERROR(Calculations!$AR$43,""))</f>
        <v/>
      </c>
    </row>
    <row r="43" customFormat="false" ht="15" hidden="false" customHeight="false" outlineLevel="0" collapsed="false">
      <c r="A43" s="24" t="str">
        <f aca="false">IF(Calculations!$A$44="","",Calculations!$A$44)</f>
        <v/>
      </c>
      <c r="B43" s="25" t="str">
        <f aca="false">IF($A43="","",IFERROR(INDEX(Watchlist!$B$1:$B$5000,MATCH($A43,Watchlist!$A$1:$A$5000,0)),""))</f>
        <v/>
      </c>
      <c r="C43" s="25" t="str">
        <f aca="false">IF($A43="","",IFERROR(INDEX(Watchlist!$F$1:$F$5000,MATCH($A43,Watchlist!$A$1:$A$5000,0)),""))</f>
        <v/>
      </c>
      <c r="D43" s="23" t="str">
        <f aca="false">IF($A43="","",IFERROR(INDEX(Watchlist!$E$1:$E$5000,MATCH($A43,Watchlist!$A$1:$A$5000,0)),""))</f>
        <v/>
      </c>
      <c r="E43" s="26" t="str">
        <f aca="false">IF($A43="","",IFERROR(Calculations!$D$44,""))</f>
        <v/>
      </c>
      <c r="F43" s="32" t="str">
        <f aca="false">IF($A43="","",IFERROR(Calculations!$F$44,""))</f>
        <v/>
      </c>
      <c r="G43" s="23" t="str">
        <f aca="false">IF($A43="","",MARKET_LABEL)</f>
        <v/>
      </c>
      <c r="H43" s="23" t="str">
        <f aca="false">IF($A43="","",IF($N43&gt;=6,"صعودی قوی",IF($N43&gt;=2,"صعودی",IF($N43&lt;=-6,"نزولی قوی",IF($N43&lt;=-2,"نزولی","خنثی")))))</f>
        <v/>
      </c>
      <c r="I43" s="23" t="str">
        <f aca="false">IF($A43="","",IFERROR(Calculations!$U$44,""))</f>
        <v/>
      </c>
      <c r="J43" s="23" t="str">
        <f aca="false">IF($A43="","",IF($O43&gt;=6,"ورود قوی پول حقیقی",IF($O43&gt;=2,"ورود پول حقیقی",IF($O43&lt;=-6,"خروج قوی پول حقیقی",IF($O43&lt;=-2,"خروج پول حقیقی","متعادل")))))</f>
        <v/>
      </c>
      <c r="K43" s="33" t="str">
        <f aca="false">IF($A43="","",IFERROR(Calculations!$AG$44,""))</f>
        <v/>
      </c>
      <c r="L43" s="23" t="str">
        <f aca="false">IF($A43="","",IFERROR(Calculations!$O$44,""))</f>
        <v/>
      </c>
      <c r="M43" s="33" t="str">
        <f aca="false">IF($A43="","",IFERROR(Calculations!$AA$44,""))</f>
        <v/>
      </c>
      <c r="N43" s="27" t="str">
        <f aca="false">IF($A43="","",IFERROR(Calculations!$AJ$44,0))</f>
        <v/>
      </c>
      <c r="O43" s="27" t="str">
        <f aca="false">IF($A43="","",IFERROR(Calculations!$AK$44,0))</f>
        <v/>
      </c>
      <c r="P43" s="27" t="str">
        <f aca="false">IF($A43="","",IFERROR(Calculations!$AL$44,0))</f>
        <v/>
      </c>
      <c r="Q43" s="27" t="str">
        <f aca="false">IF($A43="","",IFERROR(Calculations!$AM$44,0))</f>
        <v/>
      </c>
      <c r="R43" s="27" t="str">
        <f aca="false">IF($A43="","",IFERROR(Calculations!$AN$44,0))</f>
        <v/>
      </c>
      <c r="S43" s="27" t="str">
        <f aca="false">IF($A43="","",IFERROR(Calculations!$AO$44,0))</f>
        <v/>
      </c>
      <c r="T43" s="27" t="str">
        <f aca="false">IF($A43="","",IFERROR(Calculations!$AP$44,0))</f>
        <v/>
      </c>
      <c r="U43" s="23" t="str">
        <f aca="false">IF($A43="","",IF($T43&gt;=TH_SBUY,"خرید قوی",IF($T43&gt;=TH_BUY,"خرید",IF($T43&lt;=TH_SSELL,"فروش قوی",IF($T43&lt;=TH_SELL,"فروش","نگهداری")))))</f>
        <v/>
      </c>
      <c r="V43" s="28" t="str">
        <f aca="false">IF($A43="","",IFERROR(Calculations!$AQ$44,1))</f>
        <v/>
      </c>
      <c r="W43" s="34" t="str">
        <f aca="false">IF($A43="","","روند: "&amp;$H43&amp;" | ساختار: "&amp;$I43&amp;" | پول هوشمند: "&amp;$J43&amp;" | قدرت خریدار: "&amp;IFERROR(TEXT($K43,"0.00"),"—")&amp;"x"&amp;" | میانگین‌ها: "&amp;IFERROR(TEXT(Calculations!$N$44,"0"),"—")&amp;"/4 ("&amp;$L43&amp;")"&amp;" | حجم: "&amp;IFERROR(TEXT($M43,"0.00"),"—")&amp;"x"&amp;" | بازار: "&amp;$G43)</f>
        <v/>
      </c>
      <c r="X43" s="26" t="str">
        <f aca="false">IF($A43="","",IFERROR(Calculations!$X$44,""))</f>
        <v/>
      </c>
      <c r="Y43" s="35" t="str">
        <f aca="false">IF($A43="","",IFERROR(($E43-$X43)/$E43,""))</f>
        <v/>
      </c>
      <c r="Z43" s="23" t="str">
        <f aca="false">IF($A43="","",IFERROR(Calculations!$AR$44,""))</f>
        <v/>
      </c>
    </row>
    <row r="44" customFormat="false" ht="15" hidden="false" customHeight="false" outlineLevel="0" collapsed="false">
      <c r="A44" s="24" t="str">
        <f aca="false">IF(Calculations!$A$45="","",Calculations!$A$45)</f>
        <v/>
      </c>
      <c r="B44" s="25" t="str">
        <f aca="false">IF($A44="","",IFERROR(INDEX(Watchlist!$B$1:$B$5000,MATCH($A44,Watchlist!$A$1:$A$5000,0)),""))</f>
        <v/>
      </c>
      <c r="C44" s="25" t="str">
        <f aca="false">IF($A44="","",IFERROR(INDEX(Watchlist!$F$1:$F$5000,MATCH($A44,Watchlist!$A$1:$A$5000,0)),""))</f>
        <v/>
      </c>
      <c r="D44" s="23" t="str">
        <f aca="false">IF($A44="","",IFERROR(INDEX(Watchlist!$E$1:$E$5000,MATCH($A44,Watchlist!$A$1:$A$5000,0)),""))</f>
        <v/>
      </c>
      <c r="E44" s="26" t="str">
        <f aca="false">IF($A44="","",IFERROR(Calculations!$D$45,""))</f>
        <v/>
      </c>
      <c r="F44" s="32" t="str">
        <f aca="false">IF($A44="","",IFERROR(Calculations!$F$45,""))</f>
        <v/>
      </c>
      <c r="G44" s="23" t="str">
        <f aca="false">IF($A44="","",MARKET_LABEL)</f>
        <v/>
      </c>
      <c r="H44" s="23" t="str">
        <f aca="false">IF($A44="","",IF($N44&gt;=6,"صعودی قوی",IF($N44&gt;=2,"صعودی",IF($N44&lt;=-6,"نزولی قوی",IF($N44&lt;=-2,"نزولی","خنثی")))))</f>
        <v/>
      </c>
      <c r="I44" s="23" t="str">
        <f aca="false">IF($A44="","",IFERROR(Calculations!$U$45,""))</f>
        <v/>
      </c>
      <c r="J44" s="23" t="str">
        <f aca="false">IF($A44="","",IF($O44&gt;=6,"ورود قوی پول حقیقی",IF($O44&gt;=2,"ورود پول حقیقی",IF($O44&lt;=-6,"خروج قوی پول حقیقی",IF($O44&lt;=-2,"خروج پول حقیقی","متعادل")))))</f>
        <v/>
      </c>
      <c r="K44" s="33" t="str">
        <f aca="false">IF($A44="","",IFERROR(Calculations!$AG$45,""))</f>
        <v/>
      </c>
      <c r="L44" s="23" t="str">
        <f aca="false">IF($A44="","",IFERROR(Calculations!$O$45,""))</f>
        <v/>
      </c>
      <c r="M44" s="33" t="str">
        <f aca="false">IF($A44="","",IFERROR(Calculations!$AA$45,""))</f>
        <v/>
      </c>
      <c r="N44" s="27" t="str">
        <f aca="false">IF($A44="","",IFERROR(Calculations!$AJ$45,0))</f>
        <v/>
      </c>
      <c r="O44" s="27" t="str">
        <f aca="false">IF($A44="","",IFERROR(Calculations!$AK$45,0))</f>
        <v/>
      </c>
      <c r="P44" s="27" t="str">
        <f aca="false">IF($A44="","",IFERROR(Calculations!$AL$45,0))</f>
        <v/>
      </c>
      <c r="Q44" s="27" t="str">
        <f aca="false">IF($A44="","",IFERROR(Calculations!$AM$45,0))</f>
        <v/>
      </c>
      <c r="R44" s="27" t="str">
        <f aca="false">IF($A44="","",IFERROR(Calculations!$AN$45,0))</f>
        <v/>
      </c>
      <c r="S44" s="27" t="str">
        <f aca="false">IF($A44="","",IFERROR(Calculations!$AO$45,0))</f>
        <v/>
      </c>
      <c r="T44" s="27" t="str">
        <f aca="false">IF($A44="","",IFERROR(Calculations!$AP$45,0))</f>
        <v/>
      </c>
      <c r="U44" s="23" t="str">
        <f aca="false">IF($A44="","",IF($T44&gt;=TH_SBUY,"خرید قوی",IF($T44&gt;=TH_BUY,"خرید",IF($T44&lt;=TH_SSELL,"فروش قوی",IF($T44&lt;=TH_SELL,"فروش","نگهداری")))))</f>
        <v/>
      </c>
      <c r="V44" s="28" t="str">
        <f aca="false">IF($A44="","",IFERROR(Calculations!$AQ$45,1))</f>
        <v/>
      </c>
      <c r="W44" s="34" t="str">
        <f aca="false">IF($A44="","","روند: "&amp;$H44&amp;" | ساختار: "&amp;$I44&amp;" | پول هوشمند: "&amp;$J44&amp;" | قدرت خریدار: "&amp;IFERROR(TEXT($K44,"0.00"),"—")&amp;"x"&amp;" | میانگین‌ها: "&amp;IFERROR(TEXT(Calculations!$N$45,"0"),"—")&amp;"/4 ("&amp;$L44&amp;")"&amp;" | حجم: "&amp;IFERROR(TEXT($M44,"0.00"),"—")&amp;"x"&amp;" | بازار: "&amp;$G44)</f>
        <v/>
      </c>
      <c r="X44" s="26" t="str">
        <f aca="false">IF($A44="","",IFERROR(Calculations!$X$45,""))</f>
        <v/>
      </c>
      <c r="Y44" s="35" t="str">
        <f aca="false">IF($A44="","",IFERROR(($E44-$X44)/$E44,""))</f>
        <v/>
      </c>
      <c r="Z44" s="23" t="str">
        <f aca="false">IF($A44="","",IFERROR(Calculations!$AR$45,""))</f>
        <v/>
      </c>
    </row>
    <row r="45" customFormat="false" ht="15" hidden="false" customHeight="false" outlineLevel="0" collapsed="false">
      <c r="A45" s="24" t="str">
        <f aca="false">IF(Calculations!$A$46="","",Calculations!$A$46)</f>
        <v/>
      </c>
      <c r="B45" s="25" t="str">
        <f aca="false">IF($A45="","",IFERROR(INDEX(Watchlist!$B$1:$B$5000,MATCH($A45,Watchlist!$A$1:$A$5000,0)),""))</f>
        <v/>
      </c>
      <c r="C45" s="25" t="str">
        <f aca="false">IF($A45="","",IFERROR(INDEX(Watchlist!$F$1:$F$5000,MATCH($A45,Watchlist!$A$1:$A$5000,0)),""))</f>
        <v/>
      </c>
      <c r="D45" s="23" t="str">
        <f aca="false">IF($A45="","",IFERROR(INDEX(Watchlist!$E$1:$E$5000,MATCH($A45,Watchlist!$A$1:$A$5000,0)),""))</f>
        <v/>
      </c>
      <c r="E45" s="26" t="str">
        <f aca="false">IF($A45="","",IFERROR(Calculations!$D$46,""))</f>
        <v/>
      </c>
      <c r="F45" s="32" t="str">
        <f aca="false">IF($A45="","",IFERROR(Calculations!$F$46,""))</f>
        <v/>
      </c>
      <c r="G45" s="23" t="str">
        <f aca="false">IF($A45="","",MARKET_LABEL)</f>
        <v/>
      </c>
      <c r="H45" s="23" t="str">
        <f aca="false">IF($A45="","",IF($N45&gt;=6,"صعودی قوی",IF($N45&gt;=2,"صعودی",IF($N45&lt;=-6,"نزولی قوی",IF($N45&lt;=-2,"نزولی","خنثی")))))</f>
        <v/>
      </c>
      <c r="I45" s="23" t="str">
        <f aca="false">IF($A45="","",IFERROR(Calculations!$U$46,""))</f>
        <v/>
      </c>
      <c r="J45" s="23" t="str">
        <f aca="false">IF($A45="","",IF($O45&gt;=6,"ورود قوی پول حقیقی",IF($O45&gt;=2,"ورود پول حقیقی",IF($O45&lt;=-6,"خروج قوی پول حقیقی",IF($O45&lt;=-2,"خروج پول حقیقی","متعادل")))))</f>
        <v/>
      </c>
      <c r="K45" s="33" t="str">
        <f aca="false">IF($A45="","",IFERROR(Calculations!$AG$46,""))</f>
        <v/>
      </c>
      <c r="L45" s="23" t="str">
        <f aca="false">IF($A45="","",IFERROR(Calculations!$O$46,""))</f>
        <v/>
      </c>
      <c r="M45" s="33" t="str">
        <f aca="false">IF($A45="","",IFERROR(Calculations!$AA$46,""))</f>
        <v/>
      </c>
      <c r="N45" s="27" t="str">
        <f aca="false">IF($A45="","",IFERROR(Calculations!$AJ$46,0))</f>
        <v/>
      </c>
      <c r="O45" s="27" t="str">
        <f aca="false">IF($A45="","",IFERROR(Calculations!$AK$46,0))</f>
        <v/>
      </c>
      <c r="P45" s="27" t="str">
        <f aca="false">IF($A45="","",IFERROR(Calculations!$AL$46,0))</f>
        <v/>
      </c>
      <c r="Q45" s="27" t="str">
        <f aca="false">IF($A45="","",IFERROR(Calculations!$AM$46,0))</f>
        <v/>
      </c>
      <c r="R45" s="27" t="str">
        <f aca="false">IF($A45="","",IFERROR(Calculations!$AN$46,0))</f>
        <v/>
      </c>
      <c r="S45" s="27" t="str">
        <f aca="false">IF($A45="","",IFERROR(Calculations!$AO$46,0))</f>
        <v/>
      </c>
      <c r="T45" s="27" t="str">
        <f aca="false">IF($A45="","",IFERROR(Calculations!$AP$46,0))</f>
        <v/>
      </c>
      <c r="U45" s="23" t="str">
        <f aca="false">IF($A45="","",IF($T45&gt;=TH_SBUY,"خرید قوی",IF($T45&gt;=TH_BUY,"خرید",IF($T45&lt;=TH_SSELL,"فروش قوی",IF($T45&lt;=TH_SELL,"فروش","نگهداری")))))</f>
        <v/>
      </c>
      <c r="V45" s="28" t="str">
        <f aca="false">IF($A45="","",IFERROR(Calculations!$AQ$46,1))</f>
        <v/>
      </c>
      <c r="W45" s="34" t="str">
        <f aca="false">IF($A45="","","روند: "&amp;$H45&amp;" | ساختار: "&amp;$I45&amp;" | پول هوشمند: "&amp;$J45&amp;" | قدرت خریدار: "&amp;IFERROR(TEXT($K45,"0.00"),"—")&amp;"x"&amp;" | میانگین‌ها: "&amp;IFERROR(TEXT(Calculations!$N$46,"0"),"—")&amp;"/4 ("&amp;$L45&amp;")"&amp;" | حجم: "&amp;IFERROR(TEXT($M45,"0.00"),"—")&amp;"x"&amp;" | بازار: "&amp;$G45)</f>
        <v/>
      </c>
      <c r="X45" s="26" t="str">
        <f aca="false">IF($A45="","",IFERROR(Calculations!$X$46,""))</f>
        <v/>
      </c>
      <c r="Y45" s="35" t="str">
        <f aca="false">IF($A45="","",IFERROR(($E45-$X45)/$E45,""))</f>
        <v/>
      </c>
      <c r="Z45" s="23" t="str">
        <f aca="false">IF($A45="","",IFERROR(Calculations!$AR$46,""))</f>
        <v/>
      </c>
    </row>
    <row r="46" customFormat="false" ht="15" hidden="false" customHeight="false" outlineLevel="0" collapsed="false">
      <c r="A46" s="24" t="str">
        <f aca="false">IF(Calculations!$A$47="","",Calculations!$A$47)</f>
        <v/>
      </c>
      <c r="B46" s="25" t="str">
        <f aca="false">IF($A46="","",IFERROR(INDEX(Watchlist!$B$1:$B$5000,MATCH($A46,Watchlist!$A$1:$A$5000,0)),""))</f>
        <v/>
      </c>
      <c r="C46" s="25" t="str">
        <f aca="false">IF($A46="","",IFERROR(INDEX(Watchlist!$F$1:$F$5000,MATCH($A46,Watchlist!$A$1:$A$5000,0)),""))</f>
        <v/>
      </c>
      <c r="D46" s="23" t="str">
        <f aca="false">IF($A46="","",IFERROR(INDEX(Watchlist!$E$1:$E$5000,MATCH($A46,Watchlist!$A$1:$A$5000,0)),""))</f>
        <v/>
      </c>
      <c r="E46" s="26" t="str">
        <f aca="false">IF($A46="","",IFERROR(Calculations!$D$47,""))</f>
        <v/>
      </c>
      <c r="F46" s="32" t="str">
        <f aca="false">IF($A46="","",IFERROR(Calculations!$F$47,""))</f>
        <v/>
      </c>
      <c r="G46" s="23" t="str">
        <f aca="false">IF($A46="","",MARKET_LABEL)</f>
        <v/>
      </c>
      <c r="H46" s="23" t="str">
        <f aca="false">IF($A46="","",IF($N46&gt;=6,"صعودی قوی",IF($N46&gt;=2,"صعودی",IF($N46&lt;=-6,"نزولی قوی",IF($N46&lt;=-2,"نزولی","خنثی")))))</f>
        <v/>
      </c>
      <c r="I46" s="23" t="str">
        <f aca="false">IF($A46="","",IFERROR(Calculations!$U$47,""))</f>
        <v/>
      </c>
      <c r="J46" s="23" t="str">
        <f aca="false">IF($A46="","",IF($O46&gt;=6,"ورود قوی پول حقیقی",IF($O46&gt;=2,"ورود پول حقیقی",IF($O46&lt;=-6,"خروج قوی پول حقیقی",IF($O46&lt;=-2,"خروج پول حقیقی","متعادل")))))</f>
        <v/>
      </c>
      <c r="K46" s="33" t="str">
        <f aca="false">IF($A46="","",IFERROR(Calculations!$AG$47,""))</f>
        <v/>
      </c>
      <c r="L46" s="23" t="str">
        <f aca="false">IF($A46="","",IFERROR(Calculations!$O$47,""))</f>
        <v/>
      </c>
      <c r="M46" s="33" t="str">
        <f aca="false">IF($A46="","",IFERROR(Calculations!$AA$47,""))</f>
        <v/>
      </c>
      <c r="N46" s="27" t="str">
        <f aca="false">IF($A46="","",IFERROR(Calculations!$AJ$47,0))</f>
        <v/>
      </c>
      <c r="O46" s="27" t="str">
        <f aca="false">IF($A46="","",IFERROR(Calculations!$AK$47,0))</f>
        <v/>
      </c>
      <c r="P46" s="27" t="str">
        <f aca="false">IF($A46="","",IFERROR(Calculations!$AL$47,0))</f>
        <v/>
      </c>
      <c r="Q46" s="27" t="str">
        <f aca="false">IF($A46="","",IFERROR(Calculations!$AM$47,0))</f>
        <v/>
      </c>
      <c r="R46" s="27" t="str">
        <f aca="false">IF($A46="","",IFERROR(Calculations!$AN$47,0))</f>
        <v/>
      </c>
      <c r="S46" s="27" t="str">
        <f aca="false">IF($A46="","",IFERROR(Calculations!$AO$47,0))</f>
        <v/>
      </c>
      <c r="T46" s="27" t="str">
        <f aca="false">IF($A46="","",IFERROR(Calculations!$AP$47,0))</f>
        <v/>
      </c>
      <c r="U46" s="23" t="str">
        <f aca="false">IF($A46="","",IF($T46&gt;=TH_SBUY,"خرید قوی",IF($T46&gt;=TH_BUY,"خرید",IF($T46&lt;=TH_SSELL,"فروش قوی",IF($T46&lt;=TH_SELL,"فروش","نگهداری")))))</f>
        <v/>
      </c>
      <c r="V46" s="28" t="str">
        <f aca="false">IF($A46="","",IFERROR(Calculations!$AQ$47,1))</f>
        <v/>
      </c>
      <c r="W46" s="34" t="str">
        <f aca="false">IF($A46="","","روند: "&amp;$H46&amp;" | ساختار: "&amp;$I46&amp;" | پول هوشمند: "&amp;$J46&amp;" | قدرت خریدار: "&amp;IFERROR(TEXT($K46,"0.00"),"—")&amp;"x"&amp;" | میانگین‌ها: "&amp;IFERROR(TEXT(Calculations!$N$47,"0"),"—")&amp;"/4 ("&amp;$L46&amp;")"&amp;" | حجم: "&amp;IFERROR(TEXT($M46,"0.00"),"—")&amp;"x"&amp;" | بازار: "&amp;$G46)</f>
        <v/>
      </c>
      <c r="X46" s="26" t="str">
        <f aca="false">IF($A46="","",IFERROR(Calculations!$X$47,""))</f>
        <v/>
      </c>
      <c r="Y46" s="35" t="str">
        <f aca="false">IF($A46="","",IFERROR(($E46-$X46)/$E46,""))</f>
        <v/>
      </c>
      <c r="Z46" s="23" t="str">
        <f aca="false">IF($A46="","",IFERROR(Calculations!$AR$47,""))</f>
        <v/>
      </c>
    </row>
    <row r="47" customFormat="false" ht="15" hidden="false" customHeight="false" outlineLevel="0" collapsed="false">
      <c r="A47" s="24" t="str">
        <f aca="false">IF(Calculations!$A$48="","",Calculations!$A$48)</f>
        <v/>
      </c>
      <c r="B47" s="25" t="str">
        <f aca="false">IF($A47="","",IFERROR(INDEX(Watchlist!$B$1:$B$5000,MATCH($A47,Watchlist!$A$1:$A$5000,0)),""))</f>
        <v/>
      </c>
      <c r="C47" s="25" t="str">
        <f aca="false">IF($A47="","",IFERROR(INDEX(Watchlist!$F$1:$F$5000,MATCH($A47,Watchlist!$A$1:$A$5000,0)),""))</f>
        <v/>
      </c>
      <c r="D47" s="23" t="str">
        <f aca="false">IF($A47="","",IFERROR(INDEX(Watchlist!$E$1:$E$5000,MATCH($A47,Watchlist!$A$1:$A$5000,0)),""))</f>
        <v/>
      </c>
      <c r="E47" s="26" t="str">
        <f aca="false">IF($A47="","",IFERROR(Calculations!$D$48,""))</f>
        <v/>
      </c>
      <c r="F47" s="32" t="str">
        <f aca="false">IF($A47="","",IFERROR(Calculations!$F$48,""))</f>
        <v/>
      </c>
      <c r="G47" s="23" t="str">
        <f aca="false">IF($A47="","",MARKET_LABEL)</f>
        <v/>
      </c>
      <c r="H47" s="23" t="str">
        <f aca="false">IF($A47="","",IF($N47&gt;=6,"صعودی قوی",IF($N47&gt;=2,"صعودی",IF($N47&lt;=-6,"نزولی قوی",IF($N47&lt;=-2,"نزولی","خنثی")))))</f>
        <v/>
      </c>
      <c r="I47" s="23" t="str">
        <f aca="false">IF($A47="","",IFERROR(Calculations!$U$48,""))</f>
        <v/>
      </c>
      <c r="J47" s="23" t="str">
        <f aca="false">IF($A47="","",IF($O47&gt;=6,"ورود قوی پول حقیقی",IF($O47&gt;=2,"ورود پول حقیقی",IF($O47&lt;=-6,"خروج قوی پول حقیقی",IF($O47&lt;=-2,"خروج پول حقیقی","متعادل")))))</f>
        <v/>
      </c>
      <c r="K47" s="33" t="str">
        <f aca="false">IF($A47="","",IFERROR(Calculations!$AG$48,""))</f>
        <v/>
      </c>
      <c r="L47" s="23" t="str">
        <f aca="false">IF($A47="","",IFERROR(Calculations!$O$48,""))</f>
        <v/>
      </c>
      <c r="M47" s="33" t="str">
        <f aca="false">IF($A47="","",IFERROR(Calculations!$AA$48,""))</f>
        <v/>
      </c>
      <c r="N47" s="27" t="str">
        <f aca="false">IF($A47="","",IFERROR(Calculations!$AJ$48,0))</f>
        <v/>
      </c>
      <c r="O47" s="27" t="str">
        <f aca="false">IF($A47="","",IFERROR(Calculations!$AK$48,0))</f>
        <v/>
      </c>
      <c r="P47" s="27" t="str">
        <f aca="false">IF($A47="","",IFERROR(Calculations!$AL$48,0))</f>
        <v/>
      </c>
      <c r="Q47" s="27" t="str">
        <f aca="false">IF($A47="","",IFERROR(Calculations!$AM$48,0))</f>
        <v/>
      </c>
      <c r="R47" s="27" t="str">
        <f aca="false">IF($A47="","",IFERROR(Calculations!$AN$48,0))</f>
        <v/>
      </c>
      <c r="S47" s="27" t="str">
        <f aca="false">IF($A47="","",IFERROR(Calculations!$AO$48,0))</f>
        <v/>
      </c>
      <c r="T47" s="27" t="str">
        <f aca="false">IF($A47="","",IFERROR(Calculations!$AP$48,0))</f>
        <v/>
      </c>
      <c r="U47" s="23" t="str">
        <f aca="false">IF($A47="","",IF($T47&gt;=TH_SBUY,"خرید قوی",IF($T47&gt;=TH_BUY,"خرید",IF($T47&lt;=TH_SSELL,"فروش قوی",IF($T47&lt;=TH_SELL,"فروش","نگهداری")))))</f>
        <v/>
      </c>
      <c r="V47" s="28" t="str">
        <f aca="false">IF($A47="","",IFERROR(Calculations!$AQ$48,1))</f>
        <v/>
      </c>
      <c r="W47" s="34" t="str">
        <f aca="false">IF($A47="","","روند: "&amp;$H47&amp;" | ساختار: "&amp;$I47&amp;" | پول هوشمند: "&amp;$J47&amp;" | قدرت خریدار: "&amp;IFERROR(TEXT($K47,"0.00"),"—")&amp;"x"&amp;" | میانگین‌ها: "&amp;IFERROR(TEXT(Calculations!$N$48,"0"),"—")&amp;"/4 ("&amp;$L47&amp;")"&amp;" | حجم: "&amp;IFERROR(TEXT($M47,"0.00"),"—")&amp;"x"&amp;" | بازار: "&amp;$G47)</f>
        <v/>
      </c>
      <c r="X47" s="26" t="str">
        <f aca="false">IF($A47="","",IFERROR(Calculations!$X$48,""))</f>
        <v/>
      </c>
      <c r="Y47" s="35" t="str">
        <f aca="false">IF($A47="","",IFERROR(($E47-$X47)/$E47,""))</f>
        <v/>
      </c>
      <c r="Z47" s="23" t="str">
        <f aca="false">IF($A47="","",IFERROR(Calculations!$AR$48,""))</f>
        <v/>
      </c>
    </row>
    <row r="48" customFormat="false" ht="15" hidden="false" customHeight="false" outlineLevel="0" collapsed="false">
      <c r="A48" s="24" t="str">
        <f aca="false">IF(Calculations!$A$49="","",Calculations!$A$49)</f>
        <v/>
      </c>
      <c r="B48" s="25" t="str">
        <f aca="false">IF($A48="","",IFERROR(INDEX(Watchlist!$B$1:$B$5000,MATCH($A48,Watchlist!$A$1:$A$5000,0)),""))</f>
        <v/>
      </c>
      <c r="C48" s="25" t="str">
        <f aca="false">IF($A48="","",IFERROR(INDEX(Watchlist!$F$1:$F$5000,MATCH($A48,Watchlist!$A$1:$A$5000,0)),""))</f>
        <v/>
      </c>
      <c r="D48" s="23" t="str">
        <f aca="false">IF($A48="","",IFERROR(INDEX(Watchlist!$E$1:$E$5000,MATCH($A48,Watchlist!$A$1:$A$5000,0)),""))</f>
        <v/>
      </c>
      <c r="E48" s="26" t="str">
        <f aca="false">IF($A48="","",IFERROR(Calculations!$D$49,""))</f>
        <v/>
      </c>
      <c r="F48" s="32" t="str">
        <f aca="false">IF($A48="","",IFERROR(Calculations!$F$49,""))</f>
        <v/>
      </c>
      <c r="G48" s="23" t="str">
        <f aca="false">IF($A48="","",MARKET_LABEL)</f>
        <v/>
      </c>
      <c r="H48" s="23" t="str">
        <f aca="false">IF($A48="","",IF($N48&gt;=6,"صعودی قوی",IF($N48&gt;=2,"صعودی",IF($N48&lt;=-6,"نزولی قوی",IF($N48&lt;=-2,"نزولی","خنثی")))))</f>
        <v/>
      </c>
      <c r="I48" s="23" t="str">
        <f aca="false">IF($A48="","",IFERROR(Calculations!$U$49,""))</f>
        <v/>
      </c>
      <c r="J48" s="23" t="str">
        <f aca="false">IF($A48="","",IF($O48&gt;=6,"ورود قوی پول حقیقی",IF($O48&gt;=2,"ورود پول حقیقی",IF($O48&lt;=-6,"خروج قوی پول حقیقی",IF($O48&lt;=-2,"خروج پول حقیقی","متعادل")))))</f>
        <v/>
      </c>
      <c r="K48" s="33" t="str">
        <f aca="false">IF($A48="","",IFERROR(Calculations!$AG$49,""))</f>
        <v/>
      </c>
      <c r="L48" s="23" t="str">
        <f aca="false">IF($A48="","",IFERROR(Calculations!$O$49,""))</f>
        <v/>
      </c>
      <c r="M48" s="33" t="str">
        <f aca="false">IF($A48="","",IFERROR(Calculations!$AA$49,""))</f>
        <v/>
      </c>
      <c r="N48" s="27" t="str">
        <f aca="false">IF($A48="","",IFERROR(Calculations!$AJ$49,0))</f>
        <v/>
      </c>
      <c r="O48" s="27" t="str">
        <f aca="false">IF($A48="","",IFERROR(Calculations!$AK$49,0))</f>
        <v/>
      </c>
      <c r="P48" s="27" t="str">
        <f aca="false">IF($A48="","",IFERROR(Calculations!$AL$49,0))</f>
        <v/>
      </c>
      <c r="Q48" s="27" t="str">
        <f aca="false">IF($A48="","",IFERROR(Calculations!$AM$49,0))</f>
        <v/>
      </c>
      <c r="R48" s="27" t="str">
        <f aca="false">IF($A48="","",IFERROR(Calculations!$AN$49,0))</f>
        <v/>
      </c>
      <c r="S48" s="27" t="str">
        <f aca="false">IF($A48="","",IFERROR(Calculations!$AO$49,0))</f>
        <v/>
      </c>
      <c r="T48" s="27" t="str">
        <f aca="false">IF($A48="","",IFERROR(Calculations!$AP$49,0))</f>
        <v/>
      </c>
      <c r="U48" s="23" t="str">
        <f aca="false">IF($A48="","",IF($T48&gt;=TH_SBUY,"خرید قوی",IF($T48&gt;=TH_BUY,"خرید",IF($T48&lt;=TH_SSELL,"فروش قوی",IF($T48&lt;=TH_SELL,"فروش","نگهداری")))))</f>
        <v/>
      </c>
      <c r="V48" s="28" t="str">
        <f aca="false">IF($A48="","",IFERROR(Calculations!$AQ$49,1))</f>
        <v/>
      </c>
      <c r="W48" s="34" t="str">
        <f aca="false">IF($A48="","","روند: "&amp;$H48&amp;" | ساختار: "&amp;$I48&amp;" | پول هوشمند: "&amp;$J48&amp;" | قدرت خریدار: "&amp;IFERROR(TEXT($K48,"0.00"),"—")&amp;"x"&amp;" | میانگین‌ها: "&amp;IFERROR(TEXT(Calculations!$N$49,"0"),"—")&amp;"/4 ("&amp;$L48&amp;")"&amp;" | حجم: "&amp;IFERROR(TEXT($M48,"0.00"),"—")&amp;"x"&amp;" | بازار: "&amp;$G48)</f>
        <v/>
      </c>
      <c r="X48" s="26" t="str">
        <f aca="false">IF($A48="","",IFERROR(Calculations!$X$49,""))</f>
        <v/>
      </c>
      <c r="Y48" s="35" t="str">
        <f aca="false">IF($A48="","",IFERROR(($E48-$X48)/$E48,""))</f>
        <v/>
      </c>
      <c r="Z48" s="23" t="str">
        <f aca="false">IF($A48="","",IFERROR(Calculations!$AR$49,""))</f>
        <v/>
      </c>
    </row>
    <row r="49" customFormat="false" ht="15" hidden="false" customHeight="false" outlineLevel="0" collapsed="false">
      <c r="A49" s="24" t="str">
        <f aca="false">IF(Calculations!$A$50="","",Calculations!$A$50)</f>
        <v/>
      </c>
      <c r="B49" s="25" t="str">
        <f aca="false">IF($A49="","",IFERROR(INDEX(Watchlist!$B$1:$B$5000,MATCH($A49,Watchlist!$A$1:$A$5000,0)),""))</f>
        <v/>
      </c>
      <c r="C49" s="25" t="str">
        <f aca="false">IF($A49="","",IFERROR(INDEX(Watchlist!$F$1:$F$5000,MATCH($A49,Watchlist!$A$1:$A$5000,0)),""))</f>
        <v/>
      </c>
      <c r="D49" s="23" t="str">
        <f aca="false">IF($A49="","",IFERROR(INDEX(Watchlist!$E$1:$E$5000,MATCH($A49,Watchlist!$A$1:$A$5000,0)),""))</f>
        <v/>
      </c>
      <c r="E49" s="26" t="str">
        <f aca="false">IF($A49="","",IFERROR(Calculations!$D$50,""))</f>
        <v/>
      </c>
      <c r="F49" s="32" t="str">
        <f aca="false">IF($A49="","",IFERROR(Calculations!$F$50,""))</f>
        <v/>
      </c>
      <c r="G49" s="23" t="str">
        <f aca="false">IF($A49="","",MARKET_LABEL)</f>
        <v/>
      </c>
      <c r="H49" s="23" t="str">
        <f aca="false">IF($A49="","",IF($N49&gt;=6,"صعودی قوی",IF($N49&gt;=2,"صعودی",IF($N49&lt;=-6,"نزولی قوی",IF($N49&lt;=-2,"نزولی","خنثی")))))</f>
        <v/>
      </c>
      <c r="I49" s="23" t="str">
        <f aca="false">IF($A49="","",IFERROR(Calculations!$U$50,""))</f>
        <v/>
      </c>
      <c r="J49" s="23" t="str">
        <f aca="false">IF($A49="","",IF($O49&gt;=6,"ورود قوی پول حقیقی",IF($O49&gt;=2,"ورود پول حقیقی",IF($O49&lt;=-6,"خروج قوی پول حقیقی",IF($O49&lt;=-2,"خروج پول حقیقی","متعادل")))))</f>
        <v/>
      </c>
      <c r="K49" s="33" t="str">
        <f aca="false">IF($A49="","",IFERROR(Calculations!$AG$50,""))</f>
        <v/>
      </c>
      <c r="L49" s="23" t="str">
        <f aca="false">IF($A49="","",IFERROR(Calculations!$O$50,""))</f>
        <v/>
      </c>
      <c r="M49" s="33" t="str">
        <f aca="false">IF($A49="","",IFERROR(Calculations!$AA$50,""))</f>
        <v/>
      </c>
      <c r="N49" s="27" t="str">
        <f aca="false">IF($A49="","",IFERROR(Calculations!$AJ$50,0))</f>
        <v/>
      </c>
      <c r="O49" s="27" t="str">
        <f aca="false">IF($A49="","",IFERROR(Calculations!$AK$50,0))</f>
        <v/>
      </c>
      <c r="P49" s="27" t="str">
        <f aca="false">IF($A49="","",IFERROR(Calculations!$AL$50,0))</f>
        <v/>
      </c>
      <c r="Q49" s="27" t="str">
        <f aca="false">IF($A49="","",IFERROR(Calculations!$AM$50,0))</f>
        <v/>
      </c>
      <c r="R49" s="27" t="str">
        <f aca="false">IF($A49="","",IFERROR(Calculations!$AN$50,0))</f>
        <v/>
      </c>
      <c r="S49" s="27" t="str">
        <f aca="false">IF($A49="","",IFERROR(Calculations!$AO$50,0))</f>
        <v/>
      </c>
      <c r="T49" s="27" t="str">
        <f aca="false">IF($A49="","",IFERROR(Calculations!$AP$50,0))</f>
        <v/>
      </c>
      <c r="U49" s="23" t="str">
        <f aca="false">IF($A49="","",IF($T49&gt;=TH_SBUY,"خرید قوی",IF($T49&gt;=TH_BUY,"خرید",IF($T49&lt;=TH_SSELL,"فروش قوی",IF($T49&lt;=TH_SELL,"فروش","نگهداری")))))</f>
        <v/>
      </c>
      <c r="V49" s="28" t="str">
        <f aca="false">IF($A49="","",IFERROR(Calculations!$AQ$50,1))</f>
        <v/>
      </c>
      <c r="W49" s="34" t="str">
        <f aca="false">IF($A49="","","روند: "&amp;$H49&amp;" | ساختار: "&amp;$I49&amp;" | پول هوشمند: "&amp;$J49&amp;" | قدرت خریدار: "&amp;IFERROR(TEXT($K49,"0.00"),"—")&amp;"x"&amp;" | میانگین‌ها: "&amp;IFERROR(TEXT(Calculations!$N$50,"0"),"—")&amp;"/4 ("&amp;$L49&amp;")"&amp;" | حجم: "&amp;IFERROR(TEXT($M49,"0.00"),"—")&amp;"x"&amp;" | بازار: "&amp;$G49)</f>
        <v/>
      </c>
      <c r="X49" s="26" t="str">
        <f aca="false">IF($A49="","",IFERROR(Calculations!$X$50,""))</f>
        <v/>
      </c>
      <c r="Y49" s="35" t="str">
        <f aca="false">IF($A49="","",IFERROR(($E49-$X49)/$E49,""))</f>
        <v/>
      </c>
      <c r="Z49" s="23" t="str">
        <f aca="false">IF($A49="","",IFERROR(Calculations!$AR$50,""))</f>
        <v/>
      </c>
    </row>
    <row r="50" customFormat="false" ht="15" hidden="false" customHeight="false" outlineLevel="0" collapsed="false">
      <c r="A50" s="24" t="str">
        <f aca="false">IF(Calculations!$A$51="","",Calculations!$A$51)</f>
        <v/>
      </c>
      <c r="B50" s="25" t="str">
        <f aca="false">IF($A50="","",IFERROR(INDEX(Watchlist!$B$1:$B$5000,MATCH($A50,Watchlist!$A$1:$A$5000,0)),""))</f>
        <v/>
      </c>
      <c r="C50" s="25" t="str">
        <f aca="false">IF($A50="","",IFERROR(INDEX(Watchlist!$F$1:$F$5000,MATCH($A50,Watchlist!$A$1:$A$5000,0)),""))</f>
        <v/>
      </c>
      <c r="D50" s="23" t="str">
        <f aca="false">IF($A50="","",IFERROR(INDEX(Watchlist!$E$1:$E$5000,MATCH($A50,Watchlist!$A$1:$A$5000,0)),""))</f>
        <v/>
      </c>
      <c r="E50" s="26" t="str">
        <f aca="false">IF($A50="","",IFERROR(Calculations!$D$51,""))</f>
        <v/>
      </c>
      <c r="F50" s="32" t="str">
        <f aca="false">IF($A50="","",IFERROR(Calculations!$F$51,""))</f>
        <v/>
      </c>
      <c r="G50" s="23" t="str">
        <f aca="false">IF($A50="","",MARKET_LABEL)</f>
        <v/>
      </c>
      <c r="H50" s="23" t="str">
        <f aca="false">IF($A50="","",IF($N50&gt;=6,"صعودی قوی",IF($N50&gt;=2,"صعودی",IF($N50&lt;=-6,"نزولی قوی",IF($N50&lt;=-2,"نزولی","خنثی")))))</f>
        <v/>
      </c>
      <c r="I50" s="23" t="str">
        <f aca="false">IF($A50="","",IFERROR(Calculations!$U$51,""))</f>
        <v/>
      </c>
      <c r="J50" s="23" t="str">
        <f aca="false">IF($A50="","",IF($O50&gt;=6,"ورود قوی پول حقیقی",IF($O50&gt;=2,"ورود پول حقیقی",IF($O50&lt;=-6,"خروج قوی پول حقیقی",IF($O50&lt;=-2,"خروج پول حقیقی","متعادل")))))</f>
        <v/>
      </c>
      <c r="K50" s="33" t="str">
        <f aca="false">IF($A50="","",IFERROR(Calculations!$AG$51,""))</f>
        <v/>
      </c>
      <c r="L50" s="23" t="str">
        <f aca="false">IF($A50="","",IFERROR(Calculations!$O$51,""))</f>
        <v/>
      </c>
      <c r="M50" s="33" t="str">
        <f aca="false">IF($A50="","",IFERROR(Calculations!$AA$51,""))</f>
        <v/>
      </c>
      <c r="N50" s="27" t="str">
        <f aca="false">IF($A50="","",IFERROR(Calculations!$AJ$51,0))</f>
        <v/>
      </c>
      <c r="O50" s="27" t="str">
        <f aca="false">IF($A50="","",IFERROR(Calculations!$AK$51,0))</f>
        <v/>
      </c>
      <c r="P50" s="27" t="str">
        <f aca="false">IF($A50="","",IFERROR(Calculations!$AL$51,0))</f>
        <v/>
      </c>
      <c r="Q50" s="27" t="str">
        <f aca="false">IF($A50="","",IFERROR(Calculations!$AM$51,0))</f>
        <v/>
      </c>
      <c r="R50" s="27" t="str">
        <f aca="false">IF($A50="","",IFERROR(Calculations!$AN$51,0))</f>
        <v/>
      </c>
      <c r="S50" s="27" t="str">
        <f aca="false">IF($A50="","",IFERROR(Calculations!$AO$51,0))</f>
        <v/>
      </c>
      <c r="T50" s="27" t="str">
        <f aca="false">IF($A50="","",IFERROR(Calculations!$AP$51,0))</f>
        <v/>
      </c>
      <c r="U50" s="23" t="str">
        <f aca="false">IF($A50="","",IF($T50&gt;=TH_SBUY,"خرید قوی",IF($T50&gt;=TH_BUY,"خرید",IF($T50&lt;=TH_SSELL,"فروش قوی",IF($T50&lt;=TH_SELL,"فروش","نگهداری")))))</f>
        <v/>
      </c>
      <c r="V50" s="28" t="str">
        <f aca="false">IF($A50="","",IFERROR(Calculations!$AQ$51,1))</f>
        <v/>
      </c>
      <c r="W50" s="34" t="str">
        <f aca="false">IF($A50="","","روند: "&amp;$H50&amp;" | ساختار: "&amp;$I50&amp;" | پول هوشمند: "&amp;$J50&amp;" | قدرت خریدار: "&amp;IFERROR(TEXT($K50,"0.00"),"—")&amp;"x"&amp;" | میانگین‌ها: "&amp;IFERROR(TEXT(Calculations!$N$51,"0"),"—")&amp;"/4 ("&amp;$L50&amp;")"&amp;" | حجم: "&amp;IFERROR(TEXT($M50,"0.00"),"—")&amp;"x"&amp;" | بازار: "&amp;$G50)</f>
        <v/>
      </c>
      <c r="X50" s="26" t="str">
        <f aca="false">IF($A50="","",IFERROR(Calculations!$X$51,""))</f>
        <v/>
      </c>
      <c r="Y50" s="35" t="str">
        <f aca="false">IF($A50="","",IFERROR(($E50-$X50)/$E50,""))</f>
        <v/>
      </c>
      <c r="Z50" s="23" t="str">
        <f aca="false">IF($A50="","",IFERROR(Calculations!$AR$51,""))</f>
        <v/>
      </c>
    </row>
    <row r="51" customFormat="false" ht="15" hidden="false" customHeight="false" outlineLevel="0" collapsed="false">
      <c r="A51" s="24" t="str">
        <f aca="false">IF(Calculations!$A$52="","",Calculations!$A$52)</f>
        <v/>
      </c>
      <c r="B51" s="25" t="str">
        <f aca="false">IF($A51="","",IFERROR(INDEX(Watchlist!$B$1:$B$5000,MATCH($A51,Watchlist!$A$1:$A$5000,0)),""))</f>
        <v/>
      </c>
      <c r="C51" s="25" t="str">
        <f aca="false">IF($A51="","",IFERROR(INDEX(Watchlist!$F$1:$F$5000,MATCH($A51,Watchlist!$A$1:$A$5000,0)),""))</f>
        <v/>
      </c>
      <c r="D51" s="23" t="str">
        <f aca="false">IF($A51="","",IFERROR(INDEX(Watchlist!$E$1:$E$5000,MATCH($A51,Watchlist!$A$1:$A$5000,0)),""))</f>
        <v/>
      </c>
      <c r="E51" s="26" t="str">
        <f aca="false">IF($A51="","",IFERROR(Calculations!$D$52,""))</f>
        <v/>
      </c>
      <c r="F51" s="32" t="str">
        <f aca="false">IF($A51="","",IFERROR(Calculations!$F$52,""))</f>
        <v/>
      </c>
      <c r="G51" s="23" t="str">
        <f aca="false">IF($A51="","",MARKET_LABEL)</f>
        <v/>
      </c>
      <c r="H51" s="23" t="str">
        <f aca="false">IF($A51="","",IF($N51&gt;=6,"صعودی قوی",IF($N51&gt;=2,"صعودی",IF($N51&lt;=-6,"نزولی قوی",IF($N51&lt;=-2,"نزولی","خنثی")))))</f>
        <v/>
      </c>
      <c r="I51" s="23" t="str">
        <f aca="false">IF($A51="","",IFERROR(Calculations!$U$52,""))</f>
        <v/>
      </c>
      <c r="J51" s="23" t="str">
        <f aca="false">IF($A51="","",IF($O51&gt;=6,"ورود قوی پول حقیقی",IF($O51&gt;=2,"ورود پول حقیقی",IF($O51&lt;=-6,"خروج قوی پول حقیقی",IF($O51&lt;=-2,"خروج پول حقیقی","متعادل")))))</f>
        <v/>
      </c>
      <c r="K51" s="33" t="str">
        <f aca="false">IF($A51="","",IFERROR(Calculations!$AG$52,""))</f>
        <v/>
      </c>
      <c r="L51" s="23" t="str">
        <f aca="false">IF($A51="","",IFERROR(Calculations!$O$52,""))</f>
        <v/>
      </c>
      <c r="M51" s="33" t="str">
        <f aca="false">IF($A51="","",IFERROR(Calculations!$AA$52,""))</f>
        <v/>
      </c>
      <c r="N51" s="27" t="str">
        <f aca="false">IF($A51="","",IFERROR(Calculations!$AJ$52,0))</f>
        <v/>
      </c>
      <c r="O51" s="27" t="str">
        <f aca="false">IF($A51="","",IFERROR(Calculations!$AK$52,0))</f>
        <v/>
      </c>
      <c r="P51" s="27" t="str">
        <f aca="false">IF($A51="","",IFERROR(Calculations!$AL$52,0))</f>
        <v/>
      </c>
      <c r="Q51" s="27" t="str">
        <f aca="false">IF($A51="","",IFERROR(Calculations!$AM$52,0))</f>
        <v/>
      </c>
      <c r="R51" s="27" t="str">
        <f aca="false">IF($A51="","",IFERROR(Calculations!$AN$52,0))</f>
        <v/>
      </c>
      <c r="S51" s="27" t="str">
        <f aca="false">IF($A51="","",IFERROR(Calculations!$AO$52,0))</f>
        <v/>
      </c>
      <c r="T51" s="27" t="str">
        <f aca="false">IF($A51="","",IFERROR(Calculations!$AP$52,0))</f>
        <v/>
      </c>
      <c r="U51" s="23" t="str">
        <f aca="false">IF($A51="","",IF($T51&gt;=TH_SBUY,"خرید قوی",IF($T51&gt;=TH_BUY,"خرید",IF($T51&lt;=TH_SSELL,"فروش قوی",IF($T51&lt;=TH_SELL,"فروش","نگهداری")))))</f>
        <v/>
      </c>
      <c r="V51" s="28" t="str">
        <f aca="false">IF($A51="","",IFERROR(Calculations!$AQ$52,1))</f>
        <v/>
      </c>
      <c r="W51" s="34" t="str">
        <f aca="false">IF($A51="","","روند: "&amp;$H51&amp;" | ساختار: "&amp;$I51&amp;" | پول هوشمند: "&amp;$J51&amp;" | قدرت خریدار: "&amp;IFERROR(TEXT($K51,"0.00"),"—")&amp;"x"&amp;" | میانگین‌ها: "&amp;IFERROR(TEXT(Calculations!$N$52,"0"),"—")&amp;"/4 ("&amp;$L51&amp;")"&amp;" | حجم: "&amp;IFERROR(TEXT($M51,"0.00"),"—")&amp;"x"&amp;" | بازار: "&amp;$G51)</f>
        <v/>
      </c>
      <c r="X51" s="26" t="str">
        <f aca="false">IF($A51="","",IFERROR(Calculations!$X$52,""))</f>
        <v/>
      </c>
      <c r="Y51" s="35" t="str">
        <f aca="false">IF($A51="","",IFERROR(($E51-$X51)/$E51,""))</f>
        <v/>
      </c>
      <c r="Z51" s="23" t="str">
        <f aca="false">IF($A51="","",IFERROR(Calculations!$AR$52,""))</f>
        <v/>
      </c>
    </row>
    <row r="52" customFormat="false" ht="15" hidden="false" customHeight="false" outlineLevel="0" collapsed="false">
      <c r="A52" s="24" t="str">
        <f aca="false">IF(Calculations!$A$53="","",Calculations!$A$53)</f>
        <v/>
      </c>
      <c r="B52" s="25" t="str">
        <f aca="false">IF($A52="","",IFERROR(INDEX(Watchlist!$B$1:$B$5000,MATCH($A52,Watchlist!$A$1:$A$5000,0)),""))</f>
        <v/>
      </c>
      <c r="C52" s="25" t="str">
        <f aca="false">IF($A52="","",IFERROR(INDEX(Watchlist!$F$1:$F$5000,MATCH($A52,Watchlist!$A$1:$A$5000,0)),""))</f>
        <v/>
      </c>
      <c r="D52" s="23" t="str">
        <f aca="false">IF($A52="","",IFERROR(INDEX(Watchlist!$E$1:$E$5000,MATCH($A52,Watchlist!$A$1:$A$5000,0)),""))</f>
        <v/>
      </c>
      <c r="E52" s="26" t="str">
        <f aca="false">IF($A52="","",IFERROR(Calculations!$D$53,""))</f>
        <v/>
      </c>
      <c r="F52" s="32" t="str">
        <f aca="false">IF($A52="","",IFERROR(Calculations!$F$53,""))</f>
        <v/>
      </c>
      <c r="G52" s="23" t="str">
        <f aca="false">IF($A52="","",MARKET_LABEL)</f>
        <v/>
      </c>
      <c r="H52" s="23" t="str">
        <f aca="false">IF($A52="","",IF($N52&gt;=6,"صعودی قوی",IF($N52&gt;=2,"صعودی",IF($N52&lt;=-6,"نزولی قوی",IF($N52&lt;=-2,"نزولی","خنثی")))))</f>
        <v/>
      </c>
      <c r="I52" s="23" t="str">
        <f aca="false">IF($A52="","",IFERROR(Calculations!$U$53,""))</f>
        <v/>
      </c>
      <c r="J52" s="23" t="str">
        <f aca="false">IF($A52="","",IF($O52&gt;=6,"ورود قوی پول حقیقی",IF($O52&gt;=2,"ورود پول حقیقی",IF($O52&lt;=-6,"خروج قوی پول حقیقی",IF($O52&lt;=-2,"خروج پول حقیقی","متعادل")))))</f>
        <v/>
      </c>
      <c r="K52" s="33" t="str">
        <f aca="false">IF($A52="","",IFERROR(Calculations!$AG$53,""))</f>
        <v/>
      </c>
      <c r="L52" s="23" t="str">
        <f aca="false">IF($A52="","",IFERROR(Calculations!$O$53,""))</f>
        <v/>
      </c>
      <c r="M52" s="33" t="str">
        <f aca="false">IF($A52="","",IFERROR(Calculations!$AA$53,""))</f>
        <v/>
      </c>
      <c r="N52" s="27" t="str">
        <f aca="false">IF($A52="","",IFERROR(Calculations!$AJ$53,0))</f>
        <v/>
      </c>
      <c r="O52" s="27" t="str">
        <f aca="false">IF($A52="","",IFERROR(Calculations!$AK$53,0))</f>
        <v/>
      </c>
      <c r="P52" s="27" t="str">
        <f aca="false">IF($A52="","",IFERROR(Calculations!$AL$53,0))</f>
        <v/>
      </c>
      <c r="Q52" s="27" t="str">
        <f aca="false">IF($A52="","",IFERROR(Calculations!$AM$53,0))</f>
        <v/>
      </c>
      <c r="R52" s="27" t="str">
        <f aca="false">IF($A52="","",IFERROR(Calculations!$AN$53,0))</f>
        <v/>
      </c>
      <c r="S52" s="27" t="str">
        <f aca="false">IF($A52="","",IFERROR(Calculations!$AO$53,0))</f>
        <v/>
      </c>
      <c r="T52" s="27" t="str">
        <f aca="false">IF($A52="","",IFERROR(Calculations!$AP$53,0))</f>
        <v/>
      </c>
      <c r="U52" s="23" t="str">
        <f aca="false">IF($A52="","",IF($T52&gt;=TH_SBUY,"خرید قوی",IF($T52&gt;=TH_BUY,"خرید",IF($T52&lt;=TH_SSELL,"فروش قوی",IF($T52&lt;=TH_SELL,"فروش","نگهداری")))))</f>
        <v/>
      </c>
      <c r="V52" s="28" t="str">
        <f aca="false">IF($A52="","",IFERROR(Calculations!$AQ$53,1))</f>
        <v/>
      </c>
      <c r="W52" s="34" t="str">
        <f aca="false">IF($A52="","","روند: "&amp;$H52&amp;" | ساختار: "&amp;$I52&amp;" | پول هوشمند: "&amp;$J52&amp;" | قدرت خریدار: "&amp;IFERROR(TEXT($K52,"0.00"),"—")&amp;"x"&amp;" | میانگین‌ها: "&amp;IFERROR(TEXT(Calculations!$N$53,"0"),"—")&amp;"/4 ("&amp;$L52&amp;")"&amp;" | حجم: "&amp;IFERROR(TEXT($M52,"0.00"),"—")&amp;"x"&amp;" | بازار: "&amp;$G52)</f>
        <v/>
      </c>
      <c r="X52" s="26" t="str">
        <f aca="false">IF($A52="","",IFERROR(Calculations!$X$53,""))</f>
        <v/>
      </c>
      <c r="Y52" s="35" t="str">
        <f aca="false">IF($A52="","",IFERROR(($E52-$X52)/$E52,""))</f>
        <v/>
      </c>
      <c r="Z52" s="23" t="str">
        <f aca="false">IF($A52="","",IFERROR(Calculations!$AR$53,""))</f>
        <v/>
      </c>
    </row>
    <row r="53" customFormat="false" ht="15" hidden="false" customHeight="false" outlineLevel="0" collapsed="false">
      <c r="A53" s="24" t="str">
        <f aca="false">IF(Calculations!$A$54="","",Calculations!$A$54)</f>
        <v/>
      </c>
      <c r="B53" s="25" t="str">
        <f aca="false">IF($A53="","",IFERROR(INDEX(Watchlist!$B$1:$B$5000,MATCH($A53,Watchlist!$A$1:$A$5000,0)),""))</f>
        <v/>
      </c>
      <c r="C53" s="25" t="str">
        <f aca="false">IF($A53="","",IFERROR(INDEX(Watchlist!$F$1:$F$5000,MATCH($A53,Watchlist!$A$1:$A$5000,0)),""))</f>
        <v/>
      </c>
      <c r="D53" s="23" t="str">
        <f aca="false">IF($A53="","",IFERROR(INDEX(Watchlist!$E$1:$E$5000,MATCH($A53,Watchlist!$A$1:$A$5000,0)),""))</f>
        <v/>
      </c>
      <c r="E53" s="26" t="str">
        <f aca="false">IF($A53="","",IFERROR(Calculations!$D$54,""))</f>
        <v/>
      </c>
      <c r="F53" s="32" t="str">
        <f aca="false">IF($A53="","",IFERROR(Calculations!$F$54,""))</f>
        <v/>
      </c>
      <c r="G53" s="23" t="str">
        <f aca="false">IF($A53="","",MARKET_LABEL)</f>
        <v/>
      </c>
      <c r="H53" s="23" t="str">
        <f aca="false">IF($A53="","",IF($N53&gt;=6,"صعودی قوی",IF($N53&gt;=2,"صعودی",IF($N53&lt;=-6,"نزولی قوی",IF($N53&lt;=-2,"نزولی","خنثی")))))</f>
        <v/>
      </c>
      <c r="I53" s="23" t="str">
        <f aca="false">IF($A53="","",IFERROR(Calculations!$U$54,""))</f>
        <v/>
      </c>
      <c r="J53" s="23" t="str">
        <f aca="false">IF($A53="","",IF($O53&gt;=6,"ورود قوی پول حقیقی",IF($O53&gt;=2,"ورود پول حقیقی",IF($O53&lt;=-6,"خروج قوی پول حقیقی",IF($O53&lt;=-2,"خروج پول حقیقی","متعادل")))))</f>
        <v/>
      </c>
      <c r="K53" s="33" t="str">
        <f aca="false">IF($A53="","",IFERROR(Calculations!$AG$54,""))</f>
        <v/>
      </c>
      <c r="L53" s="23" t="str">
        <f aca="false">IF($A53="","",IFERROR(Calculations!$O$54,""))</f>
        <v/>
      </c>
      <c r="M53" s="33" t="str">
        <f aca="false">IF($A53="","",IFERROR(Calculations!$AA$54,""))</f>
        <v/>
      </c>
      <c r="N53" s="27" t="str">
        <f aca="false">IF($A53="","",IFERROR(Calculations!$AJ$54,0))</f>
        <v/>
      </c>
      <c r="O53" s="27" t="str">
        <f aca="false">IF($A53="","",IFERROR(Calculations!$AK$54,0))</f>
        <v/>
      </c>
      <c r="P53" s="27" t="str">
        <f aca="false">IF($A53="","",IFERROR(Calculations!$AL$54,0))</f>
        <v/>
      </c>
      <c r="Q53" s="27" t="str">
        <f aca="false">IF($A53="","",IFERROR(Calculations!$AM$54,0))</f>
        <v/>
      </c>
      <c r="R53" s="27" t="str">
        <f aca="false">IF($A53="","",IFERROR(Calculations!$AN$54,0))</f>
        <v/>
      </c>
      <c r="S53" s="27" t="str">
        <f aca="false">IF($A53="","",IFERROR(Calculations!$AO$54,0))</f>
        <v/>
      </c>
      <c r="T53" s="27" t="str">
        <f aca="false">IF($A53="","",IFERROR(Calculations!$AP$54,0))</f>
        <v/>
      </c>
      <c r="U53" s="23" t="str">
        <f aca="false">IF($A53="","",IF($T53&gt;=TH_SBUY,"خرید قوی",IF($T53&gt;=TH_BUY,"خرید",IF($T53&lt;=TH_SSELL,"فروش قوی",IF($T53&lt;=TH_SELL,"فروش","نگهداری")))))</f>
        <v/>
      </c>
      <c r="V53" s="28" t="str">
        <f aca="false">IF($A53="","",IFERROR(Calculations!$AQ$54,1))</f>
        <v/>
      </c>
      <c r="W53" s="34" t="str">
        <f aca="false">IF($A53="","","روند: "&amp;$H53&amp;" | ساختار: "&amp;$I53&amp;" | پول هوشمند: "&amp;$J53&amp;" | قدرت خریدار: "&amp;IFERROR(TEXT($K53,"0.00"),"—")&amp;"x"&amp;" | میانگین‌ها: "&amp;IFERROR(TEXT(Calculations!$N$54,"0"),"—")&amp;"/4 ("&amp;$L53&amp;")"&amp;" | حجم: "&amp;IFERROR(TEXT($M53,"0.00"),"—")&amp;"x"&amp;" | بازار: "&amp;$G53)</f>
        <v/>
      </c>
      <c r="X53" s="26" t="str">
        <f aca="false">IF($A53="","",IFERROR(Calculations!$X$54,""))</f>
        <v/>
      </c>
      <c r="Y53" s="35" t="str">
        <f aca="false">IF($A53="","",IFERROR(($E53-$X53)/$E53,""))</f>
        <v/>
      </c>
      <c r="Z53" s="23" t="str">
        <f aca="false">IF($A53="","",IFERROR(Calculations!$AR$54,""))</f>
        <v/>
      </c>
    </row>
    <row r="54" customFormat="false" ht="15" hidden="false" customHeight="false" outlineLevel="0" collapsed="false">
      <c r="A54" s="24" t="str">
        <f aca="false">IF(Calculations!$A$55="","",Calculations!$A$55)</f>
        <v/>
      </c>
      <c r="B54" s="25" t="str">
        <f aca="false">IF($A54="","",IFERROR(INDEX(Watchlist!$B$1:$B$5000,MATCH($A54,Watchlist!$A$1:$A$5000,0)),""))</f>
        <v/>
      </c>
      <c r="C54" s="25" t="str">
        <f aca="false">IF($A54="","",IFERROR(INDEX(Watchlist!$F$1:$F$5000,MATCH($A54,Watchlist!$A$1:$A$5000,0)),""))</f>
        <v/>
      </c>
      <c r="D54" s="23" t="str">
        <f aca="false">IF($A54="","",IFERROR(INDEX(Watchlist!$E$1:$E$5000,MATCH($A54,Watchlist!$A$1:$A$5000,0)),""))</f>
        <v/>
      </c>
      <c r="E54" s="26" t="str">
        <f aca="false">IF($A54="","",IFERROR(Calculations!$D$55,""))</f>
        <v/>
      </c>
      <c r="F54" s="32" t="str">
        <f aca="false">IF($A54="","",IFERROR(Calculations!$F$55,""))</f>
        <v/>
      </c>
      <c r="G54" s="23" t="str">
        <f aca="false">IF($A54="","",MARKET_LABEL)</f>
        <v/>
      </c>
      <c r="H54" s="23" t="str">
        <f aca="false">IF($A54="","",IF($N54&gt;=6,"صعودی قوی",IF($N54&gt;=2,"صعودی",IF($N54&lt;=-6,"نزولی قوی",IF($N54&lt;=-2,"نزولی","خنثی")))))</f>
        <v/>
      </c>
      <c r="I54" s="23" t="str">
        <f aca="false">IF($A54="","",IFERROR(Calculations!$U$55,""))</f>
        <v/>
      </c>
      <c r="J54" s="23" t="str">
        <f aca="false">IF($A54="","",IF($O54&gt;=6,"ورود قوی پول حقیقی",IF($O54&gt;=2,"ورود پول حقیقی",IF($O54&lt;=-6,"خروج قوی پول حقیقی",IF($O54&lt;=-2,"خروج پول حقیقی","متعادل")))))</f>
        <v/>
      </c>
      <c r="K54" s="33" t="str">
        <f aca="false">IF($A54="","",IFERROR(Calculations!$AG$55,""))</f>
        <v/>
      </c>
      <c r="L54" s="23" t="str">
        <f aca="false">IF($A54="","",IFERROR(Calculations!$O$55,""))</f>
        <v/>
      </c>
      <c r="M54" s="33" t="str">
        <f aca="false">IF($A54="","",IFERROR(Calculations!$AA$55,""))</f>
        <v/>
      </c>
      <c r="N54" s="27" t="str">
        <f aca="false">IF($A54="","",IFERROR(Calculations!$AJ$55,0))</f>
        <v/>
      </c>
      <c r="O54" s="27" t="str">
        <f aca="false">IF($A54="","",IFERROR(Calculations!$AK$55,0))</f>
        <v/>
      </c>
      <c r="P54" s="27" t="str">
        <f aca="false">IF($A54="","",IFERROR(Calculations!$AL$55,0))</f>
        <v/>
      </c>
      <c r="Q54" s="27" t="str">
        <f aca="false">IF($A54="","",IFERROR(Calculations!$AM$55,0))</f>
        <v/>
      </c>
      <c r="R54" s="27" t="str">
        <f aca="false">IF($A54="","",IFERROR(Calculations!$AN$55,0))</f>
        <v/>
      </c>
      <c r="S54" s="27" t="str">
        <f aca="false">IF($A54="","",IFERROR(Calculations!$AO$55,0))</f>
        <v/>
      </c>
      <c r="T54" s="27" t="str">
        <f aca="false">IF($A54="","",IFERROR(Calculations!$AP$55,0))</f>
        <v/>
      </c>
      <c r="U54" s="23" t="str">
        <f aca="false">IF($A54="","",IF($T54&gt;=TH_SBUY,"خرید قوی",IF($T54&gt;=TH_BUY,"خرید",IF($T54&lt;=TH_SSELL,"فروش قوی",IF($T54&lt;=TH_SELL,"فروش","نگهداری")))))</f>
        <v/>
      </c>
      <c r="V54" s="28" t="str">
        <f aca="false">IF($A54="","",IFERROR(Calculations!$AQ$55,1))</f>
        <v/>
      </c>
      <c r="W54" s="34" t="str">
        <f aca="false">IF($A54="","","روند: "&amp;$H54&amp;" | ساختار: "&amp;$I54&amp;" | پول هوشمند: "&amp;$J54&amp;" | قدرت خریدار: "&amp;IFERROR(TEXT($K54,"0.00"),"—")&amp;"x"&amp;" | میانگین‌ها: "&amp;IFERROR(TEXT(Calculations!$N$55,"0"),"—")&amp;"/4 ("&amp;$L54&amp;")"&amp;" | حجم: "&amp;IFERROR(TEXT($M54,"0.00"),"—")&amp;"x"&amp;" | بازار: "&amp;$G54)</f>
        <v/>
      </c>
      <c r="X54" s="26" t="str">
        <f aca="false">IF($A54="","",IFERROR(Calculations!$X$55,""))</f>
        <v/>
      </c>
      <c r="Y54" s="35" t="str">
        <f aca="false">IF($A54="","",IFERROR(($E54-$X54)/$E54,""))</f>
        <v/>
      </c>
      <c r="Z54" s="23" t="str">
        <f aca="false">IF($A54="","",IFERROR(Calculations!$AR$55,""))</f>
        <v/>
      </c>
    </row>
    <row r="55" customFormat="false" ht="15" hidden="false" customHeight="false" outlineLevel="0" collapsed="false">
      <c r="A55" s="24" t="str">
        <f aca="false">IF(Calculations!$A$56="","",Calculations!$A$56)</f>
        <v/>
      </c>
      <c r="B55" s="25" t="str">
        <f aca="false">IF($A55="","",IFERROR(INDEX(Watchlist!$B$1:$B$5000,MATCH($A55,Watchlist!$A$1:$A$5000,0)),""))</f>
        <v/>
      </c>
      <c r="C55" s="25" t="str">
        <f aca="false">IF($A55="","",IFERROR(INDEX(Watchlist!$F$1:$F$5000,MATCH($A55,Watchlist!$A$1:$A$5000,0)),""))</f>
        <v/>
      </c>
      <c r="D55" s="23" t="str">
        <f aca="false">IF($A55="","",IFERROR(INDEX(Watchlist!$E$1:$E$5000,MATCH($A55,Watchlist!$A$1:$A$5000,0)),""))</f>
        <v/>
      </c>
      <c r="E55" s="26" t="str">
        <f aca="false">IF($A55="","",IFERROR(Calculations!$D$56,""))</f>
        <v/>
      </c>
      <c r="F55" s="32" t="str">
        <f aca="false">IF($A55="","",IFERROR(Calculations!$F$56,""))</f>
        <v/>
      </c>
      <c r="G55" s="23" t="str">
        <f aca="false">IF($A55="","",MARKET_LABEL)</f>
        <v/>
      </c>
      <c r="H55" s="23" t="str">
        <f aca="false">IF($A55="","",IF($N55&gt;=6,"صعودی قوی",IF($N55&gt;=2,"صعودی",IF($N55&lt;=-6,"نزولی قوی",IF($N55&lt;=-2,"نزولی","خنثی")))))</f>
        <v/>
      </c>
      <c r="I55" s="23" t="str">
        <f aca="false">IF($A55="","",IFERROR(Calculations!$U$56,""))</f>
        <v/>
      </c>
      <c r="J55" s="23" t="str">
        <f aca="false">IF($A55="","",IF($O55&gt;=6,"ورود قوی پول حقیقی",IF($O55&gt;=2,"ورود پول حقیقی",IF($O55&lt;=-6,"خروج قوی پول حقیقی",IF($O55&lt;=-2,"خروج پول حقیقی","متعادل")))))</f>
        <v/>
      </c>
      <c r="K55" s="33" t="str">
        <f aca="false">IF($A55="","",IFERROR(Calculations!$AG$56,""))</f>
        <v/>
      </c>
      <c r="L55" s="23" t="str">
        <f aca="false">IF($A55="","",IFERROR(Calculations!$O$56,""))</f>
        <v/>
      </c>
      <c r="M55" s="33" t="str">
        <f aca="false">IF($A55="","",IFERROR(Calculations!$AA$56,""))</f>
        <v/>
      </c>
      <c r="N55" s="27" t="str">
        <f aca="false">IF($A55="","",IFERROR(Calculations!$AJ$56,0))</f>
        <v/>
      </c>
      <c r="O55" s="27" t="str">
        <f aca="false">IF($A55="","",IFERROR(Calculations!$AK$56,0))</f>
        <v/>
      </c>
      <c r="P55" s="27" t="str">
        <f aca="false">IF($A55="","",IFERROR(Calculations!$AL$56,0))</f>
        <v/>
      </c>
      <c r="Q55" s="27" t="str">
        <f aca="false">IF($A55="","",IFERROR(Calculations!$AM$56,0))</f>
        <v/>
      </c>
      <c r="R55" s="27" t="str">
        <f aca="false">IF($A55="","",IFERROR(Calculations!$AN$56,0))</f>
        <v/>
      </c>
      <c r="S55" s="27" t="str">
        <f aca="false">IF($A55="","",IFERROR(Calculations!$AO$56,0))</f>
        <v/>
      </c>
      <c r="T55" s="27" t="str">
        <f aca="false">IF($A55="","",IFERROR(Calculations!$AP$56,0))</f>
        <v/>
      </c>
      <c r="U55" s="23" t="str">
        <f aca="false">IF($A55="","",IF($T55&gt;=TH_SBUY,"خرید قوی",IF($T55&gt;=TH_BUY,"خرید",IF($T55&lt;=TH_SSELL,"فروش قوی",IF($T55&lt;=TH_SELL,"فروش","نگهداری")))))</f>
        <v/>
      </c>
      <c r="V55" s="28" t="str">
        <f aca="false">IF($A55="","",IFERROR(Calculations!$AQ$56,1))</f>
        <v/>
      </c>
      <c r="W55" s="34" t="str">
        <f aca="false">IF($A55="","","روند: "&amp;$H55&amp;" | ساختار: "&amp;$I55&amp;" | پول هوشمند: "&amp;$J55&amp;" | قدرت خریدار: "&amp;IFERROR(TEXT($K55,"0.00"),"—")&amp;"x"&amp;" | میانگین‌ها: "&amp;IFERROR(TEXT(Calculations!$N$56,"0"),"—")&amp;"/4 ("&amp;$L55&amp;")"&amp;" | حجم: "&amp;IFERROR(TEXT($M55,"0.00"),"—")&amp;"x"&amp;" | بازار: "&amp;$G55)</f>
        <v/>
      </c>
      <c r="X55" s="26" t="str">
        <f aca="false">IF($A55="","",IFERROR(Calculations!$X$56,""))</f>
        <v/>
      </c>
      <c r="Y55" s="35" t="str">
        <f aca="false">IF($A55="","",IFERROR(($E55-$X55)/$E55,""))</f>
        <v/>
      </c>
      <c r="Z55" s="23" t="str">
        <f aca="false">IF($A55="","",IFERROR(Calculations!$AR$56,""))</f>
        <v/>
      </c>
    </row>
    <row r="56" customFormat="false" ht="15" hidden="false" customHeight="false" outlineLevel="0" collapsed="false">
      <c r="A56" s="24" t="str">
        <f aca="false">IF(Calculations!$A$57="","",Calculations!$A$57)</f>
        <v/>
      </c>
      <c r="B56" s="25" t="str">
        <f aca="false">IF($A56="","",IFERROR(INDEX(Watchlist!$B$1:$B$5000,MATCH($A56,Watchlist!$A$1:$A$5000,0)),""))</f>
        <v/>
      </c>
      <c r="C56" s="25" t="str">
        <f aca="false">IF($A56="","",IFERROR(INDEX(Watchlist!$F$1:$F$5000,MATCH($A56,Watchlist!$A$1:$A$5000,0)),""))</f>
        <v/>
      </c>
      <c r="D56" s="23" t="str">
        <f aca="false">IF($A56="","",IFERROR(INDEX(Watchlist!$E$1:$E$5000,MATCH($A56,Watchlist!$A$1:$A$5000,0)),""))</f>
        <v/>
      </c>
      <c r="E56" s="26" t="str">
        <f aca="false">IF($A56="","",IFERROR(Calculations!$D$57,""))</f>
        <v/>
      </c>
      <c r="F56" s="32" t="str">
        <f aca="false">IF($A56="","",IFERROR(Calculations!$F$57,""))</f>
        <v/>
      </c>
      <c r="G56" s="23" t="str">
        <f aca="false">IF($A56="","",MARKET_LABEL)</f>
        <v/>
      </c>
      <c r="H56" s="23" t="str">
        <f aca="false">IF($A56="","",IF($N56&gt;=6,"صعودی قوی",IF($N56&gt;=2,"صعودی",IF($N56&lt;=-6,"نزولی قوی",IF($N56&lt;=-2,"نزولی","خنثی")))))</f>
        <v/>
      </c>
      <c r="I56" s="23" t="str">
        <f aca="false">IF($A56="","",IFERROR(Calculations!$U$57,""))</f>
        <v/>
      </c>
      <c r="J56" s="23" t="str">
        <f aca="false">IF($A56="","",IF($O56&gt;=6,"ورود قوی پول حقیقی",IF($O56&gt;=2,"ورود پول حقیقی",IF($O56&lt;=-6,"خروج قوی پول حقیقی",IF($O56&lt;=-2,"خروج پول حقیقی","متعادل")))))</f>
        <v/>
      </c>
      <c r="K56" s="33" t="str">
        <f aca="false">IF($A56="","",IFERROR(Calculations!$AG$57,""))</f>
        <v/>
      </c>
      <c r="L56" s="23" t="str">
        <f aca="false">IF($A56="","",IFERROR(Calculations!$O$57,""))</f>
        <v/>
      </c>
      <c r="M56" s="33" t="str">
        <f aca="false">IF($A56="","",IFERROR(Calculations!$AA$57,""))</f>
        <v/>
      </c>
      <c r="N56" s="27" t="str">
        <f aca="false">IF($A56="","",IFERROR(Calculations!$AJ$57,0))</f>
        <v/>
      </c>
      <c r="O56" s="27" t="str">
        <f aca="false">IF($A56="","",IFERROR(Calculations!$AK$57,0))</f>
        <v/>
      </c>
      <c r="P56" s="27" t="str">
        <f aca="false">IF($A56="","",IFERROR(Calculations!$AL$57,0))</f>
        <v/>
      </c>
      <c r="Q56" s="27" t="str">
        <f aca="false">IF($A56="","",IFERROR(Calculations!$AM$57,0))</f>
        <v/>
      </c>
      <c r="R56" s="27" t="str">
        <f aca="false">IF($A56="","",IFERROR(Calculations!$AN$57,0))</f>
        <v/>
      </c>
      <c r="S56" s="27" t="str">
        <f aca="false">IF($A56="","",IFERROR(Calculations!$AO$57,0))</f>
        <v/>
      </c>
      <c r="T56" s="27" t="str">
        <f aca="false">IF($A56="","",IFERROR(Calculations!$AP$57,0))</f>
        <v/>
      </c>
      <c r="U56" s="23" t="str">
        <f aca="false">IF($A56="","",IF($T56&gt;=TH_SBUY,"خرید قوی",IF($T56&gt;=TH_BUY,"خرید",IF($T56&lt;=TH_SSELL,"فروش قوی",IF($T56&lt;=TH_SELL,"فروش","نگهداری")))))</f>
        <v/>
      </c>
      <c r="V56" s="28" t="str">
        <f aca="false">IF($A56="","",IFERROR(Calculations!$AQ$57,1))</f>
        <v/>
      </c>
      <c r="W56" s="34" t="str">
        <f aca="false">IF($A56="","","روند: "&amp;$H56&amp;" | ساختار: "&amp;$I56&amp;" | پول هوشمند: "&amp;$J56&amp;" | قدرت خریدار: "&amp;IFERROR(TEXT($K56,"0.00"),"—")&amp;"x"&amp;" | میانگین‌ها: "&amp;IFERROR(TEXT(Calculations!$N$57,"0"),"—")&amp;"/4 ("&amp;$L56&amp;")"&amp;" | حجم: "&amp;IFERROR(TEXT($M56,"0.00"),"—")&amp;"x"&amp;" | بازار: "&amp;$G56)</f>
        <v/>
      </c>
      <c r="X56" s="26" t="str">
        <f aca="false">IF($A56="","",IFERROR(Calculations!$X$57,""))</f>
        <v/>
      </c>
      <c r="Y56" s="35" t="str">
        <f aca="false">IF($A56="","",IFERROR(($E56-$X56)/$E56,""))</f>
        <v/>
      </c>
      <c r="Z56" s="23" t="str">
        <f aca="false">IF($A56="","",IFERROR(Calculations!$AR$57,""))</f>
        <v/>
      </c>
    </row>
    <row r="57" customFormat="false" ht="15" hidden="false" customHeight="false" outlineLevel="0" collapsed="false">
      <c r="A57" s="24" t="str">
        <f aca="false">IF(Calculations!$A$58="","",Calculations!$A$58)</f>
        <v/>
      </c>
      <c r="B57" s="25" t="str">
        <f aca="false">IF($A57="","",IFERROR(INDEX(Watchlist!$B$1:$B$5000,MATCH($A57,Watchlist!$A$1:$A$5000,0)),""))</f>
        <v/>
      </c>
      <c r="C57" s="25" t="str">
        <f aca="false">IF($A57="","",IFERROR(INDEX(Watchlist!$F$1:$F$5000,MATCH($A57,Watchlist!$A$1:$A$5000,0)),""))</f>
        <v/>
      </c>
      <c r="D57" s="23" t="str">
        <f aca="false">IF($A57="","",IFERROR(INDEX(Watchlist!$E$1:$E$5000,MATCH($A57,Watchlist!$A$1:$A$5000,0)),""))</f>
        <v/>
      </c>
      <c r="E57" s="26" t="str">
        <f aca="false">IF($A57="","",IFERROR(Calculations!$D$58,""))</f>
        <v/>
      </c>
      <c r="F57" s="32" t="str">
        <f aca="false">IF($A57="","",IFERROR(Calculations!$F$58,""))</f>
        <v/>
      </c>
      <c r="G57" s="23" t="str">
        <f aca="false">IF($A57="","",MARKET_LABEL)</f>
        <v/>
      </c>
      <c r="H57" s="23" t="str">
        <f aca="false">IF($A57="","",IF($N57&gt;=6,"صعودی قوی",IF($N57&gt;=2,"صعودی",IF($N57&lt;=-6,"نزولی قوی",IF($N57&lt;=-2,"نزولی","خنثی")))))</f>
        <v/>
      </c>
      <c r="I57" s="23" t="str">
        <f aca="false">IF($A57="","",IFERROR(Calculations!$U$58,""))</f>
        <v/>
      </c>
      <c r="J57" s="23" t="str">
        <f aca="false">IF($A57="","",IF($O57&gt;=6,"ورود قوی پول حقیقی",IF($O57&gt;=2,"ورود پول حقیقی",IF($O57&lt;=-6,"خروج قوی پول حقیقی",IF($O57&lt;=-2,"خروج پول حقیقی","متعادل")))))</f>
        <v/>
      </c>
      <c r="K57" s="33" t="str">
        <f aca="false">IF($A57="","",IFERROR(Calculations!$AG$58,""))</f>
        <v/>
      </c>
      <c r="L57" s="23" t="str">
        <f aca="false">IF($A57="","",IFERROR(Calculations!$O$58,""))</f>
        <v/>
      </c>
      <c r="M57" s="33" t="str">
        <f aca="false">IF($A57="","",IFERROR(Calculations!$AA$58,""))</f>
        <v/>
      </c>
      <c r="N57" s="27" t="str">
        <f aca="false">IF($A57="","",IFERROR(Calculations!$AJ$58,0))</f>
        <v/>
      </c>
      <c r="O57" s="27" t="str">
        <f aca="false">IF($A57="","",IFERROR(Calculations!$AK$58,0))</f>
        <v/>
      </c>
      <c r="P57" s="27" t="str">
        <f aca="false">IF($A57="","",IFERROR(Calculations!$AL$58,0))</f>
        <v/>
      </c>
      <c r="Q57" s="27" t="str">
        <f aca="false">IF($A57="","",IFERROR(Calculations!$AM$58,0))</f>
        <v/>
      </c>
      <c r="R57" s="27" t="str">
        <f aca="false">IF($A57="","",IFERROR(Calculations!$AN$58,0))</f>
        <v/>
      </c>
      <c r="S57" s="27" t="str">
        <f aca="false">IF($A57="","",IFERROR(Calculations!$AO$58,0))</f>
        <v/>
      </c>
      <c r="T57" s="27" t="str">
        <f aca="false">IF($A57="","",IFERROR(Calculations!$AP$58,0))</f>
        <v/>
      </c>
      <c r="U57" s="23" t="str">
        <f aca="false">IF($A57="","",IF($T57&gt;=TH_SBUY,"خرید قوی",IF($T57&gt;=TH_BUY,"خرید",IF($T57&lt;=TH_SSELL,"فروش قوی",IF($T57&lt;=TH_SELL,"فروش","نگهداری")))))</f>
        <v/>
      </c>
      <c r="V57" s="28" t="str">
        <f aca="false">IF($A57="","",IFERROR(Calculations!$AQ$58,1))</f>
        <v/>
      </c>
      <c r="W57" s="34" t="str">
        <f aca="false">IF($A57="","","روند: "&amp;$H57&amp;" | ساختار: "&amp;$I57&amp;" | پول هوشمند: "&amp;$J57&amp;" | قدرت خریدار: "&amp;IFERROR(TEXT($K57,"0.00"),"—")&amp;"x"&amp;" | میانگین‌ها: "&amp;IFERROR(TEXT(Calculations!$N$58,"0"),"—")&amp;"/4 ("&amp;$L57&amp;")"&amp;" | حجم: "&amp;IFERROR(TEXT($M57,"0.00"),"—")&amp;"x"&amp;" | بازار: "&amp;$G57)</f>
        <v/>
      </c>
      <c r="X57" s="26" t="str">
        <f aca="false">IF($A57="","",IFERROR(Calculations!$X$58,""))</f>
        <v/>
      </c>
      <c r="Y57" s="35" t="str">
        <f aca="false">IF($A57="","",IFERROR(($E57-$X57)/$E57,""))</f>
        <v/>
      </c>
      <c r="Z57" s="23" t="str">
        <f aca="false">IF($A57="","",IFERROR(Calculations!$AR$58,""))</f>
        <v/>
      </c>
    </row>
    <row r="58" customFormat="false" ht="15" hidden="false" customHeight="false" outlineLevel="0" collapsed="false">
      <c r="A58" s="24" t="str">
        <f aca="false">IF(Calculations!$A$59="","",Calculations!$A$59)</f>
        <v/>
      </c>
      <c r="B58" s="25" t="str">
        <f aca="false">IF($A58="","",IFERROR(INDEX(Watchlist!$B$1:$B$5000,MATCH($A58,Watchlist!$A$1:$A$5000,0)),""))</f>
        <v/>
      </c>
      <c r="C58" s="25" t="str">
        <f aca="false">IF($A58="","",IFERROR(INDEX(Watchlist!$F$1:$F$5000,MATCH($A58,Watchlist!$A$1:$A$5000,0)),""))</f>
        <v/>
      </c>
      <c r="D58" s="23" t="str">
        <f aca="false">IF($A58="","",IFERROR(INDEX(Watchlist!$E$1:$E$5000,MATCH($A58,Watchlist!$A$1:$A$5000,0)),""))</f>
        <v/>
      </c>
      <c r="E58" s="26" t="str">
        <f aca="false">IF($A58="","",IFERROR(Calculations!$D$59,""))</f>
        <v/>
      </c>
      <c r="F58" s="32" t="str">
        <f aca="false">IF($A58="","",IFERROR(Calculations!$F$59,""))</f>
        <v/>
      </c>
      <c r="G58" s="23" t="str">
        <f aca="false">IF($A58="","",MARKET_LABEL)</f>
        <v/>
      </c>
      <c r="H58" s="23" t="str">
        <f aca="false">IF($A58="","",IF($N58&gt;=6,"صعودی قوی",IF($N58&gt;=2,"صعودی",IF($N58&lt;=-6,"نزولی قوی",IF($N58&lt;=-2,"نزولی","خنثی")))))</f>
        <v/>
      </c>
      <c r="I58" s="23" t="str">
        <f aca="false">IF($A58="","",IFERROR(Calculations!$U$59,""))</f>
        <v/>
      </c>
      <c r="J58" s="23" t="str">
        <f aca="false">IF($A58="","",IF($O58&gt;=6,"ورود قوی پول حقیقی",IF($O58&gt;=2,"ورود پول حقیقی",IF($O58&lt;=-6,"خروج قوی پول حقیقی",IF($O58&lt;=-2,"خروج پول حقیقی","متعادل")))))</f>
        <v/>
      </c>
      <c r="K58" s="33" t="str">
        <f aca="false">IF($A58="","",IFERROR(Calculations!$AG$59,""))</f>
        <v/>
      </c>
      <c r="L58" s="23" t="str">
        <f aca="false">IF($A58="","",IFERROR(Calculations!$O$59,""))</f>
        <v/>
      </c>
      <c r="M58" s="33" t="str">
        <f aca="false">IF($A58="","",IFERROR(Calculations!$AA$59,""))</f>
        <v/>
      </c>
      <c r="N58" s="27" t="str">
        <f aca="false">IF($A58="","",IFERROR(Calculations!$AJ$59,0))</f>
        <v/>
      </c>
      <c r="O58" s="27" t="str">
        <f aca="false">IF($A58="","",IFERROR(Calculations!$AK$59,0))</f>
        <v/>
      </c>
      <c r="P58" s="27" t="str">
        <f aca="false">IF($A58="","",IFERROR(Calculations!$AL$59,0))</f>
        <v/>
      </c>
      <c r="Q58" s="27" t="str">
        <f aca="false">IF($A58="","",IFERROR(Calculations!$AM$59,0))</f>
        <v/>
      </c>
      <c r="R58" s="27" t="str">
        <f aca="false">IF($A58="","",IFERROR(Calculations!$AN$59,0))</f>
        <v/>
      </c>
      <c r="S58" s="27" t="str">
        <f aca="false">IF($A58="","",IFERROR(Calculations!$AO$59,0))</f>
        <v/>
      </c>
      <c r="T58" s="27" t="str">
        <f aca="false">IF($A58="","",IFERROR(Calculations!$AP$59,0))</f>
        <v/>
      </c>
      <c r="U58" s="23" t="str">
        <f aca="false">IF($A58="","",IF($T58&gt;=TH_SBUY,"خرید قوی",IF($T58&gt;=TH_BUY,"خرید",IF($T58&lt;=TH_SSELL,"فروش قوی",IF($T58&lt;=TH_SELL,"فروش","نگهداری")))))</f>
        <v/>
      </c>
      <c r="V58" s="28" t="str">
        <f aca="false">IF($A58="","",IFERROR(Calculations!$AQ$59,1))</f>
        <v/>
      </c>
      <c r="W58" s="34" t="str">
        <f aca="false">IF($A58="","","روند: "&amp;$H58&amp;" | ساختار: "&amp;$I58&amp;" | پول هوشمند: "&amp;$J58&amp;" | قدرت خریدار: "&amp;IFERROR(TEXT($K58,"0.00"),"—")&amp;"x"&amp;" | میانگین‌ها: "&amp;IFERROR(TEXT(Calculations!$N$59,"0"),"—")&amp;"/4 ("&amp;$L58&amp;")"&amp;" | حجم: "&amp;IFERROR(TEXT($M58,"0.00"),"—")&amp;"x"&amp;" | بازار: "&amp;$G58)</f>
        <v/>
      </c>
      <c r="X58" s="26" t="str">
        <f aca="false">IF($A58="","",IFERROR(Calculations!$X$59,""))</f>
        <v/>
      </c>
      <c r="Y58" s="35" t="str">
        <f aca="false">IF($A58="","",IFERROR(($E58-$X58)/$E58,""))</f>
        <v/>
      </c>
      <c r="Z58" s="23" t="str">
        <f aca="false">IF($A58="","",IFERROR(Calculations!$AR$59,""))</f>
        <v/>
      </c>
    </row>
    <row r="59" customFormat="false" ht="15" hidden="false" customHeight="false" outlineLevel="0" collapsed="false">
      <c r="A59" s="24" t="str">
        <f aca="false">IF(Calculations!$A$60="","",Calculations!$A$60)</f>
        <v/>
      </c>
      <c r="B59" s="25" t="str">
        <f aca="false">IF($A59="","",IFERROR(INDEX(Watchlist!$B$1:$B$5000,MATCH($A59,Watchlist!$A$1:$A$5000,0)),""))</f>
        <v/>
      </c>
      <c r="C59" s="25" t="str">
        <f aca="false">IF($A59="","",IFERROR(INDEX(Watchlist!$F$1:$F$5000,MATCH($A59,Watchlist!$A$1:$A$5000,0)),""))</f>
        <v/>
      </c>
      <c r="D59" s="23" t="str">
        <f aca="false">IF($A59="","",IFERROR(INDEX(Watchlist!$E$1:$E$5000,MATCH($A59,Watchlist!$A$1:$A$5000,0)),""))</f>
        <v/>
      </c>
      <c r="E59" s="26" t="str">
        <f aca="false">IF($A59="","",IFERROR(Calculations!$D$60,""))</f>
        <v/>
      </c>
      <c r="F59" s="32" t="str">
        <f aca="false">IF($A59="","",IFERROR(Calculations!$F$60,""))</f>
        <v/>
      </c>
      <c r="G59" s="23" t="str">
        <f aca="false">IF($A59="","",MARKET_LABEL)</f>
        <v/>
      </c>
      <c r="H59" s="23" t="str">
        <f aca="false">IF($A59="","",IF($N59&gt;=6,"صعودی قوی",IF($N59&gt;=2,"صعودی",IF($N59&lt;=-6,"نزولی قوی",IF($N59&lt;=-2,"نزولی","خنثی")))))</f>
        <v/>
      </c>
      <c r="I59" s="23" t="str">
        <f aca="false">IF($A59="","",IFERROR(Calculations!$U$60,""))</f>
        <v/>
      </c>
      <c r="J59" s="23" t="str">
        <f aca="false">IF($A59="","",IF($O59&gt;=6,"ورود قوی پول حقیقی",IF($O59&gt;=2,"ورود پول حقیقی",IF($O59&lt;=-6,"خروج قوی پول حقیقی",IF($O59&lt;=-2,"خروج پول حقیقی","متعادل")))))</f>
        <v/>
      </c>
      <c r="K59" s="33" t="str">
        <f aca="false">IF($A59="","",IFERROR(Calculations!$AG$60,""))</f>
        <v/>
      </c>
      <c r="L59" s="23" t="str">
        <f aca="false">IF($A59="","",IFERROR(Calculations!$O$60,""))</f>
        <v/>
      </c>
      <c r="M59" s="33" t="str">
        <f aca="false">IF($A59="","",IFERROR(Calculations!$AA$60,""))</f>
        <v/>
      </c>
      <c r="N59" s="27" t="str">
        <f aca="false">IF($A59="","",IFERROR(Calculations!$AJ$60,0))</f>
        <v/>
      </c>
      <c r="O59" s="27" t="str">
        <f aca="false">IF($A59="","",IFERROR(Calculations!$AK$60,0))</f>
        <v/>
      </c>
      <c r="P59" s="27" t="str">
        <f aca="false">IF($A59="","",IFERROR(Calculations!$AL$60,0))</f>
        <v/>
      </c>
      <c r="Q59" s="27" t="str">
        <f aca="false">IF($A59="","",IFERROR(Calculations!$AM$60,0))</f>
        <v/>
      </c>
      <c r="R59" s="27" t="str">
        <f aca="false">IF($A59="","",IFERROR(Calculations!$AN$60,0))</f>
        <v/>
      </c>
      <c r="S59" s="27" t="str">
        <f aca="false">IF($A59="","",IFERROR(Calculations!$AO$60,0))</f>
        <v/>
      </c>
      <c r="T59" s="27" t="str">
        <f aca="false">IF($A59="","",IFERROR(Calculations!$AP$60,0))</f>
        <v/>
      </c>
      <c r="U59" s="23" t="str">
        <f aca="false">IF($A59="","",IF($T59&gt;=TH_SBUY,"خرید قوی",IF($T59&gt;=TH_BUY,"خرید",IF($T59&lt;=TH_SSELL,"فروش قوی",IF($T59&lt;=TH_SELL,"فروش","نگهداری")))))</f>
        <v/>
      </c>
      <c r="V59" s="28" t="str">
        <f aca="false">IF($A59="","",IFERROR(Calculations!$AQ$60,1))</f>
        <v/>
      </c>
      <c r="W59" s="34" t="str">
        <f aca="false">IF($A59="","","روند: "&amp;$H59&amp;" | ساختار: "&amp;$I59&amp;" | پول هوشمند: "&amp;$J59&amp;" | قدرت خریدار: "&amp;IFERROR(TEXT($K59,"0.00"),"—")&amp;"x"&amp;" | میانگین‌ها: "&amp;IFERROR(TEXT(Calculations!$N$60,"0"),"—")&amp;"/4 ("&amp;$L59&amp;")"&amp;" | حجم: "&amp;IFERROR(TEXT($M59,"0.00"),"—")&amp;"x"&amp;" | بازار: "&amp;$G59)</f>
        <v/>
      </c>
      <c r="X59" s="26" t="str">
        <f aca="false">IF($A59="","",IFERROR(Calculations!$X$60,""))</f>
        <v/>
      </c>
      <c r="Y59" s="35" t="str">
        <f aca="false">IF($A59="","",IFERROR(($E59-$X59)/$E59,""))</f>
        <v/>
      </c>
      <c r="Z59" s="23" t="str">
        <f aca="false">IF($A59="","",IFERROR(Calculations!$AR$60,""))</f>
        <v/>
      </c>
    </row>
    <row r="60" customFormat="false" ht="15" hidden="false" customHeight="false" outlineLevel="0" collapsed="false">
      <c r="A60" s="24" t="str">
        <f aca="false">IF(Calculations!$A$61="","",Calculations!$A$61)</f>
        <v/>
      </c>
      <c r="B60" s="25" t="str">
        <f aca="false">IF($A60="","",IFERROR(INDEX(Watchlist!$B$1:$B$5000,MATCH($A60,Watchlist!$A$1:$A$5000,0)),""))</f>
        <v/>
      </c>
      <c r="C60" s="25" t="str">
        <f aca="false">IF($A60="","",IFERROR(INDEX(Watchlist!$F$1:$F$5000,MATCH($A60,Watchlist!$A$1:$A$5000,0)),""))</f>
        <v/>
      </c>
      <c r="D60" s="23" t="str">
        <f aca="false">IF($A60="","",IFERROR(INDEX(Watchlist!$E$1:$E$5000,MATCH($A60,Watchlist!$A$1:$A$5000,0)),""))</f>
        <v/>
      </c>
      <c r="E60" s="26" t="str">
        <f aca="false">IF($A60="","",IFERROR(Calculations!$D$61,""))</f>
        <v/>
      </c>
      <c r="F60" s="32" t="str">
        <f aca="false">IF($A60="","",IFERROR(Calculations!$F$61,""))</f>
        <v/>
      </c>
      <c r="G60" s="23" t="str">
        <f aca="false">IF($A60="","",MARKET_LABEL)</f>
        <v/>
      </c>
      <c r="H60" s="23" t="str">
        <f aca="false">IF($A60="","",IF($N60&gt;=6,"صعودی قوی",IF($N60&gt;=2,"صعودی",IF($N60&lt;=-6,"نزولی قوی",IF($N60&lt;=-2,"نزولی","خنثی")))))</f>
        <v/>
      </c>
      <c r="I60" s="23" t="str">
        <f aca="false">IF($A60="","",IFERROR(Calculations!$U$61,""))</f>
        <v/>
      </c>
      <c r="J60" s="23" t="str">
        <f aca="false">IF($A60="","",IF($O60&gt;=6,"ورود قوی پول حقیقی",IF($O60&gt;=2,"ورود پول حقیقی",IF($O60&lt;=-6,"خروج قوی پول حقیقی",IF($O60&lt;=-2,"خروج پول حقیقی","متعادل")))))</f>
        <v/>
      </c>
      <c r="K60" s="33" t="str">
        <f aca="false">IF($A60="","",IFERROR(Calculations!$AG$61,""))</f>
        <v/>
      </c>
      <c r="L60" s="23" t="str">
        <f aca="false">IF($A60="","",IFERROR(Calculations!$O$61,""))</f>
        <v/>
      </c>
      <c r="M60" s="33" t="str">
        <f aca="false">IF($A60="","",IFERROR(Calculations!$AA$61,""))</f>
        <v/>
      </c>
      <c r="N60" s="27" t="str">
        <f aca="false">IF($A60="","",IFERROR(Calculations!$AJ$61,0))</f>
        <v/>
      </c>
      <c r="O60" s="27" t="str">
        <f aca="false">IF($A60="","",IFERROR(Calculations!$AK$61,0))</f>
        <v/>
      </c>
      <c r="P60" s="27" t="str">
        <f aca="false">IF($A60="","",IFERROR(Calculations!$AL$61,0))</f>
        <v/>
      </c>
      <c r="Q60" s="27" t="str">
        <f aca="false">IF($A60="","",IFERROR(Calculations!$AM$61,0))</f>
        <v/>
      </c>
      <c r="R60" s="27" t="str">
        <f aca="false">IF($A60="","",IFERROR(Calculations!$AN$61,0))</f>
        <v/>
      </c>
      <c r="S60" s="27" t="str">
        <f aca="false">IF($A60="","",IFERROR(Calculations!$AO$61,0))</f>
        <v/>
      </c>
      <c r="T60" s="27" t="str">
        <f aca="false">IF($A60="","",IFERROR(Calculations!$AP$61,0))</f>
        <v/>
      </c>
      <c r="U60" s="23" t="str">
        <f aca="false">IF($A60="","",IF($T60&gt;=TH_SBUY,"خرید قوی",IF($T60&gt;=TH_BUY,"خرید",IF($T60&lt;=TH_SSELL,"فروش قوی",IF($T60&lt;=TH_SELL,"فروش","نگهداری")))))</f>
        <v/>
      </c>
      <c r="V60" s="28" t="str">
        <f aca="false">IF($A60="","",IFERROR(Calculations!$AQ$61,1))</f>
        <v/>
      </c>
      <c r="W60" s="34" t="str">
        <f aca="false">IF($A60="","","روند: "&amp;$H60&amp;" | ساختار: "&amp;$I60&amp;" | پول هوشمند: "&amp;$J60&amp;" | قدرت خریدار: "&amp;IFERROR(TEXT($K60,"0.00"),"—")&amp;"x"&amp;" | میانگین‌ها: "&amp;IFERROR(TEXT(Calculations!$N$61,"0"),"—")&amp;"/4 ("&amp;$L60&amp;")"&amp;" | حجم: "&amp;IFERROR(TEXT($M60,"0.00"),"—")&amp;"x"&amp;" | بازار: "&amp;$G60)</f>
        <v/>
      </c>
      <c r="X60" s="26" t="str">
        <f aca="false">IF($A60="","",IFERROR(Calculations!$X$61,""))</f>
        <v/>
      </c>
      <c r="Y60" s="35" t="str">
        <f aca="false">IF($A60="","",IFERROR(($E60-$X60)/$E60,""))</f>
        <v/>
      </c>
      <c r="Z60" s="23" t="str">
        <f aca="false">IF($A60="","",IFERROR(Calculations!$AR$61,""))</f>
        <v/>
      </c>
    </row>
    <row r="61" customFormat="false" ht="15" hidden="false" customHeight="false" outlineLevel="0" collapsed="false">
      <c r="A61" s="24" t="str">
        <f aca="false">IF(Calculations!$A$62="","",Calculations!$A$62)</f>
        <v/>
      </c>
      <c r="B61" s="25" t="str">
        <f aca="false">IF($A61="","",IFERROR(INDEX(Watchlist!$B$1:$B$5000,MATCH($A61,Watchlist!$A$1:$A$5000,0)),""))</f>
        <v/>
      </c>
      <c r="C61" s="25" t="str">
        <f aca="false">IF($A61="","",IFERROR(INDEX(Watchlist!$F$1:$F$5000,MATCH($A61,Watchlist!$A$1:$A$5000,0)),""))</f>
        <v/>
      </c>
      <c r="D61" s="23" t="str">
        <f aca="false">IF($A61="","",IFERROR(INDEX(Watchlist!$E$1:$E$5000,MATCH($A61,Watchlist!$A$1:$A$5000,0)),""))</f>
        <v/>
      </c>
      <c r="E61" s="26" t="str">
        <f aca="false">IF($A61="","",IFERROR(Calculations!$D$62,""))</f>
        <v/>
      </c>
      <c r="F61" s="32" t="str">
        <f aca="false">IF($A61="","",IFERROR(Calculations!$F$62,""))</f>
        <v/>
      </c>
      <c r="G61" s="23" t="str">
        <f aca="false">IF($A61="","",MARKET_LABEL)</f>
        <v/>
      </c>
      <c r="H61" s="23" t="str">
        <f aca="false">IF($A61="","",IF($N61&gt;=6,"صعودی قوی",IF($N61&gt;=2,"صعودی",IF($N61&lt;=-6,"نزولی قوی",IF($N61&lt;=-2,"نزولی","خنثی")))))</f>
        <v/>
      </c>
      <c r="I61" s="23" t="str">
        <f aca="false">IF($A61="","",IFERROR(Calculations!$U$62,""))</f>
        <v/>
      </c>
      <c r="J61" s="23" t="str">
        <f aca="false">IF($A61="","",IF($O61&gt;=6,"ورود قوی پول حقیقی",IF($O61&gt;=2,"ورود پول حقیقی",IF($O61&lt;=-6,"خروج قوی پول حقیقی",IF($O61&lt;=-2,"خروج پول حقیقی","متعادل")))))</f>
        <v/>
      </c>
      <c r="K61" s="33" t="str">
        <f aca="false">IF($A61="","",IFERROR(Calculations!$AG$62,""))</f>
        <v/>
      </c>
      <c r="L61" s="23" t="str">
        <f aca="false">IF($A61="","",IFERROR(Calculations!$O$62,""))</f>
        <v/>
      </c>
      <c r="M61" s="33" t="str">
        <f aca="false">IF($A61="","",IFERROR(Calculations!$AA$62,""))</f>
        <v/>
      </c>
      <c r="N61" s="27" t="str">
        <f aca="false">IF($A61="","",IFERROR(Calculations!$AJ$62,0))</f>
        <v/>
      </c>
      <c r="O61" s="27" t="str">
        <f aca="false">IF($A61="","",IFERROR(Calculations!$AK$62,0))</f>
        <v/>
      </c>
      <c r="P61" s="27" t="str">
        <f aca="false">IF($A61="","",IFERROR(Calculations!$AL$62,0))</f>
        <v/>
      </c>
      <c r="Q61" s="27" t="str">
        <f aca="false">IF($A61="","",IFERROR(Calculations!$AM$62,0))</f>
        <v/>
      </c>
      <c r="R61" s="27" t="str">
        <f aca="false">IF($A61="","",IFERROR(Calculations!$AN$62,0))</f>
        <v/>
      </c>
      <c r="S61" s="27" t="str">
        <f aca="false">IF($A61="","",IFERROR(Calculations!$AO$62,0))</f>
        <v/>
      </c>
      <c r="T61" s="27" t="str">
        <f aca="false">IF($A61="","",IFERROR(Calculations!$AP$62,0))</f>
        <v/>
      </c>
      <c r="U61" s="23" t="str">
        <f aca="false">IF($A61="","",IF($T61&gt;=TH_SBUY,"خرید قوی",IF($T61&gt;=TH_BUY,"خرید",IF($T61&lt;=TH_SSELL,"فروش قوی",IF($T61&lt;=TH_SELL,"فروش","نگهداری")))))</f>
        <v/>
      </c>
      <c r="V61" s="28" t="str">
        <f aca="false">IF($A61="","",IFERROR(Calculations!$AQ$62,1))</f>
        <v/>
      </c>
      <c r="W61" s="34" t="str">
        <f aca="false">IF($A61="","","روند: "&amp;$H61&amp;" | ساختار: "&amp;$I61&amp;" | پول هوشمند: "&amp;$J61&amp;" | قدرت خریدار: "&amp;IFERROR(TEXT($K61,"0.00"),"—")&amp;"x"&amp;" | میانگین‌ها: "&amp;IFERROR(TEXT(Calculations!$N$62,"0"),"—")&amp;"/4 ("&amp;$L61&amp;")"&amp;" | حجم: "&amp;IFERROR(TEXT($M61,"0.00"),"—")&amp;"x"&amp;" | بازار: "&amp;$G61)</f>
        <v/>
      </c>
      <c r="X61" s="26" t="str">
        <f aca="false">IF($A61="","",IFERROR(Calculations!$X$62,""))</f>
        <v/>
      </c>
      <c r="Y61" s="35" t="str">
        <f aca="false">IF($A61="","",IFERROR(($E61-$X61)/$E61,""))</f>
        <v/>
      </c>
      <c r="Z61" s="23" t="str">
        <f aca="false">IF($A61="","",IFERROR(Calculations!$AR$62,""))</f>
        <v/>
      </c>
    </row>
    <row r="62" customFormat="false" ht="15" hidden="false" customHeight="false" outlineLevel="0" collapsed="false">
      <c r="A62" s="24" t="str">
        <f aca="false">IF(Calculations!$A$63="","",Calculations!$A$63)</f>
        <v/>
      </c>
      <c r="B62" s="25" t="str">
        <f aca="false">IF($A62="","",IFERROR(INDEX(Watchlist!$B$1:$B$5000,MATCH($A62,Watchlist!$A$1:$A$5000,0)),""))</f>
        <v/>
      </c>
      <c r="C62" s="25" t="str">
        <f aca="false">IF($A62="","",IFERROR(INDEX(Watchlist!$F$1:$F$5000,MATCH($A62,Watchlist!$A$1:$A$5000,0)),""))</f>
        <v/>
      </c>
      <c r="D62" s="23" t="str">
        <f aca="false">IF($A62="","",IFERROR(INDEX(Watchlist!$E$1:$E$5000,MATCH($A62,Watchlist!$A$1:$A$5000,0)),""))</f>
        <v/>
      </c>
      <c r="E62" s="26" t="str">
        <f aca="false">IF($A62="","",IFERROR(Calculations!$D$63,""))</f>
        <v/>
      </c>
      <c r="F62" s="32" t="str">
        <f aca="false">IF($A62="","",IFERROR(Calculations!$F$63,""))</f>
        <v/>
      </c>
      <c r="G62" s="23" t="str">
        <f aca="false">IF($A62="","",MARKET_LABEL)</f>
        <v/>
      </c>
      <c r="H62" s="23" t="str">
        <f aca="false">IF($A62="","",IF($N62&gt;=6,"صعودی قوی",IF($N62&gt;=2,"صعودی",IF($N62&lt;=-6,"نزولی قوی",IF($N62&lt;=-2,"نزولی","خنثی")))))</f>
        <v/>
      </c>
      <c r="I62" s="23" t="str">
        <f aca="false">IF($A62="","",IFERROR(Calculations!$U$63,""))</f>
        <v/>
      </c>
      <c r="J62" s="23" t="str">
        <f aca="false">IF($A62="","",IF($O62&gt;=6,"ورود قوی پول حقیقی",IF($O62&gt;=2,"ورود پول حقیقی",IF($O62&lt;=-6,"خروج قوی پول حقیقی",IF($O62&lt;=-2,"خروج پول حقیقی","متعادل")))))</f>
        <v/>
      </c>
      <c r="K62" s="33" t="str">
        <f aca="false">IF($A62="","",IFERROR(Calculations!$AG$63,""))</f>
        <v/>
      </c>
      <c r="L62" s="23" t="str">
        <f aca="false">IF($A62="","",IFERROR(Calculations!$O$63,""))</f>
        <v/>
      </c>
      <c r="M62" s="33" t="str">
        <f aca="false">IF($A62="","",IFERROR(Calculations!$AA$63,""))</f>
        <v/>
      </c>
      <c r="N62" s="27" t="str">
        <f aca="false">IF($A62="","",IFERROR(Calculations!$AJ$63,0))</f>
        <v/>
      </c>
      <c r="O62" s="27" t="str">
        <f aca="false">IF($A62="","",IFERROR(Calculations!$AK$63,0))</f>
        <v/>
      </c>
      <c r="P62" s="27" t="str">
        <f aca="false">IF($A62="","",IFERROR(Calculations!$AL$63,0))</f>
        <v/>
      </c>
      <c r="Q62" s="27" t="str">
        <f aca="false">IF($A62="","",IFERROR(Calculations!$AM$63,0))</f>
        <v/>
      </c>
      <c r="R62" s="27" t="str">
        <f aca="false">IF($A62="","",IFERROR(Calculations!$AN$63,0))</f>
        <v/>
      </c>
      <c r="S62" s="27" t="str">
        <f aca="false">IF($A62="","",IFERROR(Calculations!$AO$63,0))</f>
        <v/>
      </c>
      <c r="T62" s="27" t="str">
        <f aca="false">IF($A62="","",IFERROR(Calculations!$AP$63,0))</f>
        <v/>
      </c>
      <c r="U62" s="23" t="str">
        <f aca="false">IF($A62="","",IF($T62&gt;=TH_SBUY,"خرید قوی",IF($T62&gt;=TH_BUY,"خرید",IF($T62&lt;=TH_SSELL,"فروش قوی",IF($T62&lt;=TH_SELL,"فروش","نگهداری")))))</f>
        <v/>
      </c>
      <c r="V62" s="28" t="str">
        <f aca="false">IF($A62="","",IFERROR(Calculations!$AQ$63,1))</f>
        <v/>
      </c>
      <c r="W62" s="34" t="str">
        <f aca="false">IF($A62="","","روند: "&amp;$H62&amp;" | ساختار: "&amp;$I62&amp;" | پول هوشمند: "&amp;$J62&amp;" | قدرت خریدار: "&amp;IFERROR(TEXT($K62,"0.00"),"—")&amp;"x"&amp;" | میانگین‌ها: "&amp;IFERROR(TEXT(Calculations!$N$63,"0"),"—")&amp;"/4 ("&amp;$L62&amp;")"&amp;" | حجم: "&amp;IFERROR(TEXT($M62,"0.00"),"—")&amp;"x"&amp;" | بازار: "&amp;$G62)</f>
        <v/>
      </c>
      <c r="X62" s="26" t="str">
        <f aca="false">IF($A62="","",IFERROR(Calculations!$X$63,""))</f>
        <v/>
      </c>
      <c r="Y62" s="35" t="str">
        <f aca="false">IF($A62="","",IFERROR(($E62-$X62)/$E62,""))</f>
        <v/>
      </c>
      <c r="Z62" s="23" t="str">
        <f aca="false">IF($A62="","",IFERROR(Calculations!$AR$63,""))</f>
        <v/>
      </c>
    </row>
    <row r="63" customFormat="false" ht="15" hidden="false" customHeight="false" outlineLevel="0" collapsed="false">
      <c r="A63" s="24" t="str">
        <f aca="false">IF(Calculations!$A$64="","",Calculations!$A$64)</f>
        <v/>
      </c>
      <c r="B63" s="25" t="str">
        <f aca="false">IF($A63="","",IFERROR(INDEX(Watchlist!$B$1:$B$5000,MATCH($A63,Watchlist!$A$1:$A$5000,0)),""))</f>
        <v/>
      </c>
      <c r="C63" s="25" t="str">
        <f aca="false">IF($A63="","",IFERROR(INDEX(Watchlist!$F$1:$F$5000,MATCH($A63,Watchlist!$A$1:$A$5000,0)),""))</f>
        <v/>
      </c>
      <c r="D63" s="23" t="str">
        <f aca="false">IF($A63="","",IFERROR(INDEX(Watchlist!$E$1:$E$5000,MATCH($A63,Watchlist!$A$1:$A$5000,0)),""))</f>
        <v/>
      </c>
      <c r="E63" s="26" t="str">
        <f aca="false">IF($A63="","",IFERROR(Calculations!$D$64,""))</f>
        <v/>
      </c>
      <c r="F63" s="32" t="str">
        <f aca="false">IF($A63="","",IFERROR(Calculations!$F$64,""))</f>
        <v/>
      </c>
      <c r="G63" s="23" t="str">
        <f aca="false">IF($A63="","",MARKET_LABEL)</f>
        <v/>
      </c>
      <c r="H63" s="23" t="str">
        <f aca="false">IF($A63="","",IF($N63&gt;=6,"صعودی قوی",IF($N63&gt;=2,"صعودی",IF($N63&lt;=-6,"نزولی قوی",IF($N63&lt;=-2,"نزولی","خنثی")))))</f>
        <v/>
      </c>
      <c r="I63" s="23" t="str">
        <f aca="false">IF($A63="","",IFERROR(Calculations!$U$64,""))</f>
        <v/>
      </c>
      <c r="J63" s="23" t="str">
        <f aca="false">IF($A63="","",IF($O63&gt;=6,"ورود قوی پول حقیقی",IF($O63&gt;=2,"ورود پول حقیقی",IF($O63&lt;=-6,"خروج قوی پول حقیقی",IF($O63&lt;=-2,"خروج پول حقیقی","متعادل")))))</f>
        <v/>
      </c>
      <c r="K63" s="33" t="str">
        <f aca="false">IF($A63="","",IFERROR(Calculations!$AG$64,""))</f>
        <v/>
      </c>
      <c r="L63" s="23" t="str">
        <f aca="false">IF($A63="","",IFERROR(Calculations!$O$64,""))</f>
        <v/>
      </c>
      <c r="M63" s="33" t="str">
        <f aca="false">IF($A63="","",IFERROR(Calculations!$AA$64,""))</f>
        <v/>
      </c>
      <c r="N63" s="27" t="str">
        <f aca="false">IF($A63="","",IFERROR(Calculations!$AJ$64,0))</f>
        <v/>
      </c>
      <c r="O63" s="27" t="str">
        <f aca="false">IF($A63="","",IFERROR(Calculations!$AK$64,0))</f>
        <v/>
      </c>
      <c r="P63" s="27" t="str">
        <f aca="false">IF($A63="","",IFERROR(Calculations!$AL$64,0))</f>
        <v/>
      </c>
      <c r="Q63" s="27" t="str">
        <f aca="false">IF($A63="","",IFERROR(Calculations!$AM$64,0))</f>
        <v/>
      </c>
      <c r="R63" s="27" t="str">
        <f aca="false">IF($A63="","",IFERROR(Calculations!$AN$64,0))</f>
        <v/>
      </c>
      <c r="S63" s="27" t="str">
        <f aca="false">IF($A63="","",IFERROR(Calculations!$AO$64,0))</f>
        <v/>
      </c>
      <c r="T63" s="27" t="str">
        <f aca="false">IF($A63="","",IFERROR(Calculations!$AP$64,0))</f>
        <v/>
      </c>
      <c r="U63" s="23" t="str">
        <f aca="false">IF($A63="","",IF($T63&gt;=TH_SBUY,"خرید قوی",IF($T63&gt;=TH_BUY,"خرید",IF($T63&lt;=TH_SSELL,"فروش قوی",IF($T63&lt;=TH_SELL,"فروش","نگهداری")))))</f>
        <v/>
      </c>
      <c r="V63" s="28" t="str">
        <f aca="false">IF($A63="","",IFERROR(Calculations!$AQ$64,1))</f>
        <v/>
      </c>
      <c r="W63" s="34" t="str">
        <f aca="false">IF($A63="","","روند: "&amp;$H63&amp;" | ساختار: "&amp;$I63&amp;" | پول هوشمند: "&amp;$J63&amp;" | قدرت خریدار: "&amp;IFERROR(TEXT($K63,"0.00"),"—")&amp;"x"&amp;" | میانگین‌ها: "&amp;IFERROR(TEXT(Calculations!$N$64,"0"),"—")&amp;"/4 ("&amp;$L63&amp;")"&amp;" | حجم: "&amp;IFERROR(TEXT($M63,"0.00"),"—")&amp;"x"&amp;" | بازار: "&amp;$G63)</f>
        <v/>
      </c>
      <c r="X63" s="26" t="str">
        <f aca="false">IF($A63="","",IFERROR(Calculations!$X$64,""))</f>
        <v/>
      </c>
      <c r="Y63" s="35" t="str">
        <f aca="false">IF($A63="","",IFERROR(($E63-$X63)/$E63,""))</f>
        <v/>
      </c>
      <c r="Z63" s="23" t="str">
        <f aca="false">IF($A63="","",IFERROR(Calculations!$AR$64,""))</f>
        <v/>
      </c>
    </row>
  </sheetData>
  <mergeCells count="2">
    <mergeCell ref="A1:Z1"/>
    <mergeCell ref="A2:Z2"/>
  </mergeCells>
  <conditionalFormatting sqref="U4:U63">
    <cfRule type="cellIs" priority="2" operator="equal" aboveAverage="0" equalAverage="0" bottom="0" percent="0" rank="0" text="" dxfId="0">
      <formula>"خرید قوی"</formula>
    </cfRule>
    <cfRule type="cellIs" priority="3" operator="equal" aboveAverage="0" equalAverage="0" bottom="0" percent="0" rank="0" text="" dxfId="3">
      <formula>"خرید"</formula>
    </cfRule>
    <cfRule type="cellIs" priority="4" operator="equal" aboveAverage="0" equalAverage="0" bottom="0" percent="0" rank="0" text="" dxfId="4">
      <formula>"نگهداری"</formula>
    </cfRule>
    <cfRule type="cellIs" priority="5" operator="equal" aboveAverage="0" equalAverage="0" bottom="0" percent="0" rank="0" text="" dxfId="1">
      <formula>"فروش قوی"</formula>
    </cfRule>
    <cfRule type="cellIs" priority="6" operator="equal" aboveAverage="0" equalAverage="0" bottom="0" percent="0" rank="0" text="" dxfId="2">
      <formula>"فروش"</formula>
    </cfRule>
  </conditionalFormatting>
  <conditionalFormatting sqref="N4:N63">
    <cfRule type="colorScale" priority="7">
      <colorScale>
        <cfvo type="num" val="-10"/>
        <cfvo type="num" val="0"/>
        <cfvo type="num" val="10"/>
        <color rgb="FFC00000"/>
        <color rgb="FFFFFFFF"/>
        <color rgb="FF00B050"/>
      </colorScale>
    </cfRule>
  </conditionalFormatting>
  <conditionalFormatting sqref="O4:O63">
    <cfRule type="colorScale" priority="8">
      <colorScale>
        <cfvo type="num" val="-10"/>
        <cfvo type="num" val="0"/>
        <cfvo type="num" val="10"/>
        <color rgb="FFC00000"/>
        <color rgb="FFFFFFFF"/>
        <color rgb="FF00B050"/>
      </colorScale>
    </cfRule>
  </conditionalFormatting>
  <conditionalFormatting sqref="P4:P63">
    <cfRule type="colorScale" priority="9">
      <colorScale>
        <cfvo type="num" val="-10"/>
        <cfvo type="num" val="0"/>
        <cfvo type="num" val="10"/>
        <color rgb="FFC00000"/>
        <color rgb="FFFFFFFF"/>
        <color rgb="FF00B050"/>
      </colorScale>
    </cfRule>
  </conditionalFormatting>
  <conditionalFormatting sqref="Q4:Q63">
    <cfRule type="colorScale" priority="10">
      <colorScale>
        <cfvo type="num" val="-10"/>
        <cfvo type="num" val="0"/>
        <cfvo type="num" val="10"/>
        <color rgb="FFC00000"/>
        <color rgb="FFFFFFFF"/>
        <color rgb="FF00B050"/>
      </colorScale>
    </cfRule>
  </conditionalFormatting>
  <conditionalFormatting sqref="R4:R63">
    <cfRule type="colorScale" priority="11">
      <colorScale>
        <cfvo type="num" val="-10"/>
        <cfvo type="num" val="0"/>
        <cfvo type="num" val="10"/>
        <color rgb="FFC00000"/>
        <color rgb="FFFFFFFF"/>
        <color rgb="FF00B050"/>
      </colorScale>
    </cfRule>
  </conditionalFormatting>
  <conditionalFormatting sqref="S4:S63">
    <cfRule type="colorScale" priority="12">
      <colorScale>
        <cfvo type="num" val="-10"/>
        <cfvo type="num" val="0"/>
        <cfvo type="num" val="10"/>
        <color rgb="FFC00000"/>
        <color rgb="FFFFFFFF"/>
        <color rgb="FF00B050"/>
      </colorScale>
    </cfRule>
  </conditionalFormatting>
  <conditionalFormatting sqref="T4:T63">
    <cfRule type="colorScale" priority="13">
      <colorScale>
        <cfvo type="num" val="-10"/>
        <cfvo type="num" val="0"/>
        <cfvo type="num" val="10"/>
        <color rgb="FFC00000"/>
        <color rgb="FFFFFFFF"/>
        <color rgb="FF00B050"/>
      </colorScale>
    </cfRule>
  </conditionalFormatting>
  <conditionalFormatting sqref="V4:V63">
    <cfRule type="dataBar" priority="14">
      <dataBar showValue="1" minLength="10" maxLength="90">
        <cfvo type="num" val="0"/>
        <cfvo type="num" val="5"/>
        <color rgb="FFFFB628"/>
      </dataBar>
      <extLst>
        <ext xmlns:x14="http://schemas.microsoft.com/office/spreadsheetml/2009/9/main" uri="{B025F937-C7B1-47D3-B67F-A62EFF666E3E}">
          <x14:id>{3B338362-7935-488E-95B1-9E52ECEEF015}</x14:id>
        </ext>
      </extLst>
    </cfRule>
  </conditionalFormatting>
  <conditionalFormatting sqref="Z4:Z63">
    <cfRule type="cellIs" priority="15" operator="equal" aboveAverage="0" equalAverage="0" bottom="0" percent="0" rank="0" text="" dxfId="37">
      <formula>"کم‌اعتبار"</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3B338362-7935-488E-95B1-9E52ECEEF015}">
            <x14:dataBar minLength="10" maxLength="90" axisPosition="none" gradient="true">
              <x14:cfvo type="num">
                <xm:f>0</xm:f>
              </x14:cfvo>
              <x14:cfvo type="num">
                <xm:f>5</xm:f>
              </x14:cfvo>
              <x14:negativeFillColor rgb="FFFFB628"/>
              <x14:axisColor rgb="FF000000"/>
            </x14:dataBar>
          </x14:cfRule>
          <xm:sqref>V4:V63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9"/>
    <col collapsed="false" customWidth="true" hidden="false" outlineLevel="0" max="4" min="4" style="0" width="15"/>
    <col collapsed="false" customWidth="true" hidden="false" outlineLevel="0" max="5" min="5" style="0" width="10"/>
    <col collapsed="false" customWidth="true" hidden="false" outlineLevel="0" max="6" min="6" style="0" width="22"/>
    <col collapsed="false" customWidth="true" hidden="false" outlineLevel="0" max="7" min="7" style="0" width="12"/>
    <col collapsed="false" customWidth="true" hidden="false" outlineLevel="0" max="8" min="8" style="0" width="14"/>
    <col collapsed="false" customWidth="true" hidden="false" outlineLevel="0" max="11" min="9" style="0" width="12"/>
    <col collapsed="false" customWidth="true" hidden="false" outlineLevel="0" max="14" min="12" style="0" width="11"/>
    <col collapsed="false" customWidth="true" hidden="false" outlineLevel="0" max="16" min="15" style="0" width="13"/>
    <col collapsed="false" customWidth="true" hidden="false" outlineLevel="0" max="17" min="17" style="0" width="15"/>
    <col collapsed="false" customWidth="true" hidden="false" outlineLevel="0" max="18" min="18" style="0" width="18"/>
    <col collapsed="false" customWidth="true" hidden="false" outlineLevel="0" max="19" min="19" style="0" width="12"/>
    <col collapsed="false" customWidth="true" hidden="false" outlineLevel="0" max="20" min="20" style="0" width="18"/>
    <col collapsed="false" customWidth="true" hidden="false" outlineLevel="0" max="21" min="21" style="0" width="16"/>
    <col collapsed="false" customWidth="true" hidden="false" outlineLevel="0" max="23" min="22" style="0" width="15"/>
    <col collapsed="false" customWidth="true" hidden="false" outlineLevel="0" max="25" min="24" style="0" width="14"/>
    <col collapsed="false" customWidth="true" hidden="false" outlineLevel="0" max="27" min="26" style="0" width="15"/>
    <col collapsed="false" customWidth="true" hidden="false" outlineLevel="0" max="30" min="28" style="0" width="13"/>
    <col collapsed="false" customWidth="true" hidden="false" outlineLevel="0" max="31" min="31" style="0" width="14"/>
    <col collapsed="false" customWidth="true" hidden="false" outlineLevel="0" max="33" min="32" style="0" width="13"/>
    <col collapsed="false" customWidth="true" hidden="false" outlineLevel="0" max="34" min="34" style="0" width="14"/>
    <col collapsed="false" customWidth="true" hidden="false" outlineLevel="0" max="35" min="35" style="0" width="13"/>
    <col collapsed="false" customWidth="true" hidden="false" outlineLevel="0" max="36" min="36" style="0" width="11"/>
    <col collapsed="false" customWidth="true" hidden="false" outlineLevel="0" max="37" min="37" style="0" width="22"/>
  </cols>
  <sheetData>
    <row r="1" customFormat="false" ht="27.75" hidden="false" customHeight="true" outlineLevel="0" collapsed="false">
      <c r="A1" s="1" t="s">
        <v>60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customFormat="false" ht="18" hidden="false" customHeight="true" outlineLevel="0" collapsed="false">
      <c r="A2" s="2" t="s">
        <v>61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ustomFormat="false" ht="30" hidden="false" customHeight="true" outlineLevel="0" collapsed="false">
      <c r="A3" s="31" t="s">
        <v>26</v>
      </c>
      <c r="B3" s="31" t="s">
        <v>27</v>
      </c>
      <c r="C3" s="31" t="s">
        <v>62</v>
      </c>
      <c r="D3" s="31" t="s">
        <v>63</v>
      </c>
      <c r="E3" s="31" t="s">
        <v>40</v>
      </c>
      <c r="F3" s="31" t="s">
        <v>39</v>
      </c>
      <c r="G3" s="31" t="s">
        <v>64</v>
      </c>
      <c r="H3" s="31" t="s">
        <v>65</v>
      </c>
      <c r="I3" s="31" t="s">
        <v>28</v>
      </c>
      <c r="J3" s="31" t="s">
        <v>66</v>
      </c>
      <c r="K3" s="31" t="s">
        <v>67</v>
      </c>
      <c r="L3" s="31" t="s">
        <v>68</v>
      </c>
      <c r="M3" s="31" t="s">
        <v>41</v>
      </c>
      <c r="N3" s="31" t="s">
        <v>69</v>
      </c>
      <c r="O3" s="31" t="s">
        <v>70</v>
      </c>
      <c r="P3" s="31" t="s">
        <v>71</v>
      </c>
      <c r="Q3" s="31" t="s">
        <v>72</v>
      </c>
      <c r="R3" s="31" t="s">
        <v>73</v>
      </c>
      <c r="S3" s="31" t="s">
        <v>74</v>
      </c>
      <c r="T3" s="31" t="s">
        <v>75</v>
      </c>
      <c r="U3" s="31" t="s">
        <v>76</v>
      </c>
      <c r="V3" s="31" t="s">
        <v>77</v>
      </c>
      <c r="W3" s="31" t="s">
        <v>78</v>
      </c>
      <c r="X3" s="31" t="s">
        <v>79</v>
      </c>
      <c r="Y3" s="31" t="s">
        <v>80</v>
      </c>
      <c r="Z3" s="31" t="s">
        <v>81</v>
      </c>
      <c r="AA3" s="31" t="s">
        <v>82</v>
      </c>
      <c r="AB3" s="31" t="s">
        <v>83</v>
      </c>
      <c r="AC3" s="31" t="s">
        <v>84</v>
      </c>
      <c r="AD3" s="31" t="s">
        <v>85</v>
      </c>
      <c r="AE3" s="31" t="s">
        <v>86</v>
      </c>
      <c r="AF3" s="31" t="s">
        <v>87</v>
      </c>
      <c r="AG3" s="31" t="s">
        <v>88</v>
      </c>
      <c r="AH3" s="31" t="s">
        <v>89</v>
      </c>
      <c r="AI3" s="31" t="s">
        <v>90</v>
      </c>
      <c r="AJ3" s="31" t="s">
        <v>91</v>
      </c>
      <c r="AK3" s="31" t="s">
        <v>92</v>
      </c>
    </row>
    <row r="4" customFormat="false" ht="21.75" hidden="false" customHeight="true" outlineLevel="0" collapsed="false">
      <c r="A4" s="36" t="s">
        <v>93</v>
      </c>
      <c r="B4" s="36" t="s">
        <v>94</v>
      </c>
      <c r="C4" s="36" t="s">
        <v>95</v>
      </c>
      <c r="D4" s="36" t="s">
        <v>96</v>
      </c>
      <c r="E4" s="36" t="s">
        <v>97</v>
      </c>
      <c r="F4" s="36" t="s">
        <v>98</v>
      </c>
      <c r="G4" s="36" t="s">
        <v>99</v>
      </c>
      <c r="H4" s="36" t="s">
        <v>100</v>
      </c>
      <c r="I4" s="36" t="s">
        <v>101</v>
      </c>
      <c r="J4" s="36" t="s">
        <v>102</v>
      </c>
      <c r="K4" s="36" t="s">
        <v>103</v>
      </c>
      <c r="L4" s="36" t="s">
        <v>104</v>
      </c>
      <c r="M4" s="36" t="s">
        <v>105</v>
      </c>
      <c r="N4" s="36" t="s">
        <v>106</v>
      </c>
      <c r="O4" s="36" t="s">
        <v>107</v>
      </c>
      <c r="P4" s="36" t="s">
        <v>108</v>
      </c>
      <c r="Q4" s="36" t="s">
        <v>109</v>
      </c>
      <c r="R4" s="36" t="s">
        <v>110</v>
      </c>
      <c r="S4" s="36" t="s">
        <v>111</v>
      </c>
      <c r="T4" s="36" t="s">
        <v>112</v>
      </c>
      <c r="U4" s="36" t="s">
        <v>113</v>
      </c>
      <c r="V4" s="36" t="s">
        <v>114</v>
      </c>
      <c r="W4" s="36" t="s">
        <v>115</v>
      </c>
      <c r="X4" s="36" t="s">
        <v>116</v>
      </c>
      <c r="Y4" s="36" t="s">
        <v>117</v>
      </c>
      <c r="Z4" s="36" t="s">
        <v>118</v>
      </c>
      <c r="AA4" s="36" t="s">
        <v>119</v>
      </c>
      <c r="AB4" s="36" t="s">
        <v>120</v>
      </c>
      <c r="AC4" s="36" t="s">
        <v>121</v>
      </c>
      <c r="AD4" s="36" t="s">
        <v>122</v>
      </c>
      <c r="AE4" s="36" t="s">
        <v>123</v>
      </c>
      <c r="AF4" s="36" t="s">
        <v>124</v>
      </c>
      <c r="AG4" s="36" t="s">
        <v>125</v>
      </c>
      <c r="AH4" s="36" t="s">
        <v>126</v>
      </c>
      <c r="AI4" s="36" t="s">
        <v>127</v>
      </c>
      <c r="AJ4" s="36" t="s">
        <v>128</v>
      </c>
      <c r="AK4" s="36" t="s">
        <v>129</v>
      </c>
    </row>
    <row r="5" customFormat="false" ht="15" hidden="false" customHeight="false" outlineLevel="0" collapsed="false">
      <c r="A5" s="37" t="s">
        <v>130</v>
      </c>
      <c r="B5" s="25" t="s">
        <v>131</v>
      </c>
      <c r="C5" s="38" t="s">
        <v>132</v>
      </c>
      <c r="D5" s="38" t="s">
        <v>133</v>
      </c>
      <c r="E5" s="23" t="s">
        <v>134</v>
      </c>
      <c r="F5" s="25" t="s">
        <v>135</v>
      </c>
      <c r="G5" s="23" t="s">
        <v>136</v>
      </c>
      <c r="H5" s="23" t="s">
        <v>137</v>
      </c>
      <c r="I5" s="26" t="n">
        <v>8466</v>
      </c>
      <c r="J5" s="26" t="n">
        <v>8338</v>
      </c>
      <c r="K5" s="26" t="n">
        <v>8446</v>
      </c>
      <c r="L5" s="26" t="n">
        <v>-108</v>
      </c>
      <c r="M5" s="32" t="n">
        <v>-0.0127871181624438</v>
      </c>
      <c r="N5" s="26" t="n">
        <v>8560</v>
      </c>
      <c r="O5" s="26" t="n">
        <v>8619</v>
      </c>
      <c r="P5" s="26" t="n">
        <v>8168</v>
      </c>
      <c r="Q5" s="26" t="n">
        <v>52874165</v>
      </c>
      <c r="R5" s="26" t="n">
        <v>440864787770</v>
      </c>
      <c r="S5" s="26" t="n">
        <v>1907</v>
      </c>
      <c r="T5" s="26" t="n">
        <v>256827018686000</v>
      </c>
      <c r="U5" s="26" t="n">
        <v>55280741798</v>
      </c>
      <c r="V5" s="26" t="n">
        <v>25238723</v>
      </c>
      <c r="W5" s="26" t="n">
        <v>30750601</v>
      </c>
      <c r="X5" s="26" t="n">
        <v>1157</v>
      </c>
      <c r="Y5" s="26" t="n">
        <v>583</v>
      </c>
      <c r="Z5" s="26" t="n">
        <v>27635442</v>
      </c>
      <c r="AA5" s="26" t="n">
        <v>22123564</v>
      </c>
      <c r="AB5" s="26" t="n">
        <v>11</v>
      </c>
      <c r="AC5" s="26" t="n">
        <v>5</v>
      </c>
      <c r="AD5" s="26" t="n">
        <v>8322</v>
      </c>
      <c r="AE5" s="26" t="n">
        <v>2701097</v>
      </c>
      <c r="AF5" s="26" t="n">
        <v>258</v>
      </c>
      <c r="AG5" s="26" t="n">
        <v>8354</v>
      </c>
      <c r="AH5" s="26" t="n">
        <v>1542985</v>
      </c>
      <c r="AI5" s="26" t="n">
        <v>249</v>
      </c>
      <c r="AJ5" s="26" t="n">
        <v>863</v>
      </c>
      <c r="AK5" s="23"/>
    </row>
    <row r="6" customFormat="false" ht="15" hidden="false" customHeight="false" outlineLevel="0" collapsed="false">
      <c r="A6" s="37" t="s">
        <v>138</v>
      </c>
      <c r="B6" s="25" t="s">
        <v>139</v>
      </c>
      <c r="C6" s="38" t="s">
        <v>140</v>
      </c>
      <c r="D6" s="38" t="s">
        <v>141</v>
      </c>
      <c r="E6" s="23" t="s">
        <v>134</v>
      </c>
      <c r="F6" s="25" t="s">
        <v>135</v>
      </c>
      <c r="G6" s="23" t="s">
        <v>136</v>
      </c>
      <c r="H6" s="23" t="s">
        <v>137</v>
      </c>
      <c r="I6" s="26" t="n">
        <v>6713</v>
      </c>
      <c r="J6" s="26" t="n">
        <v>6687</v>
      </c>
      <c r="K6" s="26" t="n">
        <v>6731</v>
      </c>
      <c r="L6" s="26" t="n">
        <v>-44</v>
      </c>
      <c r="M6" s="32" t="n">
        <v>-0.00653691873421483</v>
      </c>
      <c r="N6" s="26" t="n">
        <v>6778</v>
      </c>
      <c r="O6" s="26" t="n">
        <v>6789</v>
      </c>
      <c r="P6" s="26" t="n">
        <v>6630</v>
      </c>
      <c r="Q6" s="26" t="n">
        <v>18522022</v>
      </c>
      <c r="R6" s="26" t="n">
        <v>123856761114</v>
      </c>
      <c r="S6" s="26" t="n">
        <v>838</v>
      </c>
      <c r="T6" s="26" t="n">
        <v>297612030613000</v>
      </c>
      <c r="U6" s="26" t="n">
        <v>38141314705</v>
      </c>
      <c r="V6" s="26" t="n">
        <v>9190607</v>
      </c>
      <c r="W6" s="26" t="n">
        <v>10626003</v>
      </c>
      <c r="X6" s="26" t="n">
        <v>426</v>
      </c>
      <c r="Y6" s="26" t="n">
        <v>298</v>
      </c>
      <c r="Z6" s="26" t="n">
        <v>9331415</v>
      </c>
      <c r="AA6" s="26" t="n">
        <v>7896019</v>
      </c>
      <c r="AB6" s="26" t="n">
        <v>4</v>
      </c>
      <c r="AC6" s="26" t="n">
        <v>2</v>
      </c>
      <c r="AD6" s="26" t="n">
        <v>6674</v>
      </c>
      <c r="AE6" s="26" t="n">
        <v>322754</v>
      </c>
      <c r="AF6" s="26" t="n">
        <v>130</v>
      </c>
      <c r="AG6" s="26" t="n">
        <v>6700</v>
      </c>
      <c r="AH6" s="26" t="n">
        <v>462447</v>
      </c>
      <c r="AI6" s="26" t="n">
        <v>129</v>
      </c>
      <c r="AJ6" s="26" t="n">
        <v>1561</v>
      </c>
      <c r="AK6" s="23"/>
    </row>
    <row r="7" customFormat="false" ht="15" hidden="false" customHeight="false" outlineLevel="0" collapsed="false">
      <c r="A7" s="37" t="s">
        <v>142</v>
      </c>
      <c r="B7" s="25" t="s">
        <v>143</v>
      </c>
      <c r="C7" s="38" t="s">
        <v>144</v>
      </c>
      <c r="D7" s="38" t="s">
        <v>145</v>
      </c>
      <c r="E7" s="23" t="s">
        <v>134</v>
      </c>
      <c r="F7" s="25" t="s">
        <v>146</v>
      </c>
      <c r="G7" s="23" t="s">
        <v>136</v>
      </c>
      <c r="H7" s="23" t="s">
        <v>137</v>
      </c>
      <c r="I7" s="26" t="n">
        <v>3784</v>
      </c>
      <c r="J7" s="26" t="n">
        <v>3727</v>
      </c>
      <c r="K7" s="26" t="n">
        <v>3771</v>
      </c>
      <c r="L7" s="26" t="n">
        <v>-44</v>
      </c>
      <c r="M7" s="32" t="n">
        <v>-0.0116679925749138</v>
      </c>
      <c r="N7" s="26" t="n">
        <v>3795</v>
      </c>
      <c r="O7" s="26" t="n">
        <v>3797</v>
      </c>
      <c r="P7" s="26" t="n">
        <v>3702</v>
      </c>
      <c r="Q7" s="26" t="n">
        <v>53529819</v>
      </c>
      <c r="R7" s="26" t="n">
        <v>199505635413</v>
      </c>
      <c r="S7" s="26" t="n">
        <v>4745</v>
      </c>
      <c r="T7" s="26" t="n">
        <v>145160620352000</v>
      </c>
      <c r="U7" s="26" t="n">
        <v>68215693076</v>
      </c>
      <c r="V7" s="26" t="n">
        <v>25954963</v>
      </c>
      <c r="W7" s="26" t="n">
        <v>25746168</v>
      </c>
      <c r="X7" s="26" t="n">
        <v>2335</v>
      </c>
      <c r="Y7" s="26" t="n">
        <v>1622</v>
      </c>
      <c r="Z7" s="26" t="n">
        <v>27574856</v>
      </c>
      <c r="AA7" s="26" t="n">
        <v>27783651</v>
      </c>
      <c r="AB7" s="26" t="n">
        <v>23</v>
      </c>
      <c r="AC7" s="26" t="n">
        <v>16</v>
      </c>
      <c r="AD7" s="26" t="n">
        <v>3720</v>
      </c>
      <c r="AE7" s="26" t="n">
        <v>2949014</v>
      </c>
      <c r="AF7" s="26" t="n">
        <v>750</v>
      </c>
      <c r="AG7" s="26" t="n">
        <v>3734</v>
      </c>
      <c r="AH7" s="26" t="n">
        <v>1332587</v>
      </c>
      <c r="AI7" s="26" t="n">
        <v>395</v>
      </c>
      <c r="AJ7" s="26" t="n">
        <v>664</v>
      </c>
      <c r="AK7" s="23"/>
    </row>
    <row r="8" customFormat="false" ht="15" hidden="false" customHeight="false" outlineLevel="0" collapsed="false">
      <c r="A8" s="37" t="s">
        <v>147</v>
      </c>
      <c r="B8" s="25" t="s">
        <v>148</v>
      </c>
      <c r="C8" s="38" t="s">
        <v>149</v>
      </c>
      <c r="D8" s="38" t="s">
        <v>150</v>
      </c>
      <c r="E8" s="23" t="s">
        <v>134</v>
      </c>
      <c r="F8" s="25" t="s">
        <v>151</v>
      </c>
      <c r="G8" s="23" t="s">
        <v>136</v>
      </c>
      <c r="H8" s="23" t="s">
        <v>137</v>
      </c>
      <c r="I8" s="26" t="n">
        <v>3785</v>
      </c>
      <c r="J8" s="26" t="n">
        <v>3830</v>
      </c>
      <c r="K8" s="26" t="n">
        <v>3969</v>
      </c>
      <c r="L8" s="26" t="n">
        <v>-139</v>
      </c>
      <c r="M8" s="32" t="n">
        <v>-0.0350214159737969</v>
      </c>
      <c r="N8" s="26" t="n">
        <v>3928</v>
      </c>
      <c r="O8" s="26" t="n">
        <v>4054</v>
      </c>
      <c r="P8" s="26" t="n">
        <v>3748</v>
      </c>
      <c r="Q8" s="26" t="n">
        <v>69296422</v>
      </c>
      <c r="R8" s="26" t="n">
        <v>265405296260</v>
      </c>
      <c r="S8" s="26" t="n">
        <v>3524</v>
      </c>
      <c r="T8" s="26" t="n">
        <v>110288557688000</v>
      </c>
      <c r="U8" s="26" t="n">
        <v>66686757835</v>
      </c>
      <c r="V8" s="26" t="n">
        <v>15886813</v>
      </c>
      <c r="W8" s="26" t="n">
        <v>51829886</v>
      </c>
      <c r="X8" s="26" t="n">
        <v>1053</v>
      </c>
      <c r="Y8" s="26" t="n">
        <v>2364</v>
      </c>
      <c r="Z8" s="26" t="n">
        <v>53409609</v>
      </c>
      <c r="AA8" s="26" t="n">
        <v>17466536</v>
      </c>
      <c r="AB8" s="26" t="n">
        <v>10</v>
      </c>
      <c r="AC8" s="26" t="n">
        <v>23</v>
      </c>
      <c r="AD8" s="26" t="n">
        <v>3823</v>
      </c>
      <c r="AE8" s="26" t="n">
        <v>3826005</v>
      </c>
      <c r="AF8" s="26" t="n">
        <v>191</v>
      </c>
      <c r="AG8" s="26" t="n">
        <v>3837</v>
      </c>
      <c r="AH8" s="26" t="n">
        <v>1862701</v>
      </c>
      <c r="AI8" s="26" t="n">
        <v>372</v>
      </c>
      <c r="AJ8" s="26" t="n">
        <v>889</v>
      </c>
      <c r="AK8" s="23"/>
    </row>
    <row r="9" customFormat="false" ht="15" hidden="false" customHeight="false" outlineLevel="0" collapsed="false">
      <c r="A9" s="37" t="s">
        <v>152</v>
      </c>
      <c r="B9" s="25" t="s">
        <v>153</v>
      </c>
      <c r="C9" s="38" t="s">
        <v>154</v>
      </c>
      <c r="D9" s="38" t="s">
        <v>155</v>
      </c>
      <c r="E9" s="23" t="s">
        <v>134</v>
      </c>
      <c r="F9" s="25" t="s">
        <v>156</v>
      </c>
      <c r="G9" s="23" t="s">
        <v>136</v>
      </c>
      <c r="H9" s="23" t="s">
        <v>137</v>
      </c>
      <c r="I9" s="26" t="n">
        <v>4483</v>
      </c>
      <c r="J9" s="26" t="n">
        <v>4401</v>
      </c>
      <c r="K9" s="26" t="n">
        <v>4565</v>
      </c>
      <c r="L9" s="26" t="n">
        <v>-164</v>
      </c>
      <c r="M9" s="32" t="n">
        <v>-0.0359255202628697</v>
      </c>
      <c r="N9" s="26" t="n">
        <v>4452</v>
      </c>
      <c r="O9" s="26" t="n">
        <v>4638</v>
      </c>
      <c r="P9" s="26" t="n">
        <v>4331</v>
      </c>
      <c r="Q9" s="26" t="n">
        <v>94398215</v>
      </c>
      <c r="R9" s="26" t="n">
        <v>415446544215</v>
      </c>
      <c r="S9" s="26" t="n">
        <v>2249</v>
      </c>
      <c r="T9" s="26" t="n">
        <v>281855726778000</v>
      </c>
      <c r="U9" s="26" t="n">
        <v>85158344784</v>
      </c>
      <c r="V9" s="26" t="n">
        <v>22570399</v>
      </c>
      <c r="W9" s="26" t="n">
        <v>74298968</v>
      </c>
      <c r="X9" s="26" t="n">
        <v>833</v>
      </c>
      <c r="Y9" s="26" t="n">
        <v>1169</v>
      </c>
      <c r="Z9" s="26" t="n">
        <v>71827816</v>
      </c>
      <c r="AA9" s="26" t="n">
        <v>20099247</v>
      </c>
      <c r="AB9" s="26" t="n">
        <v>8</v>
      </c>
      <c r="AC9" s="26" t="n">
        <v>11</v>
      </c>
      <c r="AD9" s="26" t="n">
        <v>4393</v>
      </c>
      <c r="AE9" s="26" t="n">
        <v>5258707</v>
      </c>
      <c r="AF9" s="26" t="n">
        <v>200</v>
      </c>
      <c r="AG9" s="26" t="n">
        <v>4409</v>
      </c>
      <c r="AH9" s="26" t="n">
        <v>5160105</v>
      </c>
      <c r="AI9" s="26" t="n">
        <v>222</v>
      </c>
      <c r="AJ9" s="26" t="n">
        <v>1448</v>
      </c>
      <c r="AK9" s="23"/>
    </row>
    <row r="10" customFormat="false" ht="15" hidden="false" customHeight="false" outlineLevel="0" collapsed="false">
      <c r="A10" s="37" t="s">
        <v>157</v>
      </c>
      <c r="B10" s="25" t="s">
        <v>158</v>
      </c>
      <c r="C10" s="38" t="s">
        <v>159</v>
      </c>
      <c r="D10" s="38" t="s">
        <v>160</v>
      </c>
      <c r="E10" s="23" t="s">
        <v>134</v>
      </c>
      <c r="F10" s="25" t="s">
        <v>161</v>
      </c>
      <c r="G10" s="23" t="s">
        <v>136</v>
      </c>
      <c r="H10" s="23" t="s">
        <v>137</v>
      </c>
      <c r="I10" s="26" t="n">
        <v>2007</v>
      </c>
      <c r="J10" s="26" t="n">
        <v>1999</v>
      </c>
      <c r="K10" s="26" t="n">
        <v>1987</v>
      </c>
      <c r="L10" s="26" t="n">
        <v>12</v>
      </c>
      <c r="M10" s="32" t="n">
        <v>0.00603925515853045</v>
      </c>
      <c r="N10" s="26" t="n">
        <v>1969</v>
      </c>
      <c r="O10" s="26" t="n">
        <v>2026</v>
      </c>
      <c r="P10" s="26" t="n">
        <v>1960</v>
      </c>
      <c r="Q10" s="26" t="n">
        <v>70319763</v>
      </c>
      <c r="R10" s="26" t="n">
        <v>140569206237</v>
      </c>
      <c r="S10" s="26" t="n">
        <v>5459</v>
      </c>
      <c r="T10" s="26" t="n">
        <v>65424238437000</v>
      </c>
      <c r="U10" s="26" t="n">
        <v>42228981412</v>
      </c>
      <c r="V10" s="26" t="n">
        <v>39478771</v>
      </c>
      <c r="W10" s="26" t="n">
        <v>31532829</v>
      </c>
      <c r="X10" s="26" t="n">
        <v>1779</v>
      </c>
      <c r="Y10" s="26" t="n">
        <v>2201</v>
      </c>
      <c r="Z10" s="26" t="n">
        <v>30840992</v>
      </c>
      <c r="AA10" s="26" t="n">
        <v>38786934</v>
      </c>
      <c r="AB10" s="26" t="n">
        <v>17</v>
      </c>
      <c r="AC10" s="26" t="n">
        <v>22</v>
      </c>
      <c r="AD10" s="26" t="n">
        <v>1996</v>
      </c>
      <c r="AE10" s="26" t="n">
        <v>4218822</v>
      </c>
      <c r="AF10" s="26" t="n">
        <v>295</v>
      </c>
      <c r="AG10" s="26" t="n">
        <v>2002</v>
      </c>
      <c r="AH10" s="26" t="n">
        <v>1743916</v>
      </c>
      <c r="AI10" s="26" t="n">
        <v>371</v>
      </c>
      <c r="AJ10" s="26" t="n">
        <v>209</v>
      </c>
      <c r="AK10" s="23"/>
    </row>
    <row r="11" customFormat="false" ht="15" hidden="false" customHeight="false" outlineLevel="0" collapsed="false">
      <c r="A11" s="37" t="s">
        <v>162</v>
      </c>
      <c r="B11" s="25" t="s">
        <v>163</v>
      </c>
      <c r="C11" s="38" t="s">
        <v>164</v>
      </c>
      <c r="D11" s="38" t="s">
        <v>165</v>
      </c>
      <c r="E11" s="23" t="s">
        <v>134</v>
      </c>
      <c r="F11" s="25" t="s">
        <v>166</v>
      </c>
      <c r="G11" s="23" t="s">
        <v>136</v>
      </c>
      <c r="H11" s="23" t="s">
        <v>137</v>
      </c>
      <c r="I11" s="26" t="n">
        <v>1194</v>
      </c>
      <c r="J11" s="26" t="n">
        <v>1230</v>
      </c>
      <c r="K11" s="26" t="n">
        <v>1214</v>
      </c>
      <c r="L11" s="26" t="n">
        <v>16</v>
      </c>
      <c r="M11" s="32" t="n">
        <v>0.0131795716639209</v>
      </c>
      <c r="N11" s="26" t="n">
        <v>1226</v>
      </c>
      <c r="O11" s="26" t="n">
        <v>1256</v>
      </c>
      <c r="P11" s="26" t="n">
        <v>1188</v>
      </c>
      <c r="Q11" s="26" t="n">
        <v>84789071</v>
      </c>
      <c r="R11" s="26" t="n">
        <v>104290557330</v>
      </c>
      <c r="S11" s="26" t="n">
        <v>2954</v>
      </c>
      <c r="T11" s="26" t="n">
        <v>83657722005000</v>
      </c>
      <c r="U11" s="26" t="n">
        <v>73568785150</v>
      </c>
      <c r="V11" s="26" t="n">
        <v>58073562</v>
      </c>
      <c r="W11" s="26" t="n">
        <v>31118963</v>
      </c>
      <c r="X11" s="26" t="n">
        <v>1559</v>
      </c>
      <c r="Y11" s="26" t="n">
        <v>1444</v>
      </c>
      <c r="Z11" s="26" t="n">
        <v>26715509</v>
      </c>
      <c r="AA11" s="26" t="n">
        <v>53670108</v>
      </c>
      <c r="AB11" s="26" t="n">
        <v>15</v>
      </c>
      <c r="AC11" s="26" t="n">
        <v>14</v>
      </c>
      <c r="AD11" s="26" t="n">
        <v>1228</v>
      </c>
      <c r="AE11" s="26" t="n">
        <v>2022275</v>
      </c>
      <c r="AF11" s="26" t="n">
        <v>535</v>
      </c>
      <c r="AG11" s="26" t="n">
        <v>1232</v>
      </c>
      <c r="AH11" s="26" t="n">
        <v>4049377</v>
      </c>
      <c r="AI11" s="26" t="n">
        <v>280</v>
      </c>
      <c r="AJ11" s="26" t="n">
        <v>169</v>
      </c>
      <c r="AK11" s="23"/>
    </row>
    <row r="12" customFormat="false" ht="15" hidden="false" customHeight="false" outlineLevel="0" collapsed="false">
      <c r="A12" s="37" t="s">
        <v>167</v>
      </c>
      <c r="B12" s="25" t="s">
        <v>168</v>
      </c>
      <c r="C12" s="38" t="s">
        <v>169</v>
      </c>
      <c r="D12" s="38" t="s">
        <v>170</v>
      </c>
      <c r="E12" s="23" t="s">
        <v>134</v>
      </c>
      <c r="F12" s="25" t="s">
        <v>171</v>
      </c>
      <c r="G12" s="23" t="s">
        <v>136</v>
      </c>
      <c r="H12" s="23" t="s">
        <v>137</v>
      </c>
      <c r="I12" s="26" t="n">
        <v>11194</v>
      </c>
      <c r="J12" s="26" t="n">
        <v>11057</v>
      </c>
      <c r="K12" s="26" t="n">
        <v>11264</v>
      </c>
      <c r="L12" s="26" t="n">
        <v>-207</v>
      </c>
      <c r="M12" s="32" t="n">
        <v>-0.0183771306818182</v>
      </c>
      <c r="N12" s="26" t="n">
        <v>11128</v>
      </c>
      <c r="O12" s="26" t="n">
        <v>11303</v>
      </c>
      <c r="P12" s="26" t="n">
        <v>11019</v>
      </c>
      <c r="Q12" s="26" t="n">
        <v>99021680</v>
      </c>
      <c r="R12" s="26" t="n">
        <v>1094882715760</v>
      </c>
      <c r="S12" s="26" t="n">
        <v>5618</v>
      </c>
      <c r="T12" s="26" t="n">
        <v>576137056159000</v>
      </c>
      <c r="U12" s="26" t="n">
        <v>33749690109</v>
      </c>
      <c r="V12" s="26" t="n">
        <v>60162013</v>
      </c>
      <c r="W12" s="26" t="n">
        <v>35796893</v>
      </c>
      <c r="X12" s="26" t="n">
        <v>3750</v>
      </c>
      <c r="Y12" s="26" t="n">
        <v>1458</v>
      </c>
      <c r="Z12" s="26" t="n">
        <v>38859667</v>
      </c>
      <c r="AA12" s="26" t="n">
        <v>63224787</v>
      </c>
      <c r="AB12" s="26" t="n">
        <v>37</v>
      </c>
      <c r="AC12" s="26" t="n">
        <v>14</v>
      </c>
      <c r="AD12" s="26" t="n">
        <v>11035</v>
      </c>
      <c r="AE12" s="26" t="n">
        <v>3236163</v>
      </c>
      <c r="AF12" s="26" t="n">
        <v>662</v>
      </c>
      <c r="AG12" s="26" t="n">
        <v>11079</v>
      </c>
      <c r="AH12" s="26" t="n">
        <v>4017828</v>
      </c>
      <c r="AI12" s="26" t="n">
        <v>816</v>
      </c>
      <c r="AJ12" s="26" t="n">
        <v>1941</v>
      </c>
      <c r="AK12" s="23"/>
    </row>
  </sheetData>
  <autoFilter ref="A4:AK12"/>
  <mergeCells count="2">
    <mergeCell ref="A1:AK1"/>
    <mergeCell ref="A2:AK2"/>
  </mergeCells>
  <conditionalFormatting sqref="M5:M12">
    <cfRule type="colorScale" priority="2">
      <colorScale>
        <cfvo type="num" val="-0.05"/>
        <cfvo type="num" val="0"/>
        <cfvo type="num" val="0.05"/>
        <color rgb="FFC00000"/>
        <color rgb="FFFFFFFF"/>
        <color rgb="FF00B05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5" min="4" style="0" width="12"/>
    <col collapsed="false" customWidth="true" hidden="false" outlineLevel="0" max="6" min="6" style="0" width="10"/>
    <col collapsed="false" customWidth="true" hidden="false" outlineLevel="0" max="7" min="7" style="0" width="13"/>
    <col collapsed="false" customWidth="true" hidden="false" outlineLevel="0" max="13" min="8" style="0" width="12"/>
    <col collapsed="false" customWidth="true" hidden="false" outlineLevel="0" max="14" min="14" style="0" width="10"/>
    <col collapsed="false" customWidth="true" hidden="false" outlineLevel="0" max="15" min="15" style="0" width="20"/>
    <col collapsed="false" customWidth="true" hidden="false" outlineLevel="0" max="16" min="16" style="0" width="11"/>
    <col collapsed="false" customWidth="true" hidden="false" outlineLevel="0" max="20" min="17" style="0" width="12"/>
    <col collapsed="false" customWidth="true" hidden="false" outlineLevel="0" max="21" min="21" style="0" width="22"/>
    <col collapsed="false" customWidth="true" hidden="false" outlineLevel="0" max="22" min="22" style="0" width="11"/>
    <col collapsed="false" customWidth="true" hidden="false" outlineLevel="0" max="23" min="23" style="0" width="10"/>
    <col collapsed="false" customWidth="true" hidden="false" outlineLevel="0" max="24" min="24" style="0" width="13"/>
    <col collapsed="false" customWidth="true" hidden="false" outlineLevel="0" max="26" min="25" style="0" width="14"/>
    <col collapsed="false" customWidth="true" hidden="false" outlineLevel="0" max="27" min="27" style="0" width="10"/>
    <col collapsed="false" customWidth="true" hidden="false" outlineLevel="0" max="29" min="28" style="0" width="14"/>
    <col collapsed="false" customWidth="true" hidden="false" outlineLevel="0" max="30" min="30" style="0" width="13"/>
    <col collapsed="false" customWidth="true" hidden="false" outlineLevel="0" max="32" min="31" style="0" width="14"/>
    <col collapsed="false" customWidth="true" hidden="false" outlineLevel="0" max="33" min="33" style="0" width="12"/>
    <col collapsed="false" customWidth="true" hidden="false" outlineLevel="0" max="34" min="34" style="0" width="15"/>
    <col collapsed="false" customWidth="true" hidden="false" outlineLevel="0" max="35" min="35" style="0" width="12"/>
    <col collapsed="false" customWidth="true" hidden="false" outlineLevel="0" max="41" min="36" style="0" width="11"/>
    <col collapsed="false" customWidth="true" hidden="false" outlineLevel="0" max="42" min="42" style="0" width="12"/>
    <col collapsed="false" customWidth="true" hidden="false" outlineLevel="0" max="43" min="43" style="0" width="10"/>
    <col collapsed="false" customWidth="true" hidden="false" outlineLevel="0" max="44" min="44" style="0" width="14"/>
    <col collapsed="false" customWidth="true" hidden="false" outlineLevel="0" max="45" min="45" style="0" width="10"/>
    <col collapsed="false" customWidth="true" hidden="false" outlineLevel="0" max="47" min="46" style="0" width="9"/>
  </cols>
  <sheetData>
    <row r="1" customFormat="false" ht="27.75" hidden="false" customHeight="true" outlineLevel="0" collapsed="false">
      <c r="A1" s="1" t="s">
        <v>172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customFormat="false" ht="18" hidden="false" customHeight="true" outlineLevel="0" collapsed="false">
      <c r="A2" s="30" t="s">
        <v>173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row>
    <row r="3" customFormat="false" ht="30" hidden="false" customHeight="true" outlineLevel="0" collapsed="false">
      <c r="A3" s="31" t="s">
        <v>26</v>
      </c>
      <c r="B3" s="31" t="s">
        <v>174</v>
      </c>
      <c r="C3" s="31" t="s">
        <v>175</v>
      </c>
      <c r="D3" s="31" t="s">
        <v>28</v>
      </c>
      <c r="E3" s="31" t="s">
        <v>66</v>
      </c>
      <c r="F3" s="31" t="s">
        <v>41</v>
      </c>
      <c r="G3" s="31" t="s">
        <v>176</v>
      </c>
      <c r="H3" s="31" t="s">
        <v>177</v>
      </c>
      <c r="I3" s="31" t="s">
        <v>178</v>
      </c>
      <c r="J3" s="31" t="s">
        <v>179</v>
      </c>
      <c r="K3" s="31" t="s">
        <v>180</v>
      </c>
      <c r="L3" s="31" t="s">
        <v>181</v>
      </c>
      <c r="M3" s="31" t="s">
        <v>182</v>
      </c>
      <c r="N3" s="31" t="s">
        <v>183</v>
      </c>
      <c r="O3" s="31" t="s">
        <v>184</v>
      </c>
      <c r="P3" s="31" t="s">
        <v>185</v>
      </c>
      <c r="Q3" s="31" t="s">
        <v>186</v>
      </c>
      <c r="R3" s="31" t="s">
        <v>187</v>
      </c>
      <c r="S3" s="31" t="s">
        <v>188</v>
      </c>
      <c r="T3" s="31" t="s">
        <v>189</v>
      </c>
      <c r="U3" s="31" t="s">
        <v>44</v>
      </c>
      <c r="V3" s="31" t="s">
        <v>190</v>
      </c>
      <c r="W3" s="31" t="s">
        <v>191</v>
      </c>
      <c r="X3" s="31" t="s">
        <v>57</v>
      </c>
      <c r="Y3" s="31" t="s">
        <v>192</v>
      </c>
      <c r="Z3" s="31" t="s">
        <v>193</v>
      </c>
      <c r="AA3" s="31" t="s">
        <v>47</v>
      </c>
      <c r="AB3" s="31" t="s">
        <v>194</v>
      </c>
      <c r="AC3" s="31" t="s">
        <v>195</v>
      </c>
      <c r="AD3" s="31" t="s">
        <v>196</v>
      </c>
      <c r="AE3" s="31" t="s">
        <v>197</v>
      </c>
      <c r="AF3" s="31" t="s">
        <v>198</v>
      </c>
      <c r="AG3" s="31" t="s">
        <v>199</v>
      </c>
      <c r="AH3" s="31" t="s">
        <v>200</v>
      </c>
      <c r="AI3" s="31" t="s">
        <v>201</v>
      </c>
      <c r="AJ3" s="31" t="s">
        <v>202</v>
      </c>
      <c r="AK3" s="31" t="s">
        <v>203</v>
      </c>
      <c r="AL3" s="31" t="s">
        <v>204</v>
      </c>
      <c r="AM3" s="31" t="s">
        <v>205</v>
      </c>
      <c r="AN3" s="31" t="s">
        <v>206</v>
      </c>
      <c r="AO3" s="31" t="s">
        <v>207</v>
      </c>
      <c r="AP3" s="31" t="s">
        <v>29</v>
      </c>
      <c r="AQ3" s="31" t="s">
        <v>55</v>
      </c>
      <c r="AR3" s="31" t="s">
        <v>208</v>
      </c>
      <c r="AS3" s="31" t="s">
        <v>209</v>
      </c>
      <c r="AT3" s="31" t="s">
        <v>210</v>
      </c>
      <c r="AU3" s="31" t="s">
        <v>211</v>
      </c>
    </row>
    <row r="4" customFormat="false" ht="21.75" hidden="false" customHeight="true" outlineLevel="0" collapsed="false">
      <c r="A4" s="36" t="s">
        <v>212</v>
      </c>
      <c r="B4" s="36" t="s">
        <v>213</v>
      </c>
      <c r="C4" s="36" t="s">
        <v>213</v>
      </c>
      <c r="D4" s="36" t="s">
        <v>101</v>
      </c>
      <c r="E4" s="36" t="s">
        <v>102</v>
      </c>
      <c r="F4" s="36" t="s">
        <v>105</v>
      </c>
      <c r="G4" s="36" t="s">
        <v>214</v>
      </c>
      <c r="H4" s="36" t="s">
        <v>215</v>
      </c>
      <c r="I4" s="36" t="s">
        <v>216</v>
      </c>
      <c r="J4" s="36" t="s">
        <v>217</v>
      </c>
      <c r="K4" s="36" t="s">
        <v>218</v>
      </c>
      <c r="L4" s="36" t="s">
        <v>219</v>
      </c>
      <c r="M4" s="36" t="s">
        <v>219</v>
      </c>
      <c r="N4" s="36" t="s">
        <v>220</v>
      </c>
      <c r="O4" s="36" t="s">
        <v>221</v>
      </c>
      <c r="P4" s="36" t="s">
        <v>222</v>
      </c>
      <c r="Q4" s="36" t="s">
        <v>223</v>
      </c>
      <c r="R4" s="36" t="s">
        <v>224</v>
      </c>
      <c r="S4" s="36" t="s">
        <v>225</v>
      </c>
      <c r="T4" s="36" t="s">
        <v>226</v>
      </c>
      <c r="U4" s="36" t="s">
        <v>227</v>
      </c>
      <c r="V4" s="36" t="s">
        <v>228</v>
      </c>
      <c r="W4" s="36" t="s">
        <v>229</v>
      </c>
      <c r="X4" s="36" t="s">
        <v>230</v>
      </c>
      <c r="Y4" s="36" t="s">
        <v>231</v>
      </c>
      <c r="Z4" s="36" t="s">
        <v>109</v>
      </c>
      <c r="AA4" s="36" t="s">
        <v>232</v>
      </c>
      <c r="AB4" s="36" t="s">
        <v>233</v>
      </c>
      <c r="AC4" s="36" t="s">
        <v>234</v>
      </c>
      <c r="AD4" s="36" t="s">
        <v>235</v>
      </c>
      <c r="AE4" s="36" t="s">
        <v>236</v>
      </c>
      <c r="AF4" s="36" t="s">
        <v>237</v>
      </c>
      <c r="AG4" s="36" t="s">
        <v>238</v>
      </c>
      <c r="AH4" s="36" t="s">
        <v>239</v>
      </c>
      <c r="AI4" s="36" t="s">
        <v>240</v>
      </c>
      <c r="AJ4" s="36" t="s">
        <v>241</v>
      </c>
      <c r="AK4" s="36" t="s">
        <v>241</v>
      </c>
      <c r="AL4" s="36" t="s">
        <v>241</v>
      </c>
      <c r="AM4" s="36" t="s">
        <v>241</v>
      </c>
      <c r="AN4" s="36" t="s">
        <v>242</v>
      </c>
      <c r="AO4" s="36" t="s">
        <v>243</v>
      </c>
      <c r="AP4" s="36" t="s">
        <v>244</v>
      </c>
      <c r="AQ4" s="36" t="s">
        <v>245</v>
      </c>
      <c r="AR4" s="36" t="s">
        <v>246</v>
      </c>
      <c r="AS4" s="36" t="s">
        <v>247</v>
      </c>
      <c r="AT4" s="36" t="s">
        <v>248</v>
      </c>
      <c r="AU4" s="36" t="s">
        <v>249</v>
      </c>
    </row>
    <row r="5" customFormat="false" ht="15" hidden="false" customHeight="false" outlineLevel="0" collapsed="false">
      <c r="A5" s="37" t="str">
        <f aca="false">IF(COUNTA(Watchlist!$A$5)=0,"",Watchlist!$A$5)</f>
        <v>فولاد</v>
      </c>
      <c r="B5" s="28" t="n">
        <f aca="false">IF($A5="","",IFERROR(MATCH($A5,Data_Input!$A$1:$A$5000,0),""))</f>
        <v>5</v>
      </c>
      <c r="C5" s="28" t="n">
        <f aca="false">IF($A5="","",IFERROR(MATCH($A5,Daily_History!$AN$1:$AN$5000,0),""))</f>
        <v>264</v>
      </c>
      <c r="D5" s="39" t="n">
        <f aca="false">IF($A5="","",IFERROR(INDEX(Data_Input!$I$1:$I$5000,$B5),""))</f>
        <v>8466</v>
      </c>
      <c r="E5" s="39" t="n">
        <f aca="false">IF($A5="","",IFERROR(INDEX(Data_Input!$J$1:$J$5000,$B5),""))</f>
        <v>8338</v>
      </c>
      <c r="F5" s="40" t="n">
        <f aca="false">IF($A5="","",IFERROR(INDEX(Data_Input!$M$1:$M$5000,$B5),""))</f>
        <v>-0.0127871181624438</v>
      </c>
      <c r="G5" s="41" t="n">
        <f aca="false">IF($A5="","",IFERROR(INDEX(Data_Input!$R$1:$R$5000,$B5)/1000000000,""))</f>
        <v>440.86478777</v>
      </c>
      <c r="H5" s="39" t="n">
        <f aca="false">IF($A5="","",IFERROR(INDEX(Daily_History!$V$1:$V$5000,$C5),""))</f>
        <v>8466.55</v>
      </c>
      <c r="I5" s="39" t="n">
        <f aca="false">IF($A5="","",IFERROR(INDEX(Daily_History!$W$1:$W$5000,$C5),""))</f>
        <v>8189.36</v>
      </c>
      <c r="J5" s="39" t="n">
        <f aca="false">IF($A5="","",IFERROR(INDEX(Daily_History!$X$1:$X$5000,$C5),""))</f>
        <v>7607.15</v>
      </c>
      <c r="K5" s="39" t="n">
        <f aca="false">IF($A5="","",IFERROR(INDEX(Daily_History!$Y$1:$Y$5000,$C5),""))</f>
        <v>7188.225</v>
      </c>
      <c r="L5" s="35" t="n">
        <f aca="false">IF($A5="","",IFERROR($D5/$I5-1,""))</f>
        <v>0.0337804175173639</v>
      </c>
      <c r="M5" s="35" t="n">
        <f aca="false">IF($A5="","",IFERROR($D5/$K5-1,""))</f>
        <v>0.177759460784825</v>
      </c>
      <c r="N5" s="28" t="n">
        <f aca="false">IF($A5="","",IF(D5&gt;H5,1,0)+IF(D5&gt;I5,1,0)+IF(D5&gt;J5,1,0)+IF(D5&gt;K5,1,0))</f>
        <v>3</v>
      </c>
      <c r="O5" s="23" t="str">
        <f aca="false">IF($A5="","",IF(AND(ISNUMBER(H5),ISNUMBER(K5)),IF(AND(H5&gt;I5,I5&gt;J5,J5&gt;K5),"آرایش صعودی کامل",IF(AND(H5&lt;I5,I5&lt;J5,J5&lt;K5),"آرایش نزولی کامل",IF(I5&gt;K5,"تقاطع طلایی","تقاطع مرگ"))),"داده ناکافی"))</f>
        <v>آرایش صعودی کامل</v>
      </c>
      <c r="P5" s="35" t="n">
        <f aca="false">IF($A5="","",IFERROR(H5/INDEX(Daily_History!$V$1:$V$5000,$C5-MA_SHORT)-1,""))</f>
        <v>0.0361452418249462</v>
      </c>
      <c r="Q5" s="39" t="n">
        <f aca="false">IF($A5="","",IFERROR(INDEX(Daily_History!$AI$1:$AI$5000,$C5),""))</f>
        <v>8879</v>
      </c>
      <c r="R5" s="39" t="n">
        <f aca="false">IF($A5="","",IFERROR(INDEX(Daily_History!$AJ$1:$AJ$5000,$C5),""))</f>
        <v>8109</v>
      </c>
      <c r="S5" s="39" t="n">
        <f aca="false">IF($A5="","",IFERROR(INDEX(Daily_History!$AK$1:$AK$5000,$C5),""))</f>
        <v>8984</v>
      </c>
      <c r="T5" s="39" t="n">
        <f aca="false">IF($A5="","",IFERROR(INDEX(Daily_History!$AL$1:$AL$5000,$C5),""))</f>
        <v>6829</v>
      </c>
      <c r="U5" s="23" t="str">
        <f aca="false">IF($A5="","",IF(AND(ISNUMBER(S5),ISNUMBER(D5)),IF(D5&gt;=S5*0.995,"سقف‌شکنی میان‌مدت (HH)",IF(D5&gt;=Q5*0.995,"سقف‌شکنی کوتاه‌مدت",IF(D5&lt;=T5*1.005,"کف‌شکنی میان‌مدت (LL)",IF(D5&lt;=R5*1.005,"کف‌شکنی کوتاه‌مدت","درون محدوده")))),"داده ناکافی"))</f>
        <v>درون محدوده</v>
      </c>
      <c r="V5" s="39" t="n">
        <f aca="false">IF($A5="","",IFERROR(INDEX(Daily_History!$AB$1:$AB$5000,$C5),""))</f>
        <v>243.357142857143</v>
      </c>
      <c r="W5" s="35" t="n">
        <f aca="false">IF($A5="","",IFERROR(V5/D5,""))</f>
        <v>0.0287452330329722</v>
      </c>
      <c r="X5" s="26" t="n">
        <f aca="false">IF($A5="","",IFERROR(D5-ATR_STOP_MULT*V5,""))</f>
        <v>7979.28571428572</v>
      </c>
      <c r="Y5" s="39" t="n">
        <f aca="false">IF($A5="","",IFERROR(INDEX(Daily_History!$Z$1:$Z$5000,$C5),""))</f>
        <v>55307920.55</v>
      </c>
      <c r="Z5" s="39" t="n">
        <f aca="false">IF($A5="","",IFERROR(INDEX(Data_Input!$Q$1:$Q$5000,$B5),""))</f>
        <v>52874165</v>
      </c>
      <c r="AA5" s="33" t="n">
        <f aca="false">IF($A5="","",IFERROR(Z5/Y5,""))</f>
        <v>0.955996256489162</v>
      </c>
      <c r="AB5" s="26" t="n">
        <f aca="false">IF($A5="","",IFERROR(INDEX(Data_Input!$V$1:$V$5000,$B5)-INDEX(Data_Input!$W$1:$W$5000,$B5),""))</f>
        <v>-5511878</v>
      </c>
      <c r="AC5" s="27" t="n">
        <f aca="false">IF($A5="","",IFERROR(AB5*E5/1000000000,""))</f>
        <v>-45.958038764</v>
      </c>
      <c r="AD5" s="35" t="n">
        <f aca="false">IF($A5="","",IFERROR(AB5*E5/INDEX(Data_Input!$R$1:$R$5000,$B5),""))</f>
        <v>-0.104245201791839</v>
      </c>
      <c r="AE5" s="27" t="n">
        <f aca="false">IF($A5="","",IFERROR(INDEX(Data_Input!$V$1:$V$5000,$B5)*E5/INDEX(Data_Input!$X$1:$X$5000,$B5)/1000000,""))</f>
        <v>181.884591507347</v>
      </c>
      <c r="AF5" s="27" t="n">
        <f aca="false">IF($A5="","",IFERROR(INDEX(Data_Input!$W$1:$W$5000,$B5)*E5/INDEX(Data_Input!$Y$1:$Y$5000,$B5)/1000000,""))</f>
        <v>439.791614301887</v>
      </c>
      <c r="AG5" s="33" t="n">
        <f aca="false">IF($A5="","",IFERROR(AE5/AF5,""))</f>
        <v>0.413569939927266</v>
      </c>
      <c r="AH5" s="41" t="n">
        <f aca="false">IF($A5="","",IFERROR(INDEX(Daily_History!$AH$1:$AH$5000,$C5)/1000000000,""))</f>
        <v>106.60903571</v>
      </c>
      <c r="AI5" s="35" t="n">
        <f aca="false">IF($A5="","",IFERROR(AH5/(5*G5),""))</f>
        <v>0.0483635974872269</v>
      </c>
      <c r="AJ5" s="27" t="n">
        <f aca="false">IF($A5="","",IFERROR(MAX(-10,MIN(10,IF(D5&gt;I5*1.02,3,IF(D5&gt;I5,1.5,IF(D5&lt;I5*0.98,-3,-1.5)))+IF(I5&gt;K5*1.02,3,IF(I5&gt;K5,1.5,IF(I5&lt;K5*0.98,-3,-1.5)))+IF(D5&gt;=Q5*0.995,2,IF(D5&lt;=R5*1.005,-2,0))+IF(P5&gt;0.03,2,IF(P5&gt;0,1,IF(P5&lt;-0.03,-2,-1))))),0))</f>
        <v>8</v>
      </c>
      <c r="AK5" s="27" t="n">
        <f aca="false">IF($A5="","",IFERROR(MAX(-10,MIN(10,IF(AG5&gt;=SM_STRONG,4,IF(AG5&gt;=SM_MOD,2,IF(AG5&lt;=SM_BAD,-4,IF(AG5&lt;=SM_WEAK,-2,0))))+IF(AD5&gt;=NF_STRONG,3,IF(AD5&gt;=NF_MOD,1.5,IF(AD5&lt;=-NF_STRONG,-3,IF(AD5&lt;=-NF_MOD,-1.5,0))))+IF(AI5&gt;=NF_MOD,3,IF(AI5&gt;0,1.5,IF(AI5&lt;=-NF_MOD,-3,-1.5))))),0))</f>
        <v>-4</v>
      </c>
      <c r="AL5" s="27" t="n">
        <f aca="false">IF($A5="","",IFERROR(N5*5-10,0))</f>
        <v>5</v>
      </c>
      <c r="AM5" s="27" t="n">
        <f aca="false">IF($A5="","",IFERROR(IF(F5&gt;0,IF(AA5&gt;=VOL_HIGH,9,IF(AA5&gt;=VOL_MOD,5,IF(AA5&lt;=VOL_DRY,-2,2))),IF(F5&lt;0,IF(AA5&gt;=VOL_HIGH,-9,IF(AA5&gt;=VOL_MOD,-5,IF(AA5&lt;=VOL_DRY,2,-2))),0)),0))</f>
        <v>-2</v>
      </c>
      <c r="AN5" s="41" t="n">
        <f aca="false">IF($A5="","",MARKET_SCORE)</f>
        <v>-7</v>
      </c>
      <c r="AO5" s="41" t="n">
        <f aca="false">IF($A5="","",IFERROR(INDEX(Time_Link!$B$1:$B$5000,MATCH($A5,Time_Link!$A$1:$A$5000,0)),0))</f>
        <v>0</v>
      </c>
      <c r="AP5" s="27" t="n">
        <f aca="false">IF($A5="","",IFERROR((AJ5*W_TREND+AK5*W_SMART+AL5*W_MA+AM5*W_VOL+AN5*W_MARKET+AO5*W_TIME)/W_SUM,0))</f>
        <v>1.45</v>
      </c>
      <c r="AQ5" s="28" t="n">
        <f aca="false">IF($A5="","",IF(ABS(AP5)&gt;=8,5,IF(ABS(AP5)&gt;=5,4,IF(ABS(AP5)&gt;=3,3,IF(ABS(AP5)&gt;=1.5,2,1)))))</f>
        <v>1</v>
      </c>
      <c r="AR5" s="23" t="str">
        <f aca="false">IF($A5="","",IF(G5="","بدون داده",IF(G5&lt;MIN_LIQ_B,"کم‌اعتبار","معتبر")))</f>
        <v>معتبر</v>
      </c>
      <c r="AS5" s="42" t="n">
        <f aca="false">IF($A5="","",IFERROR(AP5+ROW()/1000000,-99))</f>
        <v>1.450005</v>
      </c>
      <c r="AT5" s="28" t="n">
        <f aca="false">IF($A5="","",RANK(AS5,$AS$5:$AS$64,0))</f>
        <v>3</v>
      </c>
      <c r="AU5" s="28" t="n">
        <f aca="false">IF($A5="","",RANK(AS5,$AS$5:$AS$64,1))</f>
        <v>6</v>
      </c>
    </row>
    <row r="6" customFormat="false" ht="15" hidden="false" customHeight="false" outlineLevel="0" collapsed="false">
      <c r="A6" s="37" t="str">
        <f aca="false">IF(COUNTA(Watchlist!$A$6)=0,"",Watchlist!$A$6)</f>
        <v>فملي</v>
      </c>
      <c r="B6" s="28" t="n">
        <f aca="false">IF($A6="","",IFERROR(MATCH($A6,Data_Input!$A$1:$A$5000,0),""))</f>
        <v>6</v>
      </c>
      <c r="C6" s="28" t="n">
        <f aca="false">IF($A6="","",IFERROR(MATCH($A6,Daily_History!$AN$1:$AN$5000,0),""))</f>
        <v>524</v>
      </c>
      <c r="D6" s="39" t="n">
        <f aca="false">IF($A6="","",IFERROR(INDEX(Data_Input!$I$1:$I$5000,$B6),""))</f>
        <v>6713</v>
      </c>
      <c r="E6" s="39" t="n">
        <f aca="false">IF($A6="","",IFERROR(INDEX(Data_Input!$J$1:$J$5000,$B6),""))</f>
        <v>6687</v>
      </c>
      <c r="F6" s="40" t="n">
        <f aca="false">IF($A6="","",IFERROR(INDEX(Data_Input!$M$1:$M$5000,$B6),""))</f>
        <v>-0.00653691873421483</v>
      </c>
      <c r="G6" s="41" t="n">
        <f aca="false">IF($A6="","",IFERROR(INDEX(Data_Input!$R$1:$R$5000,$B6)/1000000000,""))</f>
        <v>123.856761114</v>
      </c>
      <c r="H6" s="39" t="n">
        <f aca="false">IF($A6="","",IFERROR(INDEX(Daily_History!$V$1:$V$5000,$C6),""))</f>
        <v>6643.95</v>
      </c>
      <c r="I6" s="39" t="n">
        <f aca="false">IF($A6="","",IFERROR(INDEX(Daily_History!$W$1:$W$5000,$C6),""))</f>
        <v>7150.52</v>
      </c>
      <c r="J6" s="39" t="n">
        <f aca="false">IF($A6="","",IFERROR(INDEX(Daily_History!$X$1:$X$5000,$C6),""))</f>
        <v>7182.69</v>
      </c>
      <c r="K6" s="39" t="n">
        <f aca="false">IF($A6="","",IFERROR(INDEX(Daily_History!$Y$1:$Y$5000,$C6),""))</f>
        <v>7412.74</v>
      </c>
      <c r="L6" s="35" t="n">
        <f aca="false">IF($A6="","",IFERROR($D6/$I6-1,""))</f>
        <v>-0.0611871584164508</v>
      </c>
      <c r="M6" s="35" t="n">
        <f aca="false">IF($A6="","",IFERROR($D6/$K6-1,""))</f>
        <v>-0.0943969436402733</v>
      </c>
      <c r="N6" s="28" t="n">
        <f aca="false">IF($A6="","",IF(D6&gt;H6,1,0)+IF(D6&gt;I6,1,0)+IF(D6&gt;J6,1,0)+IF(D6&gt;K6,1,0))</f>
        <v>1</v>
      </c>
      <c r="O6" s="23" t="str">
        <f aca="false">IF($A6="","",IF(AND(ISNUMBER(H6),ISNUMBER(K6)),IF(AND(H6&gt;I6,I6&gt;J6,J6&gt;K6),"آرایش صعودی کامل",IF(AND(H6&lt;I6,I6&lt;J6,J6&lt;K6),"آرایش نزولی کامل",IF(I6&gt;K6,"تقاطع طلایی","تقاطع مرگ"))),"داده ناکافی"))</f>
        <v>آرایش نزولی کامل</v>
      </c>
      <c r="P6" s="35" t="n">
        <f aca="false">IF($A6="","",IFERROR(H6/INDEX(Daily_History!$V$1:$V$5000,$C6-MA_SHORT)-1,""))</f>
        <v>-0.110254779202518</v>
      </c>
      <c r="Q6" s="39" t="n">
        <f aca="false">IF($A6="","",IFERROR(INDEX(Daily_History!$AI$1:$AI$5000,$C6),""))</f>
        <v>7285</v>
      </c>
      <c r="R6" s="39" t="n">
        <f aca="false">IF($A6="","",IFERROR(INDEX(Daily_History!$AJ$1:$AJ$5000,$C6),""))</f>
        <v>6179</v>
      </c>
      <c r="S6" s="39" t="n">
        <f aca="false">IF($A6="","",IFERROR(INDEX(Daily_History!$AK$1:$AK$5000,$C6),""))</f>
        <v>7849</v>
      </c>
      <c r="T6" s="39" t="n">
        <f aca="false">IF($A6="","",IFERROR(INDEX(Daily_History!$AL$1:$AL$5000,$C6),""))</f>
        <v>6179</v>
      </c>
      <c r="U6" s="23" t="str">
        <f aca="false">IF($A6="","",IF(AND(ISNUMBER(S6),ISNUMBER(D6)),IF(D6&gt;=S6*0.995,"سقف‌شکنی میان‌مدت (HH)",IF(D6&gt;=Q6*0.995,"سقف‌شکنی کوتاه‌مدت",IF(D6&lt;=T6*1.005,"کف‌شکنی میان‌مدت (LL)",IF(D6&lt;=R6*1.005,"کف‌شکنی کوتاه‌مدت","درون محدوده")))),"داده ناکافی"))</f>
        <v>درون محدوده</v>
      </c>
      <c r="V6" s="39" t="n">
        <f aca="false">IF($A6="","",IFERROR(INDEX(Daily_History!$AB$1:$AB$5000,$C6),""))</f>
        <v>296.785714285714</v>
      </c>
      <c r="W6" s="35" t="n">
        <f aca="false">IF($A6="","",IFERROR(V6/D6,""))</f>
        <v>0.0442105935179077</v>
      </c>
      <c r="X6" s="26" t="n">
        <f aca="false">IF($A6="","",IFERROR(D6-ATR_STOP_MULT*V6,""))</f>
        <v>6119.42857142857</v>
      </c>
      <c r="Y6" s="39" t="n">
        <f aca="false">IF($A6="","",IFERROR(INDEX(Daily_History!$Z$1:$Z$5000,$C6),""))</f>
        <v>18822233.2</v>
      </c>
      <c r="Z6" s="39" t="n">
        <f aca="false">IF($A6="","",IFERROR(INDEX(Data_Input!$Q$1:$Q$5000,$B6),""))</f>
        <v>18522022</v>
      </c>
      <c r="AA6" s="33" t="n">
        <f aca="false">IF($A6="","",IFERROR(Z6/Y6,""))</f>
        <v>0.984050181675573</v>
      </c>
      <c r="AB6" s="26" t="n">
        <f aca="false">IF($A6="","",IFERROR(INDEX(Data_Input!$V$1:$V$5000,$B6)-INDEX(Data_Input!$W$1:$W$5000,$B6),""))</f>
        <v>-1435396</v>
      </c>
      <c r="AC6" s="27" t="n">
        <f aca="false">IF($A6="","",IFERROR(AB6*E6/1000000000,""))</f>
        <v>-9.598493052</v>
      </c>
      <c r="AD6" s="35" t="n">
        <f aca="false">IF($A6="","",IFERROR(AB6*E6/INDEX(Data_Input!$R$1:$R$5000,$B6),""))</f>
        <v>-0.0774967225500542</v>
      </c>
      <c r="AE6" s="27" t="n">
        <f aca="false">IF($A6="","",IFERROR(INDEX(Data_Input!$V$1:$V$5000,$B6)*E6/INDEX(Data_Input!$X$1:$X$5000,$B6)/1000000,""))</f>
        <v>144.266640866197</v>
      </c>
      <c r="AF6" s="27" t="n">
        <f aca="false">IF($A6="","",IFERROR(INDEX(Data_Input!$W$1:$W$5000,$B6)*E6/INDEX(Data_Input!$Y$1:$Y$5000,$B6)/1000000,""))</f>
        <v>238.443228392617</v>
      </c>
      <c r="AG6" s="33" t="n">
        <f aca="false">IF($A6="","",IFERROR(AE6/AF6,""))</f>
        <v>0.605035596266335</v>
      </c>
      <c r="AH6" s="41" t="n">
        <f aca="false">IF($A6="","",IFERROR(INDEX(Daily_History!$AH$1:$AH$5000,$C6)/1000000000,""))</f>
        <v>67.141521082</v>
      </c>
      <c r="AI6" s="35" t="n">
        <f aca="false">IF($A6="","",IFERROR(AH6/(5*G6),""))</f>
        <v>0.108418015259097</v>
      </c>
      <c r="AJ6" s="27" t="n">
        <f aca="false">IF($A6="","",IFERROR(MAX(-10,MIN(10,IF(D6&gt;I6*1.02,3,IF(D6&gt;I6,1.5,IF(D6&lt;I6*0.98,-3,-1.5)))+IF(I6&gt;K6*1.02,3,IF(I6&gt;K6,1.5,IF(I6&lt;K6*0.98,-3,-1.5)))+IF(D6&gt;=Q6*0.995,2,IF(D6&lt;=R6*1.005,-2,0))+IF(P6&gt;0.03,2,IF(P6&gt;0,1,IF(P6&lt;-0.03,-2,-1))))),0))</f>
        <v>-8</v>
      </c>
      <c r="AK6" s="27" t="n">
        <f aca="false">IF($A6="","",IFERROR(MAX(-10,MIN(10,IF(AG6&gt;=SM_STRONG,4,IF(AG6&gt;=SM_MOD,2,IF(AG6&lt;=SM_BAD,-4,IF(AG6&lt;=SM_WEAK,-2,0))))+IF(AD6&gt;=NF_STRONG,3,IF(AD6&gt;=NF_MOD,1.5,IF(AD6&lt;=-NF_STRONG,-3,IF(AD6&lt;=-NF_MOD,-1.5,0))))+IF(AI6&gt;=NF_MOD,3,IF(AI6&gt;0,1.5,IF(AI6&lt;=-NF_MOD,-3,-1.5))))),0))</f>
        <v>-2.5</v>
      </c>
      <c r="AL6" s="27" t="n">
        <f aca="false">IF($A6="","",IFERROR(N6*5-10,0))</f>
        <v>-5</v>
      </c>
      <c r="AM6" s="27" t="n">
        <f aca="false">IF($A6="","",IFERROR(IF(F6&gt;0,IF(AA6&gt;=VOL_HIGH,9,IF(AA6&gt;=VOL_MOD,5,IF(AA6&lt;=VOL_DRY,-2,2))),IF(F6&lt;0,IF(AA6&gt;=VOL_HIGH,-9,IF(AA6&gt;=VOL_MOD,-5,IF(AA6&lt;=VOL_DRY,2,-2))),0)),0))</f>
        <v>-2</v>
      </c>
      <c r="AN6" s="41" t="n">
        <f aca="false">IF($A6="","",MARKET_SCORE)</f>
        <v>-7</v>
      </c>
      <c r="AO6" s="41" t="n">
        <f aca="false">IF($A6="","",IFERROR(INDEX(Time_Link!$B$1:$B$5000,MATCH($A6,Time_Link!$A$1:$A$5000,0)),0))</f>
        <v>0</v>
      </c>
      <c r="AP6" s="27" t="n">
        <f aca="false">IF($A6="","",IFERROR((AJ6*W_TREND+AK6*W_SMART+AL6*W_MA+AM6*W_VOL+AN6*W_MARKET+AO6*W_TIME)/W_SUM,0))</f>
        <v>-5.2</v>
      </c>
      <c r="AQ6" s="28" t="n">
        <f aca="false">IF($A6="","",IF(ABS(AP6)&gt;=8,5,IF(ABS(AP6)&gt;=5,4,IF(ABS(AP6)&gt;=3,3,IF(ABS(AP6)&gt;=1.5,2,1)))))</f>
        <v>4</v>
      </c>
      <c r="AR6" s="23" t="str">
        <f aca="false">IF($A6="","",IF(G6="","بدون داده",IF(G6&lt;MIN_LIQ_B,"کم‌اعتبار","معتبر")))</f>
        <v>معتبر</v>
      </c>
      <c r="AS6" s="42" t="n">
        <f aca="false">IF($A6="","",IFERROR(AP6+ROW()/1000000,-99))</f>
        <v>-5.199994</v>
      </c>
      <c r="AT6" s="28" t="n">
        <f aca="false">IF($A6="","",RANK(AS6,$AS$5:$AS$64,0))</f>
        <v>6</v>
      </c>
      <c r="AU6" s="28" t="n">
        <f aca="false">IF($A6="","",RANK(AS6,$AS$5:$AS$64,1))</f>
        <v>3</v>
      </c>
    </row>
    <row r="7" customFormat="false" ht="15" hidden="false" customHeight="false" outlineLevel="0" collapsed="false">
      <c r="A7" s="37" t="str">
        <f aca="false">IF(COUNTA(Watchlist!$A$7)=0,"",Watchlist!$A$7)</f>
        <v>شپنا</v>
      </c>
      <c r="B7" s="28" t="n">
        <f aca="false">IF($A7="","",IFERROR(MATCH($A7,Data_Input!$A$1:$A$5000,0),""))</f>
        <v>7</v>
      </c>
      <c r="C7" s="28" t="n">
        <f aca="false">IF($A7="","",IFERROR(MATCH($A7,Daily_History!$AN$1:$AN$5000,0),""))</f>
        <v>784</v>
      </c>
      <c r="D7" s="39" t="n">
        <f aca="false">IF($A7="","",IFERROR(INDEX(Data_Input!$I$1:$I$5000,$B7),""))</f>
        <v>3784</v>
      </c>
      <c r="E7" s="39" t="n">
        <f aca="false">IF($A7="","",IFERROR(INDEX(Data_Input!$J$1:$J$5000,$B7),""))</f>
        <v>3727</v>
      </c>
      <c r="F7" s="40" t="n">
        <f aca="false">IF($A7="","",IFERROR(INDEX(Data_Input!$M$1:$M$5000,$B7),""))</f>
        <v>-0.0116679925749138</v>
      </c>
      <c r="G7" s="41" t="n">
        <f aca="false">IF($A7="","",IFERROR(INDEX(Data_Input!$R$1:$R$5000,$B7)/1000000000,""))</f>
        <v>199.505635413</v>
      </c>
      <c r="H7" s="39" t="n">
        <f aca="false">IF($A7="","",IFERROR(INDEX(Daily_History!$V$1:$V$5000,$C7),""))</f>
        <v>3826</v>
      </c>
      <c r="I7" s="39" t="n">
        <f aca="false">IF($A7="","",IFERROR(INDEX(Daily_History!$W$1:$W$5000,$C7),""))</f>
        <v>4018.08</v>
      </c>
      <c r="J7" s="39" t="n">
        <f aca="false">IF($A7="","",IFERROR(INDEX(Daily_History!$X$1:$X$5000,$C7),""))</f>
        <v>4131.02</v>
      </c>
      <c r="K7" s="39" t="n">
        <f aca="false">IF($A7="","",IFERROR(INDEX(Daily_History!$Y$1:$Y$5000,$C7),""))</f>
        <v>4078.885</v>
      </c>
      <c r="L7" s="35" t="n">
        <f aca="false">IF($A7="","",IFERROR($D7/$I7-1,""))</f>
        <v>-0.0582566798072711</v>
      </c>
      <c r="M7" s="35" t="n">
        <f aca="false">IF($A7="","",IFERROR($D7/$K7-1,""))</f>
        <v>-0.072295492518176</v>
      </c>
      <c r="N7" s="28" t="n">
        <f aca="false">IF($A7="","",IF(D7&gt;H7,1,0)+IF(D7&gt;I7,1,0)+IF(D7&gt;J7,1,0)+IF(D7&gt;K7,1,0))</f>
        <v>0</v>
      </c>
      <c r="O7" s="23" t="str">
        <f aca="false">IF($A7="","",IF(AND(ISNUMBER(H7),ISNUMBER(K7)),IF(AND(H7&gt;I7,I7&gt;J7,J7&gt;K7),"آرایش صعودی کامل",IF(AND(H7&lt;I7,I7&lt;J7,J7&lt;K7),"آرایش نزولی کامل",IF(I7&gt;K7,"تقاطع طلایی","تقاطع مرگ"))),"داده ناکافی"))</f>
        <v>تقاطع مرگ</v>
      </c>
      <c r="P7" s="35" t="n">
        <f aca="false">IF($A7="","",IFERROR(H7/INDEX(Daily_History!$V$1:$V$5000,$C7-MA_SHORT)-1,""))</f>
        <v>-0.0828349174767173</v>
      </c>
      <c r="Q7" s="39" t="n">
        <f aca="false">IF($A7="","",IFERROR(INDEX(Daily_History!$AI$1:$AI$5000,$C7),""))</f>
        <v>4100</v>
      </c>
      <c r="R7" s="39" t="n">
        <f aca="false">IF($A7="","",IFERROR(INDEX(Daily_History!$AJ$1:$AJ$5000,$C7),""))</f>
        <v>3632</v>
      </c>
      <c r="S7" s="39" t="n">
        <f aca="false">IF($A7="","",IFERROR(INDEX(Daily_History!$AK$1:$AK$5000,$C7),""))</f>
        <v>4572</v>
      </c>
      <c r="T7" s="39" t="n">
        <f aca="false">IF($A7="","",IFERROR(INDEX(Daily_History!$AL$1:$AL$5000,$C7),""))</f>
        <v>3632</v>
      </c>
      <c r="U7" s="23" t="str">
        <f aca="false">IF($A7="","",IF(AND(ISNUMBER(S7),ISNUMBER(D7)),IF(D7&gt;=S7*0.995,"سقف‌شکنی میان‌مدت (HH)",IF(D7&gt;=Q7*0.995,"سقف‌شکنی کوتاه‌مدت",IF(D7&lt;=T7*1.005,"کف‌شکنی میان‌مدت (LL)",IF(D7&lt;=R7*1.005,"کف‌شکنی کوتاه‌مدت","درون محدوده")))),"داده ناکافی"))</f>
        <v>درون محدوده</v>
      </c>
      <c r="V7" s="39" t="n">
        <f aca="false">IF($A7="","",IFERROR(INDEX(Daily_History!$AB$1:$AB$5000,$C7),""))</f>
        <v>123.428571428571</v>
      </c>
      <c r="W7" s="35" t="n">
        <f aca="false">IF($A7="","",IFERROR(V7/D7,""))</f>
        <v>0.0326185442464512</v>
      </c>
      <c r="X7" s="26" t="n">
        <f aca="false">IF($A7="","",IFERROR(D7-ATR_STOP_MULT*V7,""))</f>
        <v>3537.14285714286</v>
      </c>
      <c r="Y7" s="39" t="n">
        <f aca="false">IF($A7="","",IFERROR(INDEX(Daily_History!$Z$1:$Z$5000,$C7),""))</f>
        <v>64629457.9</v>
      </c>
      <c r="Z7" s="39" t="n">
        <f aca="false">IF($A7="","",IFERROR(INDEX(Data_Input!$Q$1:$Q$5000,$B7),""))</f>
        <v>53529819</v>
      </c>
      <c r="AA7" s="33" t="n">
        <f aca="false">IF($A7="","",IFERROR(Z7/Y7,""))</f>
        <v>0.828257279874229</v>
      </c>
      <c r="AB7" s="26" t="n">
        <f aca="false">IF($A7="","",IFERROR(INDEX(Data_Input!$V$1:$V$5000,$B7)-INDEX(Data_Input!$W$1:$W$5000,$B7),""))</f>
        <v>208795</v>
      </c>
      <c r="AC7" s="27" t="n">
        <f aca="false">IF($A7="","",IFERROR(AB7*E7/1000000000,""))</f>
        <v>0.778178965</v>
      </c>
      <c r="AD7" s="35" t="n">
        <f aca="false">IF($A7="","",IFERROR(AB7*E7/INDEX(Data_Input!$R$1:$R$5000,$B7),""))</f>
        <v>0.00390053625998623</v>
      </c>
      <c r="AE7" s="27" t="n">
        <f aca="false">IF($A7="","",IFERROR(INDEX(Data_Input!$V$1:$V$5000,$B7)*E7/INDEX(Data_Input!$X$1:$X$5000,$B7)/1000000,""))</f>
        <v>41.4279002573876</v>
      </c>
      <c r="AF7" s="27" t="n">
        <f aca="false">IF($A7="","",IFERROR(INDEX(Data_Input!$W$1:$W$5000,$B7)*E7/INDEX(Data_Input!$Y$1:$Y$5000,$B7)/1000000,""))</f>
        <v>59.1590432404439</v>
      </c>
      <c r="AG7" s="33" t="n">
        <f aca="false">IF($A7="","",IFERROR(AE7/AF7,""))</f>
        <v>0.700280092242356</v>
      </c>
      <c r="AH7" s="41" t="n">
        <f aca="false">IF($A7="","",IFERROR(INDEX(Daily_History!$AH$1:$AH$5000,$C7)/1000000000,""))</f>
        <v>-52.945606582</v>
      </c>
      <c r="AI7" s="35" t="n">
        <f aca="false">IF($A7="","",IFERROR(AH7/(5*G7),""))</f>
        <v>-0.0530768030410734</v>
      </c>
      <c r="AJ7" s="27" t="n">
        <f aca="false">IF($A7="","",IFERROR(MAX(-10,MIN(10,IF(D7&gt;I7*1.02,3,IF(D7&gt;I7,1.5,IF(D7&lt;I7*0.98,-3,-1.5)))+IF(I7&gt;K7*1.02,3,IF(I7&gt;K7,1.5,IF(I7&lt;K7*0.98,-3,-1.5)))+IF(D7&gt;=Q7*0.995,2,IF(D7&lt;=R7*1.005,-2,0))+IF(P7&gt;0.03,2,IF(P7&gt;0,1,IF(P7&lt;-0.03,-2,-1))))),0))</f>
        <v>-6.5</v>
      </c>
      <c r="AK7" s="27" t="n">
        <f aca="false">IF($A7="","",IFERROR(MAX(-10,MIN(10,IF(AG7&gt;=SM_STRONG,4,IF(AG7&gt;=SM_MOD,2,IF(AG7&lt;=SM_BAD,-4,IF(AG7&lt;=SM_WEAK,-2,0))))+IF(AD7&gt;=NF_STRONG,3,IF(AD7&gt;=NF_MOD,1.5,IF(AD7&lt;=-NF_STRONG,-3,IF(AD7&lt;=-NF_MOD,-1.5,0))))+IF(AI7&gt;=NF_MOD,3,IF(AI7&gt;0,1.5,IF(AI7&lt;=-NF_MOD,-3,-1.5))))),0))</f>
        <v>-5</v>
      </c>
      <c r="AL7" s="27" t="n">
        <f aca="false">IF($A7="","",IFERROR(N7*5-10,0))</f>
        <v>-10</v>
      </c>
      <c r="AM7" s="27" t="n">
        <f aca="false">IF($A7="","",IFERROR(IF(F7&gt;0,IF(AA7&gt;=VOL_HIGH,9,IF(AA7&gt;=VOL_MOD,5,IF(AA7&lt;=VOL_DRY,-2,2))),IF(F7&lt;0,IF(AA7&gt;=VOL_HIGH,-9,IF(AA7&gt;=VOL_MOD,-5,IF(AA7&lt;=VOL_DRY,2,-2))),0)),0))</f>
        <v>-2</v>
      </c>
      <c r="AN7" s="41" t="n">
        <f aca="false">IF($A7="","",MARKET_SCORE)</f>
        <v>-7</v>
      </c>
      <c r="AO7" s="41" t="n">
        <f aca="false">IF($A7="","",IFERROR(INDEX(Time_Link!$B$1:$B$5000,MATCH($A7,Time_Link!$A$1:$A$5000,0)),0))</f>
        <v>0</v>
      </c>
      <c r="AP7" s="27" t="n">
        <f aca="false">IF($A7="","",IFERROR((AJ7*W_TREND+AK7*W_SMART+AL7*W_MA+AM7*W_VOL+AN7*W_MARKET+AO7*W_TIME)/W_SUM,0))</f>
        <v>-6.175</v>
      </c>
      <c r="AQ7" s="28" t="n">
        <f aca="false">IF($A7="","",IF(ABS(AP7)&gt;=8,5,IF(ABS(AP7)&gt;=5,4,IF(ABS(AP7)&gt;=3,3,IF(ABS(AP7)&gt;=1.5,2,1)))))</f>
        <v>4</v>
      </c>
      <c r="AR7" s="23" t="str">
        <f aca="false">IF($A7="","",IF(G7="","بدون داده",IF(G7&lt;MIN_LIQ_B,"کم‌اعتبار","معتبر")))</f>
        <v>معتبر</v>
      </c>
      <c r="AS7" s="42" t="n">
        <f aca="false">IF($A7="","",IFERROR(AP7+ROW()/1000000,-99))</f>
        <v>-6.174993</v>
      </c>
      <c r="AT7" s="28" t="n">
        <f aca="false">IF($A7="","",RANK(AS7,$AS$5:$AS$64,0))</f>
        <v>7</v>
      </c>
      <c r="AU7" s="28" t="n">
        <f aca="false">IF($A7="","",RANK(AS7,$AS$5:$AS$64,1))</f>
        <v>2</v>
      </c>
    </row>
    <row r="8" customFormat="false" ht="15" hidden="false" customHeight="false" outlineLevel="0" collapsed="false">
      <c r="A8" s="37" t="str">
        <f aca="false">IF(COUNTA(Watchlist!$A$8)=0,"",Watchlist!$A$8)</f>
        <v>خودرو</v>
      </c>
      <c r="B8" s="28" t="n">
        <f aca="false">IF($A8="","",IFERROR(MATCH($A8,Data_Input!$A$1:$A$5000,0),""))</f>
        <v>8</v>
      </c>
      <c r="C8" s="28" t="n">
        <f aca="false">IF($A8="","",IFERROR(MATCH($A8,Daily_History!$AN$1:$AN$5000,0),""))</f>
        <v>1044</v>
      </c>
      <c r="D8" s="39" t="n">
        <f aca="false">IF($A8="","",IFERROR(INDEX(Data_Input!$I$1:$I$5000,$B8),""))</f>
        <v>3785</v>
      </c>
      <c r="E8" s="39" t="n">
        <f aca="false">IF($A8="","",IFERROR(INDEX(Data_Input!$J$1:$J$5000,$B8),""))</f>
        <v>3830</v>
      </c>
      <c r="F8" s="40" t="n">
        <f aca="false">IF($A8="","",IFERROR(INDEX(Data_Input!$M$1:$M$5000,$B8),""))</f>
        <v>-0.0350214159737969</v>
      </c>
      <c r="G8" s="41" t="n">
        <f aca="false">IF($A8="","",IFERROR(INDEX(Data_Input!$R$1:$R$5000,$B8)/1000000000,""))</f>
        <v>265.40529626</v>
      </c>
      <c r="H8" s="39" t="n">
        <f aca="false">IF($A8="","",IFERROR(INDEX(Daily_History!$V$1:$V$5000,$C8),""))</f>
        <v>3765.35</v>
      </c>
      <c r="I8" s="39" t="n">
        <f aca="false">IF($A8="","",IFERROR(INDEX(Daily_History!$W$1:$W$5000,$C8),""))</f>
        <v>3531.4</v>
      </c>
      <c r="J8" s="39" t="n">
        <f aca="false">IF($A8="","",IFERROR(INDEX(Daily_History!$X$1:$X$5000,$C8),""))</f>
        <v>3429.21</v>
      </c>
      <c r="K8" s="39" t="n">
        <f aca="false">IF($A8="","",IFERROR(INDEX(Daily_History!$Y$1:$Y$5000,$C8),""))</f>
        <v>3313.22</v>
      </c>
      <c r="L8" s="35" t="n">
        <f aca="false">IF($A8="","",IFERROR($D8/$I8-1,""))</f>
        <v>0.0718128787449737</v>
      </c>
      <c r="M8" s="35" t="n">
        <f aca="false">IF($A8="","",IFERROR($D8/$K8-1,""))</f>
        <v>0.142393200572253</v>
      </c>
      <c r="N8" s="28" t="n">
        <f aca="false">IF($A8="","",IF(D8&gt;H8,1,0)+IF(D8&gt;I8,1,0)+IF(D8&gt;J8,1,0)+IF(D8&gt;K8,1,0))</f>
        <v>4</v>
      </c>
      <c r="O8" s="23" t="str">
        <f aca="false">IF($A8="","",IF(AND(ISNUMBER(H8),ISNUMBER(K8)),IF(AND(H8&gt;I8,I8&gt;J8,J8&gt;K8),"آرایش صعودی کامل",IF(AND(H8&lt;I8,I8&lt;J8,J8&lt;K8),"آرایش نزولی کامل",IF(I8&gt;K8,"تقاطع طلایی","تقاطع مرگ"))),"داده ناکافی"))</f>
        <v>آرایش صعودی کامل</v>
      </c>
      <c r="P8" s="35" t="n">
        <f aca="false">IF($A8="","",IFERROR(H8/INDEX(Daily_History!$V$1:$V$5000,$C8-MA_SHORT)-1,""))</f>
        <v>0.128008867452555</v>
      </c>
      <c r="Q8" s="39" t="n">
        <f aca="false">IF($A8="","",IFERROR(INDEX(Daily_History!$AI$1:$AI$5000,$C8),""))</f>
        <v>4054</v>
      </c>
      <c r="R8" s="39" t="n">
        <f aca="false">IF($A8="","",IFERROR(INDEX(Daily_History!$AJ$1:$AJ$5000,$C8),""))</f>
        <v>3495</v>
      </c>
      <c r="S8" s="39" t="n">
        <f aca="false">IF($A8="","",IFERROR(INDEX(Daily_History!$AK$1:$AK$5000,$C8),""))</f>
        <v>4054</v>
      </c>
      <c r="T8" s="39" t="n">
        <f aca="false">IF($A8="","",IFERROR(INDEX(Daily_History!$AL$1:$AL$5000,$C8),""))</f>
        <v>3005</v>
      </c>
      <c r="U8" s="23" t="str">
        <f aca="false">IF($A8="","",IF(AND(ISNUMBER(S8),ISNUMBER(D8)),IF(D8&gt;=S8*0.995,"سقف‌شکنی میان‌مدت (HH)",IF(D8&gt;=Q8*0.995,"سقف‌شکنی کوتاه‌مدت",IF(D8&lt;=T8*1.005,"کف‌شکنی میان‌مدت (LL)",IF(D8&lt;=R8*1.005,"کف‌شکنی کوتاه‌مدت","درون محدوده")))),"داده ناکافی"))</f>
        <v>درون محدوده</v>
      </c>
      <c r="V8" s="39" t="n">
        <f aca="false">IF($A8="","",IFERROR(INDEX(Daily_History!$AB$1:$AB$5000,$C8),""))</f>
        <v>191.428571428571</v>
      </c>
      <c r="W8" s="35" t="n">
        <f aca="false">IF($A8="","",IFERROR(V8/D8,""))</f>
        <v>0.0505755802981695</v>
      </c>
      <c r="X8" s="26" t="n">
        <f aca="false">IF($A8="","",IFERROR(D8-ATR_STOP_MULT*V8,""))</f>
        <v>3402.14285714286</v>
      </c>
      <c r="Y8" s="39" t="n">
        <f aca="false">IF($A8="","",IFERROR(INDEX(Daily_History!$Z$1:$Z$5000,$C8),""))</f>
        <v>70659338.35</v>
      </c>
      <c r="Z8" s="39" t="n">
        <f aca="false">IF($A8="","",IFERROR(INDEX(Data_Input!$Q$1:$Q$5000,$B8),""))</f>
        <v>69296422</v>
      </c>
      <c r="AA8" s="33" t="n">
        <f aca="false">IF($A8="","",IFERROR(Z8/Y8,""))</f>
        <v>0.980711447604434</v>
      </c>
      <c r="AB8" s="26" t="n">
        <f aca="false">IF($A8="","",IFERROR(INDEX(Data_Input!$V$1:$V$5000,$B8)-INDEX(Data_Input!$W$1:$W$5000,$B8),""))</f>
        <v>-35943073</v>
      </c>
      <c r="AC8" s="27" t="n">
        <f aca="false">IF($A8="","",IFERROR(AB8*E8/1000000000,""))</f>
        <v>-137.66196959</v>
      </c>
      <c r="AD8" s="35" t="n">
        <f aca="false">IF($A8="","",IFERROR(AB8*E8/INDEX(Data_Input!$R$1:$R$5000,$B8),""))</f>
        <v>-0.51868584210596</v>
      </c>
      <c r="AE8" s="27" t="n">
        <f aca="false">IF($A8="","",IFERROR(INDEX(Data_Input!$V$1:$V$5000,$B8)*E8/INDEX(Data_Input!$X$1:$X$5000,$B8)/1000000,""))</f>
        <v>57.7839447198481</v>
      </c>
      <c r="AF8" s="27" t="n">
        <f aca="false">IF($A8="","",IFERROR(INDEX(Data_Input!$W$1:$W$5000,$B8)*E8/INDEX(Data_Input!$Y$1:$Y$5000,$B8)/1000000,""))</f>
        <v>83.9714312098139</v>
      </c>
      <c r="AG8" s="33" t="n">
        <f aca="false">IF($A8="","",IFERROR(AE8/AF8,""))</f>
        <v>0.688138142786529</v>
      </c>
      <c r="AH8" s="41" t="n">
        <f aca="false">IF($A8="","",IFERROR(INDEX(Daily_History!$AH$1:$AH$5000,$C8)/1000000000,""))</f>
        <v>-240.723868799</v>
      </c>
      <c r="AI8" s="35" t="n">
        <f aca="false">IF($A8="","",IFERROR(AH8/(5*G8),""))</f>
        <v>-0.181400953327758</v>
      </c>
      <c r="AJ8" s="27" t="n">
        <f aca="false">IF($A8="","",IFERROR(MAX(-10,MIN(10,IF(D8&gt;I8*1.02,3,IF(D8&gt;I8,1.5,IF(D8&lt;I8*0.98,-3,-1.5)))+IF(I8&gt;K8*1.02,3,IF(I8&gt;K8,1.5,IF(I8&lt;K8*0.98,-3,-1.5)))+IF(D8&gt;=Q8*0.995,2,IF(D8&lt;=R8*1.005,-2,0))+IF(P8&gt;0.03,2,IF(P8&gt;0,1,IF(P8&lt;-0.03,-2,-1))))),0))</f>
        <v>8</v>
      </c>
      <c r="AK8" s="27" t="n">
        <f aca="false">IF($A8="","",IFERROR(MAX(-10,MIN(10,IF(AG8&gt;=SM_STRONG,4,IF(AG8&gt;=SM_MOD,2,IF(AG8&lt;=SM_BAD,-4,IF(AG8&lt;=SM_WEAK,-2,0))))+IF(AD8&gt;=NF_STRONG,3,IF(AD8&gt;=NF_MOD,1.5,IF(AD8&lt;=-NF_STRONG,-3,IF(AD8&lt;=-NF_MOD,-1.5,0))))+IF(AI8&gt;=NF_MOD,3,IF(AI8&gt;0,1.5,IF(AI8&lt;=-NF_MOD,-3,-1.5))))),0))</f>
        <v>-8</v>
      </c>
      <c r="AL8" s="27" t="n">
        <f aca="false">IF($A8="","",IFERROR(N8*5-10,0))</f>
        <v>10</v>
      </c>
      <c r="AM8" s="27" t="n">
        <f aca="false">IF($A8="","",IFERROR(IF(F8&gt;0,IF(AA8&gt;=VOL_HIGH,9,IF(AA8&gt;=VOL_MOD,5,IF(AA8&lt;=VOL_DRY,-2,2))),IF(F8&lt;0,IF(AA8&gt;=VOL_HIGH,-9,IF(AA8&gt;=VOL_MOD,-5,IF(AA8&lt;=VOL_DRY,2,-2))),0)),0))</f>
        <v>-2</v>
      </c>
      <c r="AN8" s="41" t="n">
        <f aca="false">IF($A8="","",MARKET_SCORE)</f>
        <v>-7</v>
      </c>
      <c r="AO8" s="41" t="n">
        <f aca="false">IF($A8="","",IFERROR(INDEX(Time_Link!$B$1:$B$5000,MATCH($A8,Time_Link!$A$1:$A$5000,0)),0))</f>
        <v>0</v>
      </c>
      <c r="AP8" s="27" t="n">
        <f aca="false">IF($A8="","",IFERROR((AJ8*W_TREND+AK8*W_SMART+AL8*W_MA+AM8*W_VOL+AN8*W_MARKET+AO8*W_TIME)/W_SUM,0))</f>
        <v>1</v>
      </c>
      <c r="AQ8" s="28" t="n">
        <f aca="false">IF($A8="","",IF(ABS(AP8)&gt;=8,5,IF(ABS(AP8)&gt;=5,4,IF(ABS(AP8)&gt;=3,3,IF(ABS(AP8)&gt;=1.5,2,1)))))</f>
        <v>1</v>
      </c>
      <c r="AR8" s="23" t="str">
        <f aca="false">IF($A8="","",IF(G8="","بدون داده",IF(G8&lt;MIN_LIQ_B,"کم‌اعتبار","معتبر")))</f>
        <v>معتبر</v>
      </c>
      <c r="AS8" s="42" t="n">
        <f aca="false">IF($A8="","",IFERROR(AP8+ROW()/1000000,-99))</f>
        <v>1.000008</v>
      </c>
      <c r="AT8" s="28" t="n">
        <f aca="false">IF($A8="","",RANK(AS8,$AS$5:$AS$64,0))</f>
        <v>4</v>
      </c>
      <c r="AU8" s="28" t="n">
        <f aca="false">IF($A8="","",RANK(AS8,$AS$5:$AS$64,1))</f>
        <v>5</v>
      </c>
    </row>
    <row r="9" customFormat="false" ht="15" hidden="false" customHeight="false" outlineLevel="0" collapsed="false">
      <c r="A9" s="37" t="str">
        <f aca="false">IF(COUNTA(Watchlist!$A$9)=0,"",Watchlist!$A$9)</f>
        <v>وبملت</v>
      </c>
      <c r="B9" s="28" t="n">
        <f aca="false">IF($A9="","",IFERROR(MATCH($A9,Data_Input!$A$1:$A$5000,0),""))</f>
        <v>9</v>
      </c>
      <c r="C9" s="28" t="n">
        <f aca="false">IF($A9="","",IFERROR(MATCH($A9,Daily_History!$AN$1:$AN$5000,0),""))</f>
        <v>1304</v>
      </c>
      <c r="D9" s="39" t="n">
        <f aca="false">IF($A9="","",IFERROR(INDEX(Data_Input!$I$1:$I$5000,$B9),""))</f>
        <v>4483</v>
      </c>
      <c r="E9" s="39" t="n">
        <f aca="false">IF($A9="","",IFERROR(INDEX(Data_Input!$J$1:$J$5000,$B9),""))</f>
        <v>4401</v>
      </c>
      <c r="F9" s="40" t="n">
        <f aca="false">IF($A9="","",IFERROR(INDEX(Data_Input!$M$1:$M$5000,$B9),""))</f>
        <v>-0.0359255202628697</v>
      </c>
      <c r="G9" s="41" t="n">
        <f aca="false">IF($A9="","",IFERROR(INDEX(Data_Input!$R$1:$R$5000,$B9)/1000000000,""))</f>
        <v>415.446544215</v>
      </c>
      <c r="H9" s="39" t="n">
        <f aca="false">IF($A9="","",IFERROR(INDEX(Daily_History!$V$1:$V$5000,$C9),""))</f>
        <v>4439.75</v>
      </c>
      <c r="I9" s="39" t="n">
        <f aca="false">IF($A9="","",IFERROR(INDEX(Daily_History!$W$1:$W$5000,$C9),""))</f>
        <v>4678.52</v>
      </c>
      <c r="J9" s="39" t="n">
        <f aca="false">IF($A9="","",IFERROR(INDEX(Daily_History!$X$1:$X$5000,$C9),""))</f>
        <v>4723.45</v>
      </c>
      <c r="K9" s="39" t="n">
        <f aca="false">IF($A9="","",IFERROR(INDEX(Daily_History!$Y$1:$Y$5000,$C9),""))</f>
        <v>5051.71</v>
      </c>
      <c r="L9" s="35" t="n">
        <f aca="false">IF($A9="","",IFERROR($D9/$I9-1,""))</f>
        <v>-0.0417909937330609</v>
      </c>
      <c r="M9" s="35" t="n">
        <f aca="false">IF($A9="","",IFERROR($D9/$K9-1,""))</f>
        <v>-0.112577721207274</v>
      </c>
      <c r="N9" s="28" t="n">
        <f aca="false">IF($A9="","",IF(D9&gt;H9,1,0)+IF(D9&gt;I9,1,0)+IF(D9&gt;J9,1,0)+IF(D9&gt;K9,1,0))</f>
        <v>1</v>
      </c>
      <c r="O9" s="23" t="str">
        <f aca="false">IF($A9="","",IF(AND(ISNUMBER(H9),ISNUMBER(K9)),IF(AND(H9&gt;I9,I9&gt;J9,J9&gt;K9),"آرایش صعودی کامل",IF(AND(H9&lt;I9,I9&lt;J9,J9&lt;K9),"آرایش نزولی کامل",IF(I9&gt;K9,"تقاطع طلایی","تقاطع مرگ"))),"داده ناکافی"))</f>
        <v>آرایش نزولی کامل</v>
      </c>
      <c r="P9" s="35" t="n">
        <f aca="false">IF($A9="","",IFERROR(H9/INDEX(Daily_History!$V$1:$V$5000,$C9-MA_SHORT)-1,""))</f>
        <v>-0.082800508206712</v>
      </c>
      <c r="Q9" s="39" t="n">
        <f aca="false">IF($A9="","",IFERROR(INDEX(Daily_History!$AI$1:$AI$5000,$C9),""))</f>
        <v>4822</v>
      </c>
      <c r="R9" s="39" t="n">
        <f aca="false">IF($A9="","",IFERROR(INDEX(Daily_History!$AJ$1:$AJ$5000,$C9),""))</f>
        <v>4210</v>
      </c>
      <c r="S9" s="39" t="n">
        <f aca="false">IF($A9="","",IFERROR(INDEX(Daily_History!$AK$1:$AK$5000,$C9),""))</f>
        <v>5326</v>
      </c>
      <c r="T9" s="39" t="n">
        <f aca="false">IF($A9="","",IFERROR(INDEX(Daily_History!$AL$1:$AL$5000,$C9),""))</f>
        <v>4210</v>
      </c>
      <c r="U9" s="23" t="str">
        <f aca="false">IF($A9="","",IF(AND(ISNUMBER(S9),ISNUMBER(D9)),IF(D9&gt;=S9*0.995,"سقف‌شکنی میان‌مدت (HH)",IF(D9&gt;=Q9*0.995,"سقف‌شکنی کوتاه‌مدت",IF(D9&lt;=T9*1.005,"کف‌شکنی میان‌مدت (LL)",IF(D9&lt;=R9*1.005,"کف‌شکنی کوتاه‌مدت","درون محدوده")))),"داده ناکافی"))</f>
        <v>درون محدوده</v>
      </c>
      <c r="V9" s="39" t="n">
        <f aca="false">IF($A9="","",IFERROR(INDEX(Daily_History!$AB$1:$AB$5000,$C9),""))</f>
        <v>137.357142857143</v>
      </c>
      <c r="W9" s="35" t="n">
        <f aca="false">IF($A9="","",IFERROR(V9/D9,""))</f>
        <v>0.0306395589688028</v>
      </c>
      <c r="X9" s="26" t="n">
        <f aca="false">IF($A9="","",IFERROR(D9-ATR_STOP_MULT*V9,""))</f>
        <v>4208.28571428572</v>
      </c>
      <c r="Y9" s="39" t="n">
        <f aca="false">IF($A9="","",IFERROR(INDEX(Daily_History!$Z$1:$Z$5000,$C9),""))</f>
        <v>108752936.1</v>
      </c>
      <c r="Z9" s="39" t="n">
        <f aca="false">IF($A9="","",IFERROR(INDEX(Data_Input!$Q$1:$Q$5000,$B9),""))</f>
        <v>94398215</v>
      </c>
      <c r="AA9" s="33" t="n">
        <f aca="false">IF($A9="","",IFERROR(Z9/Y9,""))</f>
        <v>0.868006128250178</v>
      </c>
      <c r="AB9" s="26" t="n">
        <f aca="false">IF($A9="","",IFERROR(INDEX(Data_Input!$V$1:$V$5000,$B9)-INDEX(Data_Input!$W$1:$W$5000,$B9),""))</f>
        <v>-51728569</v>
      </c>
      <c r="AC9" s="27" t="n">
        <f aca="false">IF($A9="","",IFERROR(AB9*E9/1000000000,""))</f>
        <v>-227.657432169</v>
      </c>
      <c r="AD9" s="35" t="n">
        <f aca="false">IF($A9="","",IFERROR(AB9*E9/INDEX(Data_Input!$R$1:$R$5000,$B9),""))</f>
        <v>-0.547982490982483</v>
      </c>
      <c r="AE9" s="27" t="n">
        <f aca="false">IF($A9="","",IFERROR(INDEX(Data_Input!$V$1:$V$5000,$B9)*E9/INDEX(Data_Input!$X$1:$X$5000,$B9)/1000000,""))</f>
        <v>119.246489794718</v>
      </c>
      <c r="AF9" s="27" t="n">
        <f aca="false">IF($A9="","",IFERROR(INDEX(Data_Input!$W$1:$W$5000,$B9)*E9/INDEX(Data_Input!$Y$1:$Y$5000,$B9)/1000000,""))</f>
        <v>279.717500571429</v>
      </c>
      <c r="AG9" s="33" t="n">
        <f aca="false">IF($A9="","",IFERROR(AE9/AF9,""))</f>
        <v>0.426310436605189</v>
      </c>
      <c r="AH9" s="41" t="n">
        <f aca="false">IF($A9="","",IFERROR(INDEX(Daily_History!$AH$1:$AH$5000,$C9)/1000000000,""))</f>
        <v>-277.381324293</v>
      </c>
      <c r="AI9" s="35" t="n">
        <f aca="false">IF($A9="","",IFERROR(AH9/(5*G9),""))</f>
        <v>-0.133534062639573</v>
      </c>
      <c r="AJ9" s="27" t="n">
        <f aca="false">IF($A9="","",IFERROR(MAX(-10,MIN(10,IF(D9&gt;I9*1.02,3,IF(D9&gt;I9,1.5,IF(D9&lt;I9*0.98,-3,-1.5)))+IF(I9&gt;K9*1.02,3,IF(I9&gt;K9,1.5,IF(I9&lt;K9*0.98,-3,-1.5)))+IF(D9&gt;=Q9*0.995,2,IF(D9&lt;=R9*1.005,-2,0))+IF(P9&gt;0.03,2,IF(P9&gt;0,1,IF(P9&lt;-0.03,-2,-1))))),0))</f>
        <v>-8</v>
      </c>
      <c r="AK9" s="27" t="n">
        <f aca="false">IF($A9="","",IFERROR(MAX(-10,MIN(10,IF(AG9&gt;=SM_STRONG,4,IF(AG9&gt;=SM_MOD,2,IF(AG9&lt;=SM_BAD,-4,IF(AG9&lt;=SM_WEAK,-2,0))))+IF(AD9&gt;=NF_STRONG,3,IF(AD9&gt;=NF_MOD,1.5,IF(AD9&lt;=-NF_STRONG,-3,IF(AD9&lt;=-NF_MOD,-1.5,0))))+IF(AI9&gt;=NF_MOD,3,IF(AI9&gt;0,1.5,IF(AI9&lt;=-NF_MOD,-3,-1.5))))),0))</f>
        <v>-10</v>
      </c>
      <c r="AL9" s="27" t="n">
        <f aca="false">IF($A9="","",IFERROR(N9*5-10,0))</f>
        <v>-5</v>
      </c>
      <c r="AM9" s="27" t="n">
        <f aca="false">IF($A9="","",IFERROR(IF(F9&gt;0,IF(AA9&gt;=VOL_HIGH,9,IF(AA9&gt;=VOL_MOD,5,IF(AA9&lt;=VOL_DRY,-2,2))),IF(F9&lt;0,IF(AA9&gt;=VOL_HIGH,-9,IF(AA9&gt;=VOL_MOD,-5,IF(AA9&lt;=VOL_DRY,2,-2))),0)),0))</f>
        <v>-2</v>
      </c>
      <c r="AN9" s="41" t="n">
        <f aca="false">IF($A9="","",MARKET_SCORE)</f>
        <v>-7</v>
      </c>
      <c r="AO9" s="41" t="n">
        <f aca="false">IF($A9="","",IFERROR(INDEX(Time_Link!$B$1:$B$5000,MATCH($A9,Time_Link!$A$1:$A$5000,0)),0))</f>
        <v>0</v>
      </c>
      <c r="AP9" s="27" t="n">
        <f aca="false">IF($A9="","",IFERROR((AJ9*W_TREND+AK9*W_SMART+AL9*W_MA+AM9*W_VOL+AN9*W_MARKET+AO9*W_TIME)/W_SUM,0))</f>
        <v>-7.45</v>
      </c>
      <c r="AQ9" s="28" t="n">
        <f aca="false">IF($A9="","",IF(ABS(AP9)&gt;=8,5,IF(ABS(AP9)&gt;=5,4,IF(ABS(AP9)&gt;=3,3,IF(ABS(AP9)&gt;=1.5,2,1)))))</f>
        <v>4</v>
      </c>
      <c r="AR9" s="23" t="str">
        <f aca="false">IF($A9="","",IF(G9="","بدون داده",IF(G9&lt;MIN_LIQ_B,"کم‌اعتبار","معتبر")))</f>
        <v>معتبر</v>
      </c>
      <c r="AS9" s="42" t="n">
        <f aca="false">IF($A9="","",IFERROR(AP9+ROW()/1000000,-99))</f>
        <v>-7.449991</v>
      </c>
      <c r="AT9" s="28" t="n">
        <f aca="false">IF($A9="","",RANK(AS9,$AS$5:$AS$64,0))</f>
        <v>8</v>
      </c>
      <c r="AU9" s="28" t="n">
        <f aca="false">IF($A9="","",RANK(AS9,$AS$5:$AS$64,1))</f>
        <v>1</v>
      </c>
    </row>
    <row r="10" customFormat="false" ht="15" hidden="false" customHeight="false" outlineLevel="0" collapsed="false">
      <c r="A10" s="37" t="str">
        <f aca="false">IF(COUNTA(Watchlist!$A$10)=0,"",Watchlist!$A$10)</f>
        <v>شستا</v>
      </c>
      <c r="B10" s="28" t="n">
        <f aca="false">IF($A10="","",IFERROR(MATCH($A10,Data_Input!$A$1:$A$5000,0),""))</f>
        <v>10</v>
      </c>
      <c r="C10" s="28" t="n">
        <f aca="false">IF($A10="","",IFERROR(MATCH($A10,Daily_History!$AN$1:$AN$5000,0),""))</f>
        <v>1564</v>
      </c>
      <c r="D10" s="39" t="n">
        <f aca="false">IF($A10="","",IFERROR(INDEX(Data_Input!$I$1:$I$5000,$B10),""))</f>
        <v>2007</v>
      </c>
      <c r="E10" s="39" t="n">
        <f aca="false">IF($A10="","",IFERROR(INDEX(Data_Input!$J$1:$J$5000,$B10),""))</f>
        <v>1999</v>
      </c>
      <c r="F10" s="40" t="n">
        <f aca="false">IF($A10="","",IFERROR(INDEX(Data_Input!$M$1:$M$5000,$B10),""))</f>
        <v>0.00603925515853045</v>
      </c>
      <c r="G10" s="41" t="n">
        <f aca="false">IF($A10="","",IFERROR(INDEX(Data_Input!$R$1:$R$5000,$B10)/1000000000,""))</f>
        <v>140.569206237</v>
      </c>
      <c r="H10" s="39" t="n">
        <f aca="false">IF($A10="","",IFERROR(INDEX(Daily_History!$V$1:$V$5000,$C10),""))</f>
        <v>1967.35</v>
      </c>
      <c r="I10" s="39" t="n">
        <f aca="false">IF($A10="","",IFERROR(INDEX(Daily_History!$W$1:$W$5000,$C10),""))</f>
        <v>1846.34</v>
      </c>
      <c r="J10" s="39" t="n">
        <f aca="false">IF($A10="","",IFERROR(INDEX(Daily_History!$X$1:$X$5000,$C10),""))</f>
        <v>1722.72</v>
      </c>
      <c r="K10" s="39" t="n">
        <f aca="false">IF($A10="","",IFERROR(INDEX(Daily_History!$Y$1:$Y$5000,$C10),""))</f>
        <v>1655.275</v>
      </c>
      <c r="L10" s="35" t="n">
        <f aca="false">IF($A10="","",IFERROR($D10/$I10-1,""))</f>
        <v>0.087015392614578</v>
      </c>
      <c r="M10" s="35" t="n">
        <f aca="false">IF($A10="","",IFERROR($D10/$K10-1,""))</f>
        <v>0.212487351044388</v>
      </c>
      <c r="N10" s="28" t="n">
        <f aca="false">IF($A10="","",IF(D10&gt;H10,1,0)+IF(D10&gt;I10,1,0)+IF(D10&gt;J10,1,0)+IF(D10&gt;K10,1,0))</f>
        <v>4</v>
      </c>
      <c r="O10" s="23" t="str">
        <f aca="false">IF($A10="","",IF(AND(ISNUMBER(H10),ISNUMBER(K10)),IF(AND(H10&gt;I10,I10&gt;J10,J10&gt;K10),"آرایش صعودی کامل",IF(AND(H10&lt;I10,I10&lt;J10,J10&lt;K10),"آرایش نزولی کامل",IF(I10&gt;K10,"تقاطع طلایی","تقاطع مرگ"))),"داده ناکافی"))</f>
        <v>آرایش صعودی کامل</v>
      </c>
      <c r="P10" s="35" t="n">
        <f aca="false">IF($A10="","",IFERROR(H10/INDEX(Daily_History!$V$1:$V$5000,$C10-MA_SHORT)-1,""))</f>
        <v>0.0617680392897619</v>
      </c>
      <c r="Q10" s="39" t="n">
        <f aca="false">IF($A10="","",IFERROR(INDEX(Daily_History!$AI$1:$AI$5000,$C10),""))</f>
        <v>2087</v>
      </c>
      <c r="R10" s="39" t="n">
        <f aca="false">IF($A10="","",IFERROR(INDEX(Daily_History!$AJ$1:$AJ$5000,$C10),""))</f>
        <v>1876</v>
      </c>
      <c r="S10" s="39" t="n">
        <f aca="false">IF($A10="","",IFERROR(INDEX(Daily_History!$AK$1:$AK$5000,$C10),""))</f>
        <v>2087</v>
      </c>
      <c r="T10" s="39" t="n">
        <f aca="false">IF($A10="","",IFERROR(INDEX(Daily_History!$AL$1:$AL$5000,$C10),""))</f>
        <v>1447</v>
      </c>
      <c r="U10" s="23" t="str">
        <f aca="false">IF($A10="","",IF(AND(ISNUMBER(S10),ISNUMBER(D10)),IF(D10&gt;=S10*0.995,"سقف‌شکنی میان‌مدت (HH)",IF(D10&gt;=Q10*0.995,"سقف‌شکنی کوتاه‌مدت",IF(D10&lt;=T10*1.005,"کف‌شکنی میان‌مدت (LL)",IF(D10&lt;=R10*1.005,"کف‌شکنی کوتاه‌مدت","درون محدوده")))),"داده ناکافی"))</f>
        <v>درون محدوده</v>
      </c>
      <c r="V10" s="39" t="n">
        <f aca="false">IF($A10="","",IFERROR(INDEX(Daily_History!$AB$1:$AB$5000,$C10),""))</f>
        <v>78.4285714285714</v>
      </c>
      <c r="W10" s="35" t="n">
        <f aca="false">IF($A10="","",IFERROR(V10/D10,""))</f>
        <v>0.0390775144138373</v>
      </c>
      <c r="X10" s="26" t="n">
        <f aca="false">IF($A10="","",IFERROR(D10-ATR_STOP_MULT*V10,""))</f>
        <v>1850.14285714286</v>
      </c>
      <c r="Y10" s="39" t="n">
        <f aca="false">IF($A10="","",IFERROR(INDEX(Daily_History!$Z$1:$Z$5000,$C10),""))</f>
        <v>95114268.45</v>
      </c>
      <c r="Z10" s="39" t="n">
        <f aca="false">IF($A10="","",IFERROR(INDEX(Data_Input!$Q$1:$Q$5000,$B10),""))</f>
        <v>70319763</v>
      </c>
      <c r="AA10" s="33" t="n">
        <f aca="false">IF($A10="","",IFERROR(Z10/Y10,""))</f>
        <v>0.739318759907888</v>
      </c>
      <c r="AB10" s="26" t="n">
        <f aca="false">IF($A10="","",IFERROR(INDEX(Data_Input!$V$1:$V$5000,$B10)-INDEX(Data_Input!$W$1:$W$5000,$B10),""))</f>
        <v>7945942</v>
      </c>
      <c r="AC10" s="27" t="n">
        <f aca="false">IF($A10="","",IFERROR(AB10*E10/1000000000,""))</f>
        <v>15.883938058</v>
      </c>
      <c r="AD10" s="35" t="n">
        <f aca="false">IF($A10="","",IFERROR(AB10*E10/INDEX(Data_Input!$R$1:$R$5000,$B10),""))</f>
        <v>0.112997280721779</v>
      </c>
      <c r="AE10" s="27" t="n">
        <f aca="false">IF($A10="","",IFERROR(INDEX(Data_Input!$V$1:$V$5000,$B10)*E10/INDEX(Data_Input!$X$1:$X$5000,$B10)/1000000,""))</f>
        <v>44.3609124390107</v>
      </c>
      <c r="AF10" s="27" t="n">
        <f aca="false">IF($A10="","",IFERROR(INDEX(Data_Input!$W$1:$W$5000,$B10)*E10/INDEX(Data_Input!$Y$1:$Y$5000,$B10)/1000000,""))</f>
        <v>28.6388574152658</v>
      </c>
      <c r="AG10" s="33" t="n">
        <f aca="false">IF($A10="","",IFERROR(AE10/AF10,""))</f>
        <v>1.54897633644296</v>
      </c>
      <c r="AH10" s="41" t="n">
        <f aca="false">IF($A10="","",IFERROR(INDEX(Daily_History!$AH$1:$AH$5000,$C10)/1000000000,""))</f>
        <v>69.090277674</v>
      </c>
      <c r="AI10" s="35" t="n">
        <f aca="false">IF($A10="","",IFERROR(AH10/(5*G10),""))</f>
        <v>0.0983007296171448</v>
      </c>
      <c r="AJ10" s="27" t="n">
        <f aca="false">IF($A10="","",IFERROR(MAX(-10,MIN(10,IF(D10&gt;I10*1.02,3,IF(D10&gt;I10,1.5,IF(D10&lt;I10*0.98,-3,-1.5)))+IF(I10&gt;K10*1.02,3,IF(I10&gt;K10,1.5,IF(I10&lt;K10*0.98,-3,-1.5)))+IF(D10&gt;=Q10*0.995,2,IF(D10&lt;=R10*1.005,-2,0))+IF(P10&gt;0.03,2,IF(P10&gt;0,1,IF(P10&lt;-0.03,-2,-1))))),0))</f>
        <v>8</v>
      </c>
      <c r="AK10" s="27" t="n">
        <f aca="false">IF($A10="","",IFERROR(MAX(-10,MIN(10,IF(AG10&gt;=SM_STRONG,4,IF(AG10&gt;=SM_MOD,2,IF(AG10&lt;=SM_BAD,-4,IF(AG10&lt;=SM_WEAK,-2,0))))+IF(AD10&gt;=NF_STRONG,3,IF(AD10&gt;=NF_MOD,1.5,IF(AD10&lt;=-NF_STRONG,-3,IF(AD10&lt;=-NF_MOD,-1.5,0))))+IF(AI10&gt;=NF_MOD,3,IF(AI10&gt;0,1.5,IF(AI10&lt;=-NF_MOD,-3,-1.5))))),0))</f>
        <v>8.5</v>
      </c>
      <c r="AL10" s="27" t="n">
        <f aca="false">IF($A10="","",IFERROR(N10*5-10,0))</f>
        <v>10</v>
      </c>
      <c r="AM10" s="27" t="n">
        <f aca="false">IF($A10="","",IFERROR(IF(F10&gt;0,IF(AA10&gt;=VOL_HIGH,9,IF(AA10&gt;=VOL_MOD,5,IF(AA10&lt;=VOL_DRY,-2,2))),IF(F10&lt;0,IF(AA10&gt;=VOL_HIGH,-9,IF(AA10&gt;=VOL_MOD,-5,IF(AA10&lt;=VOL_DRY,2,-2))),0)),0))</f>
        <v>2</v>
      </c>
      <c r="AN10" s="41" t="n">
        <f aca="false">IF($A10="","",MARKET_SCORE)</f>
        <v>-7</v>
      </c>
      <c r="AO10" s="41" t="n">
        <f aca="false">IF($A10="","",IFERROR(INDEX(Time_Link!$B$1:$B$5000,MATCH($A10,Time_Link!$A$1:$A$5000,0)),0))</f>
        <v>0</v>
      </c>
      <c r="AP10" s="27" t="n">
        <f aca="false">IF($A10="","",IFERROR((AJ10*W_TREND+AK10*W_SMART+AL10*W_MA+AM10*W_VOL+AN10*W_MARKET+AO10*W_TIME)/W_SUM,0))</f>
        <v>6.35</v>
      </c>
      <c r="AQ10" s="28" t="n">
        <f aca="false">IF($A10="","",IF(ABS(AP10)&gt;=8,5,IF(ABS(AP10)&gt;=5,4,IF(ABS(AP10)&gt;=3,3,IF(ABS(AP10)&gt;=1.5,2,1)))))</f>
        <v>4</v>
      </c>
      <c r="AR10" s="23" t="str">
        <f aca="false">IF($A10="","",IF(G10="","بدون داده",IF(G10&lt;MIN_LIQ_B,"کم‌اعتبار","معتبر")))</f>
        <v>معتبر</v>
      </c>
      <c r="AS10" s="42" t="n">
        <f aca="false">IF($A10="","",IFERROR(AP10+ROW()/1000000,-99))</f>
        <v>6.35001</v>
      </c>
      <c r="AT10" s="28" t="n">
        <f aca="false">IF($A10="","",RANK(AS10,$AS$5:$AS$64,0))</f>
        <v>1</v>
      </c>
      <c r="AU10" s="28" t="n">
        <f aca="false">IF($A10="","",RANK(AS10,$AS$5:$AS$64,1))</f>
        <v>8</v>
      </c>
    </row>
    <row r="11" customFormat="false" ht="15" hidden="false" customHeight="false" outlineLevel="0" collapsed="false">
      <c r="A11" s="37" t="str">
        <f aca="false">IF(COUNTA(Watchlist!$A$11)=0,"",Watchlist!$A$11)</f>
        <v>اخابر</v>
      </c>
      <c r="B11" s="28" t="n">
        <f aca="false">IF($A11="","",IFERROR(MATCH($A11,Data_Input!$A$1:$A$5000,0),""))</f>
        <v>11</v>
      </c>
      <c r="C11" s="28" t="n">
        <f aca="false">IF($A11="","",IFERROR(MATCH($A11,Daily_History!$AN$1:$AN$5000,0),""))</f>
        <v>1824</v>
      </c>
      <c r="D11" s="39" t="n">
        <f aca="false">IF($A11="","",IFERROR(INDEX(Data_Input!$I$1:$I$5000,$B11),""))</f>
        <v>1194</v>
      </c>
      <c r="E11" s="39" t="n">
        <f aca="false">IF($A11="","",IFERROR(INDEX(Data_Input!$J$1:$J$5000,$B11),""))</f>
        <v>1230</v>
      </c>
      <c r="F11" s="40" t="n">
        <f aca="false">IF($A11="","",IFERROR(INDEX(Data_Input!$M$1:$M$5000,$B11),""))</f>
        <v>0.0131795716639209</v>
      </c>
      <c r="G11" s="41" t="n">
        <f aca="false">IF($A11="","",IFERROR(INDEX(Data_Input!$R$1:$R$5000,$B11)/1000000000,""))</f>
        <v>104.29055733</v>
      </c>
      <c r="H11" s="39" t="n">
        <f aca="false">IF($A11="","",IFERROR(INDEX(Daily_History!$V$1:$V$5000,$C11),""))</f>
        <v>1189.35</v>
      </c>
      <c r="I11" s="39" t="n">
        <f aca="false">IF($A11="","",IFERROR(INDEX(Daily_History!$W$1:$W$5000,$C11),""))</f>
        <v>1167.38</v>
      </c>
      <c r="J11" s="39" t="n">
        <f aca="false">IF($A11="","",IFERROR(INDEX(Daily_History!$X$1:$X$5000,$C11),""))</f>
        <v>1185.02</v>
      </c>
      <c r="K11" s="39" t="n">
        <f aca="false">IF($A11="","",IFERROR(INDEX(Daily_History!$Y$1:$Y$5000,$C11),""))</f>
        <v>1461.31</v>
      </c>
      <c r="L11" s="35" t="n">
        <f aca="false">IF($A11="","",IFERROR($D11/$I11-1,""))</f>
        <v>0.0228032003289416</v>
      </c>
      <c r="M11" s="35" t="n">
        <f aca="false">IF($A11="","",IFERROR($D11/$K11-1,""))</f>
        <v>-0.18292490984117</v>
      </c>
      <c r="N11" s="28" t="n">
        <f aca="false">IF($A11="","",IF(D11&gt;H11,1,0)+IF(D11&gt;I11,1,0)+IF(D11&gt;J11,1,0)+IF(D11&gt;K11,1,0))</f>
        <v>3</v>
      </c>
      <c r="O11" s="23" t="str">
        <f aca="false">IF($A11="","",IF(AND(ISNUMBER(H11),ISNUMBER(K11)),IF(AND(H11&gt;I11,I11&gt;J11,J11&gt;K11),"آرایش صعودی کامل",IF(AND(H11&lt;I11,I11&lt;J11,J11&lt;K11),"آرایش نزولی کامل",IF(I11&gt;K11,"تقاطع طلایی","تقاطع مرگ"))),"داده ناکافی"))</f>
        <v>تقاطع مرگ</v>
      </c>
      <c r="P11" s="35" t="n">
        <f aca="false">IF($A11="","",IFERROR(H11/INDEX(Daily_History!$V$1:$V$5000,$C11-MA_SHORT)-1,""))</f>
        <v>0.0395961714960009</v>
      </c>
      <c r="Q11" s="39" t="n">
        <f aca="false">IF($A11="","",IFERROR(INDEX(Daily_History!$AI$1:$AI$5000,$C11),""))</f>
        <v>1270</v>
      </c>
      <c r="R11" s="39" t="n">
        <f aca="false">IF($A11="","",IFERROR(INDEX(Daily_History!$AJ$1:$AJ$5000,$C11),""))</f>
        <v>1089</v>
      </c>
      <c r="S11" s="39" t="n">
        <f aca="false">IF($A11="","",IFERROR(INDEX(Daily_History!$AK$1:$AK$5000,$C11),""))</f>
        <v>1270</v>
      </c>
      <c r="T11" s="39" t="n">
        <f aca="false">IF($A11="","",IFERROR(INDEX(Daily_History!$AL$1:$AL$5000,$C11),""))</f>
        <v>1071</v>
      </c>
      <c r="U11" s="23" t="str">
        <f aca="false">IF($A11="","",IF(AND(ISNUMBER(S11),ISNUMBER(D11)),IF(D11&gt;=S11*0.995,"سقف‌شکنی میان‌مدت (HH)",IF(D11&gt;=Q11*0.995,"سقف‌شکنی کوتاه‌مدت",IF(D11&lt;=T11*1.005,"کف‌شکنی میان‌مدت (LL)",IF(D11&lt;=R11*1.005,"کف‌شکنی کوتاه‌مدت","درون محدوده")))),"داده ناکافی"))</f>
        <v>درون محدوده</v>
      </c>
      <c r="V11" s="39" t="n">
        <f aca="false">IF($A11="","",IFERROR(INDEX(Daily_History!$AB$1:$AB$5000,$C11),""))</f>
        <v>38.0714285714286</v>
      </c>
      <c r="W11" s="35" t="n">
        <f aca="false">IF($A11="","",IFERROR(V11/D11,""))</f>
        <v>0.0318856185690357</v>
      </c>
      <c r="X11" s="26" t="n">
        <f aca="false">IF($A11="","",IFERROR(D11-ATR_STOP_MULT*V11,""))</f>
        <v>1117.85714285714</v>
      </c>
      <c r="Y11" s="39" t="n">
        <f aca="false">IF($A11="","",IFERROR(INDEX(Daily_History!$Z$1:$Z$5000,$C11),""))</f>
        <v>97329508</v>
      </c>
      <c r="Z11" s="39" t="n">
        <f aca="false">IF($A11="","",IFERROR(INDEX(Data_Input!$Q$1:$Q$5000,$B11),""))</f>
        <v>84789071</v>
      </c>
      <c r="AA11" s="33" t="n">
        <f aca="false">IF($A11="","",IFERROR(Z11/Y11,""))</f>
        <v>0.871154830043937</v>
      </c>
      <c r="AB11" s="26" t="n">
        <f aca="false">IF($A11="","",IFERROR(INDEX(Data_Input!$V$1:$V$5000,$B11)-INDEX(Data_Input!$W$1:$W$5000,$B11),""))</f>
        <v>26954599</v>
      </c>
      <c r="AC11" s="27" t="n">
        <f aca="false">IF($A11="","",IFERROR(AB11*E11/1000000000,""))</f>
        <v>33.15415677</v>
      </c>
      <c r="AD11" s="35" t="n">
        <f aca="false">IF($A11="","",IFERROR(AB11*E11/INDEX(Data_Input!$R$1:$R$5000,$B11),""))</f>
        <v>0.31790180835924</v>
      </c>
      <c r="AE11" s="27" t="n">
        <f aca="false">IF($A11="","",IFERROR(INDEX(Data_Input!$V$1:$V$5000,$B11)*E11/INDEX(Data_Input!$X$1:$X$5000,$B11)/1000000,""))</f>
        <v>45.8181406414368</v>
      </c>
      <c r="AF11" s="27" t="n">
        <f aca="false">IF($A11="","",IFERROR(INDEX(Data_Input!$W$1:$W$5000,$B11)*E11/INDEX(Data_Input!$Y$1:$Y$5000,$B11)/1000000,""))</f>
        <v>26.5071499238227</v>
      </c>
      <c r="AG11" s="33" t="n">
        <f aca="false">IF($A11="","",IFERROR(AE11/AF11,""))</f>
        <v>1.7285200699853</v>
      </c>
      <c r="AH11" s="41" t="n">
        <f aca="false">IF($A11="","",IFERROR(INDEX(Daily_History!$AH$1:$AH$5000,$C11)/1000000000,""))</f>
        <v>31.831993731</v>
      </c>
      <c r="AI11" s="35" t="n">
        <f aca="false">IF($A11="","",IFERROR(AH11/(5*G11),""))</f>
        <v>0.0610448242792989</v>
      </c>
      <c r="AJ11" s="27" t="n">
        <f aca="false">IF($A11="","",IFERROR(MAX(-10,MIN(10,IF(D11&gt;I11*1.02,3,IF(D11&gt;I11,1.5,IF(D11&lt;I11*0.98,-3,-1.5)))+IF(I11&gt;K11*1.02,3,IF(I11&gt;K11,1.5,IF(I11&lt;K11*0.98,-3,-1.5)))+IF(D11&gt;=Q11*0.995,2,IF(D11&lt;=R11*1.005,-2,0))+IF(P11&gt;0.03,2,IF(P11&gt;0,1,IF(P11&lt;-0.03,-2,-1))))),0))</f>
        <v>2</v>
      </c>
      <c r="AK11" s="27" t="n">
        <f aca="false">IF($A11="","",IFERROR(MAX(-10,MIN(10,IF(AG11&gt;=SM_STRONG,4,IF(AG11&gt;=SM_MOD,2,IF(AG11&lt;=SM_BAD,-4,IF(AG11&lt;=SM_WEAK,-2,0))))+IF(AD11&gt;=NF_STRONG,3,IF(AD11&gt;=NF_MOD,1.5,IF(AD11&lt;=-NF_STRONG,-3,IF(AD11&lt;=-NF_MOD,-1.5,0))))+IF(AI11&gt;=NF_MOD,3,IF(AI11&gt;0,1.5,IF(AI11&lt;=-NF_MOD,-3,-1.5))))),0))</f>
        <v>10</v>
      </c>
      <c r="AL11" s="27" t="n">
        <f aca="false">IF($A11="","",IFERROR(N11*5-10,0))</f>
        <v>5</v>
      </c>
      <c r="AM11" s="27" t="n">
        <f aca="false">IF($A11="","",IFERROR(IF(F11&gt;0,IF(AA11&gt;=VOL_HIGH,9,IF(AA11&gt;=VOL_MOD,5,IF(AA11&lt;=VOL_DRY,-2,2))),IF(F11&lt;0,IF(AA11&gt;=VOL_HIGH,-9,IF(AA11&gt;=VOL_MOD,-5,IF(AA11&lt;=VOL_DRY,2,-2))),0)),0))</f>
        <v>2</v>
      </c>
      <c r="AN11" s="41" t="n">
        <f aca="false">IF($A11="","",MARKET_SCORE)</f>
        <v>-7</v>
      </c>
      <c r="AO11" s="41" t="n">
        <f aca="false">IF($A11="","",IFERROR(INDEX(Time_Link!$B$1:$B$5000,MATCH($A11,Time_Link!$A$1:$A$5000,0)),0))</f>
        <v>0</v>
      </c>
      <c r="AP11" s="27" t="n">
        <f aca="false">IF($A11="","",IFERROR((AJ11*W_TREND+AK11*W_SMART+AL11*W_MA+AM11*W_VOL+AN11*W_MARKET+AO11*W_TIME)/W_SUM,0))</f>
        <v>3.95</v>
      </c>
      <c r="AQ11" s="28" t="n">
        <f aca="false">IF($A11="","",IF(ABS(AP11)&gt;=8,5,IF(ABS(AP11)&gt;=5,4,IF(ABS(AP11)&gt;=3,3,IF(ABS(AP11)&gt;=1.5,2,1)))))</f>
        <v>3</v>
      </c>
      <c r="AR11" s="23" t="str">
        <f aca="false">IF($A11="","",IF(G11="","بدون داده",IF(G11&lt;MIN_LIQ_B,"کم‌اعتبار","معتبر")))</f>
        <v>معتبر</v>
      </c>
      <c r="AS11" s="42" t="n">
        <f aca="false">IF($A11="","",IFERROR(AP11+ROW()/1000000,-99))</f>
        <v>3.950011</v>
      </c>
      <c r="AT11" s="28" t="n">
        <f aca="false">IF($A11="","",RANK(AS11,$AS$5:$AS$64,0))</f>
        <v>2</v>
      </c>
      <c r="AU11" s="28" t="n">
        <f aca="false">IF($A11="","",RANK(AS11,$AS$5:$AS$64,1))</f>
        <v>7</v>
      </c>
    </row>
    <row r="12" customFormat="false" ht="15" hidden="false" customHeight="false" outlineLevel="0" collapsed="false">
      <c r="A12" s="37" t="str">
        <f aca="false">IF(COUNTA(Watchlist!$A$12)=0,"",Watchlist!$A$12)</f>
        <v>كگل</v>
      </c>
      <c r="B12" s="28" t="n">
        <f aca="false">IF($A12="","",IFERROR(MATCH($A12,Data_Input!$A$1:$A$5000,0),""))</f>
        <v>12</v>
      </c>
      <c r="C12" s="28" t="n">
        <f aca="false">IF($A12="","",IFERROR(MATCH($A12,Daily_History!$AN$1:$AN$5000,0),""))</f>
        <v>2084</v>
      </c>
      <c r="D12" s="39" t="n">
        <f aca="false">IF($A12="","",IFERROR(INDEX(Data_Input!$I$1:$I$5000,$B12),""))</f>
        <v>11194</v>
      </c>
      <c r="E12" s="39" t="n">
        <f aca="false">IF($A12="","",IFERROR(INDEX(Data_Input!$J$1:$J$5000,$B12),""))</f>
        <v>11057</v>
      </c>
      <c r="F12" s="40" t="n">
        <f aca="false">IF($A12="","",IFERROR(INDEX(Data_Input!$M$1:$M$5000,$B12),""))</f>
        <v>-0.0183771306818182</v>
      </c>
      <c r="G12" s="41" t="n">
        <f aca="false">IF($A12="","",IFERROR(INDEX(Data_Input!$R$1:$R$5000,$B12)/1000000000,""))</f>
        <v>1094.88271576</v>
      </c>
      <c r="H12" s="39" t="n">
        <f aca="false">IF($A12="","",IFERROR(INDEX(Daily_History!$V$1:$V$5000,$C12),""))</f>
        <v>11445.8</v>
      </c>
      <c r="I12" s="39" t="n">
        <f aca="false">IF($A12="","",IFERROR(INDEX(Daily_History!$W$1:$W$5000,$C12),""))</f>
        <v>12111.18</v>
      </c>
      <c r="J12" s="39" t="n">
        <f aca="false">IF($A12="","",IFERROR(INDEX(Daily_History!$X$1:$X$5000,$C12),""))</f>
        <v>13481.26</v>
      </c>
      <c r="K12" s="39" t="n">
        <f aca="false">IF($A12="","",IFERROR(INDEX(Daily_History!$Y$1:$Y$5000,$C12),""))</f>
        <v>13315.27</v>
      </c>
      <c r="L12" s="35" t="n">
        <f aca="false">IF($A12="","",IFERROR($D12/$I12-1,""))</f>
        <v>-0.0757300279576392</v>
      </c>
      <c r="M12" s="35" t="n">
        <f aca="false">IF($A12="","",IFERROR($D12/$K12-1,""))</f>
        <v>-0.159311076681134</v>
      </c>
      <c r="N12" s="28" t="n">
        <f aca="false">IF($A12="","",IF(D12&gt;H12,1,0)+IF(D12&gt;I12,1,0)+IF(D12&gt;J12,1,0)+IF(D12&gt;K12,1,0))</f>
        <v>0</v>
      </c>
      <c r="O12" s="23" t="str">
        <f aca="false">IF($A12="","",IF(AND(ISNUMBER(H12),ISNUMBER(K12)),IF(AND(H12&gt;I12,I12&gt;J12,J12&gt;K12),"آرایش صعودی کامل",IF(AND(H12&lt;I12,I12&lt;J12,J12&lt;K12),"آرایش نزولی کامل",IF(I12&gt;K12,"تقاطع طلایی","تقاطع مرگ"))),"داده ناکافی"))</f>
        <v>تقاطع مرگ</v>
      </c>
      <c r="P12" s="35" t="n">
        <f aca="false">IF($A12="","",IFERROR(H12/INDEX(Daily_History!$V$1:$V$5000,$C12-MA_SHORT)-1,""))</f>
        <v>-0.0605876559422194</v>
      </c>
      <c r="Q12" s="39" t="n">
        <f aca="false">IF($A12="","",IFERROR(INDEX(Daily_History!$AI$1:$AI$5000,$C12),""))</f>
        <v>11906</v>
      </c>
      <c r="R12" s="39" t="n">
        <f aca="false">IF($A12="","",IFERROR(INDEX(Daily_History!$AJ$1:$AJ$5000,$C12),""))</f>
        <v>11001</v>
      </c>
      <c r="S12" s="39" t="n">
        <f aca="false">IF($A12="","",IFERROR(INDEX(Daily_History!$AK$1:$AK$5000,$C12),""))</f>
        <v>15439</v>
      </c>
      <c r="T12" s="39" t="n">
        <f aca="false">IF($A12="","",IFERROR(INDEX(Daily_History!$AL$1:$AL$5000,$C12),""))</f>
        <v>11001</v>
      </c>
      <c r="U12" s="23" t="str">
        <f aca="false">IF($A12="","",IF(AND(ISNUMBER(S12),ISNUMBER(D12)),IF(D12&gt;=S12*0.995,"سقف‌شکنی میان‌مدت (HH)",IF(D12&gt;=Q12*0.995,"سقف‌شکنی کوتاه‌مدت",IF(D12&lt;=T12*1.005,"کف‌شکنی میان‌مدت (LL)",IF(D12&lt;=R12*1.005,"کف‌شکنی کوتاه‌مدت","درون محدوده")))),"داده ناکافی"))</f>
        <v>درون محدوده</v>
      </c>
      <c r="V12" s="39" t="n">
        <f aca="false">IF($A12="","",IFERROR(INDEX(Daily_History!$AB$1:$AB$5000,$C12),""))</f>
        <v>329.857142857143</v>
      </c>
      <c r="W12" s="35" t="n">
        <f aca="false">IF($A12="","",IFERROR(V12/D12,""))</f>
        <v>0.0294673166747492</v>
      </c>
      <c r="X12" s="26" t="n">
        <f aca="false">IF($A12="","",IFERROR(D12-ATR_STOP_MULT*V12,""))</f>
        <v>10534.2857142857</v>
      </c>
      <c r="Y12" s="39" t="n">
        <f aca="false">IF($A12="","",IFERROR(INDEX(Daily_History!$Z$1:$Z$5000,$C12),""))</f>
        <v>99819958.15</v>
      </c>
      <c r="Z12" s="39" t="n">
        <f aca="false">IF($A12="","",IFERROR(INDEX(Data_Input!$Q$1:$Q$5000,$B12),""))</f>
        <v>99021680</v>
      </c>
      <c r="AA12" s="33" t="n">
        <f aca="false">IF($A12="","",IFERROR(Z12/Y12,""))</f>
        <v>0.992002820229594</v>
      </c>
      <c r="AB12" s="26" t="n">
        <f aca="false">IF($A12="","",IFERROR(INDEX(Data_Input!$V$1:$V$5000,$B12)-INDEX(Data_Input!$W$1:$W$5000,$B12),""))</f>
        <v>24365120</v>
      </c>
      <c r="AC12" s="27" t="n">
        <f aca="false">IF($A12="","",IFERROR(AB12*E12/1000000000,""))</f>
        <v>269.40513184</v>
      </c>
      <c r="AD12" s="35" t="n">
        <f aca="false">IF($A12="","",IFERROR(AB12*E12/INDEX(Data_Input!$R$1:$R$5000,$B12),""))</f>
        <v>0.246058438919639</v>
      </c>
      <c r="AE12" s="27" t="n">
        <f aca="false">IF($A12="","",IFERROR(INDEX(Data_Input!$V$1:$V$5000,$B12)*E12/INDEX(Data_Input!$X$1:$X$5000,$B12)/1000000,""))</f>
        <v>177.389700730933</v>
      </c>
      <c r="AF12" s="27" t="n">
        <f aca="false">IF($A12="","",IFERROR(INDEX(Data_Input!$W$1:$W$5000,$B12)*E12/INDEX(Data_Input!$Y$1:$Y$5000,$B12)/1000000,""))</f>
        <v>271.472047943073</v>
      </c>
      <c r="AG12" s="33" t="n">
        <f aca="false">IF($A12="","",IFERROR(AE12/AF12,""))</f>
        <v>0.653436337460908</v>
      </c>
      <c r="AH12" s="41" t="n">
        <f aca="false">IF($A12="","",IFERROR(INDEX(Daily_History!$AH$1:$AH$5000,$C12)/1000000000,""))</f>
        <v>1177.387958949</v>
      </c>
      <c r="AI12" s="35" t="n">
        <f aca="false">IF($A12="","",IFERROR(AH12/(5*G12),""))</f>
        <v>0.215071065055901</v>
      </c>
      <c r="AJ12" s="27" t="n">
        <f aca="false">IF($A12="","",IFERROR(MAX(-10,MIN(10,IF(D12&gt;I12*1.02,3,IF(D12&gt;I12,1.5,IF(D12&lt;I12*0.98,-3,-1.5)))+IF(I12&gt;K12*1.02,3,IF(I12&gt;K12,1.5,IF(I12&lt;K12*0.98,-3,-1.5)))+IF(D12&gt;=Q12*0.995,2,IF(D12&lt;=R12*1.005,-2,0))+IF(P12&gt;0.03,2,IF(P12&gt;0,1,IF(P12&lt;-0.03,-2,-1))))),0))</f>
        <v>-8</v>
      </c>
      <c r="AK12" s="27" t="n">
        <f aca="false">IF($A12="","",IFERROR(MAX(-10,MIN(10,IF(AG12&gt;=SM_STRONG,4,IF(AG12&gt;=SM_MOD,2,IF(AG12&lt;=SM_BAD,-4,IF(AG12&lt;=SM_WEAK,-2,0))))+IF(AD12&gt;=NF_STRONG,3,IF(AD12&gt;=NF_MOD,1.5,IF(AD12&lt;=-NF_STRONG,-3,IF(AD12&lt;=-NF_MOD,-1.5,0))))+IF(AI12&gt;=NF_MOD,3,IF(AI12&gt;0,1.5,IF(AI12&lt;=-NF_MOD,-3,-1.5))))),0))</f>
        <v>4</v>
      </c>
      <c r="AL12" s="27" t="n">
        <f aca="false">IF($A12="","",IFERROR(N12*5-10,0))</f>
        <v>-10</v>
      </c>
      <c r="AM12" s="27" t="n">
        <f aca="false">IF($A12="","",IFERROR(IF(F12&gt;0,IF(AA12&gt;=VOL_HIGH,9,IF(AA12&gt;=VOL_MOD,5,IF(AA12&lt;=VOL_DRY,-2,2))),IF(F12&lt;0,IF(AA12&gt;=VOL_HIGH,-9,IF(AA12&gt;=VOL_MOD,-5,IF(AA12&lt;=VOL_DRY,2,-2))),0)),0))</f>
        <v>-2</v>
      </c>
      <c r="AN12" s="41" t="n">
        <f aca="false">IF($A12="","",MARKET_SCORE)</f>
        <v>-7</v>
      </c>
      <c r="AO12" s="41" t="n">
        <f aca="false">IF($A12="","",IFERROR(INDEX(Time_Link!$B$1:$B$5000,MATCH($A12,Time_Link!$A$1:$A$5000,0)),0))</f>
        <v>0</v>
      </c>
      <c r="AP12" s="27" t="n">
        <f aca="false">IF($A12="","",IFERROR((AJ12*W_TREND+AK12*W_SMART+AL12*W_MA+AM12*W_VOL+AN12*W_MARKET+AO12*W_TIME)/W_SUM,0))</f>
        <v>-4</v>
      </c>
      <c r="AQ12" s="28" t="n">
        <f aca="false">IF($A12="","",IF(ABS(AP12)&gt;=8,5,IF(ABS(AP12)&gt;=5,4,IF(ABS(AP12)&gt;=3,3,IF(ABS(AP12)&gt;=1.5,2,1)))))</f>
        <v>3</v>
      </c>
      <c r="AR12" s="23" t="str">
        <f aca="false">IF($A12="","",IF(G12="","بدون داده",IF(G12&lt;MIN_LIQ_B,"کم‌اعتبار","معتبر")))</f>
        <v>معتبر</v>
      </c>
      <c r="AS12" s="42" t="n">
        <f aca="false">IF($A12="","",IFERROR(AP12+ROW()/1000000,-99))</f>
        <v>-3.999988</v>
      </c>
      <c r="AT12" s="28" t="n">
        <f aca="false">IF($A12="","",RANK(AS12,$AS$5:$AS$64,0))</f>
        <v>5</v>
      </c>
      <c r="AU12" s="28" t="n">
        <f aca="false">IF($A12="","",RANK(AS12,$AS$5:$AS$64,1))</f>
        <v>4</v>
      </c>
    </row>
    <row r="13" customFormat="false" ht="15" hidden="false" customHeight="false" outlineLevel="0" collapsed="false">
      <c r="A13" s="37" t="str">
        <f aca="false">IF(COUNTA(Watchlist!$A$13)=0,"",Watchlist!$A$13)</f>
        <v/>
      </c>
      <c r="B13" s="28" t="str">
        <f aca="false">IF($A13="","",IFERROR(MATCH($A13,Data_Input!$A$1:$A$5000,0),""))</f>
        <v/>
      </c>
      <c r="C13" s="28" t="str">
        <f aca="false">IF($A13="","",IFERROR(MATCH($A13,Daily_History!$AN$1:$AN$5000,0),""))</f>
        <v/>
      </c>
      <c r="D13" s="39" t="str">
        <f aca="false">IF($A13="","",IFERROR(INDEX(Data_Input!$I$1:$I$5000,$B13),""))</f>
        <v/>
      </c>
      <c r="E13" s="39" t="str">
        <f aca="false">IF($A13="","",IFERROR(INDEX(Data_Input!$J$1:$J$5000,$B13),""))</f>
        <v/>
      </c>
      <c r="F13" s="40" t="str">
        <f aca="false">IF($A13="","",IFERROR(INDEX(Data_Input!$M$1:$M$5000,$B13),""))</f>
        <v/>
      </c>
      <c r="G13" s="41" t="str">
        <f aca="false">IF($A13="","",IFERROR(INDEX(Data_Input!$R$1:$R$5000,$B13)/1000000000,""))</f>
        <v/>
      </c>
      <c r="H13" s="39" t="str">
        <f aca="false">IF($A13="","",IFERROR(INDEX(Daily_History!$V$1:$V$5000,$C13),""))</f>
        <v/>
      </c>
      <c r="I13" s="39" t="str">
        <f aca="false">IF($A13="","",IFERROR(INDEX(Daily_History!$W$1:$W$5000,$C13),""))</f>
        <v/>
      </c>
      <c r="J13" s="39" t="str">
        <f aca="false">IF($A13="","",IFERROR(INDEX(Daily_History!$X$1:$X$5000,$C13),""))</f>
        <v/>
      </c>
      <c r="K13" s="39" t="str">
        <f aca="false">IF($A13="","",IFERROR(INDEX(Daily_History!$Y$1:$Y$5000,$C13),""))</f>
        <v/>
      </c>
      <c r="L13" s="35" t="str">
        <f aca="false">IF($A13="","",IFERROR($D13/$I13-1,""))</f>
        <v/>
      </c>
      <c r="M13" s="35" t="str">
        <f aca="false">IF($A13="","",IFERROR($D13/$K13-1,""))</f>
        <v/>
      </c>
      <c r="N13" s="28" t="str">
        <f aca="false">IF($A13="","",IF(D13&gt;H13,1,0)+IF(D13&gt;I13,1,0)+IF(D13&gt;J13,1,0)+IF(D13&gt;K13,1,0))</f>
        <v/>
      </c>
      <c r="O13" s="23" t="str">
        <f aca="false">IF($A13="","",IF(AND(ISNUMBER(H13),ISNUMBER(K13)),IF(AND(H13&gt;I13,I13&gt;J13,J13&gt;K13),"آرایش صعودی کامل",IF(AND(H13&lt;I13,I13&lt;J13,J13&lt;K13),"آرایش نزولی کامل",IF(I13&gt;K13,"تقاطع طلایی","تقاطع مرگ"))),"داده ناکافی"))</f>
        <v/>
      </c>
      <c r="P13" s="35" t="str">
        <f aca="false">IF($A13="","",IFERROR(H13/INDEX(Daily_History!$V$1:$V$5000,$C13-MA_SHORT)-1,""))</f>
        <v/>
      </c>
      <c r="Q13" s="39" t="str">
        <f aca="false">IF($A13="","",IFERROR(INDEX(Daily_History!$AI$1:$AI$5000,$C13),""))</f>
        <v/>
      </c>
      <c r="R13" s="39" t="str">
        <f aca="false">IF($A13="","",IFERROR(INDEX(Daily_History!$AJ$1:$AJ$5000,$C13),""))</f>
        <v/>
      </c>
      <c r="S13" s="39" t="str">
        <f aca="false">IF($A13="","",IFERROR(INDEX(Daily_History!$AK$1:$AK$5000,$C13),""))</f>
        <v/>
      </c>
      <c r="T13" s="39" t="str">
        <f aca="false">IF($A13="","",IFERROR(INDEX(Daily_History!$AL$1:$AL$5000,$C13),""))</f>
        <v/>
      </c>
      <c r="U13" s="23" t="str">
        <f aca="false">IF($A13="","",IF(AND(ISNUMBER(S13),ISNUMBER(D13)),IF(D13&gt;=S13*0.995,"سقف‌شکنی میان‌مدت (HH)",IF(D13&gt;=Q13*0.995,"سقف‌شکنی کوتاه‌مدت",IF(D13&lt;=T13*1.005,"کف‌شکنی میان‌مدت (LL)",IF(D13&lt;=R13*1.005,"کف‌شکنی کوتاه‌مدت","درون محدوده")))),"داده ناکافی"))</f>
        <v/>
      </c>
      <c r="V13" s="39" t="str">
        <f aca="false">IF($A13="","",IFERROR(INDEX(Daily_History!$AB$1:$AB$5000,$C13),""))</f>
        <v/>
      </c>
      <c r="W13" s="35" t="str">
        <f aca="false">IF($A13="","",IFERROR(V13/D13,""))</f>
        <v/>
      </c>
      <c r="X13" s="26" t="str">
        <f aca="false">IF($A13="","",IFERROR(D13-ATR_STOP_MULT*V13,""))</f>
        <v/>
      </c>
      <c r="Y13" s="39" t="str">
        <f aca="false">IF($A13="","",IFERROR(INDEX(Daily_History!$Z$1:$Z$5000,$C13),""))</f>
        <v/>
      </c>
      <c r="Z13" s="39" t="str">
        <f aca="false">IF($A13="","",IFERROR(INDEX(Data_Input!$Q$1:$Q$5000,$B13),""))</f>
        <v/>
      </c>
      <c r="AA13" s="33" t="str">
        <f aca="false">IF($A13="","",IFERROR(Z13/Y13,""))</f>
        <v/>
      </c>
      <c r="AB13" s="26" t="str">
        <f aca="false">IF($A13="","",IFERROR(INDEX(Data_Input!$V$1:$V$5000,$B13)-INDEX(Data_Input!$W$1:$W$5000,$B13),""))</f>
        <v/>
      </c>
      <c r="AC13" s="27" t="str">
        <f aca="false">IF($A13="","",IFERROR(AB13*E13/1000000000,""))</f>
        <v/>
      </c>
      <c r="AD13" s="35" t="str">
        <f aca="false">IF($A13="","",IFERROR(AB13*E13/INDEX(Data_Input!$R$1:$R$5000,$B13),""))</f>
        <v/>
      </c>
      <c r="AE13" s="27" t="str">
        <f aca="false">IF($A13="","",IFERROR(INDEX(Data_Input!$V$1:$V$5000,$B13)*E13/INDEX(Data_Input!$X$1:$X$5000,$B13)/1000000,""))</f>
        <v/>
      </c>
      <c r="AF13" s="27" t="str">
        <f aca="false">IF($A13="","",IFERROR(INDEX(Data_Input!$W$1:$W$5000,$B13)*E13/INDEX(Data_Input!$Y$1:$Y$5000,$B13)/1000000,""))</f>
        <v/>
      </c>
      <c r="AG13" s="33" t="str">
        <f aca="false">IF($A13="","",IFERROR(AE13/AF13,""))</f>
        <v/>
      </c>
      <c r="AH13" s="41" t="str">
        <f aca="false">IF($A13="","",IFERROR(INDEX(Daily_History!$AH$1:$AH$5000,$C13)/1000000000,""))</f>
        <v/>
      </c>
      <c r="AI13" s="35" t="str">
        <f aca="false">IF($A13="","",IFERROR(AH13/(5*G13),""))</f>
        <v/>
      </c>
      <c r="AJ13" s="27" t="str">
        <f aca="false">IF($A13="","",IFERROR(MAX(-10,MIN(10,IF(D13&gt;I13*1.02,3,IF(D13&gt;I13,1.5,IF(D13&lt;I13*0.98,-3,-1.5)))+IF(I13&gt;K13*1.02,3,IF(I13&gt;K13,1.5,IF(I13&lt;K13*0.98,-3,-1.5)))+IF(D13&gt;=Q13*0.995,2,IF(D13&lt;=R13*1.005,-2,0))+IF(P13&gt;0.03,2,IF(P13&gt;0,1,IF(P13&lt;-0.03,-2,-1))))),0))</f>
        <v/>
      </c>
      <c r="AK13" s="27" t="str">
        <f aca="false">IF($A13="","",IFERROR(MAX(-10,MIN(10,IF(AG13&gt;=SM_STRONG,4,IF(AG13&gt;=SM_MOD,2,IF(AG13&lt;=SM_BAD,-4,IF(AG13&lt;=SM_WEAK,-2,0))))+IF(AD13&gt;=NF_STRONG,3,IF(AD13&gt;=NF_MOD,1.5,IF(AD13&lt;=-NF_STRONG,-3,IF(AD13&lt;=-NF_MOD,-1.5,0))))+IF(AI13&gt;=NF_MOD,3,IF(AI13&gt;0,1.5,IF(AI13&lt;=-NF_MOD,-3,-1.5))))),0))</f>
        <v/>
      </c>
      <c r="AL13" s="27" t="str">
        <f aca="false">IF($A13="","",IFERROR(N13*5-10,0))</f>
        <v/>
      </c>
      <c r="AM13" s="27" t="str">
        <f aca="false">IF($A13="","",IFERROR(IF(F13&gt;0,IF(AA13&gt;=VOL_HIGH,9,IF(AA13&gt;=VOL_MOD,5,IF(AA13&lt;=VOL_DRY,-2,2))),IF(F13&lt;0,IF(AA13&gt;=VOL_HIGH,-9,IF(AA13&gt;=VOL_MOD,-5,IF(AA13&lt;=VOL_DRY,2,-2))),0)),0))</f>
        <v/>
      </c>
      <c r="AN13" s="41" t="str">
        <f aca="false">IF($A13="","",MARKET_SCORE)</f>
        <v/>
      </c>
      <c r="AO13" s="41" t="str">
        <f aca="false">IF($A13="","",IFERROR(INDEX(Time_Link!$B$1:$B$5000,MATCH($A13,Time_Link!$A$1:$A$5000,0)),0))</f>
        <v/>
      </c>
      <c r="AP13" s="27" t="str">
        <f aca="false">IF($A13="","",IFERROR((AJ13*W_TREND+AK13*W_SMART+AL13*W_MA+AM13*W_VOL+AN13*W_MARKET+AO13*W_TIME)/W_SUM,0))</f>
        <v/>
      </c>
      <c r="AQ13" s="28" t="str">
        <f aca="false">IF($A13="","",IF(ABS(AP13)&gt;=8,5,IF(ABS(AP13)&gt;=5,4,IF(ABS(AP13)&gt;=3,3,IF(ABS(AP13)&gt;=1.5,2,1)))))</f>
        <v/>
      </c>
      <c r="AR13" s="23" t="str">
        <f aca="false">IF($A13="","",IF(G13="","بدون داده",IF(G13&lt;MIN_LIQ_B,"کم‌اعتبار","معتبر")))</f>
        <v/>
      </c>
      <c r="AS13" s="42" t="str">
        <f aca="false">IF($A13="","",IFERROR(AP13+ROW()/1000000,-99))</f>
        <v/>
      </c>
      <c r="AT13" s="28" t="str">
        <f aca="false">IF($A13="","",RANK(AS13,$AS$5:$AS$64,0))</f>
        <v/>
      </c>
      <c r="AU13" s="28" t="str">
        <f aca="false">IF($A13="","",RANK(AS13,$AS$5:$AS$64,1))</f>
        <v/>
      </c>
    </row>
    <row r="14" customFormat="false" ht="15" hidden="false" customHeight="false" outlineLevel="0" collapsed="false">
      <c r="A14" s="37" t="str">
        <f aca="false">IF(COUNTA(Watchlist!$A$14)=0,"",Watchlist!$A$14)</f>
        <v/>
      </c>
      <c r="B14" s="28" t="str">
        <f aca="false">IF($A14="","",IFERROR(MATCH($A14,Data_Input!$A$1:$A$5000,0),""))</f>
        <v/>
      </c>
      <c r="C14" s="28" t="str">
        <f aca="false">IF($A14="","",IFERROR(MATCH($A14,Daily_History!$AN$1:$AN$5000,0),""))</f>
        <v/>
      </c>
      <c r="D14" s="39" t="str">
        <f aca="false">IF($A14="","",IFERROR(INDEX(Data_Input!$I$1:$I$5000,$B14),""))</f>
        <v/>
      </c>
      <c r="E14" s="39" t="str">
        <f aca="false">IF($A14="","",IFERROR(INDEX(Data_Input!$J$1:$J$5000,$B14),""))</f>
        <v/>
      </c>
      <c r="F14" s="40" t="str">
        <f aca="false">IF($A14="","",IFERROR(INDEX(Data_Input!$M$1:$M$5000,$B14),""))</f>
        <v/>
      </c>
      <c r="G14" s="41" t="str">
        <f aca="false">IF($A14="","",IFERROR(INDEX(Data_Input!$R$1:$R$5000,$B14)/1000000000,""))</f>
        <v/>
      </c>
      <c r="H14" s="39" t="str">
        <f aca="false">IF($A14="","",IFERROR(INDEX(Daily_History!$V$1:$V$5000,$C14),""))</f>
        <v/>
      </c>
      <c r="I14" s="39" t="str">
        <f aca="false">IF($A14="","",IFERROR(INDEX(Daily_History!$W$1:$W$5000,$C14),""))</f>
        <v/>
      </c>
      <c r="J14" s="39" t="str">
        <f aca="false">IF($A14="","",IFERROR(INDEX(Daily_History!$X$1:$X$5000,$C14),""))</f>
        <v/>
      </c>
      <c r="K14" s="39" t="str">
        <f aca="false">IF($A14="","",IFERROR(INDEX(Daily_History!$Y$1:$Y$5000,$C14),""))</f>
        <v/>
      </c>
      <c r="L14" s="35" t="str">
        <f aca="false">IF($A14="","",IFERROR($D14/$I14-1,""))</f>
        <v/>
      </c>
      <c r="M14" s="35" t="str">
        <f aca="false">IF($A14="","",IFERROR($D14/$K14-1,""))</f>
        <v/>
      </c>
      <c r="N14" s="28" t="str">
        <f aca="false">IF($A14="","",IF(D14&gt;H14,1,0)+IF(D14&gt;I14,1,0)+IF(D14&gt;J14,1,0)+IF(D14&gt;K14,1,0))</f>
        <v/>
      </c>
      <c r="O14" s="23" t="str">
        <f aca="false">IF($A14="","",IF(AND(ISNUMBER(H14),ISNUMBER(K14)),IF(AND(H14&gt;I14,I14&gt;J14,J14&gt;K14),"آرایش صعودی کامل",IF(AND(H14&lt;I14,I14&lt;J14,J14&lt;K14),"آرایش نزولی کامل",IF(I14&gt;K14,"تقاطع طلایی","تقاطع مرگ"))),"داده ناکافی"))</f>
        <v/>
      </c>
      <c r="P14" s="35" t="str">
        <f aca="false">IF($A14="","",IFERROR(H14/INDEX(Daily_History!$V$1:$V$5000,$C14-MA_SHORT)-1,""))</f>
        <v/>
      </c>
      <c r="Q14" s="39" t="str">
        <f aca="false">IF($A14="","",IFERROR(INDEX(Daily_History!$AI$1:$AI$5000,$C14),""))</f>
        <v/>
      </c>
      <c r="R14" s="39" t="str">
        <f aca="false">IF($A14="","",IFERROR(INDEX(Daily_History!$AJ$1:$AJ$5000,$C14),""))</f>
        <v/>
      </c>
      <c r="S14" s="39" t="str">
        <f aca="false">IF($A14="","",IFERROR(INDEX(Daily_History!$AK$1:$AK$5000,$C14),""))</f>
        <v/>
      </c>
      <c r="T14" s="39" t="str">
        <f aca="false">IF($A14="","",IFERROR(INDEX(Daily_History!$AL$1:$AL$5000,$C14),""))</f>
        <v/>
      </c>
      <c r="U14" s="23" t="str">
        <f aca="false">IF($A14="","",IF(AND(ISNUMBER(S14),ISNUMBER(D14)),IF(D14&gt;=S14*0.995,"سقف‌شکنی میان‌مدت (HH)",IF(D14&gt;=Q14*0.995,"سقف‌شکنی کوتاه‌مدت",IF(D14&lt;=T14*1.005,"کف‌شکنی میان‌مدت (LL)",IF(D14&lt;=R14*1.005,"کف‌شکنی کوتاه‌مدت","درون محدوده")))),"داده ناکافی"))</f>
        <v/>
      </c>
      <c r="V14" s="39" t="str">
        <f aca="false">IF($A14="","",IFERROR(INDEX(Daily_History!$AB$1:$AB$5000,$C14),""))</f>
        <v/>
      </c>
      <c r="W14" s="35" t="str">
        <f aca="false">IF($A14="","",IFERROR(V14/D14,""))</f>
        <v/>
      </c>
      <c r="X14" s="26" t="str">
        <f aca="false">IF($A14="","",IFERROR(D14-ATR_STOP_MULT*V14,""))</f>
        <v/>
      </c>
      <c r="Y14" s="39" t="str">
        <f aca="false">IF($A14="","",IFERROR(INDEX(Daily_History!$Z$1:$Z$5000,$C14),""))</f>
        <v/>
      </c>
      <c r="Z14" s="39" t="str">
        <f aca="false">IF($A14="","",IFERROR(INDEX(Data_Input!$Q$1:$Q$5000,$B14),""))</f>
        <v/>
      </c>
      <c r="AA14" s="33" t="str">
        <f aca="false">IF($A14="","",IFERROR(Z14/Y14,""))</f>
        <v/>
      </c>
      <c r="AB14" s="26" t="str">
        <f aca="false">IF($A14="","",IFERROR(INDEX(Data_Input!$V$1:$V$5000,$B14)-INDEX(Data_Input!$W$1:$W$5000,$B14),""))</f>
        <v/>
      </c>
      <c r="AC14" s="27" t="str">
        <f aca="false">IF($A14="","",IFERROR(AB14*E14/1000000000,""))</f>
        <v/>
      </c>
      <c r="AD14" s="35" t="str">
        <f aca="false">IF($A14="","",IFERROR(AB14*E14/INDEX(Data_Input!$R$1:$R$5000,$B14),""))</f>
        <v/>
      </c>
      <c r="AE14" s="27" t="str">
        <f aca="false">IF($A14="","",IFERROR(INDEX(Data_Input!$V$1:$V$5000,$B14)*E14/INDEX(Data_Input!$X$1:$X$5000,$B14)/1000000,""))</f>
        <v/>
      </c>
      <c r="AF14" s="27" t="str">
        <f aca="false">IF($A14="","",IFERROR(INDEX(Data_Input!$W$1:$W$5000,$B14)*E14/INDEX(Data_Input!$Y$1:$Y$5000,$B14)/1000000,""))</f>
        <v/>
      </c>
      <c r="AG14" s="33" t="str">
        <f aca="false">IF($A14="","",IFERROR(AE14/AF14,""))</f>
        <v/>
      </c>
      <c r="AH14" s="41" t="str">
        <f aca="false">IF($A14="","",IFERROR(INDEX(Daily_History!$AH$1:$AH$5000,$C14)/1000000000,""))</f>
        <v/>
      </c>
      <c r="AI14" s="35" t="str">
        <f aca="false">IF($A14="","",IFERROR(AH14/(5*G14),""))</f>
        <v/>
      </c>
      <c r="AJ14" s="27" t="str">
        <f aca="false">IF($A14="","",IFERROR(MAX(-10,MIN(10,IF(D14&gt;I14*1.02,3,IF(D14&gt;I14,1.5,IF(D14&lt;I14*0.98,-3,-1.5)))+IF(I14&gt;K14*1.02,3,IF(I14&gt;K14,1.5,IF(I14&lt;K14*0.98,-3,-1.5)))+IF(D14&gt;=Q14*0.995,2,IF(D14&lt;=R14*1.005,-2,0))+IF(P14&gt;0.03,2,IF(P14&gt;0,1,IF(P14&lt;-0.03,-2,-1))))),0))</f>
        <v/>
      </c>
      <c r="AK14" s="27" t="str">
        <f aca="false">IF($A14="","",IFERROR(MAX(-10,MIN(10,IF(AG14&gt;=SM_STRONG,4,IF(AG14&gt;=SM_MOD,2,IF(AG14&lt;=SM_BAD,-4,IF(AG14&lt;=SM_WEAK,-2,0))))+IF(AD14&gt;=NF_STRONG,3,IF(AD14&gt;=NF_MOD,1.5,IF(AD14&lt;=-NF_STRONG,-3,IF(AD14&lt;=-NF_MOD,-1.5,0))))+IF(AI14&gt;=NF_MOD,3,IF(AI14&gt;0,1.5,IF(AI14&lt;=-NF_MOD,-3,-1.5))))),0))</f>
        <v/>
      </c>
      <c r="AL14" s="27" t="str">
        <f aca="false">IF($A14="","",IFERROR(N14*5-10,0))</f>
        <v/>
      </c>
      <c r="AM14" s="27" t="str">
        <f aca="false">IF($A14="","",IFERROR(IF(F14&gt;0,IF(AA14&gt;=VOL_HIGH,9,IF(AA14&gt;=VOL_MOD,5,IF(AA14&lt;=VOL_DRY,-2,2))),IF(F14&lt;0,IF(AA14&gt;=VOL_HIGH,-9,IF(AA14&gt;=VOL_MOD,-5,IF(AA14&lt;=VOL_DRY,2,-2))),0)),0))</f>
        <v/>
      </c>
      <c r="AN14" s="41" t="str">
        <f aca="false">IF($A14="","",MARKET_SCORE)</f>
        <v/>
      </c>
      <c r="AO14" s="41" t="str">
        <f aca="false">IF($A14="","",IFERROR(INDEX(Time_Link!$B$1:$B$5000,MATCH($A14,Time_Link!$A$1:$A$5000,0)),0))</f>
        <v/>
      </c>
      <c r="AP14" s="27" t="str">
        <f aca="false">IF($A14="","",IFERROR((AJ14*W_TREND+AK14*W_SMART+AL14*W_MA+AM14*W_VOL+AN14*W_MARKET+AO14*W_TIME)/W_SUM,0))</f>
        <v/>
      </c>
      <c r="AQ14" s="28" t="str">
        <f aca="false">IF($A14="","",IF(ABS(AP14)&gt;=8,5,IF(ABS(AP14)&gt;=5,4,IF(ABS(AP14)&gt;=3,3,IF(ABS(AP14)&gt;=1.5,2,1)))))</f>
        <v/>
      </c>
      <c r="AR14" s="23" t="str">
        <f aca="false">IF($A14="","",IF(G14="","بدون داده",IF(G14&lt;MIN_LIQ_B,"کم‌اعتبار","معتبر")))</f>
        <v/>
      </c>
      <c r="AS14" s="42" t="str">
        <f aca="false">IF($A14="","",IFERROR(AP14+ROW()/1000000,-99))</f>
        <v/>
      </c>
      <c r="AT14" s="28" t="str">
        <f aca="false">IF($A14="","",RANK(AS14,$AS$5:$AS$64,0))</f>
        <v/>
      </c>
      <c r="AU14" s="28" t="str">
        <f aca="false">IF($A14="","",RANK(AS14,$AS$5:$AS$64,1))</f>
        <v/>
      </c>
    </row>
    <row r="15" customFormat="false" ht="15" hidden="false" customHeight="false" outlineLevel="0" collapsed="false">
      <c r="A15" s="37" t="str">
        <f aca="false">IF(COUNTA(Watchlist!$A$15)=0,"",Watchlist!$A$15)</f>
        <v/>
      </c>
      <c r="B15" s="28" t="str">
        <f aca="false">IF($A15="","",IFERROR(MATCH($A15,Data_Input!$A$1:$A$5000,0),""))</f>
        <v/>
      </c>
      <c r="C15" s="28" t="str">
        <f aca="false">IF($A15="","",IFERROR(MATCH($A15,Daily_History!$AN$1:$AN$5000,0),""))</f>
        <v/>
      </c>
      <c r="D15" s="39" t="str">
        <f aca="false">IF($A15="","",IFERROR(INDEX(Data_Input!$I$1:$I$5000,$B15),""))</f>
        <v/>
      </c>
      <c r="E15" s="39" t="str">
        <f aca="false">IF($A15="","",IFERROR(INDEX(Data_Input!$J$1:$J$5000,$B15),""))</f>
        <v/>
      </c>
      <c r="F15" s="40" t="str">
        <f aca="false">IF($A15="","",IFERROR(INDEX(Data_Input!$M$1:$M$5000,$B15),""))</f>
        <v/>
      </c>
      <c r="G15" s="41" t="str">
        <f aca="false">IF($A15="","",IFERROR(INDEX(Data_Input!$R$1:$R$5000,$B15)/1000000000,""))</f>
        <v/>
      </c>
      <c r="H15" s="39" t="str">
        <f aca="false">IF($A15="","",IFERROR(INDEX(Daily_History!$V$1:$V$5000,$C15),""))</f>
        <v/>
      </c>
      <c r="I15" s="39" t="str">
        <f aca="false">IF($A15="","",IFERROR(INDEX(Daily_History!$W$1:$W$5000,$C15),""))</f>
        <v/>
      </c>
      <c r="J15" s="39" t="str">
        <f aca="false">IF($A15="","",IFERROR(INDEX(Daily_History!$X$1:$X$5000,$C15),""))</f>
        <v/>
      </c>
      <c r="K15" s="39" t="str">
        <f aca="false">IF($A15="","",IFERROR(INDEX(Daily_History!$Y$1:$Y$5000,$C15),""))</f>
        <v/>
      </c>
      <c r="L15" s="35" t="str">
        <f aca="false">IF($A15="","",IFERROR($D15/$I15-1,""))</f>
        <v/>
      </c>
      <c r="M15" s="35" t="str">
        <f aca="false">IF($A15="","",IFERROR($D15/$K15-1,""))</f>
        <v/>
      </c>
      <c r="N15" s="28" t="str">
        <f aca="false">IF($A15="","",IF(D15&gt;H15,1,0)+IF(D15&gt;I15,1,0)+IF(D15&gt;J15,1,0)+IF(D15&gt;K15,1,0))</f>
        <v/>
      </c>
      <c r="O15" s="23" t="str">
        <f aca="false">IF($A15="","",IF(AND(ISNUMBER(H15),ISNUMBER(K15)),IF(AND(H15&gt;I15,I15&gt;J15,J15&gt;K15),"آرایش صعودی کامل",IF(AND(H15&lt;I15,I15&lt;J15,J15&lt;K15),"آرایش نزولی کامل",IF(I15&gt;K15,"تقاطع طلایی","تقاطع مرگ"))),"داده ناکافی"))</f>
        <v/>
      </c>
      <c r="P15" s="35" t="str">
        <f aca="false">IF($A15="","",IFERROR(H15/INDEX(Daily_History!$V$1:$V$5000,$C15-MA_SHORT)-1,""))</f>
        <v/>
      </c>
      <c r="Q15" s="39" t="str">
        <f aca="false">IF($A15="","",IFERROR(INDEX(Daily_History!$AI$1:$AI$5000,$C15),""))</f>
        <v/>
      </c>
      <c r="R15" s="39" t="str">
        <f aca="false">IF($A15="","",IFERROR(INDEX(Daily_History!$AJ$1:$AJ$5000,$C15),""))</f>
        <v/>
      </c>
      <c r="S15" s="39" t="str">
        <f aca="false">IF($A15="","",IFERROR(INDEX(Daily_History!$AK$1:$AK$5000,$C15),""))</f>
        <v/>
      </c>
      <c r="T15" s="39" t="str">
        <f aca="false">IF($A15="","",IFERROR(INDEX(Daily_History!$AL$1:$AL$5000,$C15),""))</f>
        <v/>
      </c>
      <c r="U15" s="23" t="str">
        <f aca="false">IF($A15="","",IF(AND(ISNUMBER(S15),ISNUMBER(D15)),IF(D15&gt;=S15*0.995,"سقف‌شکنی میان‌مدت (HH)",IF(D15&gt;=Q15*0.995,"سقف‌شکنی کوتاه‌مدت",IF(D15&lt;=T15*1.005,"کف‌شکنی میان‌مدت (LL)",IF(D15&lt;=R15*1.005,"کف‌شکنی کوتاه‌مدت","درون محدوده")))),"داده ناکافی"))</f>
        <v/>
      </c>
      <c r="V15" s="39" t="str">
        <f aca="false">IF($A15="","",IFERROR(INDEX(Daily_History!$AB$1:$AB$5000,$C15),""))</f>
        <v/>
      </c>
      <c r="W15" s="35" t="str">
        <f aca="false">IF($A15="","",IFERROR(V15/D15,""))</f>
        <v/>
      </c>
      <c r="X15" s="26" t="str">
        <f aca="false">IF($A15="","",IFERROR(D15-ATR_STOP_MULT*V15,""))</f>
        <v/>
      </c>
      <c r="Y15" s="39" t="str">
        <f aca="false">IF($A15="","",IFERROR(INDEX(Daily_History!$Z$1:$Z$5000,$C15),""))</f>
        <v/>
      </c>
      <c r="Z15" s="39" t="str">
        <f aca="false">IF($A15="","",IFERROR(INDEX(Data_Input!$Q$1:$Q$5000,$B15),""))</f>
        <v/>
      </c>
      <c r="AA15" s="33" t="str">
        <f aca="false">IF($A15="","",IFERROR(Z15/Y15,""))</f>
        <v/>
      </c>
      <c r="AB15" s="26" t="str">
        <f aca="false">IF($A15="","",IFERROR(INDEX(Data_Input!$V$1:$V$5000,$B15)-INDEX(Data_Input!$W$1:$W$5000,$B15),""))</f>
        <v/>
      </c>
      <c r="AC15" s="27" t="str">
        <f aca="false">IF($A15="","",IFERROR(AB15*E15/1000000000,""))</f>
        <v/>
      </c>
      <c r="AD15" s="35" t="str">
        <f aca="false">IF($A15="","",IFERROR(AB15*E15/INDEX(Data_Input!$R$1:$R$5000,$B15),""))</f>
        <v/>
      </c>
      <c r="AE15" s="27" t="str">
        <f aca="false">IF($A15="","",IFERROR(INDEX(Data_Input!$V$1:$V$5000,$B15)*E15/INDEX(Data_Input!$X$1:$X$5000,$B15)/1000000,""))</f>
        <v/>
      </c>
      <c r="AF15" s="27" t="str">
        <f aca="false">IF($A15="","",IFERROR(INDEX(Data_Input!$W$1:$W$5000,$B15)*E15/INDEX(Data_Input!$Y$1:$Y$5000,$B15)/1000000,""))</f>
        <v/>
      </c>
      <c r="AG15" s="33" t="str">
        <f aca="false">IF($A15="","",IFERROR(AE15/AF15,""))</f>
        <v/>
      </c>
      <c r="AH15" s="41" t="str">
        <f aca="false">IF($A15="","",IFERROR(INDEX(Daily_History!$AH$1:$AH$5000,$C15)/1000000000,""))</f>
        <v/>
      </c>
      <c r="AI15" s="35" t="str">
        <f aca="false">IF($A15="","",IFERROR(AH15/(5*G15),""))</f>
        <v/>
      </c>
      <c r="AJ15" s="27" t="str">
        <f aca="false">IF($A15="","",IFERROR(MAX(-10,MIN(10,IF(D15&gt;I15*1.02,3,IF(D15&gt;I15,1.5,IF(D15&lt;I15*0.98,-3,-1.5)))+IF(I15&gt;K15*1.02,3,IF(I15&gt;K15,1.5,IF(I15&lt;K15*0.98,-3,-1.5)))+IF(D15&gt;=Q15*0.995,2,IF(D15&lt;=R15*1.005,-2,0))+IF(P15&gt;0.03,2,IF(P15&gt;0,1,IF(P15&lt;-0.03,-2,-1))))),0))</f>
        <v/>
      </c>
      <c r="AK15" s="27" t="str">
        <f aca="false">IF($A15="","",IFERROR(MAX(-10,MIN(10,IF(AG15&gt;=SM_STRONG,4,IF(AG15&gt;=SM_MOD,2,IF(AG15&lt;=SM_BAD,-4,IF(AG15&lt;=SM_WEAK,-2,0))))+IF(AD15&gt;=NF_STRONG,3,IF(AD15&gt;=NF_MOD,1.5,IF(AD15&lt;=-NF_STRONG,-3,IF(AD15&lt;=-NF_MOD,-1.5,0))))+IF(AI15&gt;=NF_MOD,3,IF(AI15&gt;0,1.5,IF(AI15&lt;=-NF_MOD,-3,-1.5))))),0))</f>
        <v/>
      </c>
      <c r="AL15" s="27" t="str">
        <f aca="false">IF($A15="","",IFERROR(N15*5-10,0))</f>
        <v/>
      </c>
      <c r="AM15" s="27" t="str">
        <f aca="false">IF($A15="","",IFERROR(IF(F15&gt;0,IF(AA15&gt;=VOL_HIGH,9,IF(AA15&gt;=VOL_MOD,5,IF(AA15&lt;=VOL_DRY,-2,2))),IF(F15&lt;0,IF(AA15&gt;=VOL_HIGH,-9,IF(AA15&gt;=VOL_MOD,-5,IF(AA15&lt;=VOL_DRY,2,-2))),0)),0))</f>
        <v/>
      </c>
      <c r="AN15" s="41" t="str">
        <f aca="false">IF($A15="","",MARKET_SCORE)</f>
        <v/>
      </c>
      <c r="AO15" s="41" t="str">
        <f aca="false">IF($A15="","",IFERROR(INDEX(Time_Link!$B$1:$B$5000,MATCH($A15,Time_Link!$A$1:$A$5000,0)),0))</f>
        <v/>
      </c>
      <c r="AP15" s="27" t="str">
        <f aca="false">IF($A15="","",IFERROR((AJ15*W_TREND+AK15*W_SMART+AL15*W_MA+AM15*W_VOL+AN15*W_MARKET+AO15*W_TIME)/W_SUM,0))</f>
        <v/>
      </c>
      <c r="AQ15" s="28" t="str">
        <f aca="false">IF($A15="","",IF(ABS(AP15)&gt;=8,5,IF(ABS(AP15)&gt;=5,4,IF(ABS(AP15)&gt;=3,3,IF(ABS(AP15)&gt;=1.5,2,1)))))</f>
        <v/>
      </c>
      <c r="AR15" s="23" t="str">
        <f aca="false">IF($A15="","",IF(G15="","بدون داده",IF(G15&lt;MIN_LIQ_B,"کم‌اعتبار","معتبر")))</f>
        <v/>
      </c>
      <c r="AS15" s="42" t="str">
        <f aca="false">IF($A15="","",IFERROR(AP15+ROW()/1000000,-99))</f>
        <v/>
      </c>
      <c r="AT15" s="28" t="str">
        <f aca="false">IF($A15="","",RANK(AS15,$AS$5:$AS$64,0))</f>
        <v/>
      </c>
      <c r="AU15" s="28" t="str">
        <f aca="false">IF($A15="","",RANK(AS15,$AS$5:$AS$64,1))</f>
        <v/>
      </c>
    </row>
    <row r="16" customFormat="false" ht="15" hidden="false" customHeight="false" outlineLevel="0" collapsed="false">
      <c r="A16" s="37" t="str">
        <f aca="false">IF(COUNTA(Watchlist!$A$16)=0,"",Watchlist!$A$16)</f>
        <v/>
      </c>
      <c r="B16" s="28" t="str">
        <f aca="false">IF($A16="","",IFERROR(MATCH($A16,Data_Input!$A$1:$A$5000,0),""))</f>
        <v/>
      </c>
      <c r="C16" s="28" t="str">
        <f aca="false">IF($A16="","",IFERROR(MATCH($A16,Daily_History!$AN$1:$AN$5000,0),""))</f>
        <v/>
      </c>
      <c r="D16" s="39" t="str">
        <f aca="false">IF($A16="","",IFERROR(INDEX(Data_Input!$I$1:$I$5000,$B16),""))</f>
        <v/>
      </c>
      <c r="E16" s="39" t="str">
        <f aca="false">IF($A16="","",IFERROR(INDEX(Data_Input!$J$1:$J$5000,$B16),""))</f>
        <v/>
      </c>
      <c r="F16" s="40" t="str">
        <f aca="false">IF($A16="","",IFERROR(INDEX(Data_Input!$M$1:$M$5000,$B16),""))</f>
        <v/>
      </c>
      <c r="G16" s="41" t="str">
        <f aca="false">IF($A16="","",IFERROR(INDEX(Data_Input!$R$1:$R$5000,$B16)/1000000000,""))</f>
        <v/>
      </c>
      <c r="H16" s="39" t="str">
        <f aca="false">IF($A16="","",IFERROR(INDEX(Daily_History!$V$1:$V$5000,$C16),""))</f>
        <v/>
      </c>
      <c r="I16" s="39" t="str">
        <f aca="false">IF($A16="","",IFERROR(INDEX(Daily_History!$W$1:$W$5000,$C16),""))</f>
        <v/>
      </c>
      <c r="J16" s="39" t="str">
        <f aca="false">IF($A16="","",IFERROR(INDEX(Daily_History!$X$1:$X$5000,$C16),""))</f>
        <v/>
      </c>
      <c r="K16" s="39" t="str">
        <f aca="false">IF($A16="","",IFERROR(INDEX(Daily_History!$Y$1:$Y$5000,$C16),""))</f>
        <v/>
      </c>
      <c r="L16" s="35" t="str">
        <f aca="false">IF($A16="","",IFERROR($D16/$I16-1,""))</f>
        <v/>
      </c>
      <c r="M16" s="35" t="str">
        <f aca="false">IF($A16="","",IFERROR($D16/$K16-1,""))</f>
        <v/>
      </c>
      <c r="N16" s="28" t="str">
        <f aca="false">IF($A16="","",IF(D16&gt;H16,1,0)+IF(D16&gt;I16,1,0)+IF(D16&gt;J16,1,0)+IF(D16&gt;K16,1,0))</f>
        <v/>
      </c>
      <c r="O16" s="23" t="str">
        <f aca="false">IF($A16="","",IF(AND(ISNUMBER(H16),ISNUMBER(K16)),IF(AND(H16&gt;I16,I16&gt;J16,J16&gt;K16),"آرایش صعودی کامل",IF(AND(H16&lt;I16,I16&lt;J16,J16&lt;K16),"آرایش نزولی کامل",IF(I16&gt;K16,"تقاطع طلایی","تقاطع مرگ"))),"داده ناکافی"))</f>
        <v/>
      </c>
      <c r="P16" s="35" t="str">
        <f aca="false">IF($A16="","",IFERROR(H16/INDEX(Daily_History!$V$1:$V$5000,$C16-MA_SHORT)-1,""))</f>
        <v/>
      </c>
      <c r="Q16" s="39" t="str">
        <f aca="false">IF($A16="","",IFERROR(INDEX(Daily_History!$AI$1:$AI$5000,$C16),""))</f>
        <v/>
      </c>
      <c r="R16" s="39" t="str">
        <f aca="false">IF($A16="","",IFERROR(INDEX(Daily_History!$AJ$1:$AJ$5000,$C16),""))</f>
        <v/>
      </c>
      <c r="S16" s="39" t="str">
        <f aca="false">IF($A16="","",IFERROR(INDEX(Daily_History!$AK$1:$AK$5000,$C16),""))</f>
        <v/>
      </c>
      <c r="T16" s="39" t="str">
        <f aca="false">IF($A16="","",IFERROR(INDEX(Daily_History!$AL$1:$AL$5000,$C16),""))</f>
        <v/>
      </c>
      <c r="U16" s="23" t="str">
        <f aca="false">IF($A16="","",IF(AND(ISNUMBER(S16),ISNUMBER(D16)),IF(D16&gt;=S16*0.995,"سقف‌شکنی میان‌مدت (HH)",IF(D16&gt;=Q16*0.995,"سقف‌شکنی کوتاه‌مدت",IF(D16&lt;=T16*1.005,"کف‌شکنی میان‌مدت (LL)",IF(D16&lt;=R16*1.005,"کف‌شکنی کوتاه‌مدت","درون محدوده")))),"داده ناکافی"))</f>
        <v/>
      </c>
      <c r="V16" s="39" t="str">
        <f aca="false">IF($A16="","",IFERROR(INDEX(Daily_History!$AB$1:$AB$5000,$C16),""))</f>
        <v/>
      </c>
      <c r="W16" s="35" t="str">
        <f aca="false">IF($A16="","",IFERROR(V16/D16,""))</f>
        <v/>
      </c>
      <c r="X16" s="26" t="str">
        <f aca="false">IF($A16="","",IFERROR(D16-ATR_STOP_MULT*V16,""))</f>
        <v/>
      </c>
      <c r="Y16" s="39" t="str">
        <f aca="false">IF($A16="","",IFERROR(INDEX(Daily_History!$Z$1:$Z$5000,$C16),""))</f>
        <v/>
      </c>
      <c r="Z16" s="39" t="str">
        <f aca="false">IF($A16="","",IFERROR(INDEX(Data_Input!$Q$1:$Q$5000,$B16),""))</f>
        <v/>
      </c>
      <c r="AA16" s="33" t="str">
        <f aca="false">IF($A16="","",IFERROR(Z16/Y16,""))</f>
        <v/>
      </c>
      <c r="AB16" s="26" t="str">
        <f aca="false">IF($A16="","",IFERROR(INDEX(Data_Input!$V$1:$V$5000,$B16)-INDEX(Data_Input!$W$1:$W$5000,$B16),""))</f>
        <v/>
      </c>
      <c r="AC16" s="27" t="str">
        <f aca="false">IF($A16="","",IFERROR(AB16*E16/1000000000,""))</f>
        <v/>
      </c>
      <c r="AD16" s="35" t="str">
        <f aca="false">IF($A16="","",IFERROR(AB16*E16/INDEX(Data_Input!$R$1:$R$5000,$B16),""))</f>
        <v/>
      </c>
      <c r="AE16" s="27" t="str">
        <f aca="false">IF($A16="","",IFERROR(INDEX(Data_Input!$V$1:$V$5000,$B16)*E16/INDEX(Data_Input!$X$1:$X$5000,$B16)/1000000,""))</f>
        <v/>
      </c>
      <c r="AF16" s="27" t="str">
        <f aca="false">IF($A16="","",IFERROR(INDEX(Data_Input!$W$1:$W$5000,$B16)*E16/INDEX(Data_Input!$Y$1:$Y$5000,$B16)/1000000,""))</f>
        <v/>
      </c>
      <c r="AG16" s="33" t="str">
        <f aca="false">IF($A16="","",IFERROR(AE16/AF16,""))</f>
        <v/>
      </c>
      <c r="AH16" s="41" t="str">
        <f aca="false">IF($A16="","",IFERROR(INDEX(Daily_History!$AH$1:$AH$5000,$C16)/1000000000,""))</f>
        <v/>
      </c>
      <c r="AI16" s="35" t="str">
        <f aca="false">IF($A16="","",IFERROR(AH16/(5*G16),""))</f>
        <v/>
      </c>
      <c r="AJ16" s="27" t="str">
        <f aca="false">IF($A16="","",IFERROR(MAX(-10,MIN(10,IF(D16&gt;I16*1.02,3,IF(D16&gt;I16,1.5,IF(D16&lt;I16*0.98,-3,-1.5)))+IF(I16&gt;K16*1.02,3,IF(I16&gt;K16,1.5,IF(I16&lt;K16*0.98,-3,-1.5)))+IF(D16&gt;=Q16*0.995,2,IF(D16&lt;=R16*1.005,-2,0))+IF(P16&gt;0.03,2,IF(P16&gt;0,1,IF(P16&lt;-0.03,-2,-1))))),0))</f>
        <v/>
      </c>
      <c r="AK16" s="27" t="str">
        <f aca="false">IF($A16="","",IFERROR(MAX(-10,MIN(10,IF(AG16&gt;=SM_STRONG,4,IF(AG16&gt;=SM_MOD,2,IF(AG16&lt;=SM_BAD,-4,IF(AG16&lt;=SM_WEAK,-2,0))))+IF(AD16&gt;=NF_STRONG,3,IF(AD16&gt;=NF_MOD,1.5,IF(AD16&lt;=-NF_STRONG,-3,IF(AD16&lt;=-NF_MOD,-1.5,0))))+IF(AI16&gt;=NF_MOD,3,IF(AI16&gt;0,1.5,IF(AI16&lt;=-NF_MOD,-3,-1.5))))),0))</f>
        <v/>
      </c>
      <c r="AL16" s="27" t="str">
        <f aca="false">IF($A16="","",IFERROR(N16*5-10,0))</f>
        <v/>
      </c>
      <c r="AM16" s="27" t="str">
        <f aca="false">IF($A16="","",IFERROR(IF(F16&gt;0,IF(AA16&gt;=VOL_HIGH,9,IF(AA16&gt;=VOL_MOD,5,IF(AA16&lt;=VOL_DRY,-2,2))),IF(F16&lt;0,IF(AA16&gt;=VOL_HIGH,-9,IF(AA16&gt;=VOL_MOD,-5,IF(AA16&lt;=VOL_DRY,2,-2))),0)),0))</f>
        <v/>
      </c>
      <c r="AN16" s="41" t="str">
        <f aca="false">IF($A16="","",MARKET_SCORE)</f>
        <v/>
      </c>
      <c r="AO16" s="41" t="str">
        <f aca="false">IF($A16="","",IFERROR(INDEX(Time_Link!$B$1:$B$5000,MATCH($A16,Time_Link!$A$1:$A$5000,0)),0))</f>
        <v/>
      </c>
      <c r="AP16" s="27" t="str">
        <f aca="false">IF($A16="","",IFERROR((AJ16*W_TREND+AK16*W_SMART+AL16*W_MA+AM16*W_VOL+AN16*W_MARKET+AO16*W_TIME)/W_SUM,0))</f>
        <v/>
      </c>
      <c r="AQ16" s="28" t="str">
        <f aca="false">IF($A16="","",IF(ABS(AP16)&gt;=8,5,IF(ABS(AP16)&gt;=5,4,IF(ABS(AP16)&gt;=3,3,IF(ABS(AP16)&gt;=1.5,2,1)))))</f>
        <v/>
      </c>
      <c r="AR16" s="23" t="str">
        <f aca="false">IF($A16="","",IF(G16="","بدون داده",IF(G16&lt;MIN_LIQ_B,"کم‌اعتبار","معتبر")))</f>
        <v/>
      </c>
      <c r="AS16" s="42" t="str">
        <f aca="false">IF($A16="","",IFERROR(AP16+ROW()/1000000,-99))</f>
        <v/>
      </c>
      <c r="AT16" s="28" t="str">
        <f aca="false">IF($A16="","",RANK(AS16,$AS$5:$AS$64,0))</f>
        <v/>
      </c>
      <c r="AU16" s="28" t="str">
        <f aca="false">IF($A16="","",RANK(AS16,$AS$5:$AS$64,1))</f>
        <v/>
      </c>
    </row>
    <row r="17" customFormat="false" ht="15" hidden="false" customHeight="false" outlineLevel="0" collapsed="false">
      <c r="A17" s="37" t="str">
        <f aca="false">IF(COUNTA(Watchlist!$A$17)=0,"",Watchlist!$A$17)</f>
        <v/>
      </c>
      <c r="B17" s="28" t="str">
        <f aca="false">IF($A17="","",IFERROR(MATCH($A17,Data_Input!$A$1:$A$5000,0),""))</f>
        <v/>
      </c>
      <c r="C17" s="28" t="str">
        <f aca="false">IF($A17="","",IFERROR(MATCH($A17,Daily_History!$AN$1:$AN$5000,0),""))</f>
        <v/>
      </c>
      <c r="D17" s="39" t="str">
        <f aca="false">IF($A17="","",IFERROR(INDEX(Data_Input!$I$1:$I$5000,$B17),""))</f>
        <v/>
      </c>
      <c r="E17" s="39" t="str">
        <f aca="false">IF($A17="","",IFERROR(INDEX(Data_Input!$J$1:$J$5000,$B17),""))</f>
        <v/>
      </c>
      <c r="F17" s="40" t="str">
        <f aca="false">IF($A17="","",IFERROR(INDEX(Data_Input!$M$1:$M$5000,$B17),""))</f>
        <v/>
      </c>
      <c r="G17" s="41" t="str">
        <f aca="false">IF($A17="","",IFERROR(INDEX(Data_Input!$R$1:$R$5000,$B17)/1000000000,""))</f>
        <v/>
      </c>
      <c r="H17" s="39" t="str">
        <f aca="false">IF($A17="","",IFERROR(INDEX(Daily_History!$V$1:$V$5000,$C17),""))</f>
        <v/>
      </c>
      <c r="I17" s="39" t="str">
        <f aca="false">IF($A17="","",IFERROR(INDEX(Daily_History!$W$1:$W$5000,$C17),""))</f>
        <v/>
      </c>
      <c r="J17" s="39" t="str">
        <f aca="false">IF($A17="","",IFERROR(INDEX(Daily_History!$X$1:$X$5000,$C17),""))</f>
        <v/>
      </c>
      <c r="K17" s="39" t="str">
        <f aca="false">IF($A17="","",IFERROR(INDEX(Daily_History!$Y$1:$Y$5000,$C17),""))</f>
        <v/>
      </c>
      <c r="L17" s="35" t="str">
        <f aca="false">IF($A17="","",IFERROR($D17/$I17-1,""))</f>
        <v/>
      </c>
      <c r="M17" s="35" t="str">
        <f aca="false">IF($A17="","",IFERROR($D17/$K17-1,""))</f>
        <v/>
      </c>
      <c r="N17" s="28" t="str">
        <f aca="false">IF($A17="","",IF(D17&gt;H17,1,0)+IF(D17&gt;I17,1,0)+IF(D17&gt;J17,1,0)+IF(D17&gt;K17,1,0))</f>
        <v/>
      </c>
      <c r="O17" s="23" t="str">
        <f aca="false">IF($A17="","",IF(AND(ISNUMBER(H17),ISNUMBER(K17)),IF(AND(H17&gt;I17,I17&gt;J17,J17&gt;K17),"آرایش صعودی کامل",IF(AND(H17&lt;I17,I17&lt;J17,J17&lt;K17),"آرایش نزولی کامل",IF(I17&gt;K17,"تقاطع طلایی","تقاطع مرگ"))),"داده ناکافی"))</f>
        <v/>
      </c>
      <c r="P17" s="35" t="str">
        <f aca="false">IF($A17="","",IFERROR(H17/INDEX(Daily_History!$V$1:$V$5000,$C17-MA_SHORT)-1,""))</f>
        <v/>
      </c>
      <c r="Q17" s="39" t="str">
        <f aca="false">IF($A17="","",IFERROR(INDEX(Daily_History!$AI$1:$AI$5000,$C17),""))</f>
        <v/>
      </c>
      <c r="R17" s="39" t="str">
        <f aca="false">IF($A17="","",IFERROR(INDEX(Daily_History!$AJ$1:$AJ$5000,$C17),""))</f>
        <v/>
      </c>
      <c r="S17" s="39" t="str">
        <f aca="false">IF($A17="","",IFERROR(INDEX(Daily_History!$AK$1:$AK$5000,$C17),""))</f>
        <v/>
      </c>
      <c r="T17" s="39" t="str">
        <f aca="false">IF($A17="","",IFERROR(INDEX(Daily_History!$AL$1:$AL$5000,$C17),""))</f>
        <v/>
      </c>
      <c r="U17" s="23" t="str">
        <f aca="false">IF($A17="","",IF(AND(ISNUMBER(S17),ISNUMBER(D17)),IF(D17&gt;=S17*0.995,"سقف‌شکنی میان‌مدت (HH)",IF(D17&gt;=Q17*0.995,"سقف‌شکنی کوتاه‌مدت",IF(D17&lt;=T17*1.005,"کف‌شکنی میان‌مدت (LL)",IF(D17&lt;=R17*1.005,"کف‌شکنی کوتاه‌مدت","درون محدوده")))),"داده ناکافی"))</f>
        <v/>
      </c>
      <c r="V17" s="39" t="str">
        <f aca="false">IF($A17="","",IFERROR(INDEX(Daily_History!$AB$1:$AB$5000,$C17),""))</f>
        <v/>
      </c>
      <c r="W17" s="35" t="str">
        <f aca="false">IF($A17="","",IFERROR(V17/D17,""))</f>
        <v/>
      </c>
      <c r="X17" s="26" t="str">
        <f aca="false">IF($A17="","",IFERROR(D17-ATR_STOP_MULT*V17,""))</f>
        <v/>
      </c>
      <c r="Y17" s="39" t="str">
        <f aca="false">IF($A17="","",IFERROR(INDEX(Daily_History!$Z$1:$Z$5000,$C17),""))</f>
        <v/>
      </c>
      <c r="Z17" s="39" t="str">
        <f aca="false">IF($A17="","",IFERROR(INDEX(Data_Input!$Q$1:$Q$5000,$B17),""))</f>
        <v/>
      </c>
      <c r="AA17" s="33" t="str">
        <f aca="false">IF($A17="","",IFERROR(Z17/Y17,""))</f>
        <v/>
      </c>
      <c r="AB17" s="26" t="str">
        <f aca="false">IF($A17="","",IFERROR(INDEX(Data_Input!$V$1:$V$5000,$B17)-INDEX(Data_Input!$W$1:$W$5000,$B17),""))</f>
        <v/>
      </c>
      <c r="AC17" s="27" t="str">
        <f aca="false">IF($A17="","",IFERROR(AB17*E17/1000000000,""))</f>
        <v/>
      </c>
      <c r="AD17" s="35" t="str">
        <f aca="false">IF($A17="","",IFERROR(AB17*E17/INDEX(Data_Input!$R$1:$R$5000,$B17),""))</f>
        <v/>
      </c>
      <c r="AE17" s="27" t="str">
        <f aca="false">IF($A17="","",IFERROR(INDEX(Data_Input!$V$1:$V$5000,$B17)*E17/INDEX(Data_Input!$X$1:$X$5000,$B17)/1000000,""))</f>
        <v/>
      </c>
      <c r="AF17" s="27" t="str">
        <f aca="false">IF($A17="","",IFERROR(INDEX(Data_Input!$W$1:$W$5000,$B17)*E17/INDEX(Data_Input!$Y$1:$Y$5000,$B17)/1000000,""))</f>
        <v/>
      </c>
      <c r="AG17" s="33" t="str">
        <f aca="false">IF($A17="","",IFERROR(AE17/AF17,""))</f>
        <v/>
      </c>
      <c r="AH17" s="41" t="str">
        <f aca="false">IF($A17="","",IFERROR(INDEX(Daily_History!$AH$1:$AH$5000,$C17)/1000000000,""))</f>
        <v/>
      </c>
      <c r="AI17" s="35" t="str">
        <f aca="false">IF($A17="","",IFERROR(AH17/(5*G17),""))</f>
        <v/>
      </c>
      <c r="AJ17" s="27" t="str">
        <f aca="false">IF($A17="","",IFERROR(MAX(-10,MIN(10,IF(D17&gt;I17*1.02,3,IF(D17&gt;I17,1.5,IF(D17&lt;I17*0.98,-3,-1.5)))+IF(I17&gt;K17*1.02,3,IF(I17&gt;K17,1.5,IF(I17&lt;K17*0.98,-3,-1.5)))+IF(D17&gt;=Q17*0.995,2,IF(D17&lt;=R17*1.005,-2,0))+IF(P17&gt;0.03,2,IF(P17&gt;0,1,IF(P17&lt;-0.03,-2,-1))))),0))</f>
        <v/>
      </c>
      <c r="AK17" s="27" t="str">
        <f aca="false">IF($A17="","",IFERROR(MAX(-10,MIN(10,IF(AG17&gt;=SM_STRONG,4,IF(AG17&gt;=SM_MOD,2,IF(AG17&lt;=SM_BAD,-4,IF(AG17&lt;=SM_WEAK,-2,0))))+IF(AD17&gt;=NF_STRONG,3,IF(AD17&gt;=NF_MOD,1.5,IF(AD17&lt;=-NF_STRONG,-3,IF(AD17&lt;=-NF_MOD,-1.5,0))))+IF(AI17&gt;=NF_MOD,3,IF(AI17&gt;0,1.5,IF(AI17&lt;=-NF_MOD,-3,-1.5))))),0))</f>
        <v/>
      </c>
      <c r="AL17" s="27" t="str">
        <f aca="false">IF($A17="","",IFERROR(N17*5-10,0))</f>
        <v/>
      </c>
      <c r="AM17" s="27" t="str">
        <f aca="false">IF($A17="","",IFERROR(IF(F17&gt;0,IF(AA17&gt;=VOL_HIGH,9,IF(AA17&gt;=VOL_MOD,5,IF(AA17&lt;=VOL_DRY,-2,2))),IF(F17&lt;0,IF(AA17&gt;=VOL_HIGH,-9,IF(AA17&gt;=VOL_MOD,-5,IF(AA17&lt;=VOL_DRY,2,-2))),0)),0))</f>
        <v/>
      </c>
      <c r="AN17" s="41" t="str">
        <f aca="false">IF($A17="","",MARKET_SCORE)</f>
        <v/>
      </c>
      <c r="AO17" s="41" t="str">
        <f aca="false">IF($A17="","",IFERROR(INDEX(Time_Link!$B$1:$B$5000,MATCH($A17,Time_Link!$A$1:$A$5000,0)),0))</f>
        <v/>
      </c>
      <c r="AP17" s="27" t="str">
        <f aca="false">IF($A17="","",IFERROR((AJ17*W_TREND+AK17*W_SMART+AL17*W_MA+AM17*W_VOL+AN17*W_MARKET+AO17*W_TIME)/W_SUM,0))</f>
        <v/>
      </c>
      <c r="AQ17" s="28" t="str">
        <f aca="false">IF($A17="","",IF(ABS(AP17)&gt;=8,5,IF(ABS(AP17)&gt;=5,4,IF(ABS(AP17)&gt;=3,3,IF(ABS(AP17)&gt;=1.5,2,1)))))</f>
        <v/>
      </c>
      <c r="AR17" s="23" t="str">
        <f aca="false">IF($A17="","",IF(G17="","بدون داده",IF(G17&lt;MIN_LIQ_B,"کم‌اعتبار","معتبر")))</f>
        <v/>
      </c>
      <c r="AS17" s="42" t="str">
        <f aca="false">IF($A17="","",IFERROR(AP17+ROW()/1000000,-99))</f>
        <v/>
      </c>
      <c r="AT17" s="28" t="str">
        <f aca="false">IF($A17="","",RANK(AS17,$AS$5:$AS$64,0))</f>
        <v/>
      </c>
      <c r="AU17" s="28" t="str">
        <f aca="false">IF($A17="","",RANK(AS17,$AS$5:$AS$64,1))</f>
        <v/>
      </c>
    </row>
    <row r="18" customFormat="false" ht="15" hidden="false" customHeight="false" outlineLevel="0" collapsed="false">
      <c r="A18" s="37" t="str">
        <f aca="false">IF(COUNTA(Watchlist!$A$18)=0,"",Watchlist!$A$18)</f>
        <v/>
      </c>
      <c r="B18" s="28" t="str">
        <f aca="false">IF($A18="","",IFERROR(MATCH($A18,Data_Input!$A$1:$A$5000,0),""))</f>
        <v/>
      </c>
      <c r="C18" s="28" t="str">
        <f aca="false">IF($A18="","",IFERROR(MATCH($A18,Daily_History!$AN$1:$AN$5000,0),""))</f>
        <v/>
      </c>
      <c r="D18" s="39" t="str">
        <f aca="false">IF($A18="","",IFERROR(INDEX(Data_Input!$I$1:$I$5000,$B18),""))</f>
        <v/>
      </c>
      <c r="E18" s="39" t="str">
        <f aca="false">IF($A18="","",IFERROR(INDEX(Data_Input!$J$1:$J$5000,$B18),""))</f>
        <v/>
      </c>
      <c r="F18" s="40" t="str">
        <f aca="false">IF($A18="","",IFERROR(INDEX(Data_Input!$M$1:$M$5000,$B18),""))</f>
        <v/>
      </c>
      <c r="G18" s="41" t="str">
        <f aca="false">IF($A18="","",IFERROR(INDEX(Data_Input!$R$1:$R$5000,$B18)/1000000000,""))</f>
        <v/>
      </c>
      <c r="H18" s="39" t="str">
        <f aca="false">IF($A18="","",IFERROR(INDEX(Daily_History!$V$1:$V$5000,$C18),""))</f>
        <v/>
      </c>
      <c r="I18" s="39" t="str">
        <f aca="false">IF($A18="","",IFERROR(INDEX(Daily_History!$W$1:$W$5000,$C18),""))</f>
        <v/>
      </c>
      <c r="J18" s="39" t="str">
        <f aca="false">IF($A18="","",IFERROR(INDEX(Daily_History!$X$1:$X$5000,$C18),""))</f>
        <v/>
      </c>
      <c r="K18" s="39" t="str">
        <f aca="false">IF($A18="","",IFERROR(INDEX(Daily_History!$Y$1:$Y$5000,$C18),""))</f>
        <v/>
      </c>
      <c r="L18" s="35" t="str">
        <f aca="false">IF($A18="","",IFERROR($D18/$I18-1,""))</f>
        <v/>
      </c>
      <c r="M18" s="35" t="str">
        <f aca="false">IF($A18="","",IFERROR($D18/$K18-1,""))</f>
        <v/>
      </c>
      <c r="N18" s="28" t="str">
        <f aca="false">IF($A18="","",IF(D18&gt;H18,1,0)+IF(D18&gt;I18,1,0)+IF(D18&gt;J18,1,0)+IF(D18&gt;K18,1,0))</f>
        <v/>
      </c>
      <c r="O18" s="23" t="str">
        <f aca="false">IF($A18="","",IF(AND(ISNUMBER(H18),ISNUMBER(K18)),IF(AND(H18&gt;I18,I18&gt;J18,J18&gt;K18),"آرایش صعودی کامل",IF(AND(H18&lt;I18,I18&lt;J18,J18&lt;K18),"آرایش نزولی کامل",IF(I18&gt;K18,"تقاطع طلایی","تقاطع مرگ"))),"داده ناکافی"))</f>
        <v/>
      </c>
      <c r="P18" s="35" t="str">
        <f aca="false">IF($A18="","",IFERROR(H18/INDEX(Daily_History!$V$1:$V$5000,$C18-MA_SHORT)-1,""))</f>
        <v/>
      </c>
      <c r="Q18" s="39" t="str">
        <f aca="false">IF($A18="","",IFERROR(INDEX(Daily_History!$AI$1:$AI$5000,$C18),""))</f>
        <v/>
      </c>
      <c r="R18" s="39" t="str">
        <f aca="false">IF($A18="","",IFERROR(INDEX(Daily_History!$AJ$1:$AJ$5000,$C18),""))</f>
        <v/>
      </c>
      <c r="S18" s="39" t="str">
        <f aca="false">IF($A18="","",IFERROR(INDEX(Daily_History!$AK$1:$AK$5000,$C18),""))</f>
        <v/>
      </c>
      <c r="T18" s="39" t="str">
        <f aca="false">IF($A18="","",IFERROR(INDEX(Daily_History!$AL$1:$AL$5000,$C18),""))</f>
        <v/>
      </c>
      <c r="U18" s="23" t="str">
        <f aca="false">IF($A18="","",IF(AND(ISNUMBER(S18),ISNUMBER(D18)),IF(D18&gt;=S18*0.995,"سقف‌شکنی میان‌مدت (HH)",IF(D18&gt;=Q18*0.995,"سقف‌شکنی کوتاه‌مدت",IF(D18&lt;=T18*1.005,"کف‌شکنی میان‌مدت (LL)",IF(D18&lt;=R18*1.005,"کف‌شکنی کوتاه‌مدت","درون محدوده")))),"داده ناکافی"))</f>
        <v/>
      </c>
      <c r="V18" s="39" t="str">
        <f aca="false">IF($A18="","",IFERROR(INDEX(Daily_History!$AB$1:$AB$5000,$C18),""))</f>
        <v/>
      </c>
      <c r="W18" s="35" t="str">
        <f aca="false">IF($A18="","",IFERROR(V18/D18,""))</f>
        <v/>
      </c>
      <c r="X18" s="26" t="str">
        <f aca="false">IF($A18="","",IFERROR(D18-ATR_STOP_MULT*V18,""))</f>
        <v/>
      </c>
      <c r="Y18" s="39" t="str">
        <f aca="false">IF($A18="","",IFERROR(INDEX(Daily_History!$Z$1:$Z$5000,$C18),""))</f>
        <v/>
      </c>
      <c r="Z18" s="39" t="str">
        <f aca="false">IF($A18="","",IFERROR(INDEX(Data_Input!$Q$1:$Q$5000,$B18),""))</f>
        <v/>
      </c>
      <c r="AA18" s="33" t="str">
        <f aca="false">IF($A18="","",IFERROR(Z18/Y18,""))</f>
        <v/>
      </c>
      <c r="AB18" s="26" t="str">
        <f aca="false">IF($A18="","",IFERROR(INDEX(Data_Input!$V$1:$V$5000,$B18)-INDEX(Data_Input!$W$1:$W$5000,$B18),""))</f>
        <v/>
      </c>
      <c r="AC18" s="27" t="str">
        <f aca="false">IF($A18="","",IFERROR(AB18*E18/1000000000,""))</f>
        <v/>
      </c>
      <c r="AD18" s="35" t="str">
        <f aca="false">IF($A18="","",IFERROR(AB18*E18/INDEX(Data_Input!$R$1:$R$5000,$B18),""))</f>
        <v/>
      </c>
      <c r="AE18" s="27" t="str">
        <f aca="false">IF($A18="","",IFERROR(INDEX(Data_Input!$V$1:$V$5000,$B18)*E18/INDEX(Data_Input!$X$1:$X$5000,$B18)/1000000,""))</f>
        <v/>
      </c>
      <c r="AF18" s="27" t="str">
        <f aca="false">IF($A18="","",IFERROR(INDEX(Data_Input!$W$1:$W$5000,$B18)*E18/INDEX(Data_Input!$Y$1:$Y$5000,$B18)/1000000,""))</f>
        <v/>
      </c>
      <c r="AG18" s="33" t="str">
        <f aca="false">IF($A18="","",IFERROR(AE18/AF18,""))</f>
        <v/>
      </c>
      <c r="AH18" s="41" t="str">
        <f aca="false">IF($A18="","",IFERROR(INDEX(Daily_History!$AH$1:$AH$5000,$C18)/1000000000,""))</f>
        <v/>
      </c>
      <c r="AI18" s="35" t="str">
        <f aca="false">IF($A18="","",IFERROR(AH18/(5*G18),""))</f>
        <v/>
      </c>
      <c r="AJ18" s="27" t="str">
        <f aca="false">IF($A18="","",IFERROR(MAX(-10,MIN(10,IF(D18&gt;I18*1.02,3,IF(D18&gt;I18,1.5,IF(D18&lt;I18*0.98,-3,-1.5)))+IF(I18&gt;K18*1.02,3,IF(I18&gt;K18,1.5,IF(I18&lt;K18*0.98,-3,-1.5)))+IF(D18&gt;=Q18*0.995,2,IF(D18&lt;=R18*1.005,-2,0))+IF(P18&gt;0.03,2,IF(P18&gt;0,1,IF(P18&lt;-0.03,-2,-1))))),0))</f>
        <v/>
      </c>
      <c r="AK18" s="27" t="str">
        <f aca="false">IF($A18="","",IFERROR(MAX(-10,MIN(10,IF(AG18&gt;=SM_STRONG,4,IF(AG18&gt;=SM_MOD,2,IF(AG18&lt;=SM_BAD,-4,IF(AG18&lt;=SM_WEAK,-2,0))))+IF(AD18&gt;=NF_STRONG,3,IF(AD18&gt;=NF_MOD,1.5,IF(AD18&lt;=-NF_STRONG,-3,IF(AD18&lt;=-NF_MOD,-1.5,0))))+IF(AI18&gt;=NF_MOD,3,IF(AI18&gt;0,1.5,IF(AI18&lt;=-NF_MOD,-3,-1.5))))),0))</f>
        <v/>
      </c>
      <c r="AL18" s="27" t="str">
        <f aca="false">IF($A18="","",IFERROR(N18*5-10,0))</f>
        <v/>
      </c>
      <c r="AM18" s="27" t="str">
        <f aca="false">IF($A18="","",IFERROR(IF(F18&gt;0,IF(AA18&gt;=VOL_HIGH,9,IF(AA18&gt;=VOL_MOD,5,IF(AA18&lt;=VOL_DRY,-2,2))),IF(F18&lt;0,IF(AA18&gt;=VOL_HIGH,-9,IF(AA18&gt;=VOL_MOD,-5,IF(AA18&lt;=VOL_DRY,2,-2))),0)),0))</f>
        <v/>
      </c>
      <c r="AN18" s="41" t="str">
        <f aca="false">IF($A18="","",MARKET_SCORE)</f>
        <v/>
      </c>
      <c r="AO18" s="41" t="str">
        <f aca="false">IF($A18="","",IFERROR(INDEX(Time_Link!$B$1:$B$5000,MATCH($A18,Time_Link!$A$1:$A$5000,0)),0))</f>
        <v/>
      </c>
      <c r="AP18" s="27" t="str">
        <f aca="false">IF($A18="","",IFERROR((AJ18*W_TREND+AK18*W_SMART+AL18*W_MA+AM18*W_VOL+AN18*W_MARKET+AO18*W_TIME)/W_SUM,0))</f>
        <v/>
      </c>
      <c r="AQ18" s="28" t="str">
        <f aca="false">IF($A18="","",IF(ABS(AP18)&gt;=8,5,IF(ABS(AP18)&gt;=5,4,IF(ABS(AP18)&gt;=3,3,IF(ABS(AP18)&gt;=1.5,2,1)))))</f>
        <v/>
      </c>
      <c r="AR18" s="23" t="str">
        <f aca="false">IF($A18="","",IF(G18="","بدون داده",IF(G18&lt;MIN_LIQ_B,"کم‌اعتبار","معتبر")))</f>
        <v/>
      </c>
      <c r="AS18" s="42" t="str">
        <f aca="false">IF($A18="","",IFERROR(AP18+ROW()/1000000,-99))</f>
        <v/>
      </c>
      <c r="AT18" s="28" t="str">
        <f aca="false">IF($A18="","",RANK(AS18,$AS$5:$AS$64,0))</f>
        <v/>
      </c>
      <c r="AU18" s="28" t="str">
        <f aca="false">IF($A18="","",RANK(AS18,$AS$5:$AS$64,1))</f>
        <v/>
      </c>
    </row>
    <row r="19" customFormat="false" ht="15" hidden="false" customHeight="false" outlineLevel="0" collapsed="false">
      <c r="A19" s="37" t="str">
        <f aca="false">IF(COUNTA(Watchlist!$A$19)=0,"",Watchlist!$A$19)</f>
        <v/>
      </c>
      <c r="B19" s="28" t="str">
        <f aca="false">IF($A19="","",IFERROR(MATCH($A19,Data_Input!$A$1:$A$5000,0),""))</f>
        <v/>
      </c>
      <c r="C19" s="28" t="str">
        <f aca="false">IF($A19="","",IFERROR(MATCH($A19,Daily_History!$AN$1:$AN$5000,0),""))</f>
        <v/>
      </c>
      <c r="D19" s="39" t="str">
        <f aca="false">IF($A19="","",IFERROR(INDEX(Data_Input!$I$1:$I$5000,$B19),""))</f>
        <v/>
      </c>
      <c r="E19" s="39" t="str">
        <f aca="false">IF($A19="","",IFERROR(INDEX(Data_Input!$J$1:$J$5000,$B19),""))</f>
        <v/>
      </c>
      <c r="F19" s="40" t="str">
        <f aca="false">IF($A19="","",IFERROR(INDEX(Data_Input!$M$1:$M$5000,$B19),""))</f>
        <v/>
      </c>
      <c r="G19" s="41" t="str">
        <f aca="false">IF($A19="","",IFERROR(INDEX(Data_Input!$R$1:$R$5000,$B19)/1000000000,""))</f>
        <v/>
      </c>
      <c r="H19" s="39" t="str">
        <f aca="false">IF($A19="","",IFERROR(INDEX(Daily_History!$V$1:$V$5000,$C19),""))</f>
        <v/>
      </c>
      <c r="I19" s="39" t="str">
        <f aca="false">IF($A19="","",IFERROR(INDEX(Daily_History!$W$1:$W$5000,$C19),""))</f>
        <v/>
      </c>
      <c r="J19" s="39" t="str">
        <f aca="false">IF($A19="","",IFERROR(INDEX(Daily_History!$X$1:$X$5000,$C19),""))</f>
        <v/>
      </c>
      <c r="K19" s="39" t="str">
        <f aca="false">IF($A19="","",IFERROR(INDEX(Daily_History!$Y$1:$Y$5000,$C19),""))</f>
        <v/>
      </c>
      <c r="L19" s="35" t="str">
        <f aca="false">IF($A19="","",IFERROR($D19/$I19-1,""))</f>
        <v/>
      </c>
      <c r="M19" s="35" t="str">
        <f aca="false">IF($A19="","",IFERROR($D19/$K19-1,""))</f>
        <v/>
      </c>
      <c r="N19" s="28" t="str">
        <f aca="false">IF($A19="","",IF(D19&gt;H19,1,0)+IF(D19&gt;I19,1,0)+IF(D19&gt;J19,1,0)+IF(D19&gt;K19,1,0))</f>
        <v/>
      </c>
      <c r="O19" s="23" t="str">
        <f aca="false">IF($A19="","",IF(AND(ISNUMBER(H19),ISNUMBER(K19)),IF(AND(H19&gt;I19,I19&gt;J19,J19&gt;K19),"آرایش صعودی کامل",IF(AND(H19&lt;I19,I19&lt;J19,J19&lt;K19),"آرایش نزولی کامل",IF(I19&gt;K19,"تقاطع طلایی","تقاطع مرگ"))),"داده ناکافی"))</f>
        <v/>
      </c>
      <c r="P19" s="35" t="str">
        <f aca="false">IF($A19="","",IFERROR(H19/INDEX(Daily_History!$V$1:$V$5000,$C19-MA_SHORT)-1,""))</f>
        <v/>
      </c>
      <c r="Q19" s="39" t="str">
        <f aca="false">IF($A19="","",IFERROR(INDEX(Daily_History!$AI$1:$AI$5000,$C19),""))</f>
        <v/>
      </c>
      <c r="R19" s="39" t="str">
        <f aca="false">IF($A19="","",IFERROR(INDEX(Daily_History!$AJ$1:$AJ$5000,$C19),""))</f>
        <v/>
      </c>
      <c r="S19" s="39" t="str">
        <f aca="false">IF($A19="","",IFERROR(INDEX(Daily_History!$AK$1:$AK$5000,$C19),""))</f>
        <v/>
      </c>
      <c r="T19" s="39" t="str">
        <f aca="false">IF($A19="","",IFERROR(INDEX(Daily_History!$AL$1:$AL$5000,$C19),""))</f>
        <v/>
      </c>
      <c r="U19" s="23" t="str">
        <f aca="false">IF($A19="","",IF(AND(ISNUMBER(S19),ISNUMBER(D19)),IF(D19&gt;=S19*0.995,"سقف‌شکنی میان‌مدت (HH)",IF(D19&gt;=Q19*0.995,"سقف‌شکنی کوتاه‌مدت",IF(D19&lt;=T19*1.005,"کف‌شکنی میان‌مدت (LL)",IF(D19&lt;=R19*1.005,"کف‌شکنی کوتاه‌مدت","درون محدوده")))),"داده ناکافی"))</f>
        <v/>
      </c>
      <c r="V19" s="39" t="str">
        <f aca="false">IF($A19="","",IFERROR(INDEX(Daily_History!$AB$1:$AB$5000,$C19),""))</f>
        <v/>
      </c>
      <c r="W19" s="35" t="str">
        <f aca="false">IF($A19="","",IFERROR(V19/D19,""))</f>
        <v/>
      </c>
      <c r="X19" s="26" t="str">
        <f aca="false">IF($A19="","",IFERROR(D19-ATR_STOP_MULT*V19,""))</f>
        <v/>
      </c>
      <c r="Y19" s="39" t="str">
        <f aca="false">IF($A19="","",IFERROR(INDEX(Daily_History!$Z$1:$Z$5000,$C19),""))</f>
        <v/>
      </c>
      <c r="Z19" s="39" t="str">
        <f aca="false">IF($A19="","",IFERROR(INDEX(Data_Input!$Q$1:$Q$5000,$B19),""))</f>
        <v/>
      </c>
      <c r="AA19" s="33" t="str">
        <f aca="false">IF($A19="","",IFERROR(Z19/Y19,""))</f>
        <v/>
      </c>
      <c r="AB19" s="26" t="str">
        <f aca="false">IF($A19="","",IFERROR(INDEX(Data_Input!$V$1:$V$5000,$B19)-INDEX(Data_Input!$W$1:$W$5000,$B19),""))</f>
        <v/>
      </c>
      <c r="AC19" s="27" t="str">
        <f aca="false">IF($A19="","",IFERROR(AB19*E19/1000000000,""))</f>
        <v/>
      </c>
      <c r="AD19" s="35" t="str">
        <f aca="false">IF($A19="","",IFERROR(AB19*E19/INDEX(Data_Input!$R$1:$R$5000,$B19),""))</f>
        <v/>
      </c>
      <c r="AE19" s="27" t="str">
        <f aca="false">IF($A19="","",IFERROR(INDEX(Data_Input!$V$1:$V$5000,$B19)*E19/INDEX(Data_Input!$X$1:$X$5000,$B19)/1000000,""))</f>
        <v/>
      </c>
      <c r="AF19" s="27" t="str">
        <f aca="false">IF($A19="","",IFERROR(INDEX(Data_Input!$W$1:$W$5000,$B19)*E19/INDEX(Data_Input!$Y$1:$Y$5000,$B19)/1000000,""))</f>
        <v/>
      </c>
      <c r="AG19" s="33" t="str">
        <f aca="false">IF($A19="","",IFERROR(AE19/AF19,""))</f>
        <v/>
      </c>
      <c r="AH19" s="41" t="str">
        <f aca="false">IF($A19="","",IFERROR(INDEX(Daily_History!$AH$1:$AH$5000,$C19)/1000000000,""))</f>
        <v/>
      </c>
      <c r="AI19" s="35" t="str">
        <f aca="false">IF($A19="","",IFERROR(AH19/(5*G19),""))</f>
        <v/>
      </c>
      <c r="AJ19" s="27" t="str">
        <f aca="false">IF($A19="","",IFERROR(MAX(-10,MIN(10,IF(D19&gt;I19*1.02,3,IF(D19&gt;I19,1.5,IF(D19&lt;I19*0.98,-3,-1.5)))+IF(I19&gt;K19*1.02,3,IF(I19&gt;K19,1.5,IF(I19&lt;K19*0.98,-3,-1.5)))+IF(D19&gt;=Q19*0.995,2,IF(D19&lt;=R19*1.005,-2,0))+IF(P19&gt;0.03,2,IF(P19&gt;0,1,IF(P19&lt;-0.03,-2,-1))))),0))</f>
        <v/>
      </c>
      <c r="AK19" s="27" t="str">
        <f aca="false">IF($A19="","",IFERROR(MAX(-10,MIN(10,IF(AG19&gt;=SM_STRONG,4,IF(AG19&gt;=SM_MOD,2,IF(AG19&lt;=SM_BAD,-4,IF(AG19&lt;=SM_WEAK,-2,0))))+IF(AD19&gt;=NF_STRONG,3,IF(AD19&gt;=NF_MOD,1.5,IF(AD19&lt;=-NF_STRONG,-3,IF(AD19&lt;=-NF_MOD,-1.5,0))))+IF(AI19&gt;=NF_MOD,3,IF(AI19&gt;0,1.5,IF(AI19&lt;=-NF_MOD,-3,-1.5))))),0))</f>
        <v/>
      </c>
      <c r="AL19" s="27" t="str">
        <f aca="false">IF($A19="","",IFERROR(N19*5-10,0))</f>
        <v/>
      </c>
      <c r="AM19" s="27" t="str">
        <f aca="false">IF($A19="","",IFERROR(IF(F19&gt;0,IF(AA19&gt;=VOL_HIGH,9,IF(AA19&gt;=VOL_MOD,5,IF(AA19&lt;=VOL_DRY,-2,2))),IF(F19&lt;0,IF(AA19&gt;=VOL_HIGH,-9,IF(AA19&gt;=VOL_MOD,-5,IF(AA19&lt;=VOL_DRY,2,-2))),0)),0))</f>
        <v/>
      </c>
      <c r="AN19" s="41" t="str">
        <f aca="false">IF($A19="","",MARKET_SCORE)</f>
        <v/>
      </c>
      <c r="AO19" s="41" t="str">
        <f aca="false">IF($A19="","",IFERROR(INDEX(Time_Link!$B$1:$B$5000,MATCH($A19,Time_Link!$A$1:$A$5000,0)),0))</f>
        <v/>
      </c>
      <c r="AP19" s="27" t="str">
        <f aca="false">IF($A19="","",IFERROR((AJ19*W_TREND+AK19*W_SMART+AL19*W_MA+AM19*W_VOL+AN19*W_MARKET+AO19*W_TIME)/W_SUM,0))</f>
        <v/>
      </c>
      <c r="AQ19" s="28" t="str">
        <f aca="false">IF($A19="","",IF(ABS(AP19)&gt;=8,5,IF(ABS(AP19)&gt;=5,4,IF(ABS(AP19)&gt;=3,3,IF(ABS(AP19)&gt;=1.5,2,1)))))</f>
        <v/>
      </c>
      <c r="AR19" s="23" t="str">
        <f aca="false">IF($A19="","",IF(G19="","بدون داده",IF(G19&lt;MIN_LIQ_B,"کم‌اعتبار","معتبر")))</f>
        <v/>
      </c>
      <c r="AS19" s="42" t="str">
        <f aca="false">IF($A19="","",IFERROR(AP19+ROW()/1000000,-99))</f>
        <v/>
      </c>
      <c r="AT19" s="28" t="str">
        <f aca="false">IF($A19="","",RANK(AS19,$AS$5:$AS$64,0))</f>
        <v/>
      </c>
      <c r="AU19" s="28" t="str">
        <f aca="false">IF($A19="","",RANK(AS19,$AS$5:$AS$64,1))</f>
        <v/>
      </c>
    </row>
    <row r="20" customFormat="false" ht="15" hidden="false" customHeight="false" outlineLevel="0" collapsed="false">
      <c r="A20" s="37" t="str">
        <f aca="false">IF(COUNTA(Watchlist!$A$20)=0,"",Watchlist!$A$20)</f>
        <v/>
      </c>
      <c r="B20" s="28" t="str">
        <f aca="false">IF($A20="","",IFERROR(MATCH($A20,Data_Input!$A$1:$A$5000,0),""))</f>
        <v/>
      </c>
      <c r="C20" s="28" t="str">
        <f aca="false">IF($A20="","",IFERROR(MATCH($A20,Daily_History!$AN$1:$AN$5000,0),""))</f>
        <v/>
      </c>
      <c r="D20" s="39" t="str">
        <f aca="false">IF($A20="","",IFERROR(INDEX(Data_Input!$I$1:$I$5000,$B20),""))</f>
        <v/>
      </c>
      <c r="E20" s="39" t="str">
        <f aca="false">IF($A20="","",IFERROR(INDEX(Data_Input!$J$1:$J$5000,$B20),""))</f>
        <v/>
      </c>
      <c r="F20" s="40" t="str">
        <f aca="false">IF($A20="","",IFERROR(INDEX(Data_Input!$M$1:$M$5000,$B20),""))</f>
        <v/>
      </c>
      <c r="G20" s="41" t="str">
        <f aca="false">IF($A20="","",IFERROR(INDEX(Data_Input!$R$1:$R$5000,$B20)/1000000000,""))</f>
        <v/>
      </c>
      <c r="H20" s="39" t="str">
        <f aca="false">IF($A20="","",IFERROR(INDEX(Daily_History!$V$1:$V$5000,$C20),""))</f>
        <v/>
      </c>
      <c r="I20" s="39" t="str">
        <f aca="false">IF($A20="","",IFERROR(INDEX(Daily_History!$W$1:$W$5000,$C20),""))</f>
        <v/>
      </c>
      <c r="J20" s="39" t="str">
        <f aca="false">IF($A20="","",IFERROR(INDEX(Daily_History!$X$1:$X$5000,$C20),""))</f>
        <v/>
      </c>
      <c r="K20" s="39" t="str">
        <f aca="false">IF($A20="","",IFERROR(INDEX(Daily_History!$Y$1:$Y$5000,$C20),""))</f>
        <v/>
      </c>
      <c r="L20" s="35" t="str">
        <f aca="false">IF($A20="","",IFERROR($D20/$I20-1,""))</f>
        <v/>
      </c>
      <c r="M20" s="35" t="str">
        <f aca="false">IF($A20="","",IFERROR($D20/$K20-1,""))</f>
        <v/>
      </c>
      <c r="N20" s="28" t="str">
        <f aca="false">IF($A20="","",IF(D20&gt;H20,1,0)+IF(D20&gt;I20,1,0)+IF(D20&gt;J20,1,0)+IF(D20&gt;K20,1,0))</f>
        <v/>
      </c>
      <c r="O20" s="23" t="str">
        <f aca="false">IF($A20="","",IF(AND(ISNUMBER(H20),ISNUMBER(K20)),IF(AND(H20&gt;I20,I20&gt;J20,J20&gt;K20),"آرایش صعودی کامل",IF(AND(H20&lt;I20,I20&lt;J20,J20&lt;K20),"آرایش نزولی کامل",IF(I20&gt;K20,"تقاطع طلایی","تقاطع مرگ"))),"داده ناکافی"))</f>
        <v/>
      </c>
      <c r="P20" s="35" t="str">
        <f aca="false">IF($A20="","",IFERROR(H20/INDEX(Daily_History!$V$1:$V$5000,$C20-MA_SHORT)-1,""))</f>
        <v/>
      </c>
      <c r="Q20" s="39" t="str">
        <f aca="false">IF($A20="","",IFERROR(INDEX(Daily_History!$AI$1:$AI$5000,$C20),""))</f>
        <v/>
      </c>
      <c r="R20" s="39" t="str">
        <f aca="false">IF($A20="","",IFERROR(INDEX(Daily_History!$AJ$1:$AJ$5000,$C20),""))</f>
        <v/>
      </c>
      <c r="S20" s="39" t="str">
        <f aca="false">IF($A20="","",IFERROR(INDEX(Daily_History!$AK$1:$AK$5000,$C20),""))</f>
        <v/>
      </c>
      <c r="T20" s="39" t="str">
        <f aca="false">IF($A20="","",IFERROR(INDEX(Daily_History!$AL$1:$AL$5000,$C20),""))</f>
        <v/>
      </c>
      <c r="U20" s="23" t="str">
        <f aca="false">IF($A20="","",IF(AND(ISNUMBER(S20),ISNUMBER(D20)),IF(D20&gt;=S20*0.995,"سقف‌شکنی میان‌مدت (HH)",IF(D20&gt;=Q20*0.995,"سقف‌شکنی کوتاه‌مدت",IF(D20&lt;=T20*1.005,"کف‌شکنی میان‌مدت (LL)",IF(D20&lt;=R20*1.005,"کف‌شکنی کوتاه‌مدت","درون محدوده")))),"داده ناکافی"))</f>
        <v/>
      </c>
      <c r="V20" s="39" t="str">
        <f aca="false">IF($A20="","",IFERROR(INDEX(Daily_History!$AB$1:$AB$5000,$C20),""))</f>
        <v/>
      </c>
      <c r="W20" s="35" t="str">
        <f aca="false">IF($A20="","",IFERROR(V20/D20,""))</f>
        <v/>
      </c>
      <c r="X20" s="26" t="str">
        <f aca="false">IF($A20="","",IFERROR(D20-ATR_STOP_MULT*V20,""))</f>
        <v/>
      </c>
      <c r="Y20" s="39" t="str">
        <f aca="false">IF($A20="","",IFERROR(INDEX(Daily_History!$Z$1:$Z$5000,$C20),""))</f>
        <v/>
      </c>
      <c r="Z20" s="39" t="str">
        <f aca="false">IF($A20="","",IFERROR(INDEX(Data_Input!$Q$1:$Q$5000,$B20),""))</f>
        <v/>
      </c>
      <c r="AA20" s="33" t="str">
        <f aca="false">IF($A20="","",IFERROR(Z20/Y20,""))</f>
        <v/>
      </c>
      <c r="AB20" s="26" t="str">
        <f aca="false">IF($A20="","",IFERROR(INDEX(Data_Input!$V$1:$V$5000,$B20)-INDEX(Data_Input!$W$1:$W$5000,$B20),""))</f>
        <v/>
      </c>
      <c r="AC20" s="27" t="str">
        <f aca="false">IF($A20="","",IFERROR(AB20*E20/1000000000,""))</f>
        <v/>
      </c>
      <c r="AD20" s="35" t="str">
        <f aca="false">IF($A20="","",IFERROR(AB20*E20/INDEX(Data_Input!$R$1:$R$5000,$B20),""))</f>
        <v/>
      </c>
      <c r="AE20" s="27" t="str">
        <f aca="false">IF($A20="","",IFERROR(INDEX(Data_Input!$V$1:$V$5000,$B20)*E20/INDEX(Data_Input!$X$1:$X$5000,$B20)/1000000,""))</f>
        <v/>
      </c>
      <c r="AF20" s="27" t="str">
        <f aca="false">IF($A20="","",IFERROR(INDEX(Data_Input!$W$1:$W$5000,$B20)*E20/INDEX(Data_Input!$Y$1:$Y$5000,$B20)/1000000,""))</f>
        <v/>
      </c>
      <c r="AG20" s="33" t="str">
        <f aca="false">IF($A20="","",IFERROR(AE20/AF20,""))</f>
        <v/>
      </c>
      <c r="AH20" s="41" t="str">
        <f aca="false">IF($A20="","",IFERROR(INDEX(Daily_History!$AH$1:$AH$5000,$C20)/1000000000,""))</f>
        <v/>
      </c>
      <c r="AI20" s="35" t="str">
        <f aca="false">IF($A20="","",IFERROR(AH20/(5*G20),""))</f>
        <v/>
      </c>
      <c r="AJ20" s="27" t="str">
        <f aca="false">IF($A20="","",IFERROR(MAX(-10,MIN(10,IF(D20&gt;I20*1.02,3,IF(D20&gt;I20,1.5,IF(D20&lt;I20*0.98,-3,-1.5)))+IF(I20&gt;K20*1.02,3,IF(I20&gt;K20,1.5,IF(I20&lt;K20*0.98,-3,-1.5)))+IF(D20&gt;=Q20*0.995,2,IF(D20&lt;=R20*1.005,-2,0))+IF(P20&gt;0.03,2,IF(P20&gt;0,1,IF(P20&lt;-0.03,-2,-1))))),0))</f>
        <v/>
      </c>
      <c r="AK20" s="27" t="str">
        <f aca="false">IF($A20="","",IFERROR(MAX(-10,MIN(10,IF(AG20&gt;=SM_STRONG,4,IF(AG20&gt;=SM_MOD,2,IF(AG20&lt;=SM_BAD,-4,IF(AG20&lt;=SM_WEAK,-2,0))))+IF(AD20&gt;=NF_STRONG,3,IF(AD20&gt;=NF_MOD,1.5,IF(AD20&lt;=-NF_STRONG,-3,IF(AD20&lt;=-NF_MOD,-1.5,0))))+IF(AI20&gt;=NF_MOD,3,IF(AI20&gt;0,1.5,IF(AI20&lt;=-NF_MOD,-3,-1.5))))),0))</f>
        <v/>
      </c>
      <c r="AL20" s="27" t="str">
        <f aca="false">IF($A20="","",IFERROR(N20*5-10,0))</f>
        <v/>
      </c>
      <c r="AM20" s="27" t="str">
        <f aca="false">IF($A20="","",IFERROR(IF(F20&gt;0,IF(AA20&gt;=VOL_HIGH,9,IF(AA20&gt;=VOL_MOD,5,IF(AA20&lt;=VOL_DRY,-2,2))),IF(F20&lt;0,IF(AA20&gt;=VOL_HIGH,-9,IF(AA20&gt;=VOL_MOD,-5,IF(AA20&lt;=VOL_DRY,2,-2))),0)),0))</f>
        <v/>
      </c>
      <c r="AN20" s="41" t="str">
        <f aca="false">IF($A20="","",MARKET_SCORE)</f>
        <v/>
      </c>
      <c r="AO20" s="41" t="str">
        <f aca="false">IF($A20="","",IFERROR(INDEX(Time_Link!$B$1:$B$5000,MATCH($A20,Time_Link!$A$1:$A$5000,0)),0))</f>
        <v/>
      </c>
      <c r="AP20" s="27" t="str">
        <f aca="false">IF($A20="","",IFERROR((AJ20*W_TREND+AK20*W_SMART+AL20*W_MA+AM20*W_VOL+AN20*W_MARKET+AO20*W_TIME)/W_SUM,0))</f>
        <v/>
      </c>
      <c r="AQ20" s="28" t="str">
        <f aca="false">IF($A20="","",IF(ABS(AP20)&gt;=8,5,IF(ABS(AP20)&gt;=5,4,IF(ABS(AP20)&gt;=3,3,IF(ABS(AP20)&gt;=1.5,2,1)))))</f>
        <v/>
      </c>
      <c r="AR20" s="23" t="str">
        <f aca="false">IF($A20="","",IF(G20="","بدون داده",IF(G20&lt;MIN_LIQ_B,"کم‌اعتبار","معتبر")))</f>
        <v/>
      </c>
      <c r="AS20" s="42" t="str">
        <f aca="false">IF($A20="","",IFERROR(AP20+ROW()/1000000,-99))</f>
        <v/>
      </c>
      <c r="AT20" s="28" t="str">
        <f aca="false">IF($A20="","",RANK(AS20,$AS$5:$AS$64,0))</f>
        <v/>
      </c>
      <c r="AU20" s="28" t="str">
        <f aca="false">IF($A20="","",RANK(AS20,$AS$5:$AS$64,1))</f>
        <v/>
      </c>
    </row>
    <row r="21" customFormat="false" ht="15" hidden="false" customHeight="false" outlineLevel="0" collapsed="false">
      <c r="A21" s="37" t="str">
        <f aca="false">IF(COUNTA(Watchlist!$A$21)=0,"",Watchlist!$A$21)</f>
        <v/>
      </c>
      <c r="B21" s="28" t="str">
        <f aca="false">IF($A21="","",IFERROR(MATCH($A21,Data_Input!$A$1:$A$5000,0),""))</f>
        <v/>
      </c>
      <c r="C21" s="28" t="str">
        <f aca="false">IF($A21="","",IFERROR(MATCH($A21,Daily_History!$AN$1:$AN$5000,0),""))</f>
        <v/>
      </c>
      <c r="D21" s="39" t="str">
        <f aca="false">IF($A21="","",IFERROR(INDEX(Data_Input!$I$1:$I$5000,$B21),""))</f>
        <v/>
      </c>
      <c r="E21" s="39" t="str">
        <f aca="false">IF($A21="","",IFERROR(INDEX(Data_Input!$J$1:$J$5000,$B21),""))</f>
        <v/>
      </c>
      <c r="F21" s="40" t="str">
        <f aca="false">IF($A21="","",IFERROR(INDEX(Data_Input!$M$1:$M$5000,$B21),""))</f>
        <v/>
      </c>
      <c r="G21" s="41" t="str">
        <f aca="false">IF($A21="","",IFERROR(INDEX(Data_Input!$R$1:$R$5000,$B21)/1000000000,""))</f>
        <v/>
      </c>
      <c r="H21" s="39" t="str">
        <f aca="false">IF($A21="","",IFERROR(INDEX(Daily_History!$V$1:$V$5000,$C21),""))</f>
        <v/>
      </c>
      <c r="I21" s="39" t="str">
        <f aca="false">IF($A21="","",IFERROR(INDEX(Daily_History!$W$1:$W$5000,$C21),""))</f>
        <v/>
      </c>
      <c r="J21" s="39" t="str">
        <f aca="false">IF($A21="","",IFERROR(INDEX(Daily_History!$X$1:$X$5000,$C21),""))</f>
        <v/>
      </c>
      <c r="K21" s="39" t="str">
        <f aca="false">IF($A21="","",IFERROR(INDEX(Daily_History!$Y$1:$Y$5000,$C21),""))</f>
        <v/>
      </c>
      <c r="L21" s="35" t="str">
        <f aca="false">IF($A21="","",IFERROR($D21/$I21-1,""))</f>
        <v/>
      </c>
      <c r="M21" s="35" t="str">
        <f aca="false">IF($A21="","",IFERROR($D21/$K21-1,""))</f>
        <v/>
      </c>
      <c r="N21" s="28" t="str">
        <f aca="false">IF($A21="","",IF(D21&gt;H21,1,0)+IF(D21&gt;I21,1,0)+IF(D21&gt;J21,1,0)+IF(D21&gt;K21,1,0))</f>
        <v/>
      </c>
      <c r="O21" s="23" t="str">
        <f aca="false">IF($A21="","",IF(AND(ISNUMBER(H21),ISNUMBER(K21)),IF(AND(H21&gt;I21,I21&gt;J21,J21&gt;K21),"آرایش صعودی کامل",IF(AND(H21&lt;I21,I21&lt;J21,J21&lt;K21),"آرایش نزولی کامل",IF(I21&gt;K21,"تقاطع طلایی","تقاطع مرگ"))),"داده ناکافی"))</f>
        <v/>
      </c>
      <c r="P21" s="35" t="str">
        <f aca="false">IF($A21="","",IFERROR(H21/INDEX(Daily_History!$V$1:$V$5000,$C21-MA_SHORT)-1,""))</f>
        <v/>
      </c>
      <c r="Q21" s="39" t="str">
        <f aca="false">IF($A21="","",IFERROR(INDEX(Daily_History!$AI$1:$AI$5000,$C21),""))</f>
        <v/>
      </c>
      <c r="R21" s="39" t="str">
        <f aca="false">IF($A21="","",IFERROR(INDEX(Daily_History!$AJ$1:$AJ$5000,$C21),""))</f>
        <v/>
      </c>
      <c r="S21" s="39" t="str">
        <f aca="false">IF($A21="","",IFERROR(INDEX(Daily_History!$AK$1:$AK$5000,$C21),""))</f>
        <v/>
      </c>
      <c r="T21" s="39" t="str">
        <f aca="false">IF($A21="","",IFERROR(INDEX(Daily_History!$AL$1:$AL$5000,$C21),""))</f>
        <v/>
      </c>
      <c r="U21" s="23" t="str">
        <f aca="false">IF($A21="","",IF(AND(ISNUMBER(S21),ISNUMBER(D21)),IF(D21&gt;=S21*0.995,"سقف‌شکنی میان‌مدت (HH)",IF(D21&gt;=Q21*0.995,"سقف‌شکنی کوتاه‌مدت",IF(D21&lt;=T21*1.005,"کف‌شکنی میان‌مدت (LL)",IF(D21&lt;=R21*1.005,"کف‌شکنی کوتاه‌مدت","درون محدوده")))),"داده ناکافی"))</f>
        <v/>
      </c>
      <c r="V21" s="39" t="str">
        <f aca="false">IF($A21="","",IFERROR(INDEX(Daily_History!$AB$1:$AB$5000,$C21),""))</f>
        <v/>
      </c>
      <c r="W21" s="35" t="str">
        <f aca="false">IF($A21="","",IFERROR(V21/D21,""))</f>
        <v/>
      </c>
      <c r="X21" s="26" t="str">
        <f aca="false">IF($A21="","",IFERROR(D21-ATR_STOP_MULT*V21,""))</f>
        <v/>
      </c>
      <c r="Y21" s="39" t="str">
        <f aca="false">IF($A21="","",IFERROR(INDEX(Daily_History!$Z$1:$Z$5000,$C21),""))</f>
        <v/>
      </c>
      <c r="Z21" s="39" t="str">
        <f aca="false">IF($A21="","",IFERROR(INDEX(Data_Input!$Q$1:$Q$5000,$B21),""))</f>
        <v/>
      </c>
      <c r="AA21" s="33" t="str">
        <f aca="false">IF($A21="","",IFERROR(Z21/Y21,""))</f>
        <v/>
      </c>
      <c r="AB21" s="26" t="str">
        <f aca="false">IF($A21="","",IFERROR(INDEX(Data_Input!$V$1:$V$5000,$B21)-INDEX(Data_Input!$W$1:$W$5000,$B21),""))</f>
        <v/>
      </c>
      <c r="AC21" s="27" t="str">
        <f aca="false">IF($A21="","",IFERROR(AB21*E21/1000000000,""))</f>
        <v/>
      </c>
      <c r="AD21" s="35" t="str">
        <f aca="false">IF($A21="","",IFERROR(AB21*E21/INDEX(Data_Input!$R$1:$R$5000,$B21),""))</f>
        <v/>
      </c>
      <c r="AE21" s="27" t="str">
        <f aca="false">IF($A21="","",IFERROR(INDEX(Data_Input!$V$1:$V$5000,$B21)*E21/INDEX(Data_Input!$X$1:$X$5000,$B21)/1000000,""))</f>
        <v/>
      </c>
      <c r="AF21" s="27" t="str">
        <f aca="false">IF($A21="","",IFERROR(INDEX(Data_Input!$W$1:$W$5000,$B21)*E21/INDEX(Data_Input!$Y$1:$Y$5000,$B21)/1000000,""))</f>
        <v/>
      </c>
      <c r="AG21" s="33" t="str">
        <f aca="false">IF($A21="","",IFERROR(AE21/AF21,""))</f>
        <v/>
      </c>
      <c r="AH21" s="41" t="str">
        <f aca="false">IF($A21="","",IFERROR(INDEX(Daily_History!$AH$1:$AH$5000,$C21)/1000000000,""))</f>
        <v/>
      </c>
      <c r="AI21" s="35" t="str">
        <f aca="false">IF($A21="","",IFERROR(AH21/(5*G21),""))</f>
        <v/>
      </c>
      <c r="AJ21" s="27" t="str">
        <f aca="false">IF($A21="","",IFERROR(MAX(-10,MIN(10,IF(D21&gt;I21*1.02,3,IF(D21&gt;I21,1.5,IF(D21&lt;I21*0.98,-3,-1.5)))+IF(I21&gt;K21*1.02,3,IF(I21&gt;K21,1.5,IF(I21&lt;K21*0.98,-3,-1.5)))+IF(D21&gt;=Q21*0.995,2,IF(D21&lt;=R21*1.005,-2,0))+IF(P21&gt;0.03,2,IF(P21&gt;0,1,IF(P21&lt;-0.03,-2,-1))))),0))</f>
        <v/>
      </c>
      <c r="AK21" s="27" t="str">
        <f aca="false">IF($A21="","",IFERROR(MAX(-10,MIN(10,IF(AG21&gt;=SM_STRONG,4,IF(AG21&gt;=SM_MOD,2,IF(AG21&lt;=SM_BAD,-4,IF(AG21&lt;=SM_WEAK,-2,0))))+IF(AD21&gt;=NF_STRONG,3,IF(AD21&gt;=NF_MOD,1.5,IF(AD21&lt;=-NF_STRONG,-3,IF(AD21&lt;=-NF_MOD,-1.5,0))))+IF(AI21&gt;=NF_MOD,3,IF(AI21&gt;0,1.5,IF(AI21&lt;=-NF_MOD,-3,-1.5))))),0))</f>
        <v/>
      </c>
      <c r="AL21" s="27" t="str">
        <f aca="false">IF($A21="","",IFERROR(N21*5-10,0))</f>
        <v/>
      </c>
      <c r="AM21" s="27" t="str">
        <f aca="false">IF($A21="","",IFERROR(IF(F21&gt;0,IF(AA21&gt;=VOL_HIGH,9,IF(AA21&gt;=VOL_MOD,5,IF(AA21&lt;=VOL_DRY,-2,2))),IF(F21&lt;0,IF(AA21&gt;=VOL_HIGH,-9,IF(AA21&gt;=VOL_MOD,-5,IF(AA21&lt;=VOL_DRY,2,-2))),0)),0))</f>
        <v/>
      </c>
      <c r="AN21" s="41" t="str">
        <f aca="false">IF($A21="","",MARKET_SCORE)</f>
        <v/>
      </c>
      <c r="AO21" s="41" t="str">
        <f aca="false">IF($A21="","",IFERROR(INDEX(Time_Link!$B$1:$B$5000,MATCH($A21,Time_Link!$A$1:$A$5000,0)),0))</f>
        <v/>
      </c>
      <c r="AP21" s="27" t="str">
        <f aca="false">IF($A21="","",IFERROR((AJ21*W_TREND+AK21*W_SMART+AL21*W_MA+AM21*W_VOL+AN21*W_MARKET+AO21*W_TIME)/W_SUM,0))</f>
        <v/>
      </c>
      <c r="AQ21" s="28" t="str">
        <f aca="false">IF($A21="","",IF(ABS(AP21)&gt;=8,5,IF(ABS(AP21)&gt;=5,4,IF(ABS(AP21)&gt;=3,3,IF(ABS(AP21)&gt;=1.5,2,1)))))</f>
        <v/>
      </c>
      <c r="AR21" s="23" t="str">
        <f aca="false">IF($A21="","",IF(G21="","بدون داده",IF(G21&lt;MIN_LIQ_B,"کم‌اعتبار","معتبر")))</f>
        <v/>
      </c>
      <c r="AS21" s="42" t="str">
        <f aca="false">IF($A21="","",IFERROR(AP21+ROW()/1000000,-99))</f>
        <v/>
      </c>
      <c r="AT21" s="28" t="str">
        <f aca="false">IF($A21="","",RANK(AS21,$AS$5:$AS$64,0))</f>
        <v/>
      </c>
      <c r="AU21" s="28" t="str">
        <f aca="false">IF($A21="","",RANK(AS21,$AS$5:$AS$64,1))</f>
        <v/>
      </c>
    </row>
    <row r="22" customFormat="false" ht="15" hidden="false" customHeight="false" outlineLevel="0" collapsed="false">
      <c r="A22" s="37" t="str">
        <f aca="false">IF(COUNTA(Watchlist!$A$22)=0,"",Watchlist!$A$22)</f>
        <v/>
      </c>
      <c r="B22" s="28" t="str">
        <f aca="false">IF($A22="","",IFERROR(MATCH($A22,Data_Input!$A$1:$A$5000,0),""))</f>
        <v/>
      </c>
      <c r="C22" s="28" t="str">
        <f aca="false">IF($A22="","",IFERROR(MATCH($A22,Daily_History!$AN$1:$AN$5000,0),""))</f>
        <v/>
      </c>
      <c r="D22" s="39" t="str">
        <f aca="false">IF($A22="","",IFERROR(INDEX(Data_Input!$I$1:$I$5000,$B22),""))</f>
        <v/>
      </c>
      <c r="E22" s="39" t="str">
        <f aca="false">IF($A22="","",IFERROR(INDEX(Data_Input!$J$1:$J$5000,$B22),""))</f>
        <v/>
      </c>
      <c r="F22" s="40" t="str">
        <f aca="false">IF($A22="","",IFERROR(INDEX(Data_Input!$M$1:$M$5000,$B22),""))</f>
        <v/>
      </c>
      <c r="G22" s="41" t="str">
        <f aca="false">IF($A22="","",IFERROR(INDEX(Data_Input!$R$1:$R$5000,$B22)/1000000000,""))</f>
        <v/>
      </c>
      <c r="H22" s="39" t="str">
        <f aca="false">IF($A22="","",IFERROR(INDEX(Daily_History!$V$1:$V$5000,$C22),""))</f>
        <v/>
      </c>
      <c r="I22" s="39" t="str">
        <f aca="false">IF($A22="","",IFERROR(INDEX(Daily_History!$W$1:$W$5000,$C22),""))</f>
        <v/>
      </c>
      <c r="J22" s="39" t="str">
        <f aca="false">IF($A22="","",IFERROR(INDEX(Daily_History!$X$1:$X$5000,$C22),""))</f>
        <v/>
      </c>
      <c r="K22" s="39" t="str">
        <f aca="false">IF($A22="","",IFERROR(INDEX(Daily_History!$Y$1:$Y$5000,$C22),""))</f>
        <v/>
      </c>
      <c r="L22" s="35" t="str">
        <f aca="false">IF($A22="","",IFERROR($D22/$I22-1,""))</f>
        <v/>
      </c>
      <c r="M22" s="35" t="str">
        <f aca="false">IF($A22="","",IFERROR($D22/$K22-1,""))</f>
        <v/>
      </c>
      <c r="N22" s="28" t="str">
        <f aca="false">IF($A22="","",IF(D22&gt;H22,1,0)+IF(D22&gt;I22,1,0)+IF(D22&gt;J22,1,0)+IF(D22&gt;K22,1,0))</f>
        <v/>
      </c>
      <c r="O22" s="23" t="str">
        <f aca="false">IF($A22="","",IF(AND(ISNUMBER(H22),ISNUMBER(K22)),IF(AND(H22&gt;I22,I22&gt;J22,J22&gt;K22),"آرایش صعودی کامل",IF(AND(H22&lt;I22,I22&lt;J22,J22&lt;K22),"آرایش نزولی کامل",IF(I22&gt;K22,"تقاطع طلایی","تقاطع مرگ"))),"داده ناکافی"))</f>
        <v/>
      </c>
      <c r="P22" s="35" t="str">
        <f aca="false">IF($A22="","",IFERROR(H22/INDEX(Daily_History!$V$1:$V$5000,$C22-MA_SHORT)-1,""))</f>
        <v/>
      </c>
      <c r="Q22" s="39" t="str">
        <f aca="false">IF($A22="","",IFERROR(INDEX(Daily_History!$AI$1:$AI$5000,$C22),""))</f>
        <v/>
      </c>
      <c r="R22" s="39" t="str">
        <f aca="false">IF($A22="","",IFERROR(INDEX(Daily_History!$AJ$1:$AJ$5000,$C22),""))</f>
        <v/>
      </c>
      <c r="S22" s="39" t="str">
        <f aca="false">IF($A22="","",IFERROR(INDEX(Daily_History!$AK$1:$AK$5000,$C22),""))</f>
        <v/>
      </c>
      <c r="T22" s="39" t="str">
        <f aca="false">IF($A22="","",IFERROR(INDEX(Daily_History!$AL$1:$AL$5000,$C22),""))</f>
        <v/>
      </c>
      <c r="U22" s="23" t="str">
        <f aca="false">IF($A22="","",IF(AND(ISNUMBER(S22),ISNUMBER(D22)),IF(D22&gt;=S22*0.995,"سقف‌شکنی میان‌مدت (HH)",IF(D22&gt;=Q22*0.995,"سقف‌شکنی کوتاه‌مدت",IF(D22&lt;=T22*1.005,"کف‌شکنی میان‌مدت (LL)",IF(D22&lt;=R22*1.005,"کف‌شکنی کوتاه‌مدت","درون محدوده")))),"داده ناکافی"))</f>
        <v/>
      </c>
      <c r="V22" s="39" t="str">
        <f aca="false">IF($A22="","",IFERROR(INDEX(Daily_History!$AB$1:$AB$5000,$C22),""))</f>
        <v/>
      </c>
      <c r="W22" s="35" t="str">
        <f aca="false">IF($A22="","",IFERROR(V22/D22,""))</f>
        <v/>
      </c>
      <c r="X22" s="26" t="str">
        <f aca="false">IF($A22="","",IFERROR(D22-ATR_STOP_MULT*V22,""))</f>
        <v/>
      </c>
      <c r="Y22" s="39" t="str">
        <f aca="false">IF($A22="","",IFERROR(INDEX(Daily_History!$Z$1:$Z$5000,$C22),""))</f>
        <v/>
      </c>
      <c r="Z22" s="39" t="str">
        <f aca="false">IF($A22="","",IFERROR(INDEX(Data_Input!$Q$1:$Q$5000,$B22),""))</f>
        <v/>
      </c>
      <c r="AA22" s="33" t="str">
        <f aca="false">IF($A22="","",IFERROR(Z22/Y22,""))</f>
        <v/>
      </c>
      <c r="AB22" s="26" t="str">
        <f aca="false">IF($A22="","",IFERROR(INDEX(Data_Input!$V$1:$V$5000,$B22)-INDEX(Data_Input!$W$1:$W$5000,$B22),""))</f>
        <v/>
      </c>
      <c r="AC22" s="27" t="str">
        <f aca="false">IF($A22="","",IFERROR(AB22*E22/1000000000,""))</f>
        <v/>
      </c>
      <c r="AD22" s="35" t="str">
        <f aca="false">IF($A22="","",IFERROR(AB22*E22/INDEX(Data_Input!$R$1:$R$5000,$B22),""))</f>
        <v/>
      </c>
      <c r="AE22" s="27" t="str">
        <f aca="false">IF($A22="","",IFERROR(INDEX(Data_Input!$V$1:$V$5000,$B22)*E22/INDEX(Data_Input!$X$1:$X$5000,$B22)/1000000,""))</f>
        <v/>
      </c>
      <c r="AF22" s="27" t="str">
        <f aca="false">IF($A22="","",IFERROR(INDEX(Data_Input!$W$1:$W$5000,$B22)*E22/INDEX(Data_Input!$Y$1:$Y$5000,$B22)/1000000,""))</f>
        <v/>
      </c>
      <c r="AG22" s="33" t="str">
        <f aca="false">IF($A22="","",IFERROR(AE22/AF22,""))</f>
        <v/>
      </c>
      <c r="AH22" s="41" t="str">
        <f aca="false">IF($A22="","",IFERROR(INDEX(Daily_History!$AH$1:$AH$5000,$C22)/1000000000,""))</f>
        <v/>
      </c>
      <c r="AI22" s="35" t="str">
        <f aca="false">IF($A22="","",IFERROR(AH22/(5*G22),""))</f>
        <v/>
      </c>
      <c r="AJ22" s="27" t="str">
        <f aca="false">IF($A22="","",IFERROR(MAX(-10,MIN(10,IF(D22&gt;I22*1.02,3,IF(D22&gt;I22,1.5,IF(D22&lt;I22*0.98,-3,-1.5)))+IF(I22&gt;K22*1.02,3,IF(I22&gt;K22,1.5,IF(I22&lt;K22*0.98,-3,-1.5)))+IF(D22&gt;=Q22*0.995,2,IF(D22&lt;=R22*1.005,-2,0))+IF(P22&gt;0.03,2,IF(P22&gt;0,1,IF(P22&lt;-0.03,-2,-1))))),0))</f>
        <v/>
      </c>
      <c r="AK22" s="27" t="str">
        <f aca="false">IF($A22="","",IFERROR(MAX(-10,MIN(10,IF(AG22&gt;=SM_STRONG,4,IF(AG22&gt;=SM_MOD,2,IF(AG22&lt;=SM_BAD,-4,IF(AG22&lt;=SM_WEAK,-2,0))))+IF(AD22&gt;=NF_STRONG,3,IF(AD22&gt;=NF_MOD,1.5,IF(AD22&lt;=-NF_STRONG,-3,IF(AD22&lt;=-NF_MOD,-1.5,0))))+IF(AI22&gt;=NF_MOD,3,IF(AI22&gt;0,1.5,IF(AI22&lt;=-NF_MOD,-3,-1.5))))),0))</f>
        <v/>
      </c>
      <c r="AL22" s="27" t="str">
        <f aca="false">IF($A22="","",IFERROR(N22*5-10,0))</f>
        <v/>
      </c>
      <c r="AM22" s="27" t="str">
        <f aca="false">IF($A22="","",IFERROR(IF(F22&gt;0,IF(AA22&gt;=VOL_HIGH,9,IF(AA22&gt;=VOL_MOD,5,IF(AA22&lt;=VOL_DRY,-2,2))),IF(F22&lt;0,IF(AA22&gt;=VOL_HIGH,-9,IF(AA22&gt;=VOL_MOD,-5,IF(AA22&lt;=VOL_DRY,2,-2))),0)),0))</f>
        <v/>
      </c>
      <c r="AN22" s="41" t="str">
        <f aca="false">IF($A22="","",MARKET_SCORE)</f>
        <v/>
      </c>
      <c r="AO22" s="41" t="str">
        <f aca="false">IF($A22="","",IFERROR(INDEX(Time_Link!$B$1:$B$5000,MATCH($A22,Time_Link!$A$1:$A$5000,0)),0))</f>
        <v/>
      </c>
      <c r="AP22" s="27" t="str">
        <f aca="false">IF($A22="","",IFERROR((AJ22*W_TREND+AK22*W_SMART+AL22*W_MA+AM22*W_VOL+AN22*W_MARKET+AO22*W_TIME)/W_SUM,0))</f>
        <v/>
      </c>
      <c r="AQ22" s="28" t="str">
        <f aca="false">IF($A22="","",IF(ABS(AP22)&gt;=8,5,IF(ABS(AP22)&gt;=5,4,IF(ABS(AP22)&gt;=3,3,IF(ABS(AP22)&gt;=1.5,2,1)))))</f>
        <v/>
      </c>
      <c r="AR22" s="23" t="str">
        <f aca="false">IF($A22="","",IF(G22="","بدون داده",IF(G22&lt;MIN_LIQ_B,"کم‌اعتبار","معتبر")))</f>
        <v/>
      </c>
      <c r="AS22" s="42" t="str">
        <f aca="false">IF($A22="","",IFERROR(AP22+ROW()/1000000,-99))</f>
        <v/>
      </c>
      <c r="AT22" s="28" t="str">
        <f aca="false">IF($A22="","",RANK(AS22,$AS$5:$AS$64,0))</f>
        <v/>
      </c>
      <c r="AU22" s="28" t="str">
        <f aca="false">IF($A22="","",RANK(AS22,$AS$5:$AS$64,1))</f>
        <v/>
      </c>
    </row>
    <row r="23" customFormat="false" ht="15" hidden="false" customHeight="false" outlineLevel="0" collapsed="false">
      <c r="A23" s="37" t="str">
        <f aca="false">IF(COUNTA(Watchlist!$A$23)=0,"",Watchlist!$A$23)</f>
        <v/>
      </c>
      <c r="B23" s="28" t="str">
        <f aca="false">IF($A23="","",IFERROR(MATCH($A23,Data_Input!$A$1:$A$5000,0),""))</f>
        <v/>
      </c>
      <c r="C23" s="28" t="str">
        <f aca="false">IF($A23="","",IFERROR(MATCH($A23,Daily_History!$AN$1:$AN$5000,0),""))</f>
        <v/>
      </c>
      <c r="D23" s="39" t="str">
        <f aca="false">IF($A23="","",IFERROR(INDEX(Data_Input!$I$1:$I$5000,$B23),""))</f>
        <v/>
      </c>
      <c r="E23" s="39" t="str">
        <f aca="false">IF($A23="","",IFERROR(INDEX(Data_Input!$J$1:$J$5000,$B23),""))</f>
        <v/>
      </c>
      <c r="F23" s="40" t="str">
        <f aca="false">IF($A23="","",IFERROR(INDEX(Data_Input!$M$1:$M$5000,$B23),""))</f>
        <v/>
      </c>
      <c r="G23" s="41" t="str">
        <f aca="false">IF($A23="","",IFERROR(INDEX(Data_Input!$R$1:$R$5000,$B23)/1000000000,""))</f>
        <v/>
      </c>
      <c r="H23" s="39" t="str">
        <f aca="false">IF($A23="","",IFERROR(INDEX(Daily_History!$V$1:$V$5000,$C23),""))</f>
        <v/>
      </c>
      <c r="I23" s="39" t="str">
        <f aca="false">IF($A23="","",IFERROR(INDEX(Daily_History!$W$1:$W$5000,$C23),""))</f>
        <v/>
      </c>
      <c r="J23" s="39" t="str">
        <f aca="false">IF($A23="","",IFERROR(INDEX(Daily_History!$X$1:$X$5000,$C23),""))</f>
        <v/>
      </c>
      <c r="K23" s="39" t="str">
        <f aca="false">IF($A23="","",IFERROR(INDEX(Daily_History!$Y$1:$Y$5000,$C23),""))</f>
        <v/>
      </c>
      <c r="L23" s="35" t="str">
        <f aca="false">IF($A23="","",IFERROR($D23/$I23-1,""))</f>
        <v/>
      </c>
      <c r="M23" s="35" t="str">
        <f aca="false">IF($A23="","",IFERROR($D23/$K23-1,""))</f>
        <v/>
      </c>
      <c r="N23" s="28" t="str">
        <f aca="false">IF($A23="","",IF(D23&gt;H23,1,0)+IF(D23&gt;I23,1,0)+IF(D23&gt;J23,1,0)+IF(D23&gt;K23,1,0))</f>
        <v/>
      </c>
      <c r="O23" s="23" t="str">
        <f aca="false">IF($A23="","",IF(AND(ISNUMBER(H23),ISNUMBER(K23)),IF(AND(H23&gt;I23,I23&gt;J23,J23&gt;K23),"آرایش صعودی کامل",IF(AND(H23&lt;I23,I23&lt;J23,J23&lt;K23),"آرایش نزولی کامل",IF(I23&gt;K23,"تقاطع طلایی","تقاطع مرگ"))),"داده ناکافی"))</f>
        <v/>
      </c>
      <c r="P23" s="35" t="str">
        <f aca="false">IF($A23="","",IFERROR(H23/INDEX(Daily_History!$V$1:$V$5000,$C23-MA_SHORT)-1,""))</f>
        <v/>
      </c>
      <c r="Q23" s="39" t="str">
        <f aca="false">IF($A23="","",IFERROR(INDEX(Daily_History!$AI$1:$AI$5000,$C23),""))</f>
        <v/>
      </c>
      <c r="R23" s="39" t="str">
        <f aca="false">IF($A23="","",IFERROR(INDEX(Daily_History!$AJ$1:$AJ$5000,$C23),""))</f>
        <v/>
      </c>
      <c r="S23" s="39" t="str">
        <f aca="false">IF($A23="","",IFERROR(INDEX(Daily_History!$AK$1:$AK$5000,$C23),""))</f>
        <v/>
      </c>
      <c r="T23" s="39" t="str">
        <f aca="false">IF($A23="","",IFERROR(INDEX(Daily_History!$AL$1:$AL$5000,$C23),""))</f>
        <v/>
      </c>
      <c r="U23" s="23" t="str">
        <f aca="false">IF($A23="","",IF(AND(ISNUMBER(S23),ISNUMBER(D23)),IF(D23&gt;=S23*0.995,"سقف‌شکنی میان‌مدت (HH)",IF(D23&gt;=Q23*0.995,"سقف‌شکنی کوتاه‌مدت",IF(D23&lt;=T23*1.005,"کف‌شکنی میان‌مدت (LL)",IF(D23&lt;=R23*1.005,"کف‌شکنی کوتاه‌مدت","درون محدوده")))),"داده ناکافی"))</f>
        <v/>
      </c>
      <c r="V23" s="39" t="str">
        <f aca="false">IF($A23="","",IFERROR(INDEX(Daily_History!$AB$1:$AB$5000,$C23),""))</f>
        <v/>
      </c>
      <c r="W23" s="35" t="str">
        <f aca="false">IF($A23="","",IFERROR(V23/D23,""))</f>
        <v/>
      </c>
      <c r="X23" s="26" t="str">
        <f aca="false">IF($A23="","",IFERROR(D23-ATR_STOP_MULT*V23,""))</f>
        <v/>
      </c>
      <c r="Y23" s="39" t="str">
        <f aca="false">IF($A23="","",IFERROR(INDEX(Daily_History!$Z$1:$Z$5000,$C23),""))</f>
        <v/>
      </c>
      <c r="Z23" s="39" t="str">
        <f aca="false">IF($A23="","",IFERROR(INDEX(Data_Input!$Q$1:$Q$5000,$B23),""))</f>
        <v/>
      </c>
      <c r="AA23" s="33" t="str">
        <f aca="false">IF($A23="","",IFERROR(Z23/Y23,""))</f>
        <v/>
      </c>
      <c r="AB23" s="26" t="str">
        <f aca="false">IF($A23="","",IFERROR(INDEX(Data_Input!$V$1:$V$5000,$B23)-INDEX(Data_Input!$W$1:$W$5000,$B23),""))</f>
        <v/>
      </c>
      <c r="AC23" s="27" t="str">
        <f aca="false">IF($A23="","",IFERROR(AB23*E23/1000000000,""))</f>
        <v/>
      </c>
      <c r="AD23" s="35" t="str">
        <f aca="false">IF($A23="","",IFERROR(AB23*E23/INDEX(Data_Input!$R$1:$R$5000,$B23),""))</f>
        <v/>
      </c>
      <c r="AE23" s="27" t="str">
        <f aca="false">IF($A23="","",IFERROR(INDEX(Data_Input!$V$1:$V$5000,$B23)*E23/INDEX(Data_Input!$X$1:$X$5000,$B23)/1000000,""))</f>
        <v/>
      </c>
      <c r="AF23" s="27" t="str">
        <f aca="false">IF($A23="","",IFERROR(INDEX(Data_Input!$W$1:$W$5000,$B23)*E23/INDEX(Data_Input!$Y$1:$Y$5000,$B23)/1000000,""))</f>
        <v/>
      </c>
      <c r="AG23" s="33" t="str">
        <f aca="false">IF($A23="","",IFERROR(AE23/AF23,""))</f>
        <v/>
      </c>
      <c r="AH23" s="41" t="str">
        <f aca="false">IF($A23="","",IFERROR(INDEX(Daily_History!$AH$1:$AH$5000,$C23)/1000000000,""))</f>
        <v/>
      </c>
      <c r="AI23" s="35" t="str">
        <f aca="false">IF($A23="","",IFERROR(AH23/(5*G23),""))</f>
        <v/>
      </c>
      <c r="AJ23" s="27" t="str">
        <f aca="false">IF($A23="","",IFERROR(MAX(-10,MIN(10,IF(D23&gt;I23*1.02,3,IF(D23&gt;I23,1.5,IF(D23&lt;I23*0.98,-3,-1.5)))+IF(I23&gt;K23*1.02,3,IF(I23&gt;K23,1.5,IF(I23&lt;K23*0.98,-3,-1.5)))+IF(D23&gt;=Q23*0.995,2,IF(D23&lt;=R23*1.005,-2,0))+IF(P23&gt;0.03,2,IF(P23&gt;0,1,IF(P23&lt;-0.03,-2,-1))))),0))</f>
        <v/>
      </c>
      <c r="AK23" s="27" t="str">
        <f aca="false">IF($A23="","",IFERROR(MAX(-10,MIN(10,IF(AG23&gt;=SM_STRONG,4,IF(AG23&gt;=SM_MOD,2,IF(AG23&lt;=SM_BAD,-4,IF(AG23&lt;=SM_WEAK,-2,0))))+IF(AD23&gt;=NF_STRONG,3,IF(AD23&gt;=NF_MOD,1.5,IF(AD23&lt;=-NF_STRONG,-3,IF(AD23&lt;=-NF_MOD,-1.5,0))))+IF(AI23&gt;=NF_MOD,3,IF(AI23&gt;0,1.5,IF(AI23&lt;=-NF_MOD,-3,-1.5))))),0))</f>
        <v/>
      </c>
      <c r="AL23" s="27" t="str">
        <f aca="false">IF($A23="","",IFERROR(N23*5-10,0))</f>
        <v/>
      </c>
      <c r="AM23" s="27" t="str">
        <f aca="false">IF($A23="","",IFERROR(IF(F23&gt;0,IF(AA23&gt;=VOL_HIGH,9,IF(AA23&gt;=VOL_MOD,5,IF(AA23&lt;=VOL_DRY,-2,2))),IF(F23&lt;0,IF(AA23&gt;=VOL_HIGH,-9,IF(AA23&gt;=VOL_MOD,-5,IF(AA23&lt;=VOL_DRY,2,-2))),0)),0))</f>
        <v/>
      </c>
      <c r="AN23" s="41" t="str">
        <f aca="false">IF($A23="","",MARKET_SCORE)</f>
        <v/>
      </c>
      <c r="AO23" s="41" t="str">
        <f aca="false">IF($A23="","",IFERROR(INDEX(Time_Link!$B$1:$B$5000,MATCH($A23,Time_Link!$A$1:$A$5000,0)),0))</f>
        <v/>
      </c>
      <c r="AP23" s="27" t="str">
        <f aca="false">IF($A23="","",IFERROR((AJ23*W_TREND+AK23*W_SMART+AL23*W_MA+AM23*W_VOL+AN23*W_MARKET+AO23*W_TIME)/W_SUM,0))</f>
        <v/>
      </c>
      <c r="AQ23" s="28" t="str">
        <f aca="false">IF($A23="","",IF(ABS(AP23)&gt;=8,5,IF(ABS(AP23)&gt;=5,4,IF(ABS(AP23)&gt;=3,3,IF(ABS(AP23)&gt;=1.5,2,1)))))</f>
        <v/>
      </c>
      <c r="AR23" s="23" t="str">
        <f aca="false">IF($A23="","",IF(G23="","بدون داده",IF(G23&lt;MIN_LIQ_B,"کم‌اعتبار","معتبر")))</f>
        <v/>
      </c>
      <c r="AS23" s="42" t="str">
        <f aca="false">IF($A23="","",IFERROR(AP23+ROW()/1000000,-99))</f>
        <v/>
      </c>
      <c r="AT23" s="28" t="str">
        <f aca="false">IF($A23="","",RANK(AS23,$AS$5:$AS$64,0))</f>
        <v/>
      </c>
      <c r="AU23" s="28" t="str">
        <f aca="false">IF($A23="","",RANK(AS23,$AS$5:$AS$64,1))</f>
        <v/>
      </c>
    </row>
    <row r="24" customFormat="false" ht="15" hidden="false" customHeight="false" outlineLevel="0" collapsed="false">
      <c r="A24" s="37" t="str">
        <f aca="false">IF(COUNTA(Watchlist!$A$24)=0,"",Watchlist!$A$24)</f>
        <v/>
      </c>
      <c r="B24" s="28" t="str">
        <f aca="false">IF($A24="","",IFERROR(MATCH($A24,Data_Input!$A$1:$A$5000,0),""))</f>
        <v/>
      </c>
      <c r="C24" s="28" t="str">
        <f aca="false">IF($A24="","",IFERROR(MATCH($A24,Daily_History!$AN$1:$AN$5000,0),""))</f>
        <v/>
      </c>
      <c r="D24" s="39" t="str">
        <f aca="false">IF($A24="","",IFERROR(INDEX(Data_Input!$I$1:$I$5000,$B24),""))</f>
        <v/>
      </c>
      <c r="E24" s="39" t="str">
        <f aca="false">IF($A24="","",IFERROR(INDEX(Data_Input!$J$1:$J$5000,$B24),""))</f>
        <v/>
      </c>
      <c r="F24" s="40" t="str">
        <f aca="false">IF($A24="","",IFERROR(INDEX(Data_Input!$M$1:$M$5000,$B24),""))</f>
        <v/>
      </c>
      <c r="G24" s="41" t="str">
        <f aca="false">IF($A24="","",IFERROR(INDEX(Data_Input!$R$1:$R$5000,$B24)/1000000000,""))</f>
        <v/>
      </c>
      <c r="H24" s="39" t="str">
        <f aca="false">IF($A24="","",IFERROR(INDEX(Daily_History!$V$1:$V$5000,$C24),""))</f>
        <v/>
      </c>
      <c r="I24" s="39" t="str">
        <f aca="false">IF($A24="","",IFERROR(INDEX(Daily_History!$W$1:$W$5000,$C24),""))</f>
        <v/>
      </c>
      <c r="J24" s="39" t="str">
        <f aca="false">IF($A24="","",IFERROR(INDEX(Daily_History!$X$1:$X$5000,$C24),""))</f>
        <v/>
      </c>
      <c r="K24" s="39" t="str">
        <f aca="false">IF($A24="","",IFERROR(INDEX(Daily_History!$Y$1:$Y$5000,$C24),""))</f>
        <v/>
      </c>
      <c r="L24" s="35" t="str">
        <f aca="false">IF($A24="","",IFERROR($D24/$I24-1,""))</f>
        <v/>
      </c>
      <c r="M24" s="35" t="str">
        <f aca="false">IF($A24="","",IFERROR($D24/$K24-1,""))</f>
        <v/>
      </c>
      <c r="N24" s="28" t="str">
        <f aca="false">IF($A24="","",IF(D24&gt;H24,1,0)+IF(D24&gt;I24,1,0)+IF(D24&gt;J24,1,0)+IF(D24&gt;K24,1,0))</f>
        <v/>
      </c>
      <c r="O24" s="23" t="str">
        <f aca="false">IF($A24="","",IF(AND(ISNUMBER(H24),ISNUMBER(K24)),IF(AND(H24&gt;I24,I24&gt;J24,J24&gt;K24),"آرایش صعودی کامل",IF(AND(H24&lt;I24,I24&lt;J24,J24&lt;K24),"آرایش نزولی کامل",IF(I24&gt;K24,"تقاطع طلایی","تقاطع مرگ"))),"داده ناکافی"))</f>
        <v/>
      </c>
      <c r="P24" s="35" t="str">
        <f aca="false">IF($A24="","",IFERROR(H24/INDEX(Daily_History!$V$1:$V$5000,$C24-MA_SHORT)-1,""))</f>
        <v/>
      </c>
      <c r="Q24" s="39" t="str">
        <f aca="false">IF($A24="","",IFERROR(INDEX(Daily_History!$AI$1:$AI$5000,$C24),""))</f>
        <v/>
      </c>
      <c r="R24" s="39" t="str">
        <f aca="false">IF($A24="","",IFERROR(INDEX(Daily_History!$AJ$1:$AJ$5000,$C24),""))</f>
        <v/>
      </c>
      <c r="S24" s="39" t="str">
        <f aca="false">IF($A24="","",IFERROR(INDEX(Daily_History!$AK$1:$AK$5000,$C24),""))</f>
        <v/>
      </c>
      <c r="T24" s="39" t="str">
        <f aca="false">IF($A24="","",IFERROR(INDEX(Daily_History!$AL$1:$AL$5000,$C24),""))</f>
        <v/>
      </c>
      <c r="U24" s="23" t="str">
        <f aca="false">IF($A24="","",IF(AND(ISNUMBER(S24),ISNUMBER(D24)),IF(D24&gt;=S24*0.995,"سقف‌شکنی میان‌مدت (HH)",IF(D24&gt;=Q24*0.995,"سقف‌شکنی کوتاه‌مدت",IF(D24&lt;=T24*1.005,"کف‌شکنی میان‌مدت (LL)",IF(D24&lt;=R24*1.005,"کف‌شکنی کوتاه‌مدت","درون محدوده")))),"داده ناکافی"))</f>
        <v/>
      </c>
      <c r="V24" s="39" t="str">
        <f aca="false">IF($A24="","",IFERROR(INDEX(Daily_History!$AB$1:$AB$5000,$C24),""))</f>
        <v/>
      </c>
      <c r="W24" s="35" t="str">
        <f aca="false">IF($A24="","",IFERROR(V24/D24,""))</f>
        <v/>
      </c>
      <c r="X24" s="26" t="str">
        <f aca="false">IF($A24="","",IFERROR(D24-ATR_STOP_MULT*V24,""))</f>
        <v/>
      </c>
      <c r="Y24" s="39" t="str">
        <f aca="false">IF($A24="","",IFERROR(INDEX(Daily_History!$Z$1:$Z$5000,$C24),""))</f>
        <v/>
      </c>
      <c r="Z24" s="39" t="str">
        <f aca="false">IF($A24="","",IFERROR(INDEX(Data_Input!$Q$1:$Q$5000,$B24),""))</f>
        <v/>
      </c>
      <c r="AA24" s="33" t="str">
        <f aca="false">IF($A24="","",IFERROR(Z24/Y24,""))</f>
        <v/>
      </c>
      <c r="AB24" s="26" t="str">
        <f aca="false">IF($A24="","",IFERROR(INDEX(Data_Input!$V$1:$V$5000,$B24)-INDEX(Data_Input!$W$1:$W$5000,$B24),""))</f>
        <v/>
      </c>
      <c r="AC24" s="27" t="str">
        <f aca="false">IF($A24="","",IFERROR(AB24*E24/1000000000,""))</f>
        <v/>
      </c>
      <c r="AD24" s="35" t="str">
        <f aca="false">IF($A24="","",IFERROR(AB24*E24/INDEX(Data_Input!$R$1:$R$5000,$B24),""))</f>
        <v/>
      </c>
      <c r="AE24" s="27" t="str">
        <f aca="false">IF($A24="","",IFERROR(INDEX(Data_Input!$V$1:$V$5000,$B24)*E24/INDEX(Data_Input!$X$1:$X$5000,$B24)/1000000,""))</f>
        <v/>
      </c>
      <c r="AF24" s="27" t="str">
        <f aca="false">IF($A24="","",IFERROR(INDEX(Data_Input!$W$1:$W$5000,$B24)*E24/INDEX(Data_Input!$Y$1:$Y$5000,$B24)/1000000,""))</f>
        <v/>
      </c>
      <c r="AG24" s="33" t="str">
        <f aca="false">IF($A24="","",IFERROR(AE24/AF24,""))</f>
        <v/>
      </c>
      <c r="AH24" s="41" t="str">
        <f aca="false">IF($A24="","",IFERROR(INDEX(Daily_History!$AH$1:$AH$5000,$C24)/1000000000,""))</f>
        <v/>
      </c>
      <c r="AI24" s="35" t="str">
        <f aca="false">IF($A24="","",IFERROR(AH24/(5*G24),""))</f>
        <v/>
      </c>
      <c r="AJ24" s="27" t="str">
        <f aca="false">IF($A24="","",IFERROR(MAX(-10,MIN(10,IF(D24&gt;I24*1.02,3,IF(D24&gt;I24,1.5,IF(D24&lt;I24*0.98,-3,-1.5)))+IF(I24&gt;K24*1.02,3,IF(I24&gt;K24,1.5,IF(I24&lt;K24*0.98,-3,-1.5)))+IF(D24&gt;=Q24*0.995,2,IF(D24&lt;=R24*1.005,-2,0))+IF(P24&gt;0.03,2,IF(P24&gt;0,1,IF(P24&lt;-0.03,-2,-1))))),0))</f>
        <v/>
      </c>
      <c r="AK24" s="27" t="str">
        <f aca="false">IF($A24="","",IFERROR(MAX(-10,MIN(10,IF(AG24&gt;=SM_STRONG,4,IF(AG24&gt;=SM_MOD,2,IF(AG24&lt;=SM_BAD,-4,IF(AG24&lt;=SM_WEAK,-2,0))))+IF(AD24&gt;=NF_STRONG,3,IF(AD24&gt;=NF_MOD,1.5,IF(AD24&lt;=-NF_STRONG,-3,IF(AD24&lt;=-NF_MOD,-1.5,0))))+IF(AI24&gt;=NF_MOD,3,IF(AI24&gt;0,1.5,IF(AI24&lt;=-NF_MOD,-3,-1.5))))),0))</f>
        <v/>
      </c>
      <c r="AL24" s="27" t="str">
        <f aca="false">IF($A24="","",IFERROR(N24*5-10,0))</f>
        <v/>
      </c>
      <c r="AM24" s="27" t="str">
        <f aca="false">IF($A24="","",IFERROR(IF(F24&gt;0,IF(AA24&gt;=VOL_HIGH,9,IF(AA24&gt;=VOL_MOD,5,IF(AA24&lt;=VOL_DRY,-2,2))),IF(F24&lt;0,IF(AA24&gt;=VOL_HIGH,-9,IF(AA24&gt;=VOL_MOD,-5,IF(AA24&lt;=VOL_DRY,2,-2))),0)),0))</f>
        <v/>
      </c>
      <c r="AN24" s="41" t="str">
        <f aca="false">IF($A24="","",MARKET_SCORE)</f>
        <v/>
      </c>
      <c r="AO24" s="41" t="str">
        <f aca="false">IF($A24="","",IFERROR(INDEX(Time_Link!$B$1:$B$5000,MATCH($A24,Time_Link!$A$1:$A$5000,0)),0))</f>
        <v/>
      </c>
      <c r="AP24" s="27" t="str">
        <f aca="false">IF($A24="","",IFERROR((AJ24*W_TREND+AK24*W_SMART+AL24*W_MA+AM24*W_VOL+AN24*W_MARKET+AO24*W_TIME)/W_SUM,0))</f>
        <v/>
      </c>
      <c r="AQ24" s="28" t="str">
        <f aca="false">IF($A24="","",IF(ABS(AP24)&gt;=8,5,IF(ABS(AP24)&gt;=5,4,IF(ABS(AP24)&gt;=3,3,IF(ABS(AP24)&gt;=1.5,2,1)))))</f>
        <v/>
      </c>
      <c r="AR24" s="23" t="str">
        <f aca="false">IF($A24="","",IF(G24="","بدون داده",IF(G24&lt;MIN_LIQ_B,"کم‌اعتبار","معتبر")))</f>
        <v/>
      </c>
      <c r="AS24" s="42" t="str">
        <f aca="false">IF($A24="","",IFERROR(AP24+ROW()/1000000,-99))</f>
        <v/>
      </c>
      <c r="AT24" s="28" t="str">
        <f aca="false">IF($A24="","",RANK(AS24,$AS$5:$AS$64,0))</f>
        <v/>
      </c>
      <c r="AU24" s="28" t="str">
        <f aca="false">IF($A24="","",RANK(AS24,$AS$5:$AS$64,1))</f>
        <v/>
      </c>
    </row>
    <row r="25" customFormat="false" ht="15" hidden="false" customHeight="false" outlineLevel="0" collapsed="false">
      <c r="A25" s="37" t="str">
        <f aca="false">IF(COUNTA(Watchlist!$A$25)=0,"",Watchlist!$A$25)</f>
        <v/>
      </c>
      <c r="B25" s="28" t="str">
        <f aca="false">IF($A25="","",IFERROR(MATCH($A25,Data_Input!$A$1:$A$5000,0),""))</f>
        <v/>
      </c>
      <c r="C25" s="28" t="str">
        <f aca="false">IF($A25="","",IFERROR(MATCH($A25,Daily_History!$AN$1:$AN$5000,0),""))</f>
        <v/>
      </c>
      <c r="D25" s="39" t="str">
        <f aca="false">IF($A25="","",IFERROR(INDEX(Data_Input!$I$1:$I$5000,$B25),""))</f>
        <v/>
      </c>
      <c r="E25" s="39" t="str">
        <f aca="false">IF($A25="","",IFERROR(INDEX(Data_Input!$J$1:$J$5000,$B25),""))</f>
        <v/>
      </c>
      <c r="F25" s="40" t="str">
        <f aca="false">IF($A25="","",IFERROR(INDEX(Data_Input!$M$1:$M$5000,$B25),""))</f>
        <v/>
      </c>
      <c r="G25" s="41" t="str">
        <f aca="false">IF($A25="","",IFERROR(INDEX(Data_Input!$R$1:$R$5000,$B25)/1000000000,""))</f>
        <v/>
      </c>
      <c r="H25" s="39" t="str">
        <f aca="false">IF($A25="","",IFERROR(INDEX(Daily_History!$V$1:$V$5000,$C25),""))</f>
        <v/>
      </c>
      <c r="I25" s="39" t="str">
        <f aca="false">IF($A25="","",IFERROR(INDEX(Daily_History!$W$1:$W$5000,$C25),""))</f>
        <v/>
      </c>
      <c r="J25" s="39" t="str">
        <f aca="false">IF($A25="","",IFERROR(INDEX(Daily_History!$X$1:$X$5000,$C25),""))</f>
        <v/>
      </c>
      <c r="K25" s="39" t="str">
        <f aca="false">IF($A25="","",IFERROR(INDEX(Daily_History!$Y$1:$Y$5000,$C25),""))</f>
        <v/>
      </c>
      <c r="L25" s="35" t="str">
        <f aca="false">IF($A25="","",IFERROR($D25/$I25-1,""))</f>
        <v/>
      </c>
      <c r="M25" s="35" t="str">
        <f aca="false">IF($A25="","",IFERROR($D25/$K25-1,""))</f>
        <v/>
      </c>
      <c r="N25" s="28" t="str">
        <f aca="false">IF($A25="","",IF(D25&gt;H25,1,0)+IF(D25&gt;I25,1,0)+IF(D25&gt;J25,1,0)+IF(D25&gt;K25,1,0))</f>
        <v/>
      </c>
      <c r="O25" s="23" t="str">
        <f aca="false">IF($A25="","",IF(AND(ISNUMBER(H25),ISNUMBER(K25)),IF(AND(H25&gt;I25,I25&gt;J25,J25&gt;K25),"آرایش صعودی کامل",IF(AND(H25&lt;I25,I25&lt;J25,J25&lt;K25),"آرایش نزولی کامل",IF(I25&gt;K25,"تقاطع طلایی","تقاطع مرگ"))),"داده ناکافی"))</f>
        <v/>
      </c>
      <c r="P25" s="35" t="str">
        <f aca="false">IF($A25="","",IFERROR(H25/INDEX(Daily_History!$V$1:$V$5000,$C25-MA_SHORT)-1,""))</f>
        <v/>
      </c>
      <c r="Q25" s="39" t="str">
        <f aca="false">IF($A25="","",IFERROR(INDEX(Daily_History!$AI$1:$AI$5000,$C25),""))</f>
        <v/>
      </c>
      <c r="R25" s="39" t="str">
        <f aca="false">IF($A25="","",IFERROR(INDEX(Daily_History!$AJ$1:$AJ$5000,$C25),""))</f>
        <v/>
      </c>
      <c r="S25" s="39" t="str">
        <f aca="false">IF($A25="","",IFERROR(INDEX(Daily_History!$AK$1:$AK$5000,$C25),""))</f>
        <v/>
      </c>
      <c r="T25" s="39" t="str">
        <f aca="false">IF($A25="","",IFERROR(INDEX(Daily_History!$AL$1:$AL$5000,$C25),""))</f>
        <v/>
      </c>
      <c r="U25" s="23" t="str">
        <f aca="false">IF($A25="","",IF(AND(ISNUMBER(S25),ISNUMBER(D25)),IF(D25&gt;=S25*0.995,"سقف‌شکنی میان‌مدت (HH)",IF(D25&gt;=Q25*0.995,"سقف‌شکنی کوتاه‌مدت",IF(D25&lt;=T25*1.005,"کف‌شکنی میان‌مدت (LL)",IF(D25&lt;=R25*1.005,"کف‌شکنی کوتاه‌مدت","درون محدوده")))),"داده ناکافی"))</f>
        <v/>
      </c>
      <c r="V25" s="39" t="str">
        <f aca="false">IF($A25="","",IFERROR(INDEX(Daily_History!$AB$1:$AB$5000,$C25),""))</f>
        <v/>
      </c>
      <c r="W25" s="35" t="str">
        <f aca="false">IF($A25="","",IFERROR(V25/D25,""))</f>
        <v/>
      </c>
      <c r="X25" s="26" t="str">
        <f aca="false">IF($A25="","",IFERROR(D25-ATR_STOP_MULT*V25,""))</f>
        <v/>
      </c>
      <c r="Y25" s="39" t="str">
        <f aca="false">IF($A25="","",IFERROR(INDEX(Daily_History!$Z$1:$Z$5000,$C25),""))</f>
        <v/>
      </c>
      <c r="Z25" s="39" t="str">
        <f aca="false">IF($A25="","",IFERROR(INDEX(Data_Input!$Q$1:$Q$5000,$B25),""))</f>
        <v/>
      </c>
      <c r="AA25" s="33" t="str">
        <f aca="false">IF($A25="","",IFERROR(Z25/Y25,""))</f>
        <v/>
      </c>
      <c r="AB25" s="26" t="str">
        <f aca="false">IF($A25="","",IFERROR(INDEX(Data_Input!$V$1:$V$5000,$B25)-INDEX(Data_Input!$W$1:$W$5000,$B25),""))</f>
        <v/>
      </c>
      <c r="AC25" s="27" t="str">
        <f aca="false">IF($A25="","",IFERROR(AB25*E25/1000000000,""))</f>
        <v/>
      </c>
      <c r="AD25" s="35" t="str">
        <f aca="false">IF($A25="","",IFERROR(AB25*E25/INDEX(Data_Input!$R$1:$R$5000,$B25),""))</f>
        <v/>
      </c>
      <c r="AE25" s="27" t="str">
        <f aca="false">IF($A25="","",IFERROR(INDEX(Data_Input!$V$1:$V$5000,$B25)*E25/INDEX(Data_Input!$X$1:$X$5000,$B25)/1000000,""))</f>
        <v/>
      </c>
      <c r="AF25" s="27" t="str">
        <f aca="false">IF($A25="","",IFERROR(INDEX(Data_Input!$W$1:$W$5000,$B25)*E25/INDEX(Data_Input!$Y$1:$Y$5000,$B25)/1000000,""))</f>
        <v/>
      </c>
      <c r="AG25" s="33" t="str">
        <f aca="false">IF($A25="","",IFERROR(AE25/AF25,""))</f>
        <v/>
      </c>
      <c r="AH25" s="41" t="str">
        <f aca="false">IF($A25="","",IFERROR(INDEX(Daily_History!$AH$1:$AH$5000,$C25)/1000000000,""))</f>
        <v/>
      </c>
      <c r="AI25" s="35" t="str">
        <f aca="false">IF($A25="","",IFERROR(AH25/(5*G25),""))</f>
        <v/>
      </c>
      <c r="AJ25" s="27" t="str">
        <f aca="false">IF($A25="","",IFERROR(MAX(-10,MIN(10,IF(D25&gt;I25*1.02,3,IF(D25&gt;I25,1.5,IF(D25&lt;I25*0.98,-3,-1.5)))+IF(I25&gt;K25*1.02,3,IF(I25&gt;K25,1.5,IF(I25&lt;K25*0.98,-3,-1.5)))+IF(D25&gt;=Q25*0.995,2,IF(D25&lt;=R25*1.005,-2,0))+IF(P25&gt;0.03,2,IF(P25&gt;0,1,IF(P25&lt;-0.03,-2,-1))))),0))</f>
        <v/>
      </c>
      <c r="AK25" s="27" t="str">
        <f aca="false">IF($A25="","",IFERROR(MAX(-10,MIN(10,IF(AG25&gt;=SM_STRONG,4,IF(AG25&gt;=SM_MOD,2,IF(AG25&lt;=SM_BAD,-4,IF(AG25&lt;=SM_WEAK,-2,0))))+IF(AD25&gt;=NF_STRONG,3,IF(AD25&gt;=NF_MOD,1.5,IF(AD25&lt;=-NF_STRONG,-3,IF(AD25&lt;=-NF_MOD,-1.5,0))))+IF(AI25&gt;=NF_MOD,3,IF(AI25&gt;0,1.5,IF(AI25&lt;=-NF_MOD,-3,-1.5))))),0))</f>
        <v/>
      </c>
      <c r="AL25" s="27" t="str">
        <f aca="false">IF($A25="","",IFERROR(N25*5-10,0))</f>
        <v/>
      </c>
      <c r="AM25" s="27" t="str">
        <f aca="false">IF($A25="","",IFERROR(IF(F25&gt;0,IF(AA25&gt;=VOL_HIGH,9,IF(AA25&gt;=VOL_MOD,5,IF(AA25&lt;=VOL_DRY,-2,2))),IF(F25&lt;0,IF(AA25&gt;=VOL_HIGH,-9,IF(AA25&gt;=VOL_MOD,-5,IF(AA25&lt;=VOL_DRY,2,-2))),0)),0))</f>
        <v/>
      </c>
      <c r="AN25" s="41" t="str">
        <f aca="false">IF($A25="","",MARKET_SCORE)</f>
        <v/>
      </c>
      <c r="AO25" s="41" t="str">
        <f aca="false">IF($A25="","",IFERROR(INDEX(Time_Link!$B$1:$B$5000,MATCH($A25,Time_Link!$A$1:$A$5000,0)),0))</f>
        <v/>
      </c>
      <c r="AP25" s="27" t="str">
        <f aca="false">IF($A25="","",IFERROR((AJ25*W_TREND+AK25*W_SMART+AL25*W_MA+AM25*W_VOL+AN25*W_MARKET+AO25*W_TIME)/W_SUM,0))</f>
        <v/>
      </c>
      <c r="AQ25" s="28" t="str">
        <f aca="false">IF($A25="","",IF(ABS(AP25)&gt;=8,5,IF(ABS(AP25)&gt;=5,4,IF(ABS(AP25)&gt;=3,3,IF(ABS(AP25)&gt;=1.5,2,1)))))</f>
        <v/>
      </c>
      <c r="AR25" s="23" t="str">
        <f aca="false">IF($A25="","",IF(G25="","بدون داده",IF(G25&lt;MIN_LIQ_B,"کم‌اعتبار","معتبر")))</f>
        <v/>
      </c>
      <c r="AS25" s="42" t="str">
        <f aca="false">IF($A25="","",IFERROR(AP25+ROW()/1000000,-99))</f>
        <v/>
      </c>
      <c r="AT25" s="28" t="str">
        <f aca="false">IF($A25="","",RANK(AS25,$AS$5:$AS$64,0))</f>
        <v/>
      </c>
      <c r="AU25" s="28" t="str">
        <f aca="false">IF($A25="","",RANK(AS25,$AS$5:$AS$64,1))</f>
        <v/>
      </c>
    </row>
    <row r="26" customFormat="false" ht="15" hidden="false" customHeight="false" outlineLevel="0" collapsed="false">
      <c r="A26" s="37" t="str">
        <f aca="false">IF(COUNTA(Watchlist!$A$26)=0,"",Watchlist!$A$26)</f>
        <v/>
      </c>
      <c r="B26" s="28" t="str">
        <f aca="false">IF($A26="","",IFERROR(MATCH($A26,Data_Input!$A$1:$A$5000,0),""))</f>
        <v/>
      </c>
      <c r="C26" s="28" t="str">
        <f aca="false">IF($A26="","",IFERROR(MATCH($A26,Daily_History!$AN$1:$AN$5000,0),""))</f>
        <v/>
      </c>
      <c r="D26" s="39" t="str">
        <f aca="false">IF($A26="","",IFERROR(INDEX(Data_Input!$I$1:$I$5000,$B26),""))</f>
        <v/>
      </c>
      <c r="E26" s="39" t="str">
        <f aca="false">IF($A26="","",IFERROR(INDEX(Data_Input!$J$1:$J$5000,$B26),""))</f>
        <v/>
      </c>
      <c r="F26" s="40" t="str">
        <f aca="false">IF($A26="","",IFERROR(INDEX(Data_Input!$M$1:$M$5000,$B26),""))</f>
        <v/>
      </c>
      <c r="G26" s="41" t="str">
        <f aca="false">IF($A26="","",IFERROR(INDEX(Data_Input!$R$1:$R$5000,$B26)/1000000000,""))</f>
        <v/>
      </c>
      <c r="H26" s="39" t="str">
        <f aca="false">IF($A26="","",IFERROR(INDEX(Daily_History!$V$1:$V$5000,$C26),""))</f>
        <v/>
      </c>
      <c r="I26" s="39" t="str">
        <f aca="false">IF($A26="","",IFERROR(INDEX(Daily_History!$W$1:$W$5000,$C26),""))</f>
        <v/>
      </c>
      <c r="J26" s="39" t="str">
        <f aca="false">IF($A26="","",IFERROR(INDEX(Daily_History!$X$1:$X$5000,$C26),""))</f>
        <v/>
      </c>
      <c r="K26" s="39" t="str">
        <f aca="false">IF($A26="","",IFERROR(INDEX(Daily_History!$Y$1:$Y$5000,$C26),""))</f>
        <v/>
      </c>
      <c r="L26" s="35" t="str">
        <f aca="false">IF($A26="","",IFERROR($D26/$I26-1,""))</f>
        <v/>
      </c>
      <c r="M26" s="35" t="str">
        <f aca="false">IF($A26="","",IFERROR($D26/$K26-1,""))</f>
        <v/>
      </c>
      <c r="N26" s="28" t="str">
        <f aca="false">IF($A26="","",IF(D26&gt;H26,1,0)+IF(D26&gt;I26,1,0)+IF(D26&gt;J26,1,0)+IF(D26&gt;K26,1,0))</f>
        <v/>
      </c>
      <c r="O26" s="23" t="str">
        <f aca="false">IF($A26="","",IF(AND(ISNUMBER(H26),ISNUMBER(K26)),IF(AND(H26&gt;I26,I26&gt;J26,J26&gt;K26),"آرایش صعودی کامل",IF(AND(H26&lt;I26,I26&lt;J26,J26&lt;K26),"آرایش نزولی کامل",IF(I26&gt;K26,"تقاطع طلایی","تقاطع مرگ"))),"داده ناکافی"))</f>
        <v/>
      </c>
      <c r="P26" s="35" t="str">
        <f aca="false">IF($A26="","",IFERROR(H26/INDEX(Daily_History!$V$1:$V$5000,$C26-MA_SHORT)-1,""))</f>
        <v/>
      </c>
      <c r="Q26" s="39" t="str">
        <f aca="false">IF($A26="","",IFERROR(INDEX(Daily_History!$AI$1:$AI$5000,$C26),""))</f>
        <v/>
      </c>
      <c r="R26" s="39" t="str">
        <f aca="false">IF($A26="","",IFERROR(INDEX(Daily_History!$AJ$1:$AJ$5000,$C26),""))</f>
        <v/>
      </c>
      <c r="S26" s="39" t="str">
        <f aca="false">IF($A26="","",IFERROR(INDEX(Daily_History!$AK$1:$AK$5000,$C26),""))</f>
        <v/>
      </c>
      <c r="T26" s="39" t="str">
        <f aca="false">IF($A26="","",IFERROR(INDEX(Daily_History!$AL$1:$AL$5000,$C26),""))</f>
        <v/>
      </c>
      <c r="U26" s="23" t="str">
        <f aca="false">IF($A26="","",IF(AND(ISNUMBER(S26),ISNUMBER(D26)),IF(D26&gt;=S26*0.995,"سقف‌شکنی میان‌مدت (HH)",IF(D26&gt;=Q26*0.995,"سقف‌شکنی کوتاه‌مدت",IF(D26&lt;=T26*1.005,"کف‌شکنی میان‌مدت (LL)",IF(D26&lt;=R26*1.005,"کف‌شکنی کوتاه‌مدت","درون محدوده")))),"داده ناکافی"))</f>
        <v/>
      </c>
      <c r="V26" s="39" t="str">
        <f aca="false">IF($A26="","",IFERROR(INDEX(Daily_History!$AB$1:$AB$5000,$C26),""))</f>
        <v/>
      </c>
      <c r="W26" s="35" t="str">
        <f aca="false">IF($A26="","",IFERROR(V26/D26,""))</f>
        <v/>
      </c>
      <c r="X26" s="26" t="str">
        <f aca="false">IF($A26="","",IFERROR(D26-ATR_STOP_MULT*V26,""))</f>
        <v/>
      </c>
      <c r="Y26" s="39" t="str">
        <f aca="false">IF($A26="","",IFERROR(INDEX(Daily_History!$Z$1:$Z$5000,$C26),""))</f>
        <v/>
      </c>
      <c r="Z26" s="39" t="str">
        <f aca="false">IF($A26="","",IFERROR(INDEX(Data_Input!$Q$1:$Q$5000,$B26),""))</f>
        <v/>
      </c>
      <c r="AA26" s="33" t="str">
        <f aca="false">IF($A26="","",IFERROR(Z26/Y26,""))</f>
        <v/>
      </c>
      <c r="AB26" s="26" t="str">
        <f aca="false">IF($A26="","",IFERROR(INDEX(Data_Input!$V$1:$V$5000,$B26)-INDEX(Data_Input!$W$1:$W$5000,$B26),""))</f>
        <v/>
      </c>
      <c r="AC26" s="27" t="str">
        <f aca="false">IF($A26="","",IFERROR(AB26*E26/1000000000,""))</f>
        <v/>
      </c>
      <c r="AD26" s="35" t="str">
        <f aca="false">IF($A26="","",IFERROR(AB26*E26/INDEX(Data_Input!$R$1:$R$5000,$B26),""))</f>
        <v/>
      </c>
      <c r="AE26" s="27" t="str">
        <f aca="false">IF($A26="","",IFERROR(INDEX(Data_Input!$V$1:$V$5000,$B26)*E26/INDEX(Data_Input!$X$1:$X$5000,$B26)/1000000,""))</f>
        <v/>
      </c>
      <c r="AF26" s="27" t="str">
        <f aca="false">IF($A26="","",IFERROR(INDEX(Data_Input!$W$1:$W$5000,$B26)*E26/INDEX(Data_Input!$Y$1:$Y$5000,$B26)/1000000,""))</f>
        <v/>
      </c>
      <c r="AG26" s="33" t="str">
        <f aca="false">IF($A26="","",IFERROR(AE26/AF26,""))</f>
        <v/>
      </c>
      <c r="AH26" s="41" t="str">
        <f aca="false">IF($A26="","",IFERROR(INDEX(Daily_History!$AH$1:$AH$5000,$C26)/1000000000,""))</f>
        <v/>
      </c>
      <c r="AI26" s="35" t="str">
        <f aca="false">IF($A26="","",IFERROR(AH26/(5*G26),""))</f>
        <v/>
      </c>
      <c r="AJ26" s="27" t="str">
        <f aca="false">IF($A26="","",IFERROR(MAX(-10,MIN(10,IF(D26&gt;I26*1.02,3,IF(D26&gt;I26,1.5,IF(D26&lt;I26*0.98,-3,-1.5)))+IF(I26&gt;K26*1.02,3,IF(I26&gt;K26,1.5,IF(I26&lt;K26*0.98,-3,-1.5)))+IF(D26&gt;=Q26*0.995,2,IF(D26&lt;=R26*1.005,-2,0))+IF(P26&gt;0.03,2,IF(P26&gt;0,1,IF(P26&lt;-0.03,-2,-1))))),0))</f>
        <v/>
      </c>
      <c r="AK26" s="27" t="str">
        <f aca="false">IF($A26="","",IFERROR(MAX(-10,MIN(10,IF(AG26&gt;=SM_STRONG,4,IF(AG26&gt;=SM_MOD,2,IF(AG26&lt;=SM_BAD,-4,IF(AG26&lt;=SM_WEAK,-2,0))))+IF(AD26&gt;=NF_STRONG,3,IF(AD26&gt;=NF_MOD,1.5,IF(AD26&lt;=-NF_STRONG,-3,IF(AD26&lt;=-NF_MOD,-1.5,0))))+IF(AI26&gt;=NF_MOD,3,IF(AI26&gt;0,1.5,IF(AI26&lt;=-NF_MOD,-3,-1.5))))),0))</f>
        <v/>
      </c>
      <c r="AL26" s="27" t="str">
        <f aca="false">IF($A26="","",IFERROR(N26*5-10,0))</f>
        <v/>
      </c>
      <c r="AM26" s="27" t="str">
        <f aca="false">IF($A26="","",IFERROR(IF(F26&gt;0,IF(AA26&gt;=VOL_HIGH,9,IF(AA26&gt;=VOL_MOD,5,IF(AA26&lt;=VOL_DRY,-2,2))),IF(F26&lt;0,IF(AA26&gt;=VOL_HIGH,-9,IF(AA26&gt;=VOL_MOD,-5,IF(AA26&lt;=VOL_DRY,2,-2))),0)),0))</f>
        <v/>
      </c>
      <c r="AN26" s="41" t="str">
        <f aca="false">IF($A26="","",MARKET_SCORE)</f>
        <v/>
      </c>
      <c r="AO26" s="41" t="str">
        <f aca="false">IF($A26="","",IFERROR(INDEX(Time_Link!$B$1:$B$5000,MATCH($A26,Time_Link!$A$1:$A$5000,0)),0))</f>
        <v/>
      </c>
      <c r="AP26" s="27" t="str">
        <f aca="false">IF($A26="","",IFERROR((AJ26*W_TREND+AK26*W_SMART+AL26*W_MA+AM26*W_VOL+AN26*W_MARKET+AO26*W_TIME)/W_SUM,0))</f>
        <v/>
      </c>
      <c r="AQ26" s="28" t="str">
        <f aca="false">IF($A26="","",IF(ABS(AP26)&gt;=8,5,IF(ABS(AP26)&gt;=5,4,IF(ABS(AP26)&gt;=3,3,IF(ABS(AP26)&gt;=1.5,2,1)))))</f>
        <v/>
      </c>
      <c r="AR26" s="23" t="str">
        <f aca="false">IF($A26="","",IF(G26="","بدون داده",IF(G26&lt;MIN_LIQ_B,"کم‌اعتبار","معتبر")))</f>
        <v/>
      </c>
      <c r="AS26" s="42" t="str">
        <f aca="false">IF($A26="","",IFERROR(AP26+ROW()/1000000,-99))</f>
        <v/>
      </c>
      <c r="AT26" s="28" t="str">
        <f aca="false">IF($A26="","",RANK(AS26,$AS$5:$AS$64,0))</f>
        <v/>
      </c>
      <c r="AU26" s="28" t="str">
        <f aca="false">IF($A26="","",RANK(AS26,$AS$5:$AS$64,1))</f>
        <v/>
      </c>
    </row>
    <row r="27" customFormat="false" ht="15" hidden="false" customHeight="false" outlineLevel="0" collapsed="false">
      <c r="A27" s="37" t="str">
        <f aca="false">IF(COUNTA(Watchlist!$A$27)=0,"",Watchlist!$A$27)</f>
        <v/>
      </c>
      <c r="B27" s="28" t="str">
        <f aca="false">IF($A27="","",IFERROR(MATCH($A27,Data_Input!$A$1:$A$5000,0),""))</f>
        <v/>
      </c>
      <c r="C27" s="28" t="str">
        <f aca="false">IF($A27="","",IFERROR(MATCH($A27,Daily_History!$AN$1:$AN$5000,0),""))</f>
        <v/>
      </c>
      <c r="D27" s="39" t="str">
        <f aca="false">IF($A27="","",IFERROR(INDEX(Data_Input!$I$1:$I$5000,$B27),""))</f>
        <v/>
      </c>
      <c r="E27" s="39" t="str">
        <f aca="false">IF($A27="","",IFERROR(INDEX(Data_Input!$J$1:$J$5000,$B27),""))</f>
        <v/>
      </c>
      <c r="F27" s="40" t="str">
        <f aca="false">IF($A27="","",IFERROR(INDEX(Data_Input!$M$1:$M$5000,$B27),""))</f>
        <v/>
      </c>
      <c r="G27" s="41" t="str">
        <f aca="false">IF($A27="","",IFERROR(INDEX(Data_Input!$R$1:$R$5000,$B27)/1000000000,""))</f>
        <v/>
      </c>
      <c r="H27" s="39" t="str">
        <f aca="false">IF($A27="","",IFERROR(INDEX(Daily_History!$V$1:$V$5000,$C27),""))</f>
        <v/>
      </c>
      <c r="I27" s="39" t="str">
        <f aca="false">IF($A27="","",IFERROR(INDEX(Daily_History!$W$1:$W$5000,$C27),""))</f>
        <v/>
      </c>
      <c r="J27" s="39" t="str">
        <f aca="false">IF($A27="","",IFERROR(INDEX(Daily_History!$X$1:$X$5000,$C27),""))</f>
        <v/>
      </c>
      <c r="K27" s="39" t="str">
        <f aca="false">IF($A27="","",IFERROR(INDEX(Daily_History!$Y$1:$Y$5000,$C27),""))</f>
        <v/>
      </c>
      <c r="L27" s="35" t="str">
        <f aca="false">IF($A27="","",IFERROR($D27/$I27-1,""))</f>
        <v/>
      </c>
      <c r="M27" s="35" t="str">
        <f aca="false">IF($A27="","",IFERROR($D27/$K27-1,""))</f>
        <v/>
      </c>
      <c r="N27" s="28" t="str">
        <f aca="false">IF($A27="","",IF(D27&gt;H27,1,0)+IF(D27&gt;I27,1,0)+IF(D27&gt;J27,1,0)+IF(D27&gt;K27,1,0))</f>
        <v/>
      </c>
      <c r="O27" s="23" t="str">
        <f aca="false">IF($A27="","",IF(AND(ISNUMBER(H27),ISNUMBER(K27)),IF(AND(H27&gt;I27,I27&gt;J27,J27&gt;K27),"آرایش صعودی کامل",IF(AND(H27&lt;I27,I27&lt;J27,J27&lt;K27),"آرایش نزولی کامل",IF(I27&gt;K27,"تقاطع طلایی","تقاطع مرگ"))),"داده ناکافی"))</f>
        <v/>
      </c>
      <c r="P27" s="35" t="str">
        <f aca="false">IF($A27="","",IFERROR(H27/INDEX(Daily_History!$V$1:$V$5000,$C27-MA_SHORT)-1,""))</f>
        <v/>
      </c>
      <c r="Q27" s="39" t="str">
        <f aca="false">IF($A27="","",IFERROR(INDEX(Daily_History!$AI$1:$AI$5000,$C27),""))</f>
        <v/>
      </c>
      <c r="R27" s="39" t="str">
        <f aca="false">IF($A27="","",IFERROR(INDEX(Daily_History!$AJ$1:$AJ$5000,$C27),""))</f>
        <v/>
      </c>
      <c r="S27" s="39" t="str">
        <f aca="false">IF($A27="","",IFERROR(INDEX(Daily_History!$AK$1:$AK$5000,$C27),""))</f>
        <v/>
      </c>
      <c r="T27" s="39" t="str">
        <f aca="false">IF($A27="","",IFERROR(INDEX(Daily_History!$AL$1:$AL$5000,$C27),""))</f>
        <v/>
      </c>
      <c r="U27" s="23" t="str">
        <f aca="false">IF($A27="","",IF(AND(ISNUMBER(S27),ISNUMBER(D27)),IF(D27&gt;=S27*0.995,"سقف‌شکنی میان‌مدت (HH)",IF(D27&gt;=Q27*0.995,"سقف‌شکنی کوتاه‌مدت",IF(D27&lt;=T27*1.005,"کف‌شکنی میان‌مدت (LL)",IF(D27&lt;=R27*1.005,"کف‌شکنی کوتاه‌مدت","درون محدوده")))),"داده ناکافی"))</f>
        <v/>
      </c>
      <c r="V27" s="39" t="str">
        <f aca="false">IF($A27="","",IFERROR(INDEX(Daily_History!$AB$1:$AB$5000,$C27),""))</f>
        <v/>
      </c>
      <c r="W27" s="35" t="str">
        <f aca="false">IF($A27="","",IFERROR(V27/D27,""))</f>
        <v/>
      </c>
      <c r="X27" s="26" t="str">
        <f aca="false">IF($A27="","",IFERROR(D27-ATR_STOP_MULT*V27,""))</f>
        <v/>
      </c>
      <c r="Y27" s="39" t="str">
        <f aca="false">IF($A27="","",IFERROR(INDEX(Daily_History!$Z$1:$Z$5000,$C27),""))</f>
        <v/>
      </c>
      <c r="Z27" s="39" t="str">
        <f aca="false">IF($A27="","",IFERROR(INDEX(Data_Input!$Q$1:$Q$5000,$B27),""))</f>
        <v/>
      </c>
      <c r="AA27" s="33" t="str">
        <f aca="false">IF($A27="","",IFERROR(Z27/Y27,""))</f>
        <v/>
      </c>
      <c r="AB27" s="26" t="str">
        <f aca="false">IF($A27="","",IFERROR(INDEX(Data_Input!$V$1:$V$5000,$B27)-INDEX(Data_Input!$W$1:$W$5000,$B27),""))</f>
        <v/>
      </c>
      <c r="AC27" s="27" t="str">
        <f aca="false">IF($A27="","",IFERROR(AB27*E27/1000000000,""))</f>
        <v/>
      </c>
      <c r="AD27" s="35" t="str">
        <f aca="false">IF($A27="","",IFERROR(AB27*E27/INDEX(Data_Input!$R$1:$R$5000,$B27),""))</f>
        <v/>
      </c>
      <c r="AE27" s="27" t="str">
        <f aca="false">IF($A27="","",IFERROR(INDEX(Data_Input!$V$1:$V$5000,$B27)*E27/INDEX(Data_Input!$X$1:$X$5000,$B27)/1000000,""))</f>
        <v/>
      </c>
      <c r="AF27" s="27" t="str">
        <f aca="false">IF($A27="","",IFERROR(INDEX(Data_Input!$W$1:$W$5000,$B27)*E27/INDEX(Data_Input!$Y$1:$Y$5000,$B27)/1000000,""))</f>
        <v/>
      </c>
      <c r="AG27" s="33" t="str">
        <f aca="false">IF($A27="","",IFERROR(AE27/AF27,""))</f>
        <v/>
      </c>
      <c r="AH27" s="41" t="str">
        <f aca="false">IF($A27="","",IFERROR(INDEX(Daily_History!$AH$1:$AH$5000,$C27)/1000000000,""))</f>
        <v/>
      </c>
      <c r="AI27" s="35" t="str">
        <f aca="false">IF($A27="","",IFERROR(AH27/(5*G27),""))</f>
        <v/>
      </c>
      <c r="AJ27" s="27" t="str">
        <f aca="false">IF($A27="","",IFERROR(MAX(-10,MIN(10,IF(D27&gt;I27*1.02,3,IF(D27&gt;I27,1.5,IF(D27&lt;I27*0.98,-3,-1.5)))+IF(I27&gt;K27*1.02,3,IF(I27&gt;K27,1.5,IF(I27&lt;K27*0.98,-3,-1.5)))+IF(D27&gt;=Q27*0.995,2,IF(D27&lt;=R27*1.005,-2,0))+IF(P27&gt;0.03,2,IF(P27&gt;0,1,IF(P27&lt;-0.03,-2,-1))))),0))</f>
        <v/>
      </c>
      <c r="AK27" s="27" t="str">
        <f aca="false">IF($A27="","",IFERROR(MAX(-10,MIN(10,IF(AG27&gt;=SM_STRONG,4,IF(AG27&gt;=SM_MOD,2,IF(AG27&lt;=SM_BAD,-4,IF(AG27&lt;=SM_WEAK,-2,0))))+IF(AD27&gt;=NF_STRONG,3,IF(AD27&gt;=NF_MOD,1.5,IF(AD27&lt;=-NF_STRONG,-3,IF(AD27&lt;=-NF_MOD,-1.5,0))))+IF(AI27&gt;=NF_MOD,3,IF(AI27&gt;0,1.5,IF(AI27&lt;=-NF_MOD,-3,-1.5))))),0))</f>
        <v/>
      </c>
      <c r="AL27" s="27" t="str">
        <f aca="false">IF($A27="","",IFERROR(N27*5-10,0))</f>
        <v/>
      </c>
      <c r="AM27" s="27" t="str">
        <f aca="false">IF($A27="","",IFERROR(IF(F27&gt;0,IF(AA27&gt;=VOL_HIGH,9,IF(AA27&gt;=VOL_MOD,5,IF(AA27&lt;=VOL_DRY,-2,2))),IF(F27&lt;0,IF(AA27&gt;=VOL_HIGH,-9,IF(AA27&gt;=VOL_MOD,-5,IF(AA27&lt;=VOL_DRY,2,-2))),0)),0))</f>
        <v/>
      </c>
      <c r="AN27" s="41" t="str">
        <f aca="false">IF($A27="","",MARKET_SCORE)</f>
        <v/>
      </c>
      <c r="AO27" s="41" t="str">
        <f aca="false">IF($A27="","",IFERROR(INDEX(Time_Link!$B$1:$B$5000,MATCH($A27,Time_Link!$A$1:$A$5000,0)),0))</f>
        <v/>
      </c>
      <c r="AP27" s="27" t="str">
        <f aca="false">IF($A27="","",IFERROR((AJ27*W_TREND+AK27*W_SMART+AL27*W_MA+AM27*W_VOL+AN27*W_MARKET+AO27*W_TIME)/W_SUM,0))</f>
        <v/>
      </c>
      <c r="AQ27" s="28" t="str">
        <f aca="false">IF($A27="","",IF(ABS(AP27)&gt;=8,5,IF(ABS(AP27)&gt;=5,4,IF(ABS(AP27)&gt;=3,3,IF(ABS(AP27)&gt;=1.5,2,1)))))</f>
        <v/>
      </c>
      <c r="AR27" s="23" t="str">
        <f aca="false">IF($A27="","",IF(G27="","بدون داده",IF(G27&lt;MIN_LIQ_B,"کم‌اعتبار","معتبر")))</f>
        <v/>
      </c>
      <c r="AS27" s="42" t="str">
        <f aca="false">IF($A27="","",IFERROR(AP27+ROW()/1000000,-99))</f>
        <v/>
      </c>
      <c r="AT27" s="28" t="str">
        <f aca="false">IF($A27="","",RANK(AS27,$AS$5:$AS$64,0))</f>
        <v/>
      </c>
      <c r="AU27" s="28" t="str">
        <f aca="false">IF($A27="","",RANK(AS27,$AS$5:$AS$64,1))</f>
        <v/>
      </c>
    </row>
    <row r="28" customFormat="false" ht="15" hidden="false" customHeight="false" outlineLevel="0" collapsed="false">
      <c r="A28" s="37" t="str">
        <f aca="false">IF(COUNTA(Watchlist!$A$28)=0,"",Watchlist!$A$28)</f>
        <v/>
      </c>
      <c r="B28" s="28" t="str">
        <f aca="false">IF($A28="","",IFERROR(MATCH($A28,Data_Input!$A$1:$A$5000,0),""))</f>
        <v/>
      </c>
      <c r="C28" s="28" t="str">
        <f aca="false">IF($A28="","",IFERROR(MATCH($A28,Daily_History!$AN$1:$AN$5000,0),""))</f>
        <v/>
      </c>
      <c r="D28" s="39" t="str">
        <f aca="false">IF($A28="","",IFERROR(INDEX(Data_Input!$I$1:$I$5000,$B28),""))</f>
        <v/>
      </c>
      <c r="E28" s="39" t="str">
        <f aca="false">IF($A28="","",IFERROR(INDEX(Data_Input!$J$1:$J$5000,$B28),""))</f>
        <v/>
      </c>
      <c r="F28" s="40" t="str">
        <f aca="false">IF($A28="","",IFERROR(INDEX(Data_Input!$M$1:$M$5000,$B28),""))</f>
        <v/>
      </c>
      <c r="G28" s="41" t="str">
        <f aca="false">IF($A28="","",IFERROR(INDEX(Data_Input!$R$1:$R$5000,$B28)/1000000000,""))</f>
        <v/>
      </c>
      <c r="H28" s="39" t="str">
        <f aca="false">IF($A28="","",IFERROR(INDEX(Daily_History!$V$1:$V$5000,$C28),""))</f>
        <v/>
      </c>
      <c r="I28" s="39" t="str">
        <f aca="false">IF($A28="","",IFERROR(INDEX(Daily_History!$W$1:$W$5000,$C28),""))</f>
        <v/>
      </c>
      <c r="J28" s="39" t="str">
        <f aca="false">IF($A28="","",IFERROR(INDEX(Daily_History!$X$1:$X$5000,$C28),""))</f>
        <v/>
      </c>
      <c r="K28" s="39" t="str">
        <f aca="false">IF($A28="","",IFERROR(INDEX(Daily_History!$Y$1:$Y$5000,$C28),""))</f>
        <v/>
      </c>
      <c r="L28" s="35" t="str">
        <f aca="false">IF($A28="","",IFERROR($D28/$I28-1,""))</f>
        <v/>
      </c>
      <c r="M28" s="35" t="str">
        <f aca="false">IF($A28="","",IFERROR($D28/$K28-1,""))</f>
        <v/>
      </c>
      <c r="N28" s="28" t="str">
        <f aca="false">IF($A28="","",IF(D28&gt;H28,1,0)+IF(D28&gt;I28,1,0)+IF(D28&gt;J28,1,0)+IF(D28&gt;K28,1,0))</f>
        <v/>
      </c>
      <c r="O28" s="23" t="str">
        <f aca="false">IF($A28="","",IF(AND(ISNUMBER(H28),ISNUMBER(K28)),IF(AND(H28&gt;I28,I28&gt;J28,J28&gt;K28),"آرایش صعودی کامل",IF(AND(H28&lt;I28,I28&lt;J28,J28&lt;K28),"آرایش نزولی کامل",IF(I28&gt;K28,"تقاطع طلایی","تقاطع مرگ"))),"داده ناکافی"))</f>
        <v/>
      </c>
      <c r="P28" s="35" t="str">
        <f aca="false">IF($A28="","",IFERROR(H28/INDEX(Daily_History!$V$1:$V$5000,$C28-MA_SHORT)-1,""))</f>
        <v/>
      </c>
      <c r="Q28" s="39" t="str">
        <f aca="false">IF($A28="","",IFERROR(INDEX(Daily_History!$AI$1:$AI$5000,$C28),""))</f>
        <v/>
      </c>
      <c r="R28" s="39" t="str">
        <f aca="false">IF($A28="","",IFERROR(INDEX(Daily_History!$AJ$1:$AJ$5000,$C28),""))</f>
        <v/>
      </c>
      <c r="S28" s="39" t="str">
        <f aca="false">IF($A28="","",IFERROR(INDEX(Daily_History!$AK$1:$AK$5000,$C28),""))</f>
        <v/>
      </c>
      <c r="T28" s="39" t="str">
        <f aca="false">IF($A28="","",IFERROR(INDEX(Daily_History!$AL$1:$AL$5000,$C28),""))</f>
        <v/>
      </c>
      <c r="U28" s="23" t="str">
        <f aca="false">IF($A28="","",IF(AND(ISNUMBER(S28),ISNUMBER(D28)),IF(D28&gt;=S28*0.995,"سقف‌شکنی میان‌مدت (HH)",IF(D28&gt;=Q28*0.995,"سقف‌شکنی کوتاه‌مدت",IF(D28&lt;=T28*1.005,"کف‌شکنی میان‌مدت (LL)",IF(D28&lt;=R28*1.005,"کف‌شکنی کوتاه‌مدت","درون محدوده")))),"داده ناکافی"))</f>
        <v/>
      </c>
      <c r="V28" s="39" t="str">
        <f aca="false">IF($A28="","",IFERROR(INDEX(Daily_History!$AB$1:$AB$5000,$C28),""))</f>
        <v/>
      </c>
      <c r="W28" s="35" t="str">
        <f aca="false">IF($A28="","",IFERROR(V28/D28,""))</f>
        <v/>
      </c>
      <c r="X28" s="26" t="str">
        <f aca="false">IF($A28="","",IFERROR(D28-ATR_STOP_MULT*V28,""))</f>
        <v/>
      </c>
      <c r="Y28" s="39" t="str">
        <f aca="false">IF($A28="","",IFERROR(INDEX(Daily_History!$Z$1:$Z$5000,$C28),""))</f>
        <v/>
      </c>
      <c r="Z28" s="39" t="str">
        <f aca="false">IF($A28="","",IFERROR(INDEX(Data_Input!$Q$1:$Q$5000,$B28),""))</f>
        <v/>
      </c>
      <c r="AA28" s="33" t="str">
        <f aca="false">IF($A28="","",IFERROR(Z28/Y28,""))</f>
        <v/>
      </c>
      <c r="AB28" s="26" t="str">
        <f aca="false">IF($A28="","",IFERROR(INDEX(Data_Input!$V$1:$V$5000,$B28)-INDEX(Data_Input!$W$1:$W$5000,$B28),""))</f>
        <v/>
      </c>
      <c r="AC28" s="27" t="str">
        <f aca="false">IF($A28="","",IFERROR(AB28*E28/1000000000,""))</f>
        <v/>
      </c>
      <c r="AD28" s="35" t="str">
        <f aca="false">IF($A28="","",IFERROR(AB28*E28/INDEX(Data_Input!$R$1:$R$5000,$B28),""))</f>
        <v/>
      </c>
      <c r="AE28" s="27" t="str">
        <f aca="false">IF($A28="","",IFERROR(INDEX(Data_Input!$V$1:$V$5000,$B28)*E28/INDEX(Data_Input!$X$1:$X$5000,$B28)/1000000,""))</f>
        <v/>
      </c>
      <c r="AF28" s="27" t="str">
        <f aca="false">IF($A28="","",IFERROR(INDEX(Data_Input!$W$1:$W$5000,$B28)*E28/INDEX(Data_Input!$Y$1:$Y$5000,$B28)/1000000,""))</f>
        <v/>
      </c>
      <c r="AG28" s="33" t="str">
        <f aca="false">IF($A28="","",IFERROR(AE28/AF28,""))</f>
        <v/>
      </c>
      <c r="AH28" s="41" t="str">
        <f aca="false">IF($A28="","",IFERROR(INDEX(Daily_History!$AH$1:$AH$5000,$C28)/1000000000,""))</f>
        <v/>
      </c>
      <c r="AI28" s="35" t="str">
        <f aca="false">IF($A28="","",IFERROR(AH28/(5*G28),""))</f>
        <v/>
      </c>
      <c r="AJ28" s="27" t="str">
        <f aca="false">IF($A28="","",IFERROR(MAX(-10,MIN(10,IF(D28&gt;I28*1.02,3,IF(D28&gt;I28,1.5,IF(D28&lt;I28*0.98,-3,-1.5)))+IF(I28&gt;K28*1.02,3,IF(I28&gt;K28,1.5,IF(I28&lt;K28*0.98,-3,-1.5)))+IF(D28&gt;=Q28*0.995,2,IF(D28&lt;=R28*1.005,-2,0))+IF(P28&gt;0.03,2,IF(P28&gt;0,1,IF(P28&lt;-0.03,-2,-1))))),0))</f>
        <v/>
      </c>
      <c r="AK28" s="27" t="str">
        <f aca="false">IF($A28="","",IFERROR(MAX(-10,MIN(10,IF(AG28&gt;=SM_STRONG,4,IF(AG28&gt;=SM_MOD,2,IF(AG28&lt;=SM_BAD,-4,IF(AG28&lt;=SM_WEAK,-2,0))))+IF(AD28&gt;=NF_STRONG,3,IF(AD28&gt;=NF_MOD,1.5,IF(AD28&lt;=-NF_STRONG,-3,IF(AD28&lt;=-NF_MOD,-1.5,0))))+IF(AI28&gt;=NF_MOD,3,IF(AI28&gt;0,1.5,IF(AI28&lt;=-NF_MOD,-3,-1.5))))),0))</f>
        <v/>
      </c>
      <c r="AL28" s="27" t="str">
        <f aca="false">IF($A28="","",IFERROR(N28*5-10,0))</f>
        <v/>
      </c>
      <c r="AM28" s="27" t="str">
        <f aca="false">IF($A28="","",IFERROR(IF(F28&gt;0,IF(AA28&gt;=VOL_HIGH,9,IF(AA28&gt;=VOL_MOD,5,IF(AA28&lt;=VOL_DRY,-2,2))),IF(F28&lt;0,IF(AA28&gt;=VOL_HIGH,-9,IF(AA28&gt;=VOL_MOD,-5,IF(AA28&lt;=VOL_DRY,2,-2))),0)),0))</f>
        <v/>
      </c>
      <c r="AN28" s="41" t="str">
        <f aca="false">IF($A28="","",MARKET_SCORE)</f>
        <v/>
      </c>
      <c r="AO28" s="41" t="str">
        <f aca="false">IF($A28="","",IFERROR(INDEX(Time_Link!$B$1:$B$5000,MATCH($A28,Time_Link!$A$1:$A$5000,0)),0))</f>
        <v/>
      </c>
      <c r="AP28" s="27" t="str">
        <f aca="false">IF($A28="","",IFERROR((AJ28*W_TREND+AK28*W_SMART+AL28*W_MA+AM28*W_VOL+AN28*W_MARKET+AO28*W_TIME)/W_SUM,0))</f>
        <v/>
      </c>
      <c r="AQ28" s="28" t="str">
        <f aca="false">IF($A28="","",IF(ABS(AP28)&gt;=8,5,IF(ABS(AP28)&gt;=5,4,IF(ABS(AP28)&gt;=3,3,IF(ABS(AP28)&gt;=1.5,2,1)))))</f>
        <v/>
      </c>
      <c r="AR28" s="23" t="str">
        <f aca="false">IF($A28="","",IF(G28="","بدون داده",IF(G28&lt;MIN_LIQ_B,"کم‌اعتبار","معتبر")))</f>
        <v/>
      </c>
      <c r="AS28" s="42" t="str">
        <f aca="false">IF($A28="","",IFERROR(AP28+ROW()/1000000,-99))</f>
        <v/>
      </c>
      <c r="AT28" s="28" t="str">
        <f aca="false">IF($A28="","",RANK(AS28,$AS$5:$AS$64,0))</f>
        <v/>
      </c>
      <c r="AU28" s="28" t="str">
        <f aca="false">IF($A28="","",RANK(AS28,$AS$5:$AS$64,1))</f>
        <v/>
      </c>
    </row>
    <row r="29" customFormat="false" ht="15" hidden="false" customHeight="false" outlineLevel="0" collapsed="false">
      <c r="A29" s="37" t="str">
        <f aca="false">IF(COUNTA(Watchlist!$A$29)=0,"",Watchlist!$A$29)</f>
        <v/>
      </c>
      <c r="B29" s="28" t="str">
        <f aca="false">IF($A29="","",IFERROR(MATCH($A29,Data_Input!$A$1:$A$5000,0),""))</f>
        <v/>
      </c>
      <c r="C29" s="28" t="str">
        <f aca="false">IF($A29="","",IFERROR(MATCH($A29,Daily_History!$AN$1:$AN$5000,0),""))</f>
        <v/>
      </c>
      <c r="D29" s="39" t="str">
        <f aca="false">IF($A29="","",IFERROR(INDEX(Data_Input!$I$1:$I$5000,$B29),""))</f>
        <v/>
      </c>
      <c r="E29" s="39" t="str">
        <f aca="false">IF($A29="","",IFERROR(INDEX(Data_Input!$J$1:$J$5000,$B29),""))</f>
        <v/>
      </c>
      <c r="F29" s="40" t="str">
        <f aca="false">IF($A29="","",IFERROR(INDEX(Data_Input!$M$1:$M$5000,$B29),""))</f>
        <v/>
      </c>
      <c r="G29" s="41" t="str">
        <f aca="false">IF($A29="","",IFERROR(INDEX(Data_Input!$R$1:$R$5000,$B29)/1000000000,""))</f>
        <v/>
      </c>
      <c r="H29" s="39" t="str">
        <f aca="false">IF($A29="","",IFERROR(INDEX(Daily_History!$V$1:$V$5000,$C29),""))</f>
        <v/>
      </c>
      <c r="I29" s="39" t="str">
        <f aca="false">IF($A29="","",IFERROR(INDEX(Daily_History!$W$1:$W$5000,$C29),""))</f>
        <v/>
      </c>
      <c r="J29" s="39" t="str">
        <f aca="false">IF($A29="","",IFERROR(INDEX(Daily_History!$X$1:$X$5000,$C29),""))</f>
        <v/>
      </c>
      <c r="K29" s="39" t="str">
        <f aca="false">IF($A29="","",IFERROR(INDEX(Daily_History!$Y$1:$Y$5000,$C29),""))</f>
        <v/>
      </c>
      <c r="L29" s="35" t="str">
        <f aca="false">IF($A29="","",IFERROR($D29/$I29-1,""))</f>
        <v/>
      </c>
      <c r="M29" s="35" t="str">
        <f aca="false">IF($A29="","",IFERROR($D29/$K29-1,""))</f>
        <v/>
      </c>
      <c r="N29" s="28" t="str">
        <f aca="false">IF($A29="","",IF(D29&gt;H29,1,0)+IF(D29&gt;I29,1,0)+IF(D29&gt;J29,1,0)+IF(D29&gt;K29,1,0))</f>
        <v/>
      </c>
      <c r="O29" s="23" t="str">
        <f aca="false">IF($A29="","",IF(AND(ISNUMBER(H29),ISNUMBER(K29)),IF(AND(H29&gt;I29,I29&gt;J29,J29&gt;K29),"آرایش صعودی کامل",IF(AND(H29&lt;I29,I29&lt;J29,J29&lt;K29),"آرایش نزولی کامل",IF(I29&gt;K29,"تقاطع طلایی","تقاطع مرگ"))),"داده ناکافی"))</f>
        <v/>
      </c>
      <c r="P29" s="35" t="str">
        <f aca="false">IF($A29="","",IFERROR(H29/INDEX(Daily_History!$V$1:$V$5000,$C29-MA_SHORT)-1,""))</f>
        <v/>
      </c>
      <c r="Q29" s="39" t="str">
        <f aca="false">IF($A29="","",IFERROR(INDEX(Daily_History!$AI$1:$AI$5000,$C29),""))</f>
        <v/>
      </c>
      <c r="R29" s="39" t="str">
        <f aca="false">IF($A29="","",IFERROR(INDEX(Daily_History!$AJ$1:$AJ$5000,$C29),""))</f>
        <v/>
      </c>
      <c r="S29" s="39" t="str">
        <f aca="false">IF($A29="","",IFERROR(INDEX(Daily_History!$AK$1:$AK$5000,$C29),""))</f>
        <v/>
      </c>
      <c r="T29" s="39" t="str">
        <f aca="false">IF($A29="","",IFERROR(INDEX(Daily_History!$AL$1:$AL$5000,$C29),""))</f>
        <v/>
      </c>
      <c r="U29" s="23" t="str">
        <f aca="false">IF($A29="","",IF(AND(ISNUMBER(S29),ISNUMBER(D29)),IF(D29&gt;=S29*0.995,"سقف‌شکنی میان‌مدت (HH)",IF(D29&gt;=Q29*0.995,"سقف‌شکنی کوتاه‌مدت",IF(D29&lt;=T29*1.005,"کف‌شکنی میان‌مدت (LL)",IF(D29&lt;=R29*1.005,"کف‌شکنی کوتاه‌مدت","درون محدوده")))),"داده ناکافی"))</f>
        <v/>
      </c>
      <c r="V29" s="39" t="str">
        <f aca="false">IF($A29="","",IFERROR(INDEX(Daily_History!$AB$1:$AB$5000,$C29),""))</f>
        <v/>
      </c>
      <c r="W29" s="35" t="str">
        <f aca="false">IF($A29="","",IFERROR(V29/D29,""))</f>
        <v/>
      </c>
      <c r="X29" s="26" t="str">
        <f aca="false">IF($A29="","",IFERROR(D29-ATR_STOP_MULT*V29,""))</f>
        <v/>
      </c>
      <c r="Y29" s="39" t="str">
        <f aca="false">IF($A29="","",IFERROR(INDEX(Daily_History!$Z$1:$Z$5000,$C29),""))</f>
        <v/>
      </c>
      <c r="Z29" s="39" t="str">
        <f aca="false">IF($A29="","",IFERROR(INDEX(Data_Input!$Q$1:$Q$5000,$B29),""))</f>
        <v/>
      </c>
      <c r="AA29" s="33" t="str">
        <f aca="false">IF($A29="","",IFERROR(Z29/Y29,""))</f>
        <v/>
      </c>
      <c r="AB29" s="26" t="str">
        <f aca="false">IF($A29="","",IFERROR(INDEX(Data_Input!$V$1:$V$5000,$B29)-INDEX(Data_Input!$W$1:$W$5000,$B29),""))</f>
        <v/>
      </c>
      <c r="AC29" s="27" t="str">
        <f aca="false">IF($A29="","",IFERROR(AB29*E29/1000000000,""))</f>
        <v/>
      </c>
      <c r="AD29" s="35" t="str">
        <f aca="false">IF($A29="","",IFERROR(AB29*E29/INDEX(Data_Input!$R$1:$R$5000,$B29),""))</f>
        <v/>
      </c>
      <c r="AE29" s="27" t="str">
        <f aca="false">IF($A29="","",IFERROR(INDEX(Data_Input!$V$1:$V$5000,$B29)*E29/INDEX(Data_Input!$X$1:$X$5000,$B29)/1000000,""))</f>
        <v/>
      </c>
      <c r="AF29" s="27" t="str">
        <f aca="false">IF($A29="","",IFERROR(INDEX(Data_Input!$W$1:$W$5000,$B29)*E29/INDEX(Data_Input!$Y$1:$Y$5000,$B29)/1000000,""))</f>
        <v/>
      </c>
      <c r="AG29" s="33" t="str">
        <f aca="false">IF($A29="","",IFERROR(AE29/AF29,""))</f>
        <v/>
      </c>
      <c r="AH29" s="41" t="str">
        <f aca="false">IF($A29="","",IFERROR(INDEX(Daily_History!$AH$1:$AH$5000,$C29)/1000000000,""))</f>
        <v/>
      </c>
      <c r="AI29" s="35" t="str">
        <f aca="false">IF($A29="","",IFERROR(AH29/(5*G29),""))</f>
        <v/>
      </c>
      <c r="AJ29" s="27" t="str">
        <f aca="false">IF($A29="","",IFERROR(MAX(-10,MIN(10,IF(D29&gt;I29*1.02,3,IF(D29&gt;I29,1.5,IF(D29&lt;I29*0.98,-3,-1.5)))+IF(I29&gt;K29*1.02,3,IF(I29&gt;K29,1.5,IF(I29&lt;K29*0.98,-3,-1.5)))+IF(D29&gt;=Q29*0.995,2,IF(D29&lt;=R29*1.005,-2,0))+IF(P29&gt;0.03,2,IF(P29&gt;0,1,IF(P29&lt;-0.03,-2,-1))))),0))</f>
        <v/>
      </c>
      <c r="AK29" s="27" t="str">
        <f aca="false">IF($A29="","",IFERROR(MAX(-10,MIN(10,IF(AG29&gt;=SM_STRONG,4,IF(AG29&gt;=SM_MOD,2,IF(AG29&lt;=SM_BAD,-4,IF(AG29&lt;=SM_WEAK,-2,0))))+IF(AD29&gt;=NF_STRONG,3,IF(AD29&gt;=NF_MOD,1.5,IF(AD29&lt;=-NF_STRONG,-3,IF(AD29&lt;=-NF_MOD,-1.5,0))))+IF(AI29&gt;=NF_MOD,3,IF(AI29&gt;0,1.5,IF(AI29&lt;=-NF_MOD,-3,-1.5))))),0))</f>
        <v/>
      </c>
      <c r="AL29" s="27" t="str">
        <f aca="false">IF($A29="","",IFERROR(N29*5-10,0))</f>
        <v/>
      </c>
      <c r="AM29" s="27" t="str">
        <f aca="false">IF($A29="","",IFERROR(IF(F29&gt;0,IF(AA29&gt;=VOL_HIGH,9,IF(AA29&gt;=VOL_MOD,5,IF(AA29&lt;=VOL_DRY,-2,2))),IF(F29&lt;0,IF(AA29&gt;=VOL_HIGH,-9,IF(AA29&gt;=VOL_MOD,-5,IF(AA29&lt;=VOL_DRY,2,-2))),0)),0))</f>
        <v/>
      </c>
      <c r="AN29" s="41" t="str">
        <f aca="false">IF($A29="","",MARKET_SCORE)</f>
        <v/>
      </c>
      <c r="AO29" s="41" t="str">
        <f aca="false">IF($A29="","",IFERROR(INDEX(Time_Link!$B$1:$B$5000,MATCH($A29,Time_Link!$A$1:$A$5000,0)),0))</f>
        <v/>
      </c>
      <c r="AP29" s="27" t="str">
        <f aca="false">IF($A29="","",IFERROR((AJ29*W_TREND+AK29*W_SMART+AL29*W_MA+AM29*W_VOL+AN29*W_MARKET+AO29*W_TIME)/W_SUM,0))</f>
        <v/>
      </c>
      <c r="AQ29" s="28" t="str">
        <f aca="false">IF($A29="","",IF(ABS(AP29)&gt;=8,5,IF(ABS(AP29)&gt;=5,4,IF(ABS(AP29)&gt;=3,3,IF(ABS(AP29)&gt;=1.5,2,1)))))</f>
        <v/>
      </c>
      <c r="AR29" s="23" t="str">
        <f aca="false">IF($A29="","",IF(G29="","بدون داده",IF(G29&lt;MIN_LIQ_B,"کم‌اعتبار","معتبر")))</f>
        <v/>
      </c>
      <c r="AS29" s="42" t="str">
        <f aca="false">IF($A29="","",IFERROR(AP29+ROW()/1000000,-99))</f>
        <v/>
      </c>
      <c r="AT29" s="28" t="str">
        <f aca="false">IF($A29="","",RANK(AS29,$AS$5:$AS$64,0))</f>
        <v/>
      </c>
      <c r="AU29" s="28" t="str">
        <f aca="false">IF($A29="","",RANK(AS29,$AS$5:$AS$64,1))</f>
        <v/>
      </c>
    </row>
    <row r="30" customFormat="false" ht="15" hidden="false" customHeight="false" outlineLevel="0" collapsed="false">
      <c r="A30" s="37" t="str">
        <f aca="false">IF(COUNTA(Watchlist!$A$30)=0,"",Watchlist!$A$30)</f>
        <v/>
      </c>
      <c r="B30" s="28" t="str">
        <f aca="false">IF($A30="","",IFERROR(MATCH($A30,Data_Input!$A$1:$A$5000,0),""))</f>
        <v/>
      </c>
      <c r="C30" s="28" t="str">
        <f aca="false">IF($A30="","",IFERROR(MATCH($A30,Daily_History!$AN$1:$AN$5000,0),""))</f>
        <v/>
      </c>
      <c r="D30" s="39" t="str">
        <f aca="false">IF($A30="","",IFERROR(INDEX(Data_Input!$I$1:$I$5000,$B30),""))</f>
        <v/>
      </c>
      <c r="E30" s="39" t="str">
        <f aca="false">IF($A30="","",IFERROR(INDEX(Data_Input!$J$1:$J$5000,$B30),""))</f>
        <v/>
      </c>
      <c r="F30" s="40" t="str">
        <f aca="false">IF($A30="","",IFERROR(INDEX(Data_Input!$M$1:$M$5000,$B30),""))</f>
        <v/>
      </c>
      <c r="G30" s="41" t="str">
        <f aca="false">IF($A30="","",IFERROR(INDEX(Data_Input!$R$1:$R$5000,$B30)/1000000000,""))</f>
        <v/>
      </c>
      <c r="H30" s="39" t="str">
        <f aca="false">IF($A30="","",IFERROR(INDEX(Daily_History!$V$1:$V$5000,$C30),""))</f>
        <v/>
      </c>
      <c r="I30" s="39" t="str">
        <f aca="false">IF($A30="","",IFERROR(INDEX(Daily_History!$W$1:$W$5000,$C30),""))</f>
        <v/>
      </c>
      <c r="J30" s="39" t="str">
        <f aca="false">IF($A30="","",IFERROR(INDEX(Daily_History!$X$1:$X$5000,$C30),""))</f>
        <v/>
      </c>
      <c r="K30" s="39" t="str">
        <f aca="false">IF($A30="","",IFERROR(INDEX(Daily_History!$Y$1:$Y$5000,$C30),""))</f>
        <v/>
      </c>
      <c r="L30" s="35" t="str">
        <f aca="false">IF($A30="","",IFERROR($D30/$I30-1,""))</f>
        <v/>
      </c>
      <c r="M30" s="35" t="str">
        <f aca="false">IF($A30="","",IFERROR($D30/$K30-1,""))</f>
        <v/>
      </c>
      <c r="N30" s="28" t="str">
        <f aca="false">IF($A30="","",IF(D30&gt;H30,1,0)+IF(D30&gt;I30,1,0)+IF(D30&gt;J30,1,0)+IF(D30&gt;K30,1,0))</f>
        <v/>
      </c>
      <c r="O30" s="23" t="str">
        <f aca="false">IF($A30="","",IF(AND(ISNUMBER(H30),ISNUMBER(K30)),IF(AND(H30&gt;I30,I30&gt;J30,J30&gt;K30),"آرایش صعودی کامل",IF(AND(H30&lt;I30,I30&lt;J30,J30&lt;K30),"آرایش نزولی کامل",IF(I30&gt;K30,"تقاطع طلایی","تقاطع مرگ"))),"داده ناکافی"))</f>
        <v/>
      </c>
      <c r="P30" s="35" t="str">
        <f aca="false">IF($A30="","",IFERROR(H30/INDEX(Daily_History!$V$1:$V$5000,$C30-MA_SHORT)-1,""))</f>
        <v/>
      </c>
      <c r="Q30" s="39" t="str">
        <f aca="false">IF($A30="","",IFERROR(INDEX(Daily_History!$AI$1:$AI$5000,$C30),""))</f>
        <v/>
      </c>
      <c r="R30" s="39" t="str">
        <f aca="false">IF($A30="","",IFERROR(INDEX(Daily_History!$AJ$1:$AJ$5000,$C30),""))</f>
        <v/>
      </c>
      <c r="S30" s="39" t="str">
        <f aca="false">IF($A30="","",IFERROR(INDEX(Daily_History!$AK$1:$AK$5000,$C30),""))</f>
        <v/>
      </c>
      <c r="T30" s="39" t="str">
        <f aca="false">IF($A30="","",IFERROR(INDEX(Daily_History!$AL$1:$AL$5000,$C30),""))</f>
        <v/>
      </c>
      <c r="U30" s="23" t="str">
        <f aca="false">IF($A30="","",IF(AND(ISNUMBER(S30),ISNUMBER(D30)),IF(D30&gt;=S30*0.995,"سقف‌شکنی میان‌مدت (HH)",IF(D30&gt;=Q30*0.995,"سقف‌شکنی کوتاه‌مدت",IF(D30&lt;=T30*1.005,"کف‌شکنی میان‌مدت (LL)",IF(D30&lt;=R30*1.005,"کف‌شکنی کوتاه‌مدت","درون محدوده")))),"داده ناکافی"))</f>
        <v/>
      </c>
      <c r="V30" s="39" t="str">
        <f aca="false">IF($A30="","",IFERROR(INDEX(Daily_History!$AB$1:$AB$5000,$C30),""))</f>
        <v/>
      </c>
      <c r="W30" s="35" t="str">
        <f aca="false">IF($A30="","",IFERROR(V30/D30,""))</f>
        <v/>
      </c>
      <c r="X30" s="26" t="str">
        <f aca="false">IF($A30="","",IFERROR(D30-ATR_STOP_MULT*V30,""))</f>
        <v/>
      </c>
      <c r="Y30" s="39" t="str">
        <f aca="false">IF($A30="","",IFERROR(INDEX(Daily_History!$Z$1:$Z$5000,$C30),""))</f>
        <v/>
      </c>
      <c r="Z30" s="39" t="str">
        <f aca="false">IF($A30="","",IFERROR(INDEX(Data_Input!$Q$1:$Q$5000,$B30),""))</f>
        <v/>
      </c>
      <c r="AA30" s="33" t="str">
        <f aca="false">IF($A30="","",IFERROR(Z30/Y30,""))</f>
        <v/>
      </c>
      <c r="AB30" s="26" t="str">
        <f aca="false">IF($A30="","",IFERROR(INDEX(Data_Input!$V$1:$V$5000,$B30)-INDEX(Data_Input!$W$1:$W$5000,$B30),""))</f>
        <v/>
      </c>
      <c r="AC30" s="27" t="str">
        <f aca="false">IF($A30="","",IFERROR(AB30*E30/1000000000,""))</f>
        <v/>
      </c>
      <c r="AD30" s="35" t="str">
        <f aca="false">IF($A30="","",IFERROR(AB30*E30/INDEX(Data_Input!$R$1:$R$5000,$B30),""))</f>
        <v/>
      </c>
      <c r="AE30" s="27" t="str">
        <f aca="false">IF($A30="","",IFERROR(INDEX(Data_Input!$V$1:$V$5000,$B30)*E30/INDEX(Data_Input!$X$1:$X$5000,$B30)/1000000,""))</f>
        <v/>
      </c>
      <c r="AF30" s="27" t="str">
        <f aca="false">IF($A30="","",IFERROR(INDEX(Data_Input!$W$1:$W$5000,$B30)*E30/INDEX(Data_Input!$Y$1:$Y$5000,$B30)/1000000,""))</f>
        <v/>
      </c>
      <c r="AG30" s="33" t="str">
        <f aca="false">IF($A30="","",IFERROR(AE30/AF30,""))</f>
        <v/>
      </c>
      <c r="AH30" s="41" t="str">
        <f aca="false">IF($A30="","",IFERROR(INDEX(Daily_History!$AH$1:$AH$5000,$C30)/1000000000,""))</f>
        <v/>
      </c>
      <c r="AI30" s="35" t="str">
        <f aca="false">IF($A30="","",IFERROR(AH30/(5*G30),""))</f>
        <v/>
      </c>
      <c r="AJ30" s="27" t="str">
        <f aca="false">IF($A30="","",IFERROR(MAX(-10,MIN(10,IF(D30&gt;I30*1.02,3,IF(D30&gt;I30,1.5,IF(D30&lt;I30*0.98,-3,-1.5)))+IF(I30&gt;K30*1.02,3,IF(I30&gt;K30,1.5,IF(I30&lt;K30*0.98,-3,-1.5)))+IF(D30&gt;=Q30*0.995,2,IF(D30&lt;=R30*1.005,-2,0))+IF(P30&gt;0.03,2,IF(P30&gt;0,1,IF(P30&lt;-0.03,-2,-1))))),0))</f>
        <v/>
      </c>
      <c r="AK30" s="27" t="str">
        <f aca="false">IF($A30="","",IFERROR(MAX(-10,MIN(10,IF(AG30&gt;=SM_STRONG,4,IF(AG30&gt;=SM_MOD,2,IF(AG30&lt;=SM_BAD,-4,IF(AG30&lt;=SM_WEAK,-2,0))))+IF(AD30&gt;=NF_STRONG,3,IF(AD30&gt;=NF_MOD,1.5,IF(AD30&lt;=-NF_STRONG,-3,IF(AD30&lt;=-NF_MOD,-1.5,0))))+IF(AI30&gt;=NF_MOD,3,IF(AI30&gt;0,1.5,IF(AI30&lt;=-NF_MOD,-3,-1.5))))),0))</f>
        <v/>
      </c>
      <c r="AL30" s="27" t="str">
        <f aca="false">IF($A30="","",IFERROR(N30*5-10,0))</f>
        <v/>
      </c>
      <c r="AM30" s="27" t="str">
        <f aca="false">IF($A30="","",IFERROR(IF(F30&gt;0,IF(AA30&gt;=VOL_HIGH,9,IF(AA30&gt;=VOL_MOD,5,IF(AA30&lt;=VOL_DRY,-2,2))),IF(F30&lt;0,IF(AA30&gt;=VOL_HIGH,-9,IF(AA30&gt;=VOL_MOD,-5,IF(AA30&lt;=VOL_DRY,2,-2))),0)),0))</f>
        <v/>
      </c>
      <c r="AN30" s="41" t="str">
        <f aca="false">IF($A30="","",MARKET_SCORE)</f>
        <v/>
      </c>
      <c r="AO30" s="41" t="str">
        <f aca="false">IF($A30="","",IFERROR(INDEX(Time_Link!$B$1:$B$5000,MATCH($A30,Time_Link!$A$1:$A$5000,0)),0))</f>
        <v/>
      </c>
      <c r="AP30" s="27" t="str">
        <f aca="false">IF($A30="","",IFERROR((AJ30*W_TREND+AK30*W_SMART+AL30*W_MA+AM30*W_VOL+AN30*W_MARKET+AO30*W_TIME)/W_SUM,0))</f>
        <v/>
      </c>
      <c r="AQ30" s="28" t="str">
        <f aca="false">IF($A30="","",IF(ABS(AP30)&gt;=8,5,IF(ABS(AP30)&gt;=5,4,IF(ABS(AP30)&gt;=3,3,IF(ABS(AP30)&gt;=1.5,2,1)))))</f>
        <v/>
      </c>
      <c r="AR30" s="23" t="str">
        <f aca="false">IF($A30="","",IF(G30="","بدون داده",IF(G30&lt;MIN_LIQ_B,"کم‌اعتبار","معتبر")))</f>
        <v/>
      </c>
      <c r="AS30" s="42" t="str">
        <f aca="false">IF($A30="","",IFERROR(AP30+ROW()/1000000,-99))</f>
        <v/>
      </c>
      <c r="AT30" s="28" t="str">
        <f aca="false">IF($A30="","",RANK(AS30,$AS$5:$AS$64,0))</f>
        <v/>
      </c>
      <c r="AU30" s="28" t="str">
        <f aca="false">IF($A30="","",RANK(AS30,$AS$5:$AS$64,1))</f>
        <v/>
      </c>
    </row>
    <row r="31" customFormat="false" ht="15" hidden="false" customHeight="false" outlineLevel="0" collapsed="false">
      <c r="A31" s="37" t="str">
        <f aca="false">IF(COUNTA(Watchlist!$A$31)=0,"",Watchlist!$A$31)</f>
        <v/>
      </c>
      <c r="B31" s="28" t="str">
        <f aca="false">IF($A31="","",IFERROR(MATCH($A31,Data_Input!$A$1:$A$5000,0),""))</f>
        <v/>
      </c>
      <c r="C31" s="28" t="str">
        <f aca="false">IF($A31="","",IFERROR(MATCH($A31,Daily_History!$AN$1:$AN$5000,0),""))</f>
        <v/>
      </c>
      <c r="D31" s="39" t="str">
        <f aca="false">IF($A31="","",IFERROR(INDEX(Data_Input!$I$1:$I$5000,$B31),""))</f>
        <v/>
      </c>
      <c r="E31" s="39" t="str">
        <f aca="false">IF($A31="","",IFERROR(INDEX(Data_Input!$J$1:$J$5000,$B31),""))</f>
        <v/>
      </c>
      <c r="F31" s="40" t="str">
        <f aca="false">IF($A31="","",IFERROR(INDEX(Data_Input!$M$1:$M$5000,$B31),""))</f>
        <v/>
      </c>
      <c r="G31" s="41" t="str">
        <f aca="false">IF($A31="","",IFERROR(INDEX(Data_Input!$R$1:$R$5000,$B31)/1000000000,""))</f>
        <v/>
      </c>
      <c r="H31" s="39" t="str">
        <f aca="false">IF($A31="","",IFERROR(INDEX(Daily_History!$V$1:$V$5000,$C31),""))</f>
        <v/>
      </c>
      <c r="I31" s="39" t="str">
        <f aca="false">IF($A31="","",IFERROR(INDEX(Daily_History!$W$1:$W$5000,$C31),""))</f>
        <v/>
      </c>
      <c r="J31" s="39" t="str">
        <f aca="false">IF($A31="","",IFERROR(INDEX(Daily_History!$X$1:$X$5000,$C31),""))</f>
        <v/>
      </c>
      <c r="K31" s="39" t="str">
        <f aca="false">IF($A31="","",IFERROR(INDEX(Daily_History!$Y$1:$Y$5000,$C31),""))</f>
        <v/>
      </c>
      <c r="L31" s="35" t="str">
        <f aca="false">IF($A31="","",IFERROR($D31/$I31-1,""))</f>
        <v/>
      </c>
      <c r="M31" s="35" t="str">
        <f aca="false">IF($A31="","",IFERROR($D31/$K31-1,""))</f>
        <v/>
      </c>
      <c r="N31" s="28" t="str">
        <f aca="false">IF($A31="","",IF(D31&gt;H31,1,0)+IF(D31&gt;I31,1,0)+IF(D31&gt;J31,1,0)+IF(D31&gt;K31,1,0))</f>
        <v/>
      </c>
      <c r="O31" s="23" t="str">
        <f aca="false">IF($A31="","",IF(AND(ISNUMBER(H31),ISNUMBER(K31)),IF(AND(H31&gt;I31,I31&gt;J31,J31&gt;K31),"آرایش صعودی کامل",IF(AND(H31&lt;I31,I31&lt;J31,J31&lt;K31),"آرایش نزولی کامل",IF(I31&gt;K31,"تقاطع طلایی","تقاطع مرگ"))),"داده ناکافی"))</f>
        <v/>
      </c>
      <c r="P31" s="35" t="str">
        <f aca="false">IF($A31="","",IFERROR(H31/INDEX(Daily_History!$V$1:$V$5000,$C31-MA_SHORT)-1,""))</f>
        <v/>
      </c>
      <c r="Q31" s="39" t="str">
        <f aca="false">IF($A31="","",IFERROR(INDEX(Daily_History!$AI$1:$AI$5000,$C31),""))</f>
        <v/>
      </c>
      <c r="R31" s="39" t="str">
        <f aca="false">IF($A31="","",IFERROR(INDEX(Daily_History!$AJ$1:$AJ$5000,$C31),""))</f>
        <v/>
      </c>
      <c r="S31" s="39" t="str">
        <f aca="false">IF($A31="","",IFERROR(INDEX(Daily_History!$AK$1:$AK$5000,$C31),""))</f>
        <v/>
      </c>
      <c r="T31" s="39" t="str">
        <f aca="false">IF($A31="","",IFERROR(INDEX(Daily_History!$AL$1:$AL$5000,$C31),""))</f>
        <v/>
      </c>
      <c r="U31" s="23" t="str">
        <f aca="false">IF($A31="","",IF(AND(ISNUMBER(S31),ISNUMBER(D31)),IF(D31&gt;=S31*0.995,"سقف‌شکنی میان‌مدت (HH)",IF(D31&gt;=Q31*0.995,"سقف‌شکنی کوتاه‌مدت",IF(D31&lt;=T31*1.005,"کف‌شکنی میان‌مدت (LL)",IF(D31&lt;=R31*1.005,"کف‌شکنی کوتاه‌مدت","درون محدوده")))),"داده ناکافی"))</f>
        <v/>
      </c>
      <c r="V31" s="39" t="str">
        <f aca="false">IF($A31="","",IFERROR(INDEX(Daily_History!$AB$1:$AB$5000,$C31),""))</f>
        <v/>
      </c>
      <c r="W31" s="35" t="str">
        <f aca="false">IF($A31="","",IFERROR(V31/D31,""))</f>
        <v/>
      </c>
      <c r="X31" s="26" t="str">
        <f aca="false">IF($A31="","",IFERROR(D31-ATR_STOP_MULT*V31,""))</f>
        <v/>
      </c>
      <c r="Y31" s="39" t="str">
        <f aca="false">IF($A31="","",IFERROR(INDEX(Daily_History!$Z$1:$Z$5000,$C31),""))</f>
        <v/>
      </c>
      <c r="Z31" s="39" t="str">
        <f aca="false">IF($A31="","",IFERROR(INDEX(Data_Input!$Q$1:$Q$5000,$B31),""))</f>
        <v/>
      </c>
      <c r="AA31" s="33" t="str">
        <f aca="false">IF($A31="","",IFERROR(Z31/Y31,""))</f>
        <v/>
      </c>
      <c r="AB31" s="26" t="str">
        <f aca="false">IF($A31="","",IFERROR(INDEX(Data_Input!$V$1:$V$5000,$B31)-INDEX(Data_Input!$W$1:$W$5000,$B31),""))</f>
        <v/>
      </c>
      <c r="AC31" s="27" t="str">
        <f aca="false">IF($A31="","",IFERROR(AB31*E31/1000000000,""))</f>
        <v/>
      </c>
      <c r="AD31" s="35" t="str">
        <f aca="false">IF($A31="","",IFERROR(AB31*E31/INDEX(Data_Input!$R$1:$R$5000,$B31),""))</f>
        <v/>
      </c>
      <c r="AE31" s="27" t="str">
        <f aca="false">IF($A31="","",IFERROR(INDEX(Data_Input!$V$1:$V$5000,$B31)*E31/INDEX(Data_Input!$X$1:$X$5000,$B31)/1000000,""))</f>
        <v/>
      </c>
      <c r="AF31" s="27" t="str">
        <f aca="false">IF($A31="","",IFERROR(INDEX(Data_Input!$W$1:$W$5000,$B31)*E31/INDEX(Data_Input!$Y$1:$Y$5000,$B31)/1000000,""))</f>
        <v/>
      </c>
      <c r="AG31" s="33" t="str">
        <f aca="false">IF($A31="","",IFERROR(AE31/AF31,""))</f>
        <v/>
      </c>
      <c r="AH31" s="41" t="str">
        <f aca="false">IF($A31="","",IFERROR(INDEX(Daily_History!$AH$1:$AH$5000,$C31)/1000000000,""))</f>
        <v/>
      </c>
      <c r="AI31" s="35" t="str">
        <f aca="false">IF($A31="","",IFERROR(AH31/(5*G31),""))</f>
        <v/>
      </c>
      <c r="AJ31" s="27" t="str">
        <f aca="false">IF($A31="","",IFERROR(MAX(-10,MIN(10,IF(D31&gt;I31*1.02,3,IF(D31&gt;I31,1.5,IF(D31&lt;I31*0.98,-3,-1.5)))+IF(I31&gt;K31*1.02,3,IF(I31&gt;K31,1.5,IF(I31&lt;K31*0.98,-3,-1.5)))+IF(D31&gt;=Q31*0.995,2,IF(D31&lt;=R31*1.005,-2,0))+IF(P31&gt;0.03,2,IF(P31&gt;0,1,IF(P31&lt;-0.03,-2,-1))))),0))</f>
        <v/>
      </c>
      <c r="AK31" s="27" t="str">
        <f aca="false">IF($A31="","",IFERROR(MAX(-10,MIN(10,IF(AG31&gt;=SM_STRONG,4,IF(AG31&gt;=SM_MOD,2,IF(AG31&lt;=SM_BAD,-4,IF(AG31&lt;=SM_WEAK,-2,0))))+IF(AD31&gt;=NF_STRONG,3,IF(AD31&gt;=NF_MOD,1.5,IF(AD31&lt;=-NF_STRONG,-3,IF(AD31&lt;=-NF_MOD,-1.5,0))))+IF(AI31&gt;=NF_MOD,3,IF(AI31&gt;0,1.5,IF(AI31&lt;=-NF_MOD,-3,-1.5))))),0))</f>
        <v/>
      </c>
      <c r="AL31" s="27" t="str">
        <f aca="false">IF($A31="","",IFERROR(N31*5-10,0))</f>
        <v/>
      </c>
      <c r="AM31" s="27" t="str">
        <f aca="false">IF($A31="","",IFERROR(IF(F31&gt;0,IF(AA31&gt;=VOL_HIGH,9,IF(AA31&gt;=VOL_MOD,5,IF(AA31&lt;=VOL_DRY,-2,2))),IF(F31&lt;0,IF(AA31&gt;=VOL_HIGH,-9,IF(AA31&gt;=VOL_MOD,-5,IF(AA31&lt;=VOL_DRY,2,-2))),0)),0))</f>
        <v/>
      </c>
      <c r="AN31" s="41" t="str">
        <f aca="false">IF($A31="","",MARKET_SCORE)</f>
        <v/>
      </c>
      <c r="AO31" s="41" t="str">
        <f aca="false">IF($A31="","",IFERROR(INDEX(Time_Link!$B$1:$B$5000,MATCH($A31,Time_Link!$A$1:$A$5000,0)),0))</f>
        <v/>
      </c>
      <c r="AP31" s="27" t="str">
        <f aca="false">IF($A31="","",IFERROR((AJ31*W_TREND+AK31*W_SMART+AL31*W_MA+AM31*W_VOL+AN31*W_MARKET+AO31*W_TIME)/W_SUM,0))</f>
        <v/>
      </c>
      <c r="AQ31" s="28" t="str">
        <f aca="false">IF($A31="","",IF(ABS(AP31)&gt;=8,5,IF(ABS(AP31)&gt;=5,4,IF(ABS(AP31)&gt;=3,3,IF(ABS(AP31)&gt;=1.5,2,1)))))</f>
        <v/>
      </c>
      <c r="AR31" s="23" t="str">
        <f aca="false">IF($A31="","",IF(G31="","بدون داده",IF(G31&lt;MIN_LIQ_B,"کم‌اعتبار","معتبر")))</f>
        <v/>
      </c>
      <c r="AS31" s="42" t="str">
        <f aca="false">IF($A31="","",IFERROR(AP31+ROW()/1000000,-99))</f>
        <v/>
      </c>
      <c r="AT31" s="28" t="str">
        <f aca="false">IF($A31="","",RANK(AS31,$AS$5:$AS$64,0))</f>
        <v/>
      </c>
      <c r="AU31" s="28" t="str">
        <f aca="false">IF($A31="","",RANK(AS31,$AS$5:$AS$64,1))</f>
        <v/>
      </c>
    </row>
    <row r="32" customFormat="false" ht="15" hidden="false" customHeight="false" outlineLevel="0" collapsed="false">
      <c r="A32" s="37" t="str">
        <f aca="false">IF(COUNTA(Watchlist!$A$32)=0,"",Watchlist!$A$32)</f>
        <v/>
      </c>
      <c r="B32" s="28" t="str">
        <f aca="false">IF($A32="","",IFERROR(MATCH($A32,Data_Input!$A$1:$A$5000,0),""))</f>
        <v/>
      </c>
      <c r="C32" s="28" t="str">
        <f aca="false">IF($A32="","",IFERROR(MATCH($A32,Daily_History!$AN$1:$AN$5000,0),""))</f>
        <v/>
      </c>
      <c r="D32" s="39" t="str">
        <f aca="false">IF($A32="","",IFERROR(INDEX(Data_Input!$I$1:$I$5000,$B32),""))</f>
        <v/>
      </c>
      <c r="E32" s="39" t="str">
        <f aca="false">IF($A32="","",IFERROR(INDEX(Data_Input!$J$1:$J$5000,$B32),""))</f>
        <v/>
      </c>
      <c r="F32" s="40" t="str">
        <f aca="false">IF($A32="","",IFERROR(INDEX(Data_Input!$M$1:$M$5000,$B32),""))</f>
        <v/>
      </c>
      <c r="G32" s="41" t="str">
        <f aca="false">IF($A32="","",IFERROR(INDEX(Data_Input!$R$1:$R$5000,$B32)/1000000000,""))</f>
        <v/>
      </c>
      <c r="H32" s="39" t="str">
        <f aca="false">IF($A32="","",IFERROR(INDEX(Daily_History!$V$1:$V$5000,$C32),""))</f>
        <v/>
      </c>
      <c r="I32" s="39" t="str">
        <f aca="false">IF($A32="","",IFERROR(INDEX(Daily_History!$W$1:$W$5000,$C32),""))</f>
        <v/>
      </c>
      <c r="J32" s="39" t="str">
        <f aca="false">IF($A32="","",IFERROR(INDEX(Daily_History!$X$1:$X$5000,$C32),""))</f>
        <v/>
      </c>
      <c r="K32" s="39" t="str">
        <f aca="false">IF($A32="","",IFERROR(INDEX(Daily_History!$Y$1:$Y$5000,$C32),""))</f>
        <v/>
      </c>
      <c r="L32" s="35" t="str">
        <f aca="false">IF($A32="","",IFERROR($D32/$I32-1,""))</f>
        <v/>
      </c>
      <c r="M32" s="35" t="str">
        <f aca="false">IF($A32="","",IFERROR($D32/$K32-1,""))</f>
        <v/>
      </c>
      <c r="N32" s="28" t="str">
        <f aca="false">IF($A32="","",IF(D32&gt;H32,1,0)+IF(D32&gt;I32,1,0)+IF(D32&gt;J32,1,0)+IF(D32&gt;K32,1,0))</f>
        <v/>
      </c>
      <c r="O32" s="23" t="str">
        <f aca="false">IF($A32="","",IF(AND(ISNUMBER(H32),ISNUMBER(K32)),IF(AND(H32&gt;I32,I32&gt;J32,J32&gt;K32),"آرایش صعودی کامل",IF(AND(H32&lt;I32,I32&lt;J32,J32&lt;K32),"آرایش نزولی کامل",IF(I32&gt;K32,"تقاطع طلایی","تقاطع مرگ"))),"داده ناکافی"))</f>
        <v/>
      </c>
      <c r="P32" s="35" t="str">
        <f aca="false">IF($A32="","",IFERROR(H32/INDEX(Daily_History!$V$1:$V$5000,$C32-MA_SHORT)-1,""))</f>
        <v/>
      </c>
      <c r="Q32" s="39" t="str">
        <f aca="false">IF($A32="","",IFERROR(INDEX(Daily_History!$AI$1:$AI$5000,$C32),""))</f>
        <v/>
      </c>
      <c r="R32" s="39" t="str">
        <f aca="false">IF($A32="","",IFERROR(INDEX(Daily_History!$AJ$1:$AJ$5000,$C32),""))</f>
        <v/>
      </c>
      <c r="S32" s="39" t="str">
        <f aca="false">IF($A32="","",IFERROR(INDEX(Daily_History!$AK$1:$AK$5000,$C32),""))</f>
        <v/>
      </c>
      <c r="T32" s="39" t="str">
        <f aca="false">IF($A32="","",IFERROR(INDEX(Daily_History!$AL$1:$AL$5000,$C32),""))</f>
        <v/>
      </c>
      <c r="U32" s="23" t="str">
        <f aca="false">IF($A32="","",IF(AND(ISNUMBER(S32),ISNUMBER(D32)),IF(D32&gt;=S32*0.995,"سقف‌شکنی میان‌مدت (HH)",IF(D32&gt;=Q32*0.995,"سقف‌شکنی کوتاه‌مدت",IF(D32&lt;=T32*1.005,"کف‌شکنی میان‌مدت (LL)",IF(D32&lt;=R32*1.005,"کف‌شکنی کوتاه‌مدت","درون محدوده")))),"داده ناکافی"))</f>
        <v/>
      </c>
      <c r="V32" s="39" t="str">
        <f aca="false">IF($A32="","",IFERROR(INDEX(Daily_History!$AB$1:$AB$5000,$C32),""))</f>
        <v/>
      </c>
      <c r="W32" s="35" t="str">
        <f aca="false">IF($A32="","",IFERROR(V32/D32,""))</f>
        <v/>
      </c>
      <c r="X32" s="26" t="str">
        <f aca="false">IF($A32="","",IFERROR(D32-ATR_STOP_MULT*V32,""))</f>
        <v/>
      </c>
      <c r="Y32" s="39" t="str">
        <f aca="false">IF($A32="","",IFERROR(INDEX(Daily_History!$Z$1:$Z$5000,$C32),""))</f>
        <v/>
      </c>
      <c r="Z32" s="39" t="str">
        <f aca="false">IF($A32="","",IFERROR(INDEX(Data_Input!$Q$1:$Q$5000,$B32),""))</f>
        <v/>
      </c>
      <c r="AA32" s="33" t="str">
        <f aca="false">IF($A32="","",IFERROR(Z32/Y32,""))</f>
        <v/>
      </c>
      <c r="AB32" s="26" t="str">
        <f aca="false">IF($A32="","",IFERROR(INDEX(Data_Input!$V$1:$V$5000,$B32)-INDEX(Data_Input!$W$1:$W$5000,$B32),""))</f>
        <v/>
      </c>
      <c r="AC32" s="27" t="str">
        <f aca="false">IF($A32="","",IFERROR(AB32*E32/1000000000,""))</f>
        <v/>
      </c>
      <c r="AD32" s="35" t="str">
        <f aca="false">IF($A32="","",IFERROR(AB32*E32/INDEX(Data_Input!$R$1:$R$5000,$B32),""))</f>
        <v/>
      </c>
      <c r="AE32" s="27" t="str">
        <f aca="false">IF($A32="","",IFERROR(INDEX(Data_Input!$V$1:$V$5000,$B32)*E32/INDEX(Data_Input!$X$1:$X$5000,$B32)/1000000,""))</f>
        <v/>
      </c>
      <c r="AF32" s="27" t="str">
        <f aca="false">IF($A32="","",IFERROR(INDEX(Data_Input!$W$1:$W$5000,$B32)*E32/INDEX(Data_Input!$Y$1:$Y$5000,$B32)/1000000,""))</f>
        <v/>
      </c>
      <c r="AG32" s="33" t="str">
        <f aca="false">IF($A32="","",IFERROR(AE32/AF32,""))</f>
        <v/>
      </c>
      <c r="AH32" s="41" t="str">
        <f aca="false">IF($A32="","",IFERROR(INDEX(Daily_History!$AH$1:$AH$5000,$C32)/1000000000,""))</f>
        <v/>
      </c>
      <c r="AI32" s="35" t="str">
        <f aca="false">IF($A32="","",IFERROR(AH32/(5*G32),""))</f>
        <v/>
      </c>
      <c r="AJ32" s="27" t="str">
        <f aca="false">IF($A32="","",IFERROR(MAX(-10,MIN(10,IF(D32&gt;I32*1.02,3,IF(D32&gt;I32,1.5,IF(D32&lt;I32*0.98,-3,-1.5)))+IF(I32&gt;K32*1.02,3,IF(I32&gt;K32,1.5,IF(I32&lt;K32*0.98,-3,-1.5)))+IF(D32&gt;=Q32*0.995,2,IF(D32&lt;=R32*1.005,-2,0))+IF(P32&gt;0.03,2,IF(P32&gt;0,1,IF(P32&lt;-0.03,-2,-1))))),0))</f>
        <v/>
      </c>
      <c r="AK32" s="27" t="str">
        <f aca="false">IF($A32="","",IFERROR(MAX(-10,MIN(10,IF(AG32&gt;=SM_STRONG,4,IF(AG32&gt;=SM_MOD,2,IF(AG32&lt;=SM_BAD,-4,IF(AG32&lt;=SM_WEAK,-2,0))))+IF(AD32&gt;=NF_STRONG,3,IF(AD32&gt;=NF_MOD,1.5,IF(AD32&lt;=-NF_STRONG,-3,IF(AD32&lt;=-NF_MOD,-1.5,0))))+IF(AI32&gt;=NF_MOD,3,IF(AI32&gt;0,1.5,IF(AI32&lt;=-NF_MOD,-3,-1.5))))),0))</f>
        <v/>
      </c>
      <c r="AL32" s="27" t="str">
        <f aca="false">IF($A32="","",IFERROR(N32*5-10,0))</f>
        <v/>
      </c>
      <c r="AM32" s="27" t="str">
        <f aca="false">IF($A32="","",IFERROR(IF(F32&gt;0,IF(AA32&gt;=VOL_HIGH,9,IF(AA32&gt;=VOL_MOD,5,IF(AA32&lt;=VOL_DRY,-2,2))),IF(F32&lt;0,IF(AA32&gt;=VOL_HIGH,-9,IF(AA32&gt;=VOL_MOD,-5,IF(AA32&lt;=VOL_DRY,2,-2))),0)),0))</f>
        <v/>
      </c>
      <c r="AN32" s="41" t="str">
        <f aca="false">IF($A32="","",MARKET_SCORE)</f>
        <v/>
      </c>
      <c r="AO32" s="41" t="str">
        <f aca="false">IF($A32="","",IFERROR(INDEX(Time_Link!$B$1:$B$5000,MATCH($A32,Time_Link!$A$1:$A$5000,0)),0))</f>
        <v/>
      </c>
      <c r="AP32" s="27" t="str">
        <f aca="false">IF($A32="","",IFERROR((AJ32*W_TREND+AK32*W_SMART+AL32*W_MA+AM32*W_VOL+AN32*W_MARKET+AO32*W_TIME)/W_SUM,0))</f>
        <v/>
      </c>
      <c r="AQ32" s="28" t="str">
        <f aca="false">IF($A32="","",IF(ABS(AP32)&gt;=8,5,IF(ABS(AP32)&gt;=5,4,IF(ABS(AP32)&gt;=3,3,IF(ABS(AP32)&gt;=1.5,2,1)))))</f>
        <v/>
      </c>
      <c r="AR32" s="23" t="str">
        <f aca="false">IF($A32="","",IF(G32="","بدون داده",IF(G32&lt;MIN_LIQ_B,"کم‌اعتبار","معتبر")))</f>
        <v/>
      </c>
      <c r="AS32" s="42" t="str">
        <f aca="false">IF($A32="","",IFERROR(AP32+ROW()/1000000,-99))</f>
        <v/>
      </c>
      <c r="AT32" s="28" t="str">
        <f aca="false">IF($A32="","",RANK(AS32,$AS$5:$AS$64,0))</f>
        <v/>
      </c>
      <c r="AU32" s="28" t="str">
        <f aca="false">IF($A32="","",RANK(AS32,$AS$5:$AS$64,1))</f>
        <v/>
      </c>
    </row>
    <row r="33" customFormat="false" ht="15" hidden="false" customHeight="false" outlineLevel="0" collapsed="false">
      <c r="A33" s="37" t="str">
        <f aca="false">IF(COUNTA(Watchlist!$A$33)=0,"",Watchlist!$A$33)</f>
        <v/>
      </c>
      <c r="B33" s="28" t="str">
        <f aca="false">IF($A33="","",IFERROR(MATCH($A33,Data_Input!$A$1:$A$5000,0),""))</f>
        <v/>
      </c>
      <c r="C33" s="28" t="str">
        <f aca="false">IF($A33="","",IFERROR(MATCH($A33,Daily_History!$AN$1:$AN$5000,0),""))</f>
        <v/>
      </c>
      <c r="D33" s="39" t="str">
        <f aca="false">IF($A33="","",IFERROR(INDEX(Data_Input!$I$1:$I$5000,$B33),""))</f>
        <v/>
      </c>
      <c r="E33" s="39" t="str">
        <f aca="false">IF($A33="","",IFERROR(INDEX(Data_Input!$J$1:$J$5000,$B33),""))</f>
        <v/>
      </c>
      <c r="F33" s="40" t="str">
        <f aca="false">IF($A33="","",IFERROR(INDEX(Data_Input!$M$1:$M$5000,$B33),""))</f>
        <v/>
      </c>
      <c r="G33" s="41" t="str">
        <f aca="false">IF($A33="","",IFERROR(INDEX(Data_Input!$R$1:$R$5000,$B33)/1000000000,""))</f>
        <v/>
      </c>
      <c r="H33" s="39" t="str">
        <f aca="false">IF($A33="","",IFERROR(INDEX(Daily_History!$V$1:$V$5000,$C33),""))</f>
        <v/>
      </c>
      <c r="I33" s="39" t="str">
        <f aca="false">IF($A33="","",IFERROR(INDEX(Daily_History!$W$1:$W$5000,$C33),""))</f>
        <v/>
      </c>
      <c r="J33" s="39" t="str">
        <f aca="false">IF($A33="","",IFERROR(INDEX(Daily_History!$X$1:$X$5000,$C33),""))</f>
        <v/>
      </c>
      <c r="K33" s="39" t="str">
        <f aca="false">IF($A33="","",IFERROR(INDEX(Daily_History!$Y$1:$Y$5000,$C33),""))</f>
        <v/>
      </c>
      <c r="L33" s="35" t="str">
        <f aca="false">IF($A33="","",IFERROR($D33/$I33-1,""))</f>
        <v/>
      </c>
      <c r="M33" s="35" t="str">
        <f aca="false">IF($A33="","",IFERROR($D33/$K33-1,""))</f>
        <v/>
      </c>
      <c r="N33" s="28" t="str">
        <f aca="false">IF($A33="","",IF(D33&gt;H33,1,0)+IF(D33&gt;I33,1,0)+IF(D33&gt;J33,1,0)+IF(D33&gt;K33,1,0))</f>
        <v/>
      </c>
      <c r="O33" s="23" t="str">
        <f aca="false">IF($A33="","",IF(AND(ISNUMBER(H33),ISNUMBER(K33)),IF(AND(H33&gt;I33,I33&gt;J33,J33&gt;K33),"آرایش صعودی کامل",IF(AND(H33&lt;I33,I33&lt;J33,J33&lt;K33),"آرایش نزولی کامل",IF(I33&gt;K33,"تقاطع طلایی","تقاطع مرگ"))),"داده ناکافی"))</f>
        <v/>
      </c>
      <c r="P33" s="35" t="str">
        <f aca="false">IF($A33="","",IFERROR(H33/INDEX(Daily_History!$V$1:$V$5000,$C33-MA_SHORT)-1,""))</f>
        <v/>
      </c>
      <c r="Q33" s="39" t="str">
        <f aca="false">IF($A33="","",IFERROR(INDEX(Daily_History!$AI$1:$AI$5000,$C33),""))</f>
        <v/>
      </c>
      <c r="R33" s="39" t="str">
        <f aca="false">IF($A33="","",IFERROR(INDEX(Daily_History!$AJ$1:$AJ$5000,$C33),""))</f>
        <v/>
      </c>
      <c r="S33" s="39" t="str">
        <f aca="false">IF($A33="","",IFERROR(INDEX(Daily_History!$AK$1:$AK$5000,$C33),""))</f>
        <v/>
      </c>
      <c r="T33" s="39" t="str">
        <f aca="false">IF($A33="","",IFERROR(INDEX(Daily_History!$AL$1:$AL$5000,$C33),""))</f>
        <v/>
      </c>
      <c r="U33" s="23" t="str">
        <f aca="false">IF($A33="","",IF(AND(ISNUMBER(S33),ISNUMBER(D33)),IF(D33&gt;=S33*0.995,"سقف‌شکنی میان‌مدت (HH)",IF(D33&gt;=Q33*0.995,"سقف‌شکنی کوتاه‌مدت",IF(D33&lt;=T33*1.005,"کف‌شکنی میان‌مدت (LL)",IF(D33&lt;=R33*1.005,"کف‌شکنی کوتاه‌مدت","درون محدوده")))),"داده ناکافی"))</f>
        <v/>
      </c>
      <c r="V33" s="39" t="str">
        <f aca="false">IF($A33="","",IFERROR(INDEX(Daily_History!$AB$1:$AB$5000,$C33),""))</f>
        <v/>
      </c>
      <c r="W33" s="35" t="str">
        <f aca="false">IF($A33="","",IFERROR(V33/D33,""))</f>
        <v/>
      </c>
      <c r="X33" s="26" t="str">
        <f aca="false">IF($A33="","",IFERROR(D33-ATR_STOP_MULT*V33,""))</f>
        <v/>
      </c>
      <c r="Y33" s="39" t="str">
        <f aca="false">IF($A33="","",IFERROR(INDEX(Daily_History!$Z$1:$Z$5000,$C33),""))</f>
        <v/>
      </c>
      <c r="Z33" s="39" t="str">
        <f aca="false">IF($A33="","",IFERROR(INDEX(Data_Input!$Q$1:$Q$5000,$B33),""))</f>
        <v/>
      </c>
      <c r="AA33" s="33" t="str">
        <f aca="false">IF($A33="","",IFERROR(Z33/Y33,""))</f>
        <v/>
      </c>
      <c r="AB33" s="26" t="str">
        <f aca="false">IF($A33="","",IFERROR(INDEX(Data_Input!$V$1:$V$5000,$B33)-INDEX(Data_Input!$W$1:$W$5000,$B33),""))</f>
        <v/>
      </c>
      <c r="AC33" s="27" t="str">
        <f aca="false">IF($A33="","",IFERROR(AB33*E33/1000000000,""))</f>
        <v/>
      </c>
      <c r="AD33" s="35" t="str">
        <f aca="false">IF($A33="","",IFERROR(AB33*E33/INDEX(Data_Input!$R$1:$R$5000,$B33),""))</f>
        <v/>
      </c>
      <c r="AE33" s="27" t="str">
        <f aca="false">IF($A33="","",IFERROR(INDEX(Data_Input!$V$1:$V$5000,$B33)*E33/INDEX(Data_Input!$X$1:$X$5000,$B33)/1000000,""))</f>
        <v/>
      </c>
      <c r="AF33" s="27" t="str">
        <f aca="false">IF($A33="","",IFERROR(INDEX(Data_Input!$W$1:$W$5000,$B33)*E33/INDEX(Data_Input!$Y$1:$Y$5000,$B33)/1000000,""))</f>
        <v/>
      </c>
      <c r="AG33" s="33" t="str">
        <f aca="false">IF($A33="","",IFERROR(AE33/AF33,""))</f>
        <v/>
      </c>
      <c r="AH33" s="41" t="str">
        <f aca="false">IF($A33="","",IFERROR(INDEX(Daily_History!$AH$1:$AH$5000,$C33)/1000000000,""))</f>
        <v/>
      </c>
      <c r="AI33" s="35" t="str">
        <f aca="false">IF($A33="","",IFERROR(AH33/(5*G33),""))</f>
        <v/>
      </c>
      <c r="AJ33" s="27" t="str">
        <f aca="false">IF($A33="","",IFERROR(MAX(-10,MIN(10,IF(D33&gt;I33*1.02,3,IF(D33&gt;I33,1.5,IF(D33&lt;I33*0.98,-3,-1.5)))+IF(I33&gt;K33*1.02,3,IF(I33&gt;K33,1.5,IF(I33&lt;K33*0.98,-3,-1.5)))+IF(D33&gt;=Q33*0.995,2,IF(D33&lt;=R33*1.005,-2,0))+IF(P33&gt;0.03,2,IF(P33&gt;0,1,IF(P33&lt;-0.03,-2,-1))))),0))</f>
        <v/>
      </c>
      <c r="AK33" s="27" t="str">
        <f aca="false">IF($A33="","",IFERROR(MAX(-10,MIN(10,IF(AG33&gt;=SM_STRONG,4,IF(AG33&gt;=SM_MOD,2,IF(AG33&lt;=SM_BAD,-4,IF(AG33&lt;=SM_WEAK,-2,0))))+IF(AD33&gt;=NF_STRONG,3,IF(AD33&gt;=NF_MOD,1.5,IF(AD33&lt;=-NF_STRONG,-3,IF(AD33&lt;=-NF_MOD,-1.5,0))))+IF(AI33&gt;=NF_MOD,3,IF(AI33&gt;0,1.5,IF(AI33&lt;=-NF_MOD,-3,-1.5))))),0))</f>
        <v/>
      </c>
      <c r="AL33" s="27" t="str">
        <f aca="false">IF($A33="","",IFERROR(N33*5-10,0))</f>
        <v/>
      </c>
      <c r="AM33" s="27" t="str">
        <f aca="false">IF($A33="","",IFERROR(IF(F33&gt;0,IF(AA33&gt;=VOL_HIGH,9,IF(AA33&gt;=VOL_MOD,5,IF(AA33&lt;=VOL_DRY,-2,2))),IF(F33&lt;0,IF(AA33&gt;=VOL_HIGH,-9,IF(AA33&gt;=VOL_MOD,-5,IF(AA33&lt;=VOL_DRY,2,-2))),0)),0))</f>
        <v/>
      </c>
      <c r="AN33" s="41" t="str">
        <f aca="false">IF($A33="","",MARKET_SCORE)</f>
        <v/>
      </c>
      <c r="AO33" s="41" t="str">
        <f aca="false">IF($A33="","",IFERROR(INDEX(Time_Link!$B$1:$B$5000,MATCH($A33,Time_Link!$A$1:$A$5000,0)),0))</f>
        <v/>
      </c>
      <c r="AP33" s="27" t="str">
        <f aca="false">IF($A33="","",IFERROR((AJ33*W_TREND+AK33*W_SMART+AL33*W_MA+AM33*W_VOL+AN33*W_MARKET+AO33*W_TIME)/W_SUM,0))</f>
        <v/>
      </c>
      <c r="AQ33" s="28" t="str">
        <f aca="false">IF($A33="","",IF(ABS(AP33)&gt;=8,5,IF(ABS(AP33)&gt;=5,4,IF(ABS(AP33)&gt;=3,3,IF(ABS(AP33)&gt;=1.5,2,1)))))</f>
        <v/>
      </c>
      <c r="AR33" s="23" t="str">
        <f aca="false">IF($A33="","",IF(G33="","بدون داده",IF(G33&lt;MIN_LIQ_B,"کم‌اعتبار","معتبر")))</f>
        <v/>
      </c>
      <c r="AS33" s="42" t="str">
        <f aca="false">IF($A33="","",IFERROR(AP33+ROW()/1000000,-99))</f>
        <v/>
      </c>
      <c r="AT33" s="28" t="str">
        <f aca="false">IF($A33="","",RANK(AS33,$AS$5:$AS$64,0))</f>
        <v/>
      </c>
      <c r="AU33" s="28" t="str">
        <f aca="false">IF($A33="","",RANK(AS33,$AS$5:$AS$64,1))</f>
        <v/>
      </c>
    </row>
    <row r="34" customFormat="false" ht="15" hidden="false" customHeight="false" outlineLevel="0" collapsed="false">
      <c r="A34" s="37" t="str">
        <f aca="false">IF(COUNTA(Watchlist!$A$34)=0,"",Watchlist!$A$34)</f>
        <v/>
      </c>
      <c r="B34" s="28" t="str">
        <f aca="false">IF($A34="","",IFERROR(MATCH($A34,Data_Input!$A$1:$A$5000,0),""))</f>
        <v/>
      </c>
      <c r="C34" s="28" t="str">
        <f aca="false">IF($A34="","",IFERROR(MATCH($A34,Daily_History!$AN$1:$AN$5000,0),""))</f>
        <v/>
      </c>
      <c r="D34" s="39" t="str">
        <f aca="false">IF($A34="","",IFERROR(INDEX(Data_Input!$I$1:$I$5000,$B34),""))</f>
        <v/>
      </c>
      <c r="E34" s="39" t="str">
        <f aca="false">IF($A34="","",IFERROR(INDEX(Data_Input!$J$1:$J$5000,$B34),""))</f>
        <v/>
      </c>
      <c r="F34" s="40" t="str">
        <f aca="false">IF($A34="","",IFERROR(INDEX(Data_Input!$M$1:$M$5000,$B34),""))</f>
        <v/>
      </c>
      <c r="G34" s="41" t="str">
        <f aca="false">IF($A34="","",IFERROR(INDEX(Data_Input!$R$1:$R$5000,$B34)/1000000000,""))</f>
        <v/>
      </c>
      <c r="H34" s="39" t="str">
        <f aca="false">IF($A34="","",IFERROR(INDEX(Daily_History!$V$1:$V$5000,$C34),""))</f>
        <v/>
      </c>
      <c r="I34" s="39" t="str">
        <f aca="false">IF($A34="","",IFERROR(INDEX(Daily_History!$W$1:$W$5000,$C34),""))</f>
        <v/>
      </c>
      <c r="J34" s="39" t="str">
        <f aca="false">IF($A34="","",IFERROR(INDEX(Daily_History!$X$1:$X$5000,$C34),""))</f>
        <v/>
      </c>
      <c r="K34" s="39" t="str">
        <f aca="false">IF($A34="","",IFERROR(INDEX(Daily_History!$Y$1:$Y$5000,$C34),""))</f>
        <v/>
      </c>
      <c r="L34" s="35" t="str">
        <f aca="false">IF($A34="","",IFERROR($D34/$I34-1,""))</f>
        <v/>
      </c>
      <c r="M34" s="35" t="str">
        <f aca="false">IF($A34="","",IFERROR($D34/$K34-1,""))</f>
        <v/>
      </c>
      <c r="N34" s="28" t="str">
        <f aca="false">IF($A34="","",IF(D34&gt;H34,1,0)+IF(D34&gt;I34,1,0)+IF(D34&gt;J34,1,0)+IF(D34&gt;K34,1,0))</f>
        <v/>
      </c>
      <c r="O34" s="23" t="str">
        <f aca="false">IF($A34="","",IF(AND(ISNUMBER(H34),ISNUMBER(K34)),IF(AND(H34&gt;I34,I34&gt;J34,J34&gt;K34),"آرایش صعودی کامل",IF(AND(H34&lt;I34,I34&lt;J34,J34&lt;K34),"آرایش نزولی کامل",IF(I34&gt;K34,"تقاطع طلایی","تقاطع مرگ"))),"داده ناکافی"))</f>
        <v/>
      </c>
      <c r="P34" s="35" t="str">
        <f aca="false">IF($A34="","",IFERROR(H34/INDEX(Daily_History!$V$1:$V$5000,$C34-MA_SHORT)-1,""))</f>
        <v/>
      </c>
      <c r="Q34" s="39" t="str">
        <f aca="false">IF($A34="","",IFERROR(INDEX(Daily_History!$AI$1:$AI$5000,$C34),""))</f>
        <v/>
      </c>
      <c r="R34" s="39" t="str">
        <f aca="false">IF($A34="","",IFERROR(INDEX(Daily_History!$AJ$1:$AJ$5000,$C34),""))</f>
        <v/>
      </c>
      <c r="S34" s="39" t="str">
        <f aca="false">IF($A34="","",IFERROR(INDEX(Daily_History!$AK$1:$AK$5000,$C34),""))</f>
        <v/>
      </c>
      <c r="T34" s="39" t="str">
        <f aca="false">IF($A34="","",IFERROR(INDEX(Daily_History!$AL$1:$AL$5000,$C34),""))</f>
        <v/>
      </c>
      <c r="U34" s="23" t="str">
        <f aca="false">IF($A34="","",IF(AND(ISNUMBER(S34),ISNUMBER(D34)),IF(D34&gt;=S34*0.995,"سقف‌شکنی میان‌مدت (HH)",IF(D34&gt;=Q34*0.995,"سقف‌شکنی کوتاه‌مدت",IF(D34&lt;=T34*1.005,"کف‌شکنی میان‌مدت (LL)",IF(D34&lt;=R34*1.005,"کف‌شکنی کوتاه‌مدت","درون محدوده")))),"داده ناکافی"))</f>
        <v/>
      </c>
      <c r="V34" s="39" t="str">
        <f aca="false">IF($A34="","",IFERROR(INDEX(Daily_History!$AB$1:$AB$5000,$C34),""))</f>
        <v/>
      </c>
      <c r="W34" s="35" t="str">
        <f aca="false">IF($A34="","",IFERROR(V34/D34,""))</f>
        <v/>
      </c>
      <c r="X34" s="26" t="str">
        <f aca="false">IF($A34="","",IFERROR(D34-ATR_STOP_MULT*V34,""))</f>
        <v/>
      </c>
      <c r="Y34" s="39" t="str">
        <f aca="false">IF($A34="","",IFERROR(INDEX(Daily_History!$Z$1:$Z$5000,$C34),""))</f>
        <v/>
      </c>
      <c r="Z34" s="39" t="str">
        <f aca="false">IF($A34="","",IFERROR(INDEX(Data_Input!$Q$1:$Q$5000,$B34),""))</f>
        <v/>
      </c>
      <c r="AA34" s="33" t="str">
        <f aca="false">IF($A34="","",IFERROR(Z34/Y34,""))</f>
        <v/>
      </c>
      <c r="AB34" s="26" t="str">
        <f aca="false">IF($A34="","",IFERROR(INDEX(Data_Input!$V$1:$V$5000,$B34)-INDEX(Data_Input!$W$1:$W$5000,$B34),""))</f>
        <v/>
      </c>
      <c r="AC34" s="27" t="str">
        <f aca="false">IF($A34="","",IFERROR(AB34*E34/1000000000,""))</f>
        <v/>
      </c>
      <c r="AD34" s="35" t="str">
        <f aca="false">IF($A34="","",IFERROR(AB34*E34/INDEX(Data_Input!$R$1:$R$5000,$B34),""))</f>
        <v/>
      </c>
      <c r="AE34" s="27" t="str">
        <f aca="false">IF($A34="","",IFERROR(INDEX(Data_Input!$V$1:$V$5000,$B34)*E34/INDEX(Data_Input!$X$1:$X$5000,$B34)/1000000,""))</f>
        <v/>
      </c>
      <c r="AF34" s="27" t="str">
        <f aca="false">IF($A34="","",IFERROR(INDEX(Data_Input!$W$1:$W$5000,$B34)*E34/INDEX(Data_Input!$Y$1:$Y$5000,$B34)/1000000,""))</f>
        <v/>
      </c>
      <c r="AG34" s="33" t="str">
        <f aca="false">IF($A34="","",IFERROR(AE34/AF34,""))</f>
        <v/>
      </c>
      <c r="AH34" s="41" t="str">
        <f aca="false">IF($A34="","",IFERROR(INDEX(Daily_History!$AH$1:$AH$5000,$C34)/1000000000,""))</f>
        <v/>
      </c>
      <c r="AI34" s="35" t="str">
        <f aca="false">IF($A34="","",IFERROR(AH34/(5*G34),""))</f>
        <v/>
      </c>
      <c r="AJ34" s="27" t="str">
        <f aca="false">IF($A34="","",IFERROR(MAX(-10,MIN(10,IF(D34&gt;I34*1.02,3,IF(D34&gt;I34,1.5,IF(D34&lt;I34*0.98,-3,-1.5)))+IF(I34&gt;K34*1.02,3,IF(I34&gt;K34,1.5,IF(I34&lt;K34*0.98,-3,-1.5)))+IF(D34&gt;=Q34*0.995,2,IF(D34&lt;=R34*1.005,-2,0))+IF(P34&gt;0.03,2,IF(P34&gt;0,1,IF(P34&lt;-0.03,-2,-1))))),0))</f>
        <v/>
      </c>
      <c r="AK34" s="27" t="str">
        <f aca="false">IF($A34="","",IFERROR(MAX(-10,MIN(10,IF(AG34&gt;=SM_STRONG,4,IF(AG34&gt;=SM_MOD,2,IF(AG34&lt;=SM_BAD,-4,IF(AG34&lt;=SM_WEAK,-2,0))))+IF(AD34&gt;=NF_STRONG,3,IF(AD34&gt;=NF_MOD,1.5,IF(AD34&lt;=-NF_STRONG,-3,IF(AD34&lt;=-NF_MOD,-1.5,0))))+IF(AI34&gt;=NF_MOD,3,IF(AI34&gt;0,1.5,IF(AI34&lt;=-NF_MOD,-3,-1.5))))),0))</f>
        <v/>
      </c>
      <c r="AL34" s="27" t="str">
        <f aca="false">IF($A34="","",IFERROR(N34*5-10,0))</f>
        <v/>
      </c>
      <c r="AM34" s="27" t="str">
        <f aca="false">IF($A34="","",IFERROR(IF(F34&gt;0,IF(AA34&gt;=VOL_HIGH,9,IF(AA34&gt;=VOL_MOD,5,IF(AA34&lt;=VOL_DRY,-2,2))),IF(F34&lt;0,IF(AA34&gt;=VOL_HIGH,-9,IF(AA34&gt;=VOL_MOD,-5,IF(AA34&lt;=VOL_DRY,2,-2))),0)),0))</f>
        <v/>
      </c>
      <c r="AN34" s="41" t="str">
        <f aca="false">IF($A34="","",MARKET_SCORE)</f>
        <v/>
      </c>
      <c r="AO34" s="41" t="str">
        <f aca="false">IF($A34="","",IFERROR(INDEX(Time_Link!$B$1:$B$5000,MATCH($A34,Time_Link!$A$1:$A$5000,0)),0))</f>
        <v/>
      </c>
      <c r="AP34" s="27" t="str">
        <f aca="false">IF($A34="","",IFERROR((AJ34*W_TREND+AK34*W_SMART+AL34*W_MA+AM34*W_VOL+AN34*W_MARKET+AO34*W_TIME)/W_SUM,0))</f>
        <v/>
      </c>
      <c r="AQ34" s="28" t="str">
        <f aca="false">IF($A34="","",IF(ABS(AP34)&gt;=8,5,IF(ABS(AP34)&gt;=5,4,IF(ABS(AP34)&gt;=3,3,IF(ABS(AP34)&gt;=1.5,2,1)))))</f>
        <v/>
      </c>
      <c r="AR34" s="23" t="str">
        <f aca="false">IF($A34="","",IF(G34="","بدون داده",IF(G34&lt;MIN_LIQ_B,"کم‌اعتبار","معتبر")))</f>
        <v/>
      </c>
      <c r="AS34" s="42" t="str">
        <f aca="false">IF($A34="","",IFERROR(AP34+ROW()/1000000,-99))</f>
        <v/>
      </c>
      <c r="AT34" s="28" t="str">
        <f aca="false">IF($A34="","",RANK(AS34,$AS$5:$AS$64,0))</f>
        <v/>
      </c>
      <c r="AU34" s="28" t="str">
        <f aca="false">IF($A34="","",RANK(AS34,$AS$5:$AS$64,1))</f>
        <v/>
      </c>
    </row>
    <row r="35" customFormat="false" ht="15" hidden="false" customHeight="false" outlineLevel="0" collapsed="false">
      <c r="A35" s="37" t="str">
        <f aca="false">IF(COUNTA(Watchlist!$A$35)=0,"",Watchlist!$A$35)</f>
        <v/>
      </c>
      <c r="B35" s="28" t="str">
        <f aca="false">IF($A35="","",IFERROR(MATCH($A35,Data_Input!$A$1:$A$5000,0),""))</f>
        <v/>
      </c>
      <c r="C35" s="28" t="str">
        <f aca="false">IF($A35="","",IFERROR(MATCH($A35,Daily_History!$AN$1:$AN$5000,0),""))</f>
        <v/>
      </c>
      <c r="D35" s="39" t="str">
        <f aca="false">IF($A35="","",IFERROR(INDEX(Data_Input!$I$1:$I$5000,$B35),""))</f>
        <v/>
      </c>
      <c r="E35" s="39" t="str">
        <f aca="false">IF($A35="","",IFERROR(INDEX(Data_Input!$J$1:$J$5000,$B35),""))</f>
        <v/>
      </c>
      <c r="F35" s="40" t="str">
        <f aca="false">IF($A35="","",IFERROR(INDEX(Data_Input!$M$1:$M$5000,$B35),""))</f>
        <v/>
      </c>
      <c r="G35" s="41" t="str">
        <f aca="false">IF($A35="","",IFERROR(INDEX(Data_Input!$R$1:$R$5000,$B35)/1000000000,""))</f>
        <v/>
      </c>
      <c r="H35" s="39" t="str">
        <f aca="false">IF($A35="","",IFERROR(INDEX(Daily_History!$V$1:$V$5000,$C35),""))</f>
        <v/>
      </c>
      <c r="I35" s="39" t="str">
        <f aca="false">IF($A35="","",IFERROR(INDEX(Daily_History!$W$1:$W$5000,$C35),""))</f>
        <v/>
      </c>
      <c r="J35" s="39" t="str">
        <f aca="false">IF($A35="","",IFERROR(INDEX(Daily_History!$X$1:$X$5000,$C35),""))</f>
        <v/>
      </c>
      <c r="K35" s="39" t="str">
        <f aca="false">IF($A35="","",IFERROR(INDEX(Daily_History!$Y$1:$Y$5000,$C35),""))</f>
        <v/>
      </c>
      <c r="L35" s="35" t="str">
        <f aca="false">IF($A35="","",IFERROR($D35/$I35-1,""))</f>
        <v/>
      </c>
      <c r="M35" s="35" t="str">
        <f aca="false">IF($A35="","",IFERROR($D35/$K35-1,""))</f>
        <v/>
      </c>
      <c r="N35" s="28" t="str">
        <f aca="false">IF($A35="","",IF(D35&gt;H35,1,0)+IF(D35&gt;I35,1,0)+IF(D35&gt;J35,1,0)+IF(D35&gt;K35,1,0))</f>
        <v/>
      </c>
      <c r="O35" s="23" t="str">
        <f aca="false">IF($A35="","",IF(AND(ISNUMBER(H35),ISNUMBER(K35)),IF(AND(H35&gt;I35,I35&gt;J35,J35&gt;K35),"آرایش صعودی کامل",IF(AND(H35&lt;I35,I35&lt;J35,J35&lt;K35),"آرایش نزولی کامل",IF(I35&gt;K35,"تقاطع طلایی","تقاطع مرگ"))),"داده ناکافی"))</f>
        <v/>
      </c>
      <c r="P35" s="35" t="str">
        <f aca="false">IF($A35="","",IFERROR(H35/INDEX(Daily_History!$V$1:$V$5000,$C35-MA_SHORT)-1,""))</f>
        <v/>
      </c>
      <c r="Q35" s="39" t="str">
        <f aca="false">IF($A35="","",IFERROR(INDEX(Daily_History!$AI$1:$AI$5000,$C35),""))</f>
        <v/>
      </c>
      <c r="R35" s="39" t="str">
        <f aca="false">IF($A35="","",IFERROR(INDEX(Daily_History!$AJ$1:$AJ$5000,$C35),""))</f>
        <v/>
      </c>
      <c r="S35" s="39" t="str">
        <f aca="false">IF($A35="","",IFERROR(INDEX(Daily_History!$AK$1:$AK$5000,$C35),""))</f>
        <v/>
      </c>
      <c r="T35" s="39" t="str">
        <f aca="false">IF($A35="","",IFERROR(INDEX(Daily_History!$AL$1:$AL$5000,$C35),""))</f>
        <v/>
      </c>
      <c r="U35" s="23" t="str">
        <f aca="false">IF($A35="","",IF(AND(ISNUMBER(S35),ISNUMBER(D35)),IF(D35&gt;=S35*0.995,"سقف‌شکنی میان‌مدت (HH)",IF(D35&gt;=Q35*0.995,"سقف‌شکنی کوتاه‌مدت",IF(D35&lt;=T35*1.005,"کف‌شکنی میان‌مدت (LL)",IF(D35&lt;=R35*1.005,"کف‌شکنی کوتاه‌مدت","درون محدوده")))),"داده ناکافی"))</f>
        <v/>
      </c>
      <c r="V35" s="39" t="str">
        <f aca="false">IF($A35="","",IFERROR(INDEX(Daily_History!$AB$1:$AB$5000,$C35),""))</f>
        <v/>
      </c>
      <c r="W35" s="35" t="str">
        <f aca="false">IF($A35="","",IFERROR(V35/D35,""))</f>
        <v/>
      </c>
      <c r="X35" s="26" t="str">
        <f aca="false">IF($A35="","",IFERROR(D35-ATR_STOP_MULT*V35,""))</f>
        <v/>
      </c>
      <c r="Y35" s="39" t="str">
        <f aca="false">IF($A35="","",IFERROR(INDEX(Daily_History!$Z$1:$Z$5000,$C35),""))</f>
        <v/>
      </c>
      <c r="Z35" s="39" t="str">
        <f aca="false">IF($A35="","",IFERROR(INDEX(Data_Input!$Q$1:$Q$5000,$B35),""))</f>
        <v/>
      </c>
      <c r="AA35" s="33" t="str">
        <f aca="false">IF($A35="","",IFERROR(Z35/Y35,""))</f>
        <v/>
      </c>
      <c r="AB35" s="26" t="str">
        <f aca="false">IF($A35="","",IFERROR(INDEX(Data_Input!$V$1:$V$5000,$B35)-INDEX(Data_Input!$W$1:$W$5000,$B35),""))</f>
        <v/>
      </c>
      <c r="AC35" s="27" t="str">
        <f aca="false">IF($A35="","",IFERROR(AB35*E35/1000000000,""))</f>
        <v/>
      </c>
      <c r="AD35" s="35" t="str">
        <f aca="false">IF($A35="","",IFERROR(AB35*E35/INDEX(Data_Input!$R$1:$R$5000,$B35),""))</f>
        <v/>
      </c>
      <c r="AE35" s="27" t="str">
        <f aca="false">IF($A35="","",IFERROR(INDEX(Data_Input!$V$1:$V$5000,$B35)*E35/INDEX(Data_Input!$X$1:$X$5000,$B35)/1000000,""))</f>
        <v/>
      </c>
      <c r="AF35" s="27" t="str">
        <f aca="false">IF($A35="","",IFERROR(INDEX(Data_Input!$W$1:$W$5000,$B35)*E35/INDEX(Data_Input!$Y$1:$Y$5000,$B35)/1000000,""))</f>
        <v/>
      </c>
      <c r="AG35" s="33" t="str">
        <f aca="false">IF($A35="","",IFERROR(AE35/AF35,""))</f>
        <v/>
      </c>
      <c r="AH35" s="41" t="str">
        <f aca="false">IF($A35="","",IFERROR(INDEX(Daily_History!$AH$1:$AH$5000,$C35)/1000000000,""))</f>
        <v/>
      </c>
      <c r="AI35" s="35" t="str">
        <f aca="false">IF($A35="","",IFERROR(AH35/(5*G35),""))</f>
        <v/>
      </c>
      <c r="AJ35" s="27" t="str">
        <f aca="false">IF($A35="","",IFERROR(MAX(-10,MIN(10,IF(D35&gt;I35*1.02,3,IF(D35&gt;I35,1.5,IF(D35&lt;I35*0.98,-3,-1.5)))+IF(I35&gt;K35*1.02,3,IF(I35&gt;K35,1.5,IF(I35&lt;K35*0.98,-3,-1.5)))+IF(D35&gt;=Q35*0.995,2,IF(D35&lt;=R35*1.005,-2,0))+IF(P35&gt;0.03,2,IF(P35&gt;0,1,IF(P35&lt;-0.03,-2,-1))))),0))</f>
        <v/>
      </c>
      <c r="AK35" s="27" t="str">
        <f aca="false">IF($A35="","",IFERROR(MAX(-10,MIN(10,IF(AG35&gt;=SM_STRONG,4,IF(AG35&gt;=SM_MOD,2,IF(AG35&lt;=SM_BAD,-4,IF(AG35&lt;=SM_WEAK,-2,0))))+IF(AD35&gt;=NF_STRONG,3,IF(AD35&gt;=NF_MOD,1.5,IF(AD35&lt;=-NF_STRONG,-3,IF(AD35&lt;=-NF_MOD,-1.5,0))))+IF(AI35&gt;=NF_MOD,3,IF(AI35&gt;0,1.5,IF(AI35&lt;=-NF_MOD,-3,-1.5))))),0))</f>
        <v/>
      </c>
      <c r="AL35" s="27" t="str">
        <f aca="false">IF($A35="","",IFERROR(N35*5-10,0))</f>
        <v/>
      </c>
      <c r="AM35" s="27" t="str">
        <f aca="false">IF($A35="","",IFERROR(IF(F35&gt;0,IF(AA35&gt;=VOL_HIGH,9,IF(AA35&gt;=VOL_MOD,5,IF(AA35&lt;=VOL_DRY,-2,2))),IF(F35&lt;0,IF(AA35&gt;=VOL_HIGH,-9,IF(AA35&gt;=VOL_MOD,-5,IF(AA35&lt;=VOL_DRY,2,-2))),0)),0))</f>
        <v/>
      </c>
      <c r="AN35" s="41" t="str">
        <f aca="false">IF($A35="","",MARKET_SCORE)</f>
        <v/>
      </c>
      <c r="AO35" s="41" t="str">
        <f aca="false">IF($A35="","",IFERROR(INDEX(Time_Link!$B$1:$B$5000,MATCH($A35,Time_Link!$A$1:$A$5000,0)),0))</f>
        <v/>
      </c>
      <c r="AP35" s="27" t="str">
        <f aca="false">IF($A35="","",IFERROR((AJ35*W_TREND+AK35*W_SMART+AL35*W_MA+AM35*W_VOL+AN35*W_MARKET+AO35*W_TIME)/W_SUM,0))</f>
        <v/>
      </c>
      <c r="AQ35" s="28" t="str">
        <f aca="false">IF($A35="","",IF(ABS(AP35)&gt;=8,5,IF(ABS(AP35)&gt;=5,4,IF(ABS(AP35)&gt;=3,3,IF(ABS(AP35)&gt;=1.5,2,1)))))</f>
        <v/>
      </c>
      <c r="AR35" s="23" t="str">
        <f aca="false">IF($A35="","",IF(G35="","بدون داده",IF(G35&lt;MIN_LIQ_B,"کم‌اعتبار","معتبر")))</f>
        <v/>
      </c>
      <c r="AS35" s="42" t="str">
        <f aca="false">IF($A35="","",IFERROR(AP35+ROW()/1000000,-99))</f>
        <v/>
      </c>
      <c r="AT35" s="28" t="str">
        <f aca="false">IF($A35="","",RANK(AS35,$AS$5:$AS$64,0))</f>
        <v/>
      </c>
      <c r="AU35" s="28" t="str">
        <f aca="false">IF($A35="","",RANK(AS35,$AS$5:$AS$64,1))</f>
        <v/>
      </c>
    </row>
    <row r="36" customFormat="false" ht="15" hidden="false" customHeight="false" outlineLevel="0" collapsed="false">
      <c r="A36" s="37" t="str">
        <f aca="false">IF(COUNTA(Watchlist!$A$36)=0,"",Watchlist!$A$36)</f>
        <v/>
      </c>
      <c r="B36" s="28" t="str">
        <f aca="false">IF($A36="","",IFERROR(MATCH($A36,Data_Input!$A$1:$A$5000,0),""))</f>
        <v/>
      </c>
      <c r="C36" s="28" t="str">
        <f aca="false">IF($A36="","",IFERROR(MATCH($A36,Daily_History!$AN$1:$AN$5000,0),""))</f>
        <v/>
      </c>
      <c r="D36" s="39" t="str">
        <f aca="false">IF($A36="","",IFERROR(INDEX(Data_Input!$I$1:$I$5000,$B36),""))</f>
        <v/>
      </c>
      <c r="E36" s="39" t="str">
        <f aca="false">IF($A36="","",IFERROR(INDEX(Data_Input!$J$1:$J$5000,$B36),""))</f>
        <v/>
      </c>
      <c r="F36" s="40" t="str">
        <f aca="false">IF($A36="","",IFERROR(INDEX(Data_Input!$M$1:$M$5000,$B36),""))</f>
        <v/>
      </c>
      <c r="G36" s="41" t="str">
        <f aca="false">IF($A36="","",IFERROR(INDEX(Data_Input!$R$1:$R$5000,$B36)/1000000000,""))</f>
        <v/>
      </c>
      <c r="H36" s="39" t="str">
        <f aca="false">IF($A36="","",IFERROR(INDEX(Daily_History!$V$1:$V$5000,$C36),""))</f>
        <v/>
      </c>
      <c r="I36" s="39" t="str">
        <f aca="false">IF($A36="","",IFERROR(INDEX(Daily_History!$W$1:$W$5000,$C36),""))</f>
        <v/>
      </c>
      <c r="J36" s="39" t="str">
        <f aca="false">IF($A36="","",IFERROR(INDEX(Daily_History!$X$1:$X$5000,$C36),""))</f>
        <v/>
      </c>
      <c r="K36" s="39" t="str">
        <f aca="false">IF($A36="","",IFERROR(INDEX(Daily_History!$Y$1:$Y$5000,$C36),""))</f>
        <v/>
      </c>
      <c r="L36" s="35" t="str">
        <f aca="false">IF($A36="","",IFERROR($D36/$I36-1,""))</f>
        <v/>
      </c>
      <c r="M36" s="35" t="str">
        <f aca="false">IF($A36="","",IFERROR($D36/$K36-1,""))</f>
        <v/>
      </c>
      <c r="N36" s="28" t="str">
        <f aca="false">IF($A36="","",IF(D36&gt;H36,1,0)+IF(D36&gt;I36,1,0)+IF(D36&gt;J36,1,0)+IF(D36&gt;K36,1,0))</f>
        <v/>
      </c>
      <c r="O36" s="23" t="str">
        <f aca="false">IF($A36="","",IF(AND(ISNUMBER(H36),ISNUMBER(K36)),IF(AND(H36&gt;I36,I36&gt;J36,J36&gt;K36),"آرایش صعودی کامل",IF(AND(H36&lt;I36,I36&lt;J36,J36&lt;K36),"آرایش نزولی کامل",IF(I36&gt;K36,"تقاطع طلایی","تقاطع مرگ"))),"داده ناکافی"))</f>
        <v/>
      </c>
      <c r="P36" s="35" t="str">
        <f aca="false">IF($A36="","",IFERROR(H36/INDEX(Daily_History!$V$1:$V$5000,$C36-MA_SHORT)-1,""))</f>
        <v/>
      </c>
      <c r="Q36" s="39" t="str">
        <f aca="false">IF($A36="","",IFERROR(INDEX(Daily_History!$AI$1:$AI$5000,$C36),""))</f>
        <v/>
      </c>
      <c r="R36" s="39" t="str">
        <f aca="false">IF($A36="","",IFERROR(INDEX(Daily_History!$AJ$1:$AJ$5000,$C36),""))</f>
        <v/>
      </c>
      <c r="S36" s="39" t="str">
        <f aca="false">IF($A36="","",IFERROR(INDEX(Daily_History!$AK$1:$AK$5000,$C36),""))</f>
        <v/>
      </c>
      <c r="T36" s="39" t="str">
        <f aca="false">IF($A36="","",IFERROR(INDEX(Daily_History!$AL$1:$AL$5000,$C36),""))</f>
        <v/>
      </c>
      <c r="U36" s="23" t="str">
        <f aca="false">IF($A36="","",IF(AND(ISNUMBER(S36),ISNUMBER(D36)),IF(D36&gt;=S36*0.995,"سقف‌شکنی میان‌مدت (HH)",IF(D36&gt;=Q36*0.995,"سقف‌شکنی کوتاه‌مدت",IF(D36&lt;=T36*1.005,"کف‌شکنی میان‌مدت (LL)",IF(D36&lt;=R36*1.005,"کف‌شکنی کوتاه‌مدت","درون محدوده")))),"داده ناکافی"))</f>
        <v/>
      </c>
      <c r="V36" s="39" t="str">
        <f aca="false">IF($A36="","",IFERROR(INDEX(Daily_History!$AB$1:$AB$5000,$C36),""))</f>
        <v/>
      </c>
      <c r="W36" s="35" t="str">
        <f aca="false">IF($A36="","",IFERROR(V36/D36,""))</f>
        <v/>
      </c>
      <c r="X36" s="26" t="str">
        <f aca="false">IF($A36="","",IFERROR(D36-ATR_STOP_MULT*V36,""))</f>
        <v/>
      </c>
      <c r="Y36" s="39" t="str">
        <f aca="false">IF($A36="","",IFERROR(INDEX(Daily_History!$Z$1:$Z$5000,$C36),""))</f>
        <v/>
      </c>
      <c r="Z36" s="39" t="str">
        <f aca="false">IF($A36="","",IFERROR(INDEX(Data_Input!$Q$1:$Q$5000,$B36),""))</f>
        <v/>
      </c>
      <c r="AA36" s="33" t="str">
        <f aca="false">IF($A36="","",IFERROR(Z36/Y36,""))</f>
        <v/>
      </c>
      <c r="AB36" s="26" t="str">
        <f aca="false">IF($A36="","",IFERROR(INDEX(Data_Input!$V$1:$V$5000,$B36)-INDEX(Data_Input!$W$1:$W$5000,$B36),""))</f>
        <v/>
      </c>
      <c r="AC36" s="27" t="str">
        <f aca="false">IF($A36="","",IFERROR(AB36*E36/1000000000,""))</f>
        <v/>
      </c>
      <c r="AD36" s="35" t="str">
        <f aca="false">IF($A36="","",IFERROR(AB36*E36/INDEX(Data_Input!$R$1:$R$5000,$B36),""))</f>
        <v/>
      </c>
      <c r="AE36" s="27" t="str">
        <f aca="false">IF($A36="","",IFERROR(INDEX(Data_Input!$V$1:$V$5000,$B36)*E36/INDEX(Data_Input!$X$1:$X$5000,$B36)/1000000,""))</f>
        <v/>
      </c>
      <c r="AF36" s="27" t="str">
        <f aca="false">IF($A36="","",IFERROR(INDEX(Data_Input!$W$1:$W$5000,$B36)*E36/INDEX(Data_Input!$Y$1:$Y$5000,$B36)/1000000,""))</f>
        <v/>
      </c>
      <c r="AG36" s="33" t="str">
        <f aca="false">IF($A36="","",IFERROR(AE36/AF36,""))</f>
        <v/>
      </c>
      <c r="AH36" s="41" t="str">
        <f aca="false">IF($A36="","",IFERROR(INDEX(Daily_History!$AH$1:$AH$5000,$C36)/1000000000,""))</f>
        <v/>
      </c>
      <c r="AI36" s="35" t="str">
        <f aca="false">IF($A36="","",IFERROR(AH36/(5*G36),""))</f>
        <v/>
      </c>
      <c r="AJ36" s="27" t="str">
        <f aca="false">IF($A36="","",IFERROR(MAX(-10,MIN(10,IF(D36&gt;I36*1.02,3,IF(D36&gt;I36,1.5,IF(D36&lt;I36*0.98,-3,-1.5)))+IF(I36&gt;K36*1.02,3,IF(I36&gt;K36,1.5,IF(I36&lt;K36*0.98,-3,-1.5)))+IF(D36&gt;=Q36*0.995,2,IF(D36&lt;=R36*1.005,-2,0))+IF(P36&gt;0.03,2,IF(P36&gt;0,1,IF(P36&lt;-0.03,-2,-1))))),0))</f>
        <v/>
      </c>
      <c r="AK36" s="27" t="str">
        <f aca="false">IF($A36="","",IFERROR(MAX(-10,MIN(10,IF(AG36&gt;=SM_STRONG,4,IF(AG36&gt;=SM_MOD,2,IF(AG36&lt;=SM_BAD,-4,IF(AG36&lt;=SM_WEAK,-2,0))))+IF(AD36&gt;=NF_STRONG,3,IF(AD36&gt;=NF_MOD,1.5,IF(AD36&lt;=-NF_STRONG,-3,IF(AD36&lt;=-NF_MOD,-1.5,0))))+IF(AI36&gt;=NF_MOD,3,IF(AI36&gt;0,1.5,IF(AI36&lt;=-NF_MOD,-3,-1.5))))),0))</f>
        <v/>
      </c>
      <c r="AL36" s="27" t="str">
        <f aca="false">IF($A36="","",IFERROR(N36*5-10,0))</f>
        <v/>
      </c>
      <c r="AM36" s="27" t="str">
        <f aca="false">IF($A36="","",IFERROR(IF(F36&gt;0,IF(AA36&gt;=VOL_HIGH,9,IF(AA36&gt;=VOL_MOD,5,IF(AA36&lt;=VOL_DRY,-2,2))),IF(F36&lt;0,IF(AA36&gt;=VOL_HIGH,-9,IF(AA36&gt;=VOL_MOD,-5,IF(AA36&lt;=VOL_DRY,2,-2))),0)),0))</f>
        <v/>
      </c>
      <c r="AN36" s="41" t="str">
        <f aca="false">IF($A36="","",MARKET_SCORE)</f>
        <v/>
      </c>
      <c r="AO36" s="41" t="str">
        <f aca="false">IF($A36="","",IFERROR(INDEX(Time_Link!$B$1:$B$5000,MATCH($A36,Time_Link!$A$1:$A$5000,0)),0))</f>
        <v/>
      </c>
      <c r="AP36" s="27" t="str">
        <f aca="false">IF($A36="","",IFERROR((AJ36*W_TREND+AK36*W_SMART+AL36*W_MA+AM36*W_VOL+AN36*W_MARKET+AO36*W_TIME)/W_SUM,0))</f>
        <v/>
      </c>
      <c r="AQ36" s="28" t="str">
        <f aca="false">IF($A36="","",IF(ABS(AP36)&gt;=8,5,IF(ABS(AP36)&gt;=5,4,IF(ABS(AP36)&gt;=3,3,IF(ABS(AP36)&gt;=1.5,2,1)))))</f>
        <v/>
      </c>
      <c r="AR36" s="23" t="str">
        <f aca="false">IF($A36="","",IF(G36="","بدون داده",IF(G36&lt;MIN_LIQ_B,"کم‌اعتبار","معتبر")))</f>
        <v/>
      </c>
      <c r="AS36" s="42" t="str">
        <f aca="false">IF($A36="","",IFERROR(AP36+ROW()/1000000,-99))</f>
        <v/>
      </c>
      <c r="AT36" s="28" t="str">
        <f aca="false">IF($A36="","",RANK(AS36,$AS$5:$AS$64,0))</f>
        <v/>
      </c>
      <c r="AU36" s="28" t="str">
        <f aca="false">IF($A36="","",RANK(AS36,$AS$5:$AS$64,1))</f>
        <v/>
      </c>
    </row>
    <row r="37" customFormat="false" ht="15" hidden="false" customHeight="false" outlineLevel="0" collapsed="false">
      <c r="A37" s="37" t="str">
        <f aca="false">IF(COUNTA(Watchlist!$A$37)=0,"",Watchlist!$A$37)</f>
        <v/>
      </c>
      <c r="B37" s="28" t="str">
        <f aca="false">IF($A37="","",IFERROR(MATCH($A37,Data_Input!$A$1:$A$5000,0),""))</f>
        <v/>
      </c>
      <c r="C37" s="28" t="str">
        <f aca="false">IF($A37="","",IFERROR(MATCH($A37,Daily_History!$AN$1:$AN$5000,0),""))</f>
        <v/>
      </c>
      <c r="D37" s="39" t="str">
        <f aca="false">IF($A37="","",IFERROR(INDEX(Data_Input!$I$1:$I$5000,$B37),""))</f>
        <v/>
      </c>
      <c r="E37" s="39" t="str">
        <f aca="false">IF($A37="","",IFERROR(INDEX(Data_Input!$J$1:$J$5000,$B37),""))</f>
        <v/>
      </c>
      <c r="F37" s="40" t="str">
        <f aca="false">IF($A37="","",IFERROR(INDEX(Data_Input!$M$1:$M$5000,$B37),""))</f>
        <v/>
      </c>
      <c r="G37" s="41" t="str">
        <f aca="false">IF($A37="","",IFERROR(INDEX(Data_Input!$R$1:$R$5000,$B37)/1000000000,""))</f>
        <v/>
      </c>
      <c r="H37" s="39" t="str">
        <f aca="false">IF($A37="","",IFERROR(INDEX(Daily_History!$V$1:$V$5000,$C37),""))</f>
        <v/>
      </c>
      <c r="I37" s="39" t="str">
        <f aca="false">IF($A37="","",IFERROR(INDEX(Daily_History!$W$1:$W$5000,$C37),""))</f>
        <v/>
      </c>
      <c r="J37" s="39" t="str">
        <f aca="false">IF($A37="","",IFERROR(INDEX(Daily_History!$X$1:$X$5000,$C37),""))</f>
        <v/>
      </c>
      <c r="K37" s="39" t="str">
        <f aca="false">IF($A37="","",IFERROR(INDEX(Daily_History!$Y$1:$Y$5000,$C37),""))</f>
        <v/>
      </c>
      <c r="L37" s="35" t="str">
        <f aca="false">IF($A37="","",IFERROR($D37/$I37-1,""))</f>
        <v/>
      </c>
      <c r="M37" s="35" t="str">
        <f aca="false">IF($A37="","",IFERROR($D37/$K37-1,""))</f>
        <v/>
      </c>
      <c r="N37" s="28" t="str">
        <f aca="false">IF($A37="","",IF(D37&gt;H37,1,0)+IF(D37&gt;I37,1,0)+IF(D37&gt;J37,1,0)+IF(D37&gt;K37,1,0))</f>
        <v/>
      </c>
      <c r="O37" s="23" t="str">
        <f aca="false">IF($A37="","",IF(AND(ISNUMBER(H37),ISNUMBER(K37)),IF(AND(H37&gt;I37,I37&gt;J37,J37&gt;K37),"آرایش صعودی کامل",IF(AND(H37&lt;I37,I37&lt;J37,J37&lt;K37),"آرایش نزولی کامل",IF(I37&gt;K37,"تقاطع طلایی","تقاطع مرگ"))),"داده ناکافی"))</f>
        <v/>
      </c>
      <c r="P37" s="35" t="str">
        <f aca="false">IF($A37="","",IFERROR(H37/INDEX(Daily_History!$V$1:$V$5000,$C37-MA_SHORT)-1,""))</f>
        <v/>
      </c>
      <c r="Q37" s="39" t="str">
        <f aca="false">IF($A37="","",IFERROR(INDEX(Daily_History!$AI$1:$AI$5000,$C37),""))</f>
        <v/>
      </c>
      <c r="R37" s="39" t="str">
        <f aca="false">IF($A37="","",IFERROR(INDEX(Daily_History!$AJ$1:$AJ$5000,$C37),""))</f>
        <v/>
      </c>
      <c r="S37" s="39" t="str">
        <f aca="false">IF($A37="","",IFERROR(INDEX(Daily_History!$AK$1:$AK$5000,$C37),""))</f>
        <v/>
      </c>
      <c r="T37" s="39" t="str">
        <f aca="false">IF($A37="","",IFERROR(INDEX(Daily_History!$AL$1:$AL$5000,$C37),""))</f>
        <v/>
      </c>
      <c r="U37" s="23" t="str">
        <f aca="false">IF($A37="","",IF(AND(ISNUMBER(S37),ISNUMBER(D37)),IF(D37&gt;=S37*0.995,"سقف‌شکنی میان‌مدت (HH)",IF(D37&gt;=Q37*0.995,"سقف‌شکنی کوتاه‌مدت",IF(D37&lt;=T37*1.005,"کف‌شکنی میان‌مدت (LL)",IF(D37&lt;=R37*1.005,"کف‌شکنی کوتاه‌مدت","درون محدوده")))),"داده ناکافی"))</f>
        <v/>
      </c>
      <c r="V37" s="39" t="str">
        <f aca="false">IF($A37="","",IFERROR(INDEX(Daily_History!$AB$1:$AB$5000,$C37),""))</f>
        <v/>
      </c>
      <c r="W37" s="35" t="str">
        <f aca="false">IF($A37="","",IFERROR(V37/D37,""))</f>
        <v/>
      </c>
      <c r="X37" s="26" t="str">
        <f aca="false">IF($A37="","",IFERROR(D37-ATR_STOP_MULT*V37,""))</f>
        <v/>
      </c>
      <c r="Y37" s="39" t="str">
        <f aca="false">IF($A37="","",IFERROR(INDEX(Daily_History!$Z$1:$Z$5000,$C37),""))</f>
        <v/>
      </c>
      <c r="Z37" s="39" t="str">
        <f aca="false">IF($A37="","",IFERROR(INDEX(Data_Input!$Q$1:$Q$5000,$B37),""))</f>
        <v/>
      </c>
      <c r="AA37" s="33" t="str">
        <f aca="false">IF($A37="","",IFERROR(Z37/Y37,""))</f>
        <v/>
      </c>
      <c r="AB37" s="26" t="str">
        <f aca="false">IF($A37="","",IFERROR(INDEX(Data_Input!$V$1:$V$5000,$B37)-INDEX(Data_Input!$W$1:$W$5000,$B37),""))</f>
        <v/>
      </c>
      <c r="AC37" s="27" t="str">
        <f aca="false">IF($A37="","",IFERROR(AB37*E37/1000000000,""))</f>
        <v/>
      </c>
      <c r="AD37" s="35" t="str">
        <f aca="false">IF($A37="","",IFERROR(AB37*E37/INDEX(Data_Input!$R$1:$R$5000,$B37),""))</f>
        <v/>
      </c>
      <c r="AE37" s="27" t="str">
        <f aca="false">IF($A37="","",IFERROR(INDEX(Data_Input!$V$1:$V$5000,$B37)*E37/INDEX(Data_Input!$X$1:$X$5000,$B37)/1000000,""))</f>
        <v/>
      </c>
      <c r="AF37" s="27" t="str">
        <f aca="false">IF($A37="","",IFERROR(INDEX(Data_Input!$W$1:$W$5000,$B37)*E37/INDEX(Data_Input!$Y$1:$Y$5000,$B37)/1000000,""))</f>
        <v/>
      </c>
      <c r="AG37" s="33" t="str">
        <f aca="false">IF($A37="","",IFERROR(AE37/AF37,""))</f>
        <v/>
      </c>
      <c r="AH37" s="41" t="str">
        <f aca="false">IF($A37="","",IFERROR(INDEX(Daily_History!$AH$1:$AH$5000,$C37)/1000000000,""))</f>
        <v/>
      </c>
      <c r="AI37" s="35" t="str">
        <f aca="false">IF($A37="","",IFERROR(AH37/(5*G37),""))</f>
        <v/>
      </c>
      <c r="AJ37" s="27" t="str">
        <f aca="false">IF($A37="","",IFERROR(MAX(-10,MIN(10,IF(D37&gt;I37*1.02,3,IF(D37&gt;I37,1.5,IF(D37&lt;I37*0.98,-3,-1.5)))+IF(I37&gt;K37*1.02,3,IF(I37&gt;K37,1.5,IF(I37&lt;K37*0.98,-3,-1.5)))+IF(D37&gt;=Q37*0.995,2,IF(D37&lt;=R37*1.005,-2,0))+IF(P37&gt;0.03,2,IF(P37&gt;0,1,IF(P37&lt;-0.03,-2,-1))))),0))</f>
        <v/>
      </c>
      <c r="AK37" s="27" t="str">
        <f aca="false">IF($A37="","",IFERROR(MAX(-10,MIN(10,IF(AG37&gt;=SM_STRONG,4,IF(AG37&gt;=SM_MOD,2,IF(AG37&lt;=SM_BAD,-4,IF(AG37&lt;=SM_WEAK,-2,0))))+IF(AD37&gt;=NF_STRONG,3,IF(AD37&gt;=NF_MOD,1.5,IF(AD37&lt;=-NF_STRONG,-3,IF(AD37&lt;=-NF_MOD,-1.5,0))))+IF(AI37&gt;=NF_MOD,3,IF(AI37&gt;0,1.5,IF(AI37&lt;=-NF_MOD,-3,-1.5))))),0))</f>
        <v/>
      </c>
      <c r="AL37" s="27" t="str">
        <f aca="false">IF($A37="","",IFERROR(N37*5-10,0))</f>
        <v/>
      </c>
      <c r="AM37" s="27" t="str">
        <f aca="false">IF($A37="","",IFERROR(IF(F37&gt;0,IF(AA37&gt;=VOL_HIGH,9,IF(AA37&gt;=VOL_MOD,5,IF(AA37&lt;=VOL_DRY,-2,2))),IF(F37&lt;0,IF(AA37&gt;=VOL_HIGH,-9,IF(AA37&gt;=VOL_MOD,-5,IF(AA37&lt;=VOL_DRY,2,-2))),0)),0))</f>
        <v/>
      </c>
      <c r="AN37" s="41" t="str">
        <f aca="false">IF($A37="","",MARKET_SCORE)</f>
        <v/>
      </c>
      <c r="AO37" s="41" t="str">
        <f aca="false">IF($A37="","",IFERROR(INDEX(Time_Link!$B$1:$B$5000,MATCH($A37,Time_Link!$A$1:$A$5000,0)),0))</f>
        <v/>
      </c>
      <c r="AP37" s="27" t="str">
        <f aca="false">IF($A37="","",IFERROR((AJ37*W_TREND+AK37*W_SMART+AL37*W_MA+AM37*W_VOL+AN37*W_MARKET+AO37*W_TIME)/W_SUM,0))</f>
        <v/>
      </c>
      <c r="AQ37" s="28" t="str">
        <f aca="false">IF($A37="","",IF(ABS(AP37)&gt;=8,5,IF(ABS(AP37)&gt;=5,4,IF(ABS(AP37)&gt;=3,3,IF(ABS(AP37)&gt;=1.5,2,1)))))</f>
        <v/>
      </c>
      <c r="AR37" s="23" t="str">
        <f aca="false">IF($A37="","",IF(G37="","بدون داده",IF(G37&lt;MIN_LIQ_B,"کم‌اعتبار","معتبر")))</f>
        <v/>
      </c>
      <c r="AS37" s="42" t="str">
        <f aca="false">IF($A37="","",IFERROR(AP37+ROW()/1000000,-99))</f>
        <v/>
      </c>
      <c r="AT37" s="28" t="str">
        <f aca="false">IF($A37="","",RANK(AS37,$AS$5:$AS$64,0))</f>
        <v/>
      </c>
      <c r="AU37" s="28" t="str">
        <f aca="false">IF($A37="","",RANK(AS37,$AS$5:$AS$64,1))</f>
        <v/>
      </c>
    </row>
    <row r="38" customFormat="false" ht="15" hidden="false" customHeight="false" outlineLevel="0" collapsed="false">
      <c r="A38" s="37" t="str">
        <f aca="false">IF(COUNTA(Watchlist!$A$38)=0,"",Watchlist!$A$38)</f>
        <v/>
      </c>
      <c r="B38" s="28" t="str">
        <f aca="false">IF($A38="","",IFERROR(MATCH($A38,Data_Input!$A$1:$A$5000,0),""))</f>
        <v/>
      </c>
      <c r="C38" s="28" t="str">
        <f aca="false">IF($A38="","",IFERROR(MATCH($A38,Daily_History!$AN$1:$AN$5000,0),""))</f>
        <v/>
      </c>
      <c r="D38" s="39" t="str">
        <f aca="false">IF($A38="","",IFERROR(INDEX(Data_Input!$I$1:$I$5000,$B38),""))</f>
        <v/>
      </c>
      <c r="E38" s="39" t="str">
        <f aca="false">IF($A38="","",IFERROR(INDEX(Data_Input!$J$1:$J$5000,$B38),""))</f>
        <v/>
      </c>
      <c r="F38" s="40" t="str">
        <f aca="false">IF($A38="","",IFERROR(INDEX(Data_Input!$M$1:$M$5000,$B38),""))</f>
        <v/>
      </c>
      <c r="G38" s="41" t="str">
        <f aca="false">IF($A38="","",IFERROR(INDEX(Data_Input!$R$1:$R$5000,$B38)/1000000000,""))</f>
        <v/>
      </c>
      <c r="H38" s="39" t="str">
        <f aca="false">IF($A38="","",IFERROR(INDEX(Daily_History!$V$1:$V$5000,$C38),""))</f>
        <v/>
      </c>
      <c r="I38" s="39" t="str">
        <f aca="false">IF($A38="","",IFERROR(INDEX(Daily_History!$W$1:$W$5000,$C38),""))</f>
        <v/>
      </c>
      <c r="J38" s="39" t="str">
        <f aca="false">IF($A38="","",IFERROR(INDEX(Daily_History!$X$1:$X$5000,$C38),""))</f>
        <v/>
      </c>
      <c r="K38" s="39" t="str">
        <f aca="false">IF($A38="","",IFERROR(INDEX(Daily_History!$Y$1:$Y$5000,$C38),""))</f>
        <v/>
      </c>
      <c r="L38" s="35" t="str">
        <f aca="false">IF($A38="","",IFERROR($D38/$I38-1,""))</f>
        <v/>
      </c>
      <c r="M38" s="35" t="str">
        <f aca="false">IF($A38="","",IFERROR($D38/$K38-1,""))</f>
        <v/>
      </c>
      <c r="N38" s="28" t="str">
        <f aca="false">IF($A38="","",IF(D38&gt;H38,1,0)+IF(D38&gt;I38,1,0)+IF(D38&gt;J38,1,0)+IF(D38&gt;K38,1,0))</f>
        <v/>
      </c>
      <c r="O38" s="23" t="str">
        <f aca="false">IF($A38="","",IF(AND(ISNUMBER(H38),ISNUMBER(K38)),IF(AND(H38&gt;I38,I38&gt;J38,J38&gt;K38),"آرایش صعودی کامل",IF(AND(H38&lt;I38,I38&lt;J38,J38&lt;K38),"آرایش نزولی کامل",IF(I38&gt;K38,"تقاطع طلایی","تقاطع مرگ"))),"داده ناکافی"))</f>
        <v/>
      </c>
      <c r="P38" s="35" t="str">
        <f aca="false">IF($A38="","",IFERROR(H38/INDEX(Daily_History!$V$1:$V$5000,$C38-MA_SHORT)-1,""))</f>
        <v/>
      </c>
      <c r="Q38" s="39" t="str">
        <f aca="false">IF($A38="","",IFERROR(INDEX(Daily_History!$AI$1:$AI$5000,$C38),""))</f>
        <v/>
      </c>
      <c r="R38" s="39" t="str">
        <f aca="false">IF($A38="","",IFERROR(INDEX(Daily_History!$AJ$1:$AJ$5000,$C38),""))</f>
        <v/>
      </c>
      <c r="S38" s="39" t="str">
        <f aca="false">IF($A38="","",IFERROR(INDEX(Daily_History!$AK$1:$AK$5000,$C38),""))</f>
        <v/>
      </c>
      <c r="T38" s="39" t="str">
        <f aca="false">IF($A38="","",IFERROR(INDEX(Daily_History!$AL$1:$AL$5000,$C38),""))</f>
        <v/>
      </c>
      <c r="U38" s="23" t="str">
        <f aca="false">IF($A38="","",IF(AND(ISNUMBER(S38),ISNUMBER(D38)),IF(D38&gt;=S38*0.995,"سقف‌شکنی میان‌مدت (HH)",IF(D38&gt;=Q38*0.995,"سقف‌شکنی کوتاه‌مدت",IF(D38&lt;=T38*1.005,"کف‌شکنی میان‌مدت (LL)",IF(D38&lt;=R38*1.005,"کف‌شکنی کوتاه‌مدت","درون محدوده")))),"داده ناکافی"))</f>
        <v/>
      </c>
      <c r="V38" s="39" t="str">
        <f aca="false">IF($A38="","",IFERROR(INDEX(Daily_History!$AB$1:$AB$5000,$C38),""))</f>
        <v/>
      </c>
      <c r="W38" s="35" t="str">
        <f aca="false">IF($A38="","",IFERROR(V38/D38,""))</f>
        <v/>
      </c>
      <c r="X38" s="26" t="str">
        <f aca="false">IF($A38="","",IFERROR(D38-ATR_STOP_MULT*V38,""))</f>
        <v/>
      </c>
      <c r="Y38" s="39" t="str">
        <f aca="false">IF($A38="","",IFERROR(INDEX(Daily_History!$Z$1:$Z$5000,$C38),""))</f>
        <v/>
      </c>
      <c r="Z38" s="39" t="str">
        <f aca="false">IF($A38="","",IFERROR(INDEX(Data_Input!$Q$1:$Q$5000,$B38),""))</f>
        <v/>
      </c>
      <c r="AA38" s="33" t="str">
        <f aca="false">IF($A38="","",IFERROR(Z38/Y38,""))</f>
        <v/>
      </c>
      <c r="AB38" s="26" t="str">
        <f aca="false">IF($A38="","",IFERROR(INDEX(Data_Input!$V$1:$V$5000,$B38)-INDEX(Data_Input!$W$1:$W$5000,$B38),""))</f>
        <v/>
      </c>
      <c r="AC38" s="27" t="str">
        <f aca="false">IF($A38="","",IFERROR(AB38*E38/1000000000,""))</f>
        <v/>
      </c>
      <c r="AD38" s="35" t="str">
        <f aca="false">IF($A38="","",IFERROR(AB38*E38/INDEX(Data_Input!$R$1:$R$5000,$B38),""))</f>
        <v/>
      </c>
      <c r="AE38" s="27" t="str">
        <f aca="false">IF($A38="","",IFERROR(INDEX(Data_Input!$V$1:$V$5000,$B38)*E38/INDEX(Data_Input!$X$1:$X$5000,$B38)/1000000,""))</f>
        <v/>
      </c>
      <c r="AF38" s="27" t="str">
        <f aca="false">IF($A38="","",IFERROR(INDEX(Data_Input!$W$1:$W$5000,$B38)*E38/INDEX(Data_Input!$Y$1:$Y$5000,$B38)/1000000,""))</f>
        <v/>
      </c>
      <c r="AG38" s="33" t="str">
        <f aca="false">IF($A38="","",IFERROR(AE38/AF38,""))</f>
        <v/>
      </c>
      <c r="AH38" s="41" t="str">
        <f aca="false">IF($A38="","",IFERROR(INDEX(Daily_History!$AH$1:$AH$5000,$C38)/1000000000,""))</f>
        <v/>
      </c>
      <c r="AI38" s="35" t="str">
        <f aca="false">IF($A38="","",IFERROR(AH38/(5*G38),""))</f>
        <v/>
      </c>
      <c r="AJ38" s="27" t="str">
        <f aca="false">IF($A38="","",IFERROR(MAX(-10,MIN(10,IF(D38&gt;I38*1.02,3,IF(D38&gt;I38,1.5,IF(D38&lt;I38*0.98,-3,-1.5)))+IF(I38&gt;K38*1.02,3,IF(I38&gt;K38,1.5,IF(I38&lt;K38*0.98,-3,-1.5)))+IF(D38&gt;=Q38*0.995,2,IF(D38&lt;=R38*1.005,-2,0))+IF(P38&gt;0.03,2,IF(P38&gt;0,1,IF(P38&lt;-0.03,-2,-1))))),0))</f>
        <v/>
      </c>
      <c r="AK38" s="27" t="str">
        <f aca="false">IF($A38="","",IFERROR(MAX(-10,MIN(10,IF(AG38&gt;=SM_STRONG,4,IF(AG38&gt;=SM_MOD,2,IF(AG38&lt;=SM_BAD,-4,IF(AG38&lt;=SM_WEAK,-2,0))))+IF(AD38&gt;=NF_STRONG,3,IF(AD38&gt;=NF_MOD,1.5,IF(AD38&lt;=-NF_STRONG,-3,IF(AD38&lt;=-NF_MOD,-1.5,0))))+IF(AI38&gt;=NF_MOD,3,IF(AI38&gt;0,1.5,IF(AI38&lt;=-NF_MOD,-3,-1.5))))),0))</f>
        <v/>
      </c>
      <c r="AL38" s="27" t="str">
        <f aca="false">IF($A38="","",IFERROR(N38*5-10,0))</f>
        <v/>
      </c>
      <c r="AM38" s="27" t="str">
        <f aca="false">IF($A38="","",IFERROR(IF(F38&gt;0,IF(AA38&gt;=VOL_HIGH,9,IF(AA38&gt;=VOL_MOD,5,IF(AA38&lt;=VOL_DRY,-2,2))),IF(F38&lt;0,IF(AA38&gt;=VOL_HIGH,-9,IF(AA38&gt;=VOL_MOD,-5,IF(AA38&lt;=VOL_DRY,2,-2))),0)),0))</f>
        <v/>
      </c>
      <c r="AN38" s="41" t="str">
        <f aca="false">IF($A38="","",MARKET_SCORE)</f>
        <v/>
      </c>
      <c r="AO38" s="41" t="str">
        <f aca="false">IF($A38="","",IFERROR(INDEX(Time_Link!$B$1:$B$5000,MATCH($A38,Time_Link!$A$1:$A$5000,0)),0))</f>
        <v/>
      </c>
      <c r="AP38" s="27" t="str">
        <f aca="false">IF($A38="","",IFERROR((AJ38*W_TREND+AK38*W_SMART+AL38*W_MA+AM38*W_VOL+AN38*W_MARKET+AO38*W_TIME)/W_SUM,0))</f>
        <v/>
      </c>
      <c r="AQ38" s="28" t="str">
        <f aca="false">IF($A38="","",IF(ABS(AP38)&gt;=8,5,IF(ABS(AP38)&gt;=5,4,IF(ABS(AP38)&gt;=3,3,IF(ABS(AP38)&gt;=1.5,2,1)))))</f>
        <v/>
      </c>
      <c r="AR38" s="23" t="str">
        <f aca="false">IF($A38="","",IF(G38="","بدون داده",IF(G38&lt;MIN_LIQ_B,"کم‌اعتبار","معتبر")))</f>
        <v/>
      </c>
      <c r="AS38" s="42" t="str">
        <f aca="false">IF($A38="","",IFERROR(AP38+ROW()/1000000,-99))</f>
        <v/>
      </c>
      <c r="AT38" s="28" t="str">
        <f aca="false">IF($A38="","",RANK(AS38,$AS$5:$AS$64,0))</f>
        <v/>
      </c>
      <c r="AU38" s="28" t="str">
        <f aca="false">IF($A38="","",RANK(AS38,$AS$5:$AS$64,1))</f>
        <v/>
      </c>
    </row>
    <row r="39" customFormat="false" ht="15" hidden="false" customHeight="false" outlineLevel="0" collapsed="false">
      <c r="A39" s="37" t="str">
        <f aca="false">IF(COUNTA(Watchlist!$A$39)=0,"",Watchlist!$A$39)</f>
        <v/>
      </c>
      <c r="B39" s="28" t="str">
        <f aca="false">IF($A39="","",IFERROR(MATCH($A39,Data_Input!$A$1:$A$5000,0),""))</f>
        <v/>
      </c>
      <c r="C39" s="28" t="str">
        <f aca="false">IF($A39="","",IFERROR(MATCH($A39,Daily_History!$AN$1:$AN$5000,0),""))</f>
        <v/>
      </c>
      <c r="D39" s="39" t="str">
        <f aca="false">IF($A39="","",IFERROR(INDEX(Data_Input!$I$1:$I$5000,$B39),""))</f>
        <v/>
      </c>
      <c r="E39" s="39" t="str">
        <f aca="false">IF($A39="","",IFERROR(INDEX(Data_Input!$J$1:$J$5000,$B39),""))</f>
        <v/>
      </c>
      <c r="F39" s="40" t="str">
        <f aca="false">IF($A39="","",IFERROR(INDEX(Data_Input!$M$1:$M$5000,$B39),""))</f>
        <v/>
      </c>
      <c r="G39" s="41" t="str">
        <f aca="false">IF($A39="","",IFERROR(INDEX(Data_Input!$R$1:$R$5000,$B39)/1000000000,""))</f>
        <v/>
      </c>
      <c r="H39" s="39" t="str">
        <f aca="false">IF($A39="","",IFERROR(INDEX(Daily_History!$V$1:$V$5000,$C39),""))</f>
        <v/>
      </c>
      <c r="I39" s="39" t="str">
        <f aca="false">IF($A39="","",IFERROR(INDEX(Daily_History!$W$1:$W$5000,$C39),""))</f>
        <v/>
      </c>
      <c r="J39" s="39" t="str">
        <f aca="false">IF($A39="","",IFERROR(INDEX(Daily_History!$X$1:$X$5000,$C39),""))</f>
        <v/>
      </c>
      <c r="K39" s="39" t="str">
        <f aca="false">IF($A39="","",IFERROR(INDEX(Daily_History!$Y$1:$Y$5000,$C39),""))</f>
        <v/>
      </c>
      <c r="L39" s="35" t="str">
        <f aca="false">IF($A39="","",IFERROR($D39/$I39-1,""))</f>
        <v/>
      </c>
      <c r="M39" s="35" t="str">
        <f aca="false">IF($A39="","",IFERROR($D39/$K39-1,""))</f>
        <v/>
      </c>
      <c r="N39" s="28" t="str">
        <f aca="false">IF($A39="","",IF(D39&gt;H39,1,0)+IF(D39&gt;I39,1,0)+IF(D39&gt;J39,1,0)+IF(D39&gt;K39,1,0))</f>
        <v/>
      </c>
      <c r="O39" s="23" t="str">
        <f aca="false">IF($A39="","",IF(AND(ISNUMBER(H39),ISNUMBER(K39)),IF(AND(H39&gt;I39,I39&gt;J39,J39&gt;K39),"آرایش صعودی کامل",IF(AND(H39&lt;I39,I39&lt;J39,J39&lt;K39),"آرایش نزولی کامل",IF(I39&gt;K39,"تقاطع طلایی","تقاطع مرگ"))),"داده ناکافی"))</f>
        <v/>
      </c>
      <c r="P39" s="35" t="str">
        <f aca="false">IF($A39="","",IFERROR(H39/INDEX(Daily_History!$V$1:$V$5000,$C39-MA_SHORT)-1,""))</f>
        <v/>
      </c>
      <c r="Q39" s="39" t="str">
        <f aca="false">IF($A39="","",IFERROR(INDEX(Daily_History!$AI$1:$AI$5000,$C39),""))</f>
        <v/>
      </c>
      <c r="R39" s="39" t="str">
        <f aca="false">IF($A39="","",IFERROR(INDEX(Daily_History!$AJ$1:$AJ$5000,$C39),""))</f>
        <v/>
      </c>
      <c r="S39" s="39" t="str">
        <f aca="false">IF($A39="","",IFERROR(INDEX(Daily_History!$AK$1:$AK$5000,$C39),""))</f>
        <v/>
      </c>
      <c r="T39" s="39" t="str">
        <f aca="false">IF($A39="","",IFERROR(INDEX(Daily_History!$AL$1:$AL$5000,$C39),""))</f>
        <v/>
      </c>
      <c r="U39" s="23" t="str">
        <f aca="false">IF($A39="","",IF(AND(ISNUMBER(S39),ISNUMBER(D39)),IF(D39&gt;=S39*0.995,"سقف‌شکنی میان‌مدت (HH)",IF(D39&gt;=Q39*0.995,"سقف‌شکنی کوتاه‌مدت",IF(D39&lt;=T39*1.005,"کف‌شکنی میان‌مدت (LL)",IF(D39&lt;=R39*1.005,"کف‌شکنی کوتاه‌مدت","درون محدوده")))),"داده ناکافی"))</f>
        <v/>
      </c>
      <c r="V39" s="39" t="str">
        <f aca="false">IF($A39="","",IFERROR(INDEX(Daily_History!$AB$1:$AB$5000,$C39),""))</f>
        <v/>
      </c>
      <c r="W39" s="35" t="str">
        <f aca="false">IF($A39="","",IFERROR(V39/D39,""))</f>
        <v/>
      </c>
      <c r="X39" s="26" t="str">
        <f aca="false">IF($A39="","",IFERROR(D39-ATR_STOP_MULT*V39,""))</f>
        <v/>
      </c>
      <c r="Y39" s="39" t="str">
        <f aca="false">IF($A39="","",IFERROR(INDEX(Daily_History!$Z$1:$Z$5000,$C39),""))</f>
        <v/>
      </c>
      <c r="Z39" s="39" t="str">
        <f aca="false">IF($A39="","",IFERROR(INDEX(Data_Input!$Q$1:$Q$5000,$B39),""))</f>
        <v/>
      </c>
      <c r="AA39" s="33" t="str">
        <f aca="false">IF($A39="","",IFERROR(Z39/Y39,""))</f>
        <v/>
      </c>
      <c r="AB39" s="26" t="str">
        <f aca="false">IF($A39="","",IFERROR(INDEX(Data_Input!$V$1:$V$5000,$B39)-INDEX(Data_Input!$W$1:$W$5000,$B39),""))</f>
        <v/>
      </c>
      <c r="AC39" s="27" t="str">
        <f aca="false">IF($A39="","",IFERROR(AB39*E39/1000000000,""))</f>
        <v/>
      </c>
      <c r="AD39" s="35" t="str">
        <f aca="false">IF($A39="","",IFERROR(AB39*E39/INDEX(Data_Input!$R$1:$R$5000,$B39),""))</f>
        <v/>
      </c>
      <c r="AE39" s="27" t="str">
        <f aca="false">IF($A39="","",IFERROR(INDEX(Data_Input!$V$1:$V$5000,$B39)*E39/INDEX(Data_Input!$X$1:$X$5000,$B39)/1000000,""))</f>
        <v/>
      </c>
      <c r="AF39" s="27" t="str">
        <f aca="false">IF($A39="","",IFERROR(INDEX(Data_Input!$W$1:$W$5000,$B39)*E39/INDEX(Data_Input!$Y$1:$Y$5000,$B39)/1000000,""))</f>
        <v/>
      </c>
      <c r="AG39" s="33" t="str">
        <f aca="false">IF($A39="","",IFERROR(AE39/AF39,""))</f>
        <v/>
      </c>
      <c r="AH39" s="41" t="str">
        <f aca="false">IF($A39="","",IFERROR(INDEX(Daily_History!$AH$1:$AH$5000,$C39)/1000000000,""))</f>
        <v/>
      </c>
      <c r="AI39" s="35" t="str">
        <f aca="false">IF($A39="","",IFERROR(AH39/(5*G39),""))</f>
        <v/>
      </c>
      <c r="AJ39" s="27" t="str">
        <f aca="false">IF($A39="","",IFERROR(MAX(-10,MIN(10,IF(D39&gt;I39*1.02,3,IF(D39&gt;I39,1.5,IF(D39&lt;I39*0.98,-3,-1.5)))+IF(I39&gt;K39*1.02,3,IF(I39&gt;K39,1.5,IF(I39&lt;K39*0.98,-3,-1.5)))+IF(D39&gt;=Q39*0.995,2,IF(D39&lt;=R39*1.005,-2,0))+IF(P39&gt;0.03,2,IF(P39&gt;0,1,IF(P39&lt;-0.03,-2,-1))))),0))</f>
        <v/>
      </c>
      <c r="AK39" s="27" t="str">
        <f aca="false">IF($A39="","",IFERROR(MAX(-10,MIN(10,IF(AG39&gt;=SM_STRONG,4,IF(AG39&gt;=SM_MOD,2,IF(AG39&lt;=SM_BAD,-4,IF(AG39&lt;=SM_WEAK,-2,0))))+IF(AD39&gt;=NF_STRONG,3,IF(AD39&gt;=NF_MOD,1.5,IF(AD39&lt;=-NF_STRONG,-3,IF(AD39&lt;=-NF_MOD,-1.5,0))))+IF(AI39&gt;=NF_MOD,3,IF(AI39&gt;0,1.5,IF(AI39&lt;=-NF_MOD,-3,-1.5))))),0))</f>
        <v/>
      </c>
      <c r="AL39" s="27" t="str">
        <f aca="false">IF($A39="","",IFERROR(N39*5-10,0))</f>
        <v/>
      </c>
      <c r="AM39" s="27" t="str">
        <f aca="false">IF($A39="","",IFERROR(IF(F39&gt;0,IF(AA39&gt;=VOL_HIGH,9,IF(AA39&gt;=VOL_MOD,5,IF(AA39&lt;=VOL_DRY,-2,2))),IF(F39&lt;0,IF(AA39&gt;=VOL_HIGH,-9,IF(AA39&gt;=VOL_MOD,-5,IF(AA39&lt;=VOL_DRY,2,-2))),0)),0))</f>
        <v/>
      </c>
      <c r="AN39" s="41" t="str">
        <f aca="false">IF($A39="","",MARKET_SCORE)</f>
        <v/>
      </c>
      <c r="AO39" s="41" t="str">
        <f aca="false">IF($A39="","",IFERROR(INDEX(Time_Link!$B$1:$B$5000,MATCH($A39,Time_Link!$A$1:$A$5000,0)),0))</f>
        <v/>
      </c>
      <c r="AP39" s="27" t="str">
        <f aca="false">IF($A39="","",IFERROR((AJ39*W_TREND+AK39*W_SMART+AL39*W_MA+AM39*W_VOL+AN39*W_MARKET+AO39*W_TIME)/W_SUM,0))</f>
        <v/>
      </c>
      <c r="AQ39" s="28" t="str">
        <f aca="false">IF($A39="","",IF(ABS(AP39)&gt;=8,5,IF(ABS(AP39)&gt;=5,4,IF(ABS(AP39)&gt;=3,3,IF(ABS(AP39)&gt;=1.5,2,1)))))</f>
        <v/>
      </c>
      <c r="AR39" s="23" t="str">
        <f aca="false">IF($A39="","",IF(G39="","بدون داده",IF(G39&lt;MIN_LIQ_B,"کم‌اعتبار","معتبر")))</f>
        <v/>
      </c>
      <c r="AS39" s="42" t="str">
        <f aca="false">IF($A39="","",IFERROR(AP39+ROW()/1000000,-99))</f>
        <v/>
      </c>
      <c r="AT39" s="28" t="str">
        <f aca="false">IF($A39="","",RANK(AS39,$AS$5:$AS$64,0))</f>
        <v/>
      </c>
      <c r="AU39" s="28" t="str">
        <f aca="false">IF($A39="","",RANK(AS39,$AS$5:$AS$64,1))</f>
        <v/>
      </c>
    </row>
    <row r="40" customFormat="false" ht="15" hidden="false" customHeight="false" outlineLevel="0" collapsed="false">
      <c r="A40" s="37" t="str">
        <f aca="false">IF(COUNTA(Watchlist!$A$40)=0,"",Watchlist!$A$40)</f>
        <v/>
      </c>
      <c r="B40" s="28" t="str">
        <f aca="false">IF($A40="","",IFERROR(MATCH($A40,Data_Input!$A$1:$A$5000,0),""))</f>
        <v/>
      </c>
      <c r="C40" s="28" t="str">
        <f aca="false">IF($A40="","",IFERROR(MATCH($A40,Daily_History!$AN$1:$AN$5000,0),""))</f>
        <v/>
      </c>
      <c r="D40" s="39" t="str">
        <f aca="false">IF($A40="","",IFERROR(INDEX(Data_Input!$I$1:$I$5000,$B40),""))</f>
        <v/>
      </c>
      <c r="E40" s="39" t="str">
        <f aca="false">IF($A40="","",IFERROR(INDEX(Data_Input!$J$1:$J$5000,$B40),""))</f>
        <v/>
      </c>
      <c r="F40" s="40" t="str">
        <f aca="false">IF($A40="","",IFERROR(INDEX(Data_Input!$M$1:$M$5000,$B40),""))</f>
        <v/>
      </c>
      <c r="G40" s="41" t="str">
        <f aca="false">IF($A40="","",IFERROR(INDEX(Data_Input!$R$1:$R$5000,$B40)/1000000000,""))</f>
        <v/>
      </c>
      <c r="H40" s="39" t="str">
        <f aca="false">IF($A40="","",IFERROR(INDEX(Daily_History!$V$1:$V$5000,$C40),""))</f>
        <v/>
      </c>
      <c r="I40" s="39" t="str">
        <f aca="false">IF($A40="","",IFERROR(INDEX(Daily_History!$W$1:$W$5000,$C40),""))</f>
        <v/>
      </c>
      <c r="J40" s="39" t="str">
        <f aca="false">IF($A40="","",IFERROR(INDEX(Daily_History!$X$1:$X$5000,$C40),""))</f>
        <v/>
      </c>
      <c r="K40" s="39" t="str">
        <f aca="false">IF($A40="","",IFERROR(INDEX(Daily_History!$Y$1:$Y$5000,$C40),""))</f>
        <v/>
      </c>
      <c r="L40" s="35" t="str">
        <f aca="false">IF($A40="","",IFERROR($D40/$I40-1,""))</f>
        <v/>
      </c>
      <c r="M40" s="35" t="str">
        <f aca="false">IF($A40="","",IFERROR($D40/$K40-1,""))</f>
        <v/>
      </c>
      <c r="N40" s="28" t="str">
        <f aca="false">IF($A40="","",IF(D40&gt;H40,1,0)+IF(D40&gt;I40,1,0)+IF(D40&gt;J40,1,0)+IF(D40&gt;K40,1,0))</f>
        <v/>
      </c>
      <c r="O40" s="23" t="str">
        <f aca="false">IF($A40="","",IF(AND(ISNUMBER(H40),ISNUMBER(K40)),IF(AND(H40&gt;I40,I40&gt;J40,J40&gt;K40),"آرایش صعودی کامل",IF(AND(H40&lt;I40,I40&lt;J40,J40&lt;K40),"آرایش نزولی کامل",IF(I40&gt;K40,"تقاطع طلایی","تقاطع مرگ"))),"داده ناکافی"))</f>
        <v/>
      </c>
      <c r="P40" s="35" t="str">
        <f aca="false">IF($A40="","",IFERROR(H40/INDEX(Daily_History!$V$1:$V$5000,$C40-MA_SHORT)-1,""))</f>
        <v/>
      </c>
      <c r="Q40" s="39" t="str">
        <f aca="false">IF($A40="","",IFERROR(INDEX(Daily_History!$AI$1:$AI$5000,$C40),""))</f>
        <v/>
      </c>
      <c r="R40" s="39" t="str">
        <f aca="false">IF($A40="","",IFERROR(INDEX(Daily_History!$AJ$1:$AJ$5000,$C40),""))</f>
        <v/>
      </c>
      <c r="S40" s="39" t="str">
        <f aca="false">IF($A40="","",IFERROR(INDEX(Daily_History!$AK$1:$AK$5000,$C40),""))</f>
        <v/>
      </c>
      <c r="T40" s="39" t="str">
        <f aca="false">IF($A40="","",IFERROR(INDEX(Daily_History!$AL$1:$AL$5000,$C40),""))</f>
        <v/>
      </c>
      <c r="U40" s="23" t="str">
        <f aca="false">IF($A40="","",IF(AND(ISNUMBER(S40),ISNUMBER(D40)),IF(D40&gt;=S40*0.995,"سقف‌شکنی میان‌مدت (HH)",IF(D40&gt;=Q40*0.995,"سقف‌شکنی کوتاه‌مدت",IF(D40&lt;=T40*1.005,"کف‌شکنی میان‌مدت (LL)",IF(D40&lt;=R40*1.005,"کف‌شکنی کوتاه‌مدت","درون محدوده")))),"داده ناکافی"))</f>
        <v/>
      </c>
      <c r="V40" s="39" t="str">
        <f aca="false">IF($A40="","",IFERROR(INDEX(Daily_History!$AB$1:$AB$5000,$C40),""))</f>
        <v/>
      </c>
      <c r="W40" s="35" t="str">
        <f aca="false">IF($A40="","",IFERROR(V40/D40,""))</f>
        <v/>
      </c>
      <c r="X40" s="26" t="str">
        <f aca="false">IF($A40="","",IFERROR(D40-ATR_STOP_MULT*V40,""))</f>
        <v/>
      </c>
      <c r="Y40" s="39" t="str">
        <f aca="false">IF($A40="","",IFERROR(INDEX(Daily_History!$Z$1:$Z$5000,$C40),""))</f>
        <v/>
      </c>
      <c r="Z40" s="39" t="str">
        <f aca="false">IF($A40="","",IFERROR(INDEX(Data_Input!$Q$1:$Q$5000,$B40),""))</f>
        <v/>
      </c>
      <c r="AA40" s="33" t="str">
        <f aca="false">IF($A40="","",IFERROR(Z40/Y40,""))</f>
        <v/>
      </c>
      <c r="AB40" s="26" t="str">
        <f aca="false">IF($A40="","",IFERROR(INDEX(Data_Input!$V$1:$V$5000,$B40)-INDEX(Data_Input!$W$1:$W$5000,$B40),""))</f>
        <v/>
      </c>
      <c r="AC40" s="27" t="str">
        <f aca="false">IF($A40="","",IFERROR(AB40*E40/1000000000,""))</f>
        <v/>
      </c>
      <c r="AD40" s="35" t="str">
        <f aca="false">IF($A40="","",IFERROR(AB40*E40/INDEX(Data_Input!$R$1:$R$5000,$B40),""))</f>
        <v/>
      </c>
      <c r="AE40" s="27" t="str">
        <f aca="false">IF($A40="","",IFERROR(INDEX(Data_Input!$V$1:$V$5000,$B40)*E40/INDEX(Data_Input!$X$1:$X$5000,$B40)/1000000,""))</f>
        <v/>
      </c>
      <c r="AF40" s="27" t="str">
        <f aca="false">IF($A40="","",IFERROR(INDEX(Data_Input!$W$1:$W$5000,$B40)*E40/INDEX(Data_Input!$Y$1:$Y$5000,$B40)/1000000,""))</f>
        <v/>
      </c>
      <c r="AG40" s="33" t="str">
        <f aca="false">IF($A40="","",IFERROR(AE40/AF40,""))</f>
        <v/>
      </c>
      <c r="AH40" s="41" t="str">
        <f aca="false">IF($A40="","",IFERROR(INDEX(Daily_History!$AH$1:$AH$5000,$C40)/1000000000,""))</f>
        <v/>
      </c>
      <c r="AI40" s="35" t="str">
        <f aca="false">IF($A40="","",IFERROR(AH40/(5*G40),""))</f>
        <v/>
      </c>
      <c r="AJ40" s="27" t="str">
        <f aca="false">IF($A40="","",IFERROR(MAX(-10,MIN(10,IF(D40&gt;I40*1.02,3,IF(D40&gt;I40,1.5,IF(D40&lt;I40*0.98,-3,-1.5)))+IF(I40&gt;K40*1.02,3,IF(I40&gt;K40,1.5,IF(I40&lt;K40*0.98,-3,-1.5)))+IF(D40&gt;=Q40*0.995,2,IF(D40&lt;=R40*1.005,-2,0))+IF(P40&gt;0.03,2,IF(P40&gt;0,1,IF(P40&lt;-0.03,-2,-1))))),0))</f>
        <v/>
      </c>
      <c r="AK40" s="27" t="str">
        <f aca="false">IF($A40="","",IFERROR(MAX(-10,MIN(10,IF(AG40&gt;=SM_STRONG,4,IF(AG40&gt;=SM_MOD,2,IF(AG40&lt;=SM_BAD,-4,IF(AG40&lt;=SM_WEAK,-2,0))))+IF(AD40&gt;=NF_STRONG,3,IF(AD40&gt;=NF_MOD,1.5,IF(AD40&lt;=-NF_STRONG,-3,IF(AD40&lt;=-NF_MOD,-1.5,0))))+IF(AI40&gt;=NF_MOD,3,IF(AI40&gt;0,1.5,IF(AI40&lt;=-NF_MOD,-3,-1.5))))),0))</f>
        <v/>
      </c>
      <c r="AL40" s="27" t="str">
        <f aca="false">IF($A40="","",IFERROR(N40*5-10,0))</f>
        <v/>
      </c>
      <c r="AM40" s="27" t="str">
        <f aca="false">IF($A40="","",IFERROR(IF(F40&gt;0,IF(AA40&gt;=VOL_HIGH,9,IF(AA40&gt;=VOL_MOD,5,IF(AA40&lt;=VOL_DRY,-2,2))),IF(F40&lt;0,IF(AA40&gt;=VOL_HIGH,-9,IF(AA40&gt;=VOL_MOD,-5,IF(AA40&lt;=VOL_DRY,2,-2))),0)),0))</f>
        <v/>
      </c>
      <c r="AN40" s="41" t="str">
        <f aca="false">IF($A40="","",MARKET_SCORE)</f>
        <v/>
      </c>
      <c r="AO40" s="41" t="str">
        <f aca="false">IF($A40="","",IFERROR(INDEX(Time_Link!$B$1:$B$5000,MATCH($A40,Time_Link!$A$1:$A$5000,0)),0))</f>
        <v/>
      </c>
      <c r="AP40" s="27" t="str">
        <f aca="false">IF($A40="","",IFERROR((AJ40*W_TREND+AK40*W_SMART+AL40*W_MA+AM40*W_VOL+AN40*W_MARKET+AO40*W_TIME)/W_SUM,0))</f>
        <v/>
      </c>
      <c r="AQ40" s="28" t="str">
        <f aca="false">IF($A40="","",IF(ABS(AP40)&gt;=8,5,IF(ABS(AP40)&gt;=5,4,IF(ABS(AP40)&gt;=3,3,IF(ABS(AP40)&gt;=1.5,2,1)))))</f>
        <v/>
      </c>
      <c r="AR40" s="23" t="str">
        <f aca="false">IF($A40="","",IF(G40="","بدون داده",IF(G40&lt;MIN_LIQ_B,"کم‌اعتبار","معتبر")))</f>
        <v/>
      </c>
      <c r="AS40" s="42" t="str">
        <f aca="false">IF($A40="","",IFERROR(AP40+ROW()/1000000,-99))</f>
        <v/>
      </c>
      <c r="AT40" s="28" t="str">
        <f aca="false">IF($A40="","",RANK(AS40,$AS$5:$AS$64,0))</f>
        <v/>
      </c>
      <c r="AU40" s="28" t="str">
        <f aca="false">IF($A40="","",RANK(AS40,$AS$5:$AS$64,1))</f>
        <v/>
      </c>
    </row>
    <row r="41" customFormat="false" ht="15" hidden="false" customHeight="false" outlineLevel="0" collapsed="false">
      <c r="A41" s="37" t="str">
        <f aca="false">IF(COUNTA(Watchlist!$A$41)=0,"",Watchlist!$A$41)</f>
        <v/>
      </c>
      <c r="B41" s="28" t="str">
        <f aca="false">IF($A41="","",IFERROR(MATCH($A41,Data_Input!$A$1:$A$5000,0),""))</f>
        <v/>
      </c>
      <c r="C41" s="28" t="str">
        <f aca="false">IF($A41="","",IFERROR(MATCH($A41,Daily_History!$AN$1:$AN$5000,0),""))</f>
        <v/>
      </c>
      <c r="D41" s="39" t="str">
        <f aca="false">IF($A41="","",IFERROR(INDEX(Data_Input!$I$1:$I$5000,$B41),""))</f>
        <v/>
      </c>
      <c r="E41" s="39" t="str">
        <f aca="false">IF($A41="","",IFERROR(INDEX(Data_Input!$J$1:$J$5000,$B41),""))</f>
        <v/>
      </c>
      <c r="F41" s="40" t="str">
        <f aca="false">IF($A41="","",IFERROR(INDEX(Data_Input!$M$1:$M$5000,$B41),""))</f>
        <v/>
      </c>
      <c r="G41" s="41" t="str">
        <f aca="false">IF($A41="","",IFERROR(INDEX(Data_Input!$R$1:$R$5000,$B41)/1000000000,""))</f>
        <v/>
      </c>
      <c r="H41" s="39" t="str">
        <f aca="false">IF($A41="","",IFERROR(INDEX(Daily_History!$V$1:$V$5000,$C41),""))</f>
        <v/>
      </c>
      <c r="I41" s="39" t="str">
        <f aca="false">IF($A41="","",IFERROR(INDEX(Daily_History!$W$1:$W$5000,$C41),""))</f>
        <v/>
      </c>
      <c r="J41" s="39" t="str">
        <f aca="false">IF($A41="","",IFERROR(INDEX(Daily_History!$X$1:$X$5000,$C41),""))</f>
        <v/>
      </c>
      <c r="K41" s="39" t="str">
        <f aca="false">IF($A41="","",IFERROR(INDEX(Daily_History!$Y$1:$Y$5000,$C41),""))</f>
        <v/>
      </c>
      <c r="L41" s="35" t="str">
        <f aca="false">IF($A41="","",IFERROR($D41/$I41-1,""))</f>
        <v/>
      </c>
      <c r="M41" s="35" t="str">
        <f aca="false">IF($A41="","",IFERROR($D41/$K41-1,""))</f>
        <v/>
      </c>
      <c r="N41" s="28" t="str">
        <f aca="false">IF($A41="","",IF(D41&gt;H41,1,0)+IF(D41&gt;I41,1,0)+IF(D41&gt;J41,1,0)+IF(D41&gt;K41,1,0))</f>
        <v/>
      </c>
      <c r="O41" s="23" t="str">
        <f aca="false">IF($A41="","",IF(AND(ISNUMBER(H41),ISNUMBER(K41)),IF(AND(H41&gt;I41,I41&gt;J41,J41&gt;K41),"آرایش صعودی کامل",IF(AND(H41&lt;I41,I41&lt;J41,J41&lt;K41),"آرایش نزولی کامل",IF(I41&gt;K41,"تقاطع طلایی","تقاطع مرگ"))),"داده ناکافی"))</f>
        <v/>
      </c>
      <c r="P41" s="35" t="str">
        <f aca="false">IF($A41="","",IFERROR(H41/INDEX(Daily_History!$V$1:$V$5000,$C41-MA_SHORT)-1,""))</f>
        <v/>
      </c>
      <c r="Q41" s="39" t="str">
        <f aca="false">IF($A41="","",IFERROR(INDEX(Daily_History!$AI$1:$AI$5000,$C41),""))</f>
        <v/>
      </c>
      <c r="R41" s="39" t="str">
        <f aca="false">IF($A41="","",IFERROR(INDEX(Daily_History!$AJ$1:$AJ$5000,$C41),""))</f>
        <v/>
      </c>
      <c r="S41" s="39" t="str">
        <f aca="false">IF($A41="","",IFERROR(INDEX(Daily_History!$AK$1:$AK$5000,$C41),""))</f>
        <v/>
      </c>
      <c r="T41" s="39" t="str">
        <f aca="false">IF($A41="","",IFERROR(INDEX(Daily_History!$AL$1:$AL$5000,$C41),""))</f>
        <v/>
      </c>
      <c r="U41" s="23" t="str">
        <f aca="false">IF($A41="","",IF(AND(ISNUMBER(S41),ISNUMBER(D41)),IF(D41&gt;=S41*0.995,"سقف‌شکنی میان‌مدت (HH)",IF(D41&gt;=Q41*0.995,"سقف‌شکنی کوتاه‌مدت",IF(D41&lt;=T41*1.005,"کف‌شکنی میان‌مدت (LL)",IF(D41&lt;=R41*1.005,"کف‌شکنی کوتاه‌مدت","درون محدوده")))),"داده ناکافی"))</f>
        <v/>
      </c>
      <c r="V41" s="39" t="str">
        <f aca="false">IF($A41="","",IFERROR(INDEX(Daily_History!$AB$1:$AB$5000,$C41),""))</f>
        <v/>
      </c>
      <c r="W41" s="35" t="str">
        <f aca="false">IF($A41="","",IFERROR(V41/D41,""))</f>
        <v/>
      </c>
      <c r="X41" s="26" t="str">
        <f aca="false">IF($A41="","",IFERROR(D41-ATR_STOP_MULT*V41,""))</f>
        <v/>
      </c>
      <c r="Y41" s="39" t="str">
        <f aca="false">IF($A41="","",IFERROR(INDEX(Daily_History!$Z$1:$Z$5000,$C41),""))</f>
        <v/>
      </c>
      <c r="Z41" s="39" t="str">
        <f aca="false">IF($A41="","",IFERROR(INDEX(Data_Input!$Q$1:$Q$5000,$B41),""))</f>
        <v/>
      </c>
      <c r="AA41" s="33" t="str">
        <f aca="false">IF($A41="","",IFERROR(Z41/Y41,""))</f>
        <v/>
      </c>
      <c r="AB41" s="26" t="str">
        <f aca="false">IF($A41="","",IFERROR(INDEX(Data_Input!$V$1:$V$5000,$B41)-INDEX(Data_Input!$W$1:$W$5000,$B41),""))</f>
        <v/>
      </c>
      <c r="AC41" s="27" t="str">
        <f aca="false">IF($A41="","",IFERROR(AB41*E41/1000000000,""))</f>
        <v/>
      </c>
      <c r="AD41" s="35" t="str">
        <f aca="false">IF($A41="","",IFERROR(AB41*E41/INDEX(Data_Input!$R$1:$R$5000,$B41),""))</f>
        <v/>
      </c>
      <c r="AE41" s="27" t="str">
        <f aca="false">IF($A41="","",IFERROR(INDEX(Data_Input!$V$1:$V$5000,$B41)*E41/INDEX(Data_Input!$X$1:$X$5000,$B41)/1000000,""))</f>
        <v/>
      </c>
      <c r="AF41" s="27" t="str">
        <f aca="false">IF($A41="","",IFERROR(INDEX(Data_Input!$W$1:$W$5000,$B41)*E41/INDEX(Data_Input!$Y$1:$Y$5000,$B41)/1000000,""))</f>
        <v/>
      </c>
      <c r="AG41" s="33" t="str">
        <f aca="false">IF($A41="","",IFERROR(AE41/AF41,""))</f>
        <v/>
      </c>
      <c r="AH41" s="41" t="str">
        <f aca="false">IF($A41="","",IFERROR(INDEX(Daily_History!$AH$1:$AH$5000,$C41)/1000000000,""))</f>
        <v/>
      </c>
      <c r="AI41" s="35" t="str">
        <f aca="false">IF($A41="","",IFERROR(AH41/(5*G41),""))</f>
        <v/>
      </c>
      <c r="AJ41" s="27" t="str">
        <f aca="false">IF($A41="","",IFERROR(MAX(-10,MIN(10,IF(D41&gt;I41*1.02,3,IF(D41&gt;I41,1.5,IF(D41&lt;I41*0.98,-3,-1.5)))+IF(I41&gt;K41*1.02,3,IF(I41&gt;K41,1.5,IF(I41&lt;K41*0.98,-3,-1.5)))+IF(D41&gt;=Q41*0.995,2,IF(D41&lt;=R41*1.005,-2,0))+IF(P41&gt;0.03,2,IF(P41&gt;0,1,IF(P41&lt;-0.03,-2,-1))))),0))</f>
        <v/>
      </c>
      <c r="AK41" s="27" t="str">
        <f aca="false">IF($A41="","",IFERROR(MAX(-10,MIN(10,IF(AG41&gt;=SM_STRONG,4,IF(AG41&gt;=SM_MOD,2,IF(AG41&lt;=SM_BAD,-4,IF(AG41&lt;=SM_WEAK,-2,0))))+IF(AD41&gt;=NF_STRONG,3,IF(AD41&gt;=NF_MOD,1.5,IF(AD41&lt;=-NF_STRONG,-3,IF(AD41&lt;=-NF_MOD,-1.5,0))))+IF(AI41&gt;=NF_MOD,3,IF(AI41&gt;0,1.5,IF(AI41&lt;=-NF_MOD,-3,-1.5))))),0))</f>
        <v/>
      </c>
      <c r="AL41" s="27" t="str">
        <f aca="false">IF($A41="","",IFERROR(N41*5-10,0))</f>
        <v/>
      </c>
      <c r="AM41" s="27" t="str">
        <f aca="false">IF($A41="","",IFERROR(IF(F41&gt;0,IF(AA41&gt;=VOL_HIGH,9,IF(AA41&gt;=VOL_MOD,5,IF(AA41&lt;=VOL_DRY,-2,2))),IF(F41&lt;0,IF(AA41&gt;=VOL_HIGH,-9,IF(AA41&gt;=VOL_MOD,-5,IF(AA41&lt;=VOL_DRY,2,-2))),0)),0))</f>
        <v/>
      </c>
      <c r="AN41" s="41" t="str">
        <f aca="false">IF($A41="","",MARKET_SCORE)</f>
        <v/>
      </c>
      <c r="AO41" s="41" t="str">
        <f aca="false">IF($A41="","",IFERROR(INDEX(Time_Link!$B$1:$B$5000,MATCH($A41,Time_Link!$A$1:$A$5000,0)),0))</f>
        <v/>
      </c>
      <c r="AP41" s="27" t="str">
        <f aca="false">IF($A41="","",IFERROR((AJ41*W_TREND+AK41*W_SMART+AL41*W_MA+AM41*W_VOL+AN41*W_MARKET+AO41*W_TIME)/W_SUM,0))</f>
        <v/>
      </c>
      <c r="AQ41" s="28" t="str">
        <f aca="false">IF($A41="","",IF(ABS(AP41)&gt;=8,5,IF(ABS(AP41)&gt;=5,4,IF(ABS(AP41)&gt;=3,3,IF(ABS(AP41)&gt;=1.5,2,1)))))</f>
        <v/>
      </c>
      <c r="AR41" s="23" t="str">
        <f aca="false">IF($A41="","",IF(G41="","بدون داده",IF(G41&lt;MIN_LIQ_B,"کم‌اعتبار","معتبر")))</f>
        <v/>
      </c>
      <c r="AS41" s="42" t="str">
        <f aca="false">IF($A41="","",IFERROR(AP41+ROW()/1000000,-99))</f>
        <v/>
      </c>
      <c r="AT41" s="28" t="str">
        <f aca="false">IF($A41="","",RANK(AS41,$AS$5:$AS$64,0))</f>
        <v/>
      </c>
      <c r="AU41" s="28" t="str">
        <f aca="false">IF($A41="","",RANK(AS41,$AS$5:$AS$64,1))</f>
        <v/>
      </c>
    </row>
    <row r="42" customFormat="false" ht="15" hidden="false" customHeight="false" outlineLevel="0" collapsed="false">
      <c r="A42" s="37" t="str">
        <f aca="false">IF(COUNTA(Watchlist!$A$42)=0,"",Watchlist!$A$42)</f>
        <v/>
      </c>
      <c r="B42" s="28" t="str">
        <f aca="false">IF($A42="","",IFERROR(MATCH($A42,Data_Input!$A$1:$A$5000,0),""))</f>
        <v/>
      </c>
      <c r="C42" s="28" t="str">
        <f aca="false">IF($A42="","",IFERROR(MATCH($A42,Daily_History!$AN$1:$AN$5000,0),""))</f>
        <v/>
      </c>
      <c r="D42" s="39" t="str">
        <f aca="false">IF($A42="","",IFERROR(INDEX(Data_Input!$I$1:$I$5000,$B42),""))</f>
        <v/>
      </c>
      <c r="E42" s="39" t="str">
        <f aca="false">IF($A42="","",IFERROR(INDEX(Data_Input!$J$1:$J$5000,$B42),""))</f>
        <v/>
      </c>
      <c r="F42" s="40" t="str">
        <f aca="false">IF($A42="","",IFERROR(INDEX(Data_Input!$M$1:$M$5000,$B42),""))</f>
        <v/>
      </c>
      <c r="G42" s="41" t="str">
        <f aca="false">IF($A42="","",IFERROR(INDEX(Data_Input!$R$1:$R$5000,$B42)/1000000000,""))</f>
        <v/>
      </c>
      <c r="H42" s="39" t="str">
        <f aca="false">IF($A42="","",IFERROR(INDEX(Daily_History!$V$1:$V$5000,$C42),""))</f>
        <v/>
      </c>
      <c r="I42" s="39" t="str">
        <f aca="false">IF($A42="","",IFERROR(INDEX(Daily_History!$W$1:$W$5000,$C42),""))</f>
        <v/>
      </c>
      <c r="J42" s="39" t="str">
        <f aca="false">IF($A42="","",IFERROR(INDEX(Daily_History!$X$1:$X$5000,$C42),""))</f>
        <v/>
      </c>
      <c r="K42" s="39" t="str">
        <f aca="false">IF($A42="","",IFERROR(INDEX(Daily_History!$Y$1:$Y$5000,$C42),""))</f>
        <v/>
      </c>
      <c r="L42" s="35" t="str">
        <f aca="false">IF($A42="","",IFERROR($D42/$I42-1,""))</f>
        <v/>
      </c>
      <c r="M42" s="35" t="str">
        <f aca="false">IF($A42="","",IFERROR($D42/$K42-1,""))</f>
        <v/>
      </c>
      <c r="N42" s="28" t="str">
        <f aca="false">IF($A42="","",IF(D42&gt;H42,1,0)+IF(D42&gt;I42,1,0)+IF(D42&gt;J42,1,0)+IF(D42&gt;K42,1,0))</f>
        <v/>
      </c>
      <c r="O42" s="23" t="str">
        <f aca="false">IF($A42="","",IF(AND(ISNUMBER(H42),ISNUMBER(K42)),IF(AND(H42&gt;I42,I42&gt;J42,J42&gt;K42),"آرایش صعودی کامل",IF(AND(H42&lt;I42,I42&lt;J42,J42&lt;K42),"آرایش نزولی کامل",IF(I42&gt;K42,"تقاطع طلایی","تقاطع مرگ"))),"داده ناکافی"))</f>
        <v/>
      </c>
      <c r="P42" s="35" t="str">
        <f aca="false">IF($A42="","",IFERROR(H42/INDEX(Daily_History!$V$1:$V$5000,$C42-MA_SHORT)-1,""))</f>
        <v/>
      </c>
      <c r="Q42" s="39" t="str">
        <f aca="false">IF($A42="","",IFERROR(INDEX(Daily_History!$AI$1:$AI$5000,$C42),""))</f>
        <v/>
      </c>
      <c r="R42" s="39" t="str">
        <f aca="false">IF($A42="","",IFERROR(INDEX(Daily_History!$AJ$1:$AJ$5000,$C42),""))</f>
        <v/>
      </c>
      <c r="S42" s="39" t="str">
        <f aca="false">IF($A42="","",IFERROR(INDEX(Daily_History!$AK$1:$AK$5000,$C42),""))</f>
        <v/>
      </c>
      <c r="T42" s="39" t="str">
        <f aca="false">IF($A42="","",IFERROR(INDEX(Daily_History!$AL$1:$AL$5000,$C42),""))</f>
        <v/>
      </c>
      <c r="U42" s="23" t="str">
        <f aca="false">IF($A42="","",IF(AND(ISNUMBER(S42),ISNUMBER(D42)),IF(D42&gt;=S42*0.995,"سقف‌شکنی میان‌مدت (HH)",IF(D42&gt;=Q42*0.995,"سقف‌شکنی کوتاه‌مدت",IF(D42&lt;=T42*1.005,"کف‌شکنی میان‌مدت (LL)",IF(D42&lt;=R42*1.005,"کف‌شکنی کوتاه‌مدت","درون محدوده")))),"داده ناکافی"))</f>
        <v/>
      </c>
      <c r="V42" s="39" t="str">
        <f aca="false">IF($A42="","",IFERROR(INDEX(Daily_History!$AB$1:$AB$5000,$C42),""))</f>
        <v/>
      </c>
      <c r="W42" s="35" t="str">
        <f aca="false">IF($A42="","",IFERROR(V42/D42,""))</f>
        <v/>
      </c>
      <c r="X42" s="26" t="str">
        <f aca="false">IF($A42="","",IFERROR(D42-ATR_STOP_MULT*V42,""))</f>
        <v/>
      </c>
      <c r="Y42" s="39" t="str">
        <f aca="false">IF($A42="","",IFERROR(INDEX(Daily_History!$Z$1:$Z$5000,$C42),""))</f>
        <v/>
      </c>
      <c r="Z42" s="39" t="str">
        <f aca="false">IF($A42="","",IFERROR(INDEX(Data_Input!$Q$1:$Q$5000,$B42),""))</f>
        <v/>
      </c>
      <c r="AA42" s="33" t="str">
        <f aca="false">IF($A42="","",IFERROR(Z42/Y42,""))</f>
        <v/>
      </c>
      <c r="AB42" s="26" t="str">
        <f aca="false">IF($A42="","",IFERROR(INDEX(Data_Input!$V$1:$V$5000,$B42)-INDEX(Data_Input!$W$1:$W$5000,$B42),""))</f>
        <v/>
      </c>
      <c r="AC42" s="27" t="str">
        <f aca="false">IF($A42="","",IFERROR(AB42*E42/1000000000,""))</f>
        <v/>
      </c>
      <c r="AD42" s="35" t="str">
        <f aca="false">IF($A42="","",IFERROR(AB42*E42/INDEX(Data_Input!$R$1:$R$5000,$B42),""))</f>
        <v/>
      </c>
      <c r="AE42" s="27" t="str">
        <f aca="false">IF($A42="","",IFERROR(INDEX(Data_Input!$V$1:$V$5000,$B42)*E42/INDEX(Data_Input!$X$1:$X$5000,$B42)/1000000,""))</f>
        <v/>
      </c>
      <c r="AF42" s="27" t="str">
        <f aca="false">IF($A42="","",IFERROR(INDEX(Data_Input!$W$1:$W$5000,$B42)*E42/INDEX(Data_Input!$Y$1:$Y$5000,$B42)/1000000,""))</f>
        <v/>
      </c>
      <c r="AG42" s="33" t="str">
        <f aca="false">IF($A42="","",IFERROR(AE42/AF42,""))</f>
        <v/>
      </c>
      <c r="AH42" s="41" t="str">
        <f aca="false">IF($A42="","",IFERROR(INDEX(Daily_History!$AH$1:$AH$5000,$C42)/1000000000,""))</f>
        <v/>
      </c>
      <c r="AI42" s="35" t="str">
        <f aca="false">IF($A42="","",IFERROR(AH42/(5*G42),""))</f>
        <v/>
      </c>
      <c r="AJ42" s="27" t="str">
        <f aca="false">IF($A42="","",IFERROR(MAX(-10,MIN(10,IF(D42&gt;I42*1.02,3,IF(D42&gt;I42,1.5,IF(D42&lt;I42*0.98,-3,-1.5)))+IF(I42&gt;K42*1.02,3,IF(I42&gt;K42,1.5,IF(I42&lt;K42*0.98,-3,-1.5)))+IF(D42&gt;=Q42*0.995,2,IF(D42&lt;=R42*1.005,-2,0))+IF(P42&gt;0.03,2,IF(P42&gt;0,1,IF(P42&lt;-0.03,-2,-1))))),0))</f>
        <v/>
      </c>
      <c r="AK42" s="27" t="str">
        <f aca="false">IF($A42="","",IFERROR(MAX(-10,MIN(10,IF(AG42&gt;=SM_STRONG,4,IF(AG42&gt;=SM_MOD,2,IF(AG42&lt;=SM_BAD,-4,IF(AG42&lt;=SM_WEAK,-2,0))))+IF(AD42&gt;=NF_STRONG,3,IF(AD42&gt;=NF_MOD,1.5,IF(AD42&lt;=-NF_STRONG,-3,IF(AD42&lt;=-NF_MOD,-1.5,0))))+IF(AI42&gt;=NF_MOD,3,IF(AI42&gt;0,1.5,IF(AI42&lt;=-NF_MOD,-3,-1.5))))),0))</f>
        <v/>
      </c>
      <c r="AL42" s="27" t="str">
        <f aca="false">IF($A42="","",IFERROR(N42*5-10,0))</f>
        <v/>
      </c>
      <c r="AM42" s="27" t="str">
        <f aca="false">IF($A42="","",IFERROR(IF(F42&gt;0,IF(AA42&gt;=VOL_HIGH,9,IF(AA42&gt;=VOL_MOD,5,IF(AA42&lt;=VOL_DRY,-2,2))),IF(F42&lt;0,IF(AA42&gt;=VOL_HIGH,-9,IF(AA42&gt;=VOL_MOD,-5,IF(AA42&lt;=VOL_DRY,2,-2))),0)),0))</f>
        <v/>
      </c>
      <c r="AN42" s="41" t="str">
        <f aca="false">IF($A42="","",MARKET_SCORE)</f>
        <v/>
      </c>
      <c r="AO42" s="41" t="str">
        <f aca="false">IF($A42="","",IFERROR(INDEX(Time_Link!$B$1:$B$5000,MATCH($A42,Time_Link!$A$1:$A$5000,0)),0))</f>
        <v/>
      </c>
      <c r="AP42" s="27" t="str">
        <f aca="false">IF($A42="","",IFERROR((AJ42*W_TREND+AK42*W_SMART+AL42*W_MA+AM42*W_VOL+AN42*W_MARKET+AO42*W_TIME)/W_SUM,0))</f>
        <v/>
      </c>
      <c r="AQ42" s="28" t="str">
        <f aca="false">IF($A42="","",IF(ABS(AP42)&gt;=8,5,IF(ABS(AP42)&gt;=5,4,IF(ABS(AP42)&gt;=3,3,IF(ABS(AP42)&gt;=1.5,2,1)))))</f>
        <v/>
      </c>
      <c r="AR42" s="23" t="str">
        <f aca="false">IF($A42="","",IF(G42="","بدون داده",IF(G42&lt;MIN_LIQ_B,"کم‌اعتبار","معتبر")))</f>
        <v/>
      </c>
      <c r="AS42" s="42" t="str">
        <f aca="false">IF($A42="","",IFERROR(AP42+ROW()/1000000,-99))</f>
        <v/>
      </c>
      <c r="AT42" s="28" t="str">
        <f aca="false">IF($A42="","",RANK(AS42,$AS$5:$AS$64,0))</f>
        <v/>
      </c>
      <c r="AU42" s="28" t="str">
        <f aca="false">IF($A42="","",RANK(AS42,$AS$5:$AS$64,1))</f>
        <v/>
      </c>
    </row>
    <row r="43" customFormat="false" ht="15" hidden="false" customHeight="false" outlineLevel="0" collapsed="false">
      <c r="A43" s="37" t="str">
        <f aca="false">IF(COUNTA(Watchlist!$A$43)=0,"",Watchlist!$A$43)</f>
        <v/>
      </c>
      <c r="B43" s="28" t="str">
        <f aca="false">IF($A43="","",IFERROR(MATCH($A43,Data_Input!$A$1:$A$5000,0),""))</f>
        <v/>
      </c>
      <c r="C43" s="28" t="str">
        <f aca="false">IF($A43="","",IFERROR(MATCH($A43,Daily_History!$AN$1:$AN$5000,0),""))</f>
        <v/>
      </c>
      <c r="D43" s="39" t="str">
        <f aca="false">IF($A43="","",IFERROR(INDEX(Data_Input!$I$1:$I$5000,$B43),""))</f>
        <v/>
      </c>
      <c r="E43" s="39" t="str">
        <f aca="false">IF($A43="","",IFERROR(INDEX(Data_Input!$J$1:$J$5000,$B43),""))</f>
        <v/>
      </c>
      <c r="F43" s="40" t="str">
        <f aca="false">IF($A43="","",IFERROR(INDEX(Data_Input!$M$1:$M$5000,$B43),""))</f>
        <v/>
      </c>
      <c r="G43" s="41" t="str">
        <f aca="false">IF($A43="","",IFERROR(INDEX(Data_Input!$R$1:$R$5000,$B43)/1000000000,""))</f>
        <v/>
      </c>
      <c r="H43" s="39" t="str">
        <f aca="false">IF($A43="","",IFERROR(INDEX(Daily_History!$V$1:$V$5000,$C43),""))</f>
        <v/>
      </c>
      <c r="I43" s="39" t="str">
        <f aca="false">IF($A43="","",IFERROR(INDEX(Daily_History!$W$1:$W$5000,$C43),""))</f>
        <v/>
      </c>
      <c r="J43" s="39" t="str">
        <f aca="false">IF($A43="","",IFERROR(INDEX(Daily_History!$X$1:$X$5000,$C43),""))</f>
        <v/>
      </c>
      <c r="K43" s="39" t="str">
        <f aca="false">IF($A43="","",IFERROR(INDEX(Daily_History!$Y$1:$Y$5000,$C43),""))</f>
        <v/>
      </c>
      <c r="L43" s="35" t="str">
        <f aca="false">IF($A43="","",IFERROR($D43/$I43-1,""))</f>
        <v/>
      </c>
      <c r="M43" s="35" t="str">
        <f aca="false">IF($A43="","",IFERROR($D43/$K43-1,""))</f>
        <v/>
      </c>
      <c r="N43" s="28" t="str">
        <f aca="false">IF($A43="","",IF(D43&gt;H43,1,0)+IF(D43&gt;I43,1,0)+IF(D43&gt;J43,1,0)+IF(D43&gt;K43,1,0))</f>
        <v/>
      </c>
      <c r="O43" s="23" t="str">
        <f aca="false">IF($A43="","",IF(AND(ISNUMBER(H43),ISNUMBER(K43)),IF(AND(H43&gt;I43,I43&gt;J43,J43&gt;K43),"آرایش صعودی کامل",IF(AND(H43&lt;I43,I43&lt;J43,J43&lt;K43),"آرایش نزولی کامل",IF(I43&gt;K43,"تقاطع طلایی","تقاطع مرگ"))),"داده ناکافی"))</f>
        <v/>
      </c>
      <c r="P43" s="35" t="str">
        <f aca="false">IF($A43="","",IFERROR(H43/INDEX(Daily_History!$V$1:$V$5000,$C43-MA_SHORT)-1,""))</f>
        <v/>
      </c>
      <c r="Q43" s="39" t="str">
        <f aca="false">IF($A43="","",IFERROR(INDEX(Daily_History!$AI$1:$AI$5000,$C43),""))</f>
        <v/>
      </c>
      <c r="R43" s="39" t="str">
        <f aca="false">IF($A43="","",IFERROR(INDEX(Daily_History!$AJ$1:$AJ$5000,$C43),""))</f>
        <v/>
      </c>
      <c r="S43" s="39" t="str">
        <f aca="false">IF($A43="","",IFERROR(INDEX(Daily_History!$AK$1:$AK$5000,$C43),""))</f>
        <v/>
      </c>
      <c r="T43" s="39" t="str">
        <f aca="false">IF($A43="","",IFERROR(INDEX(Daily_History!$AL$1:$AL$5000,$C43),""))</f>
        <v/>
      </c>
      <c r="U43" s="23" t="str">
        <f aca="false">IF($A43="","",IF(AND(ISNUMBER(S43),ISNUMBER(D43)),IF(D43&gt;=S43*0.995,"سقف‌شکنی میان‌مدت (HH)",IF(D43&gt;=Q43*0.995,"سقف‌شکنی کوتاه‌مدت",IF(D43&lt;=T43*1.005,"کف‌شکنی میان‌مدت (LL)",IF(D43&lt;=R43*1.005,"کف‌شکنی کوتاه‌مدت","درون محدوده")))),"داده ناکافی"))</f>
        <v/>
      </c>
      <c r="V43" s="39" t="str">
        <f aca="false">IF($A43="","",IFERROR(INDEX(Daily_History!$AB$1:$AB$5000,$C43),""))</f>
        <v/>
      </c>
      <c r="W43" s="35" t="str">
        <f aca="false">IF($A43="","",IFERROR(V43/D43,""))</f>
        <v/>
      </c>
      <c r="X43" s="26" t="str">
        <f aca="false">IF($A43="","",IFERROR(D43-ATR_STOP_MULT*V43,""))</f>
        <v/>
      </c>
      <c r="Y43" s="39" t="str">
        <f aca="false">IF($A43="","",IFERROR(INDEX(Daily_History!$Z$1:$Z$5000,$C43),""))</f>
        <v/>
      </c>
      <c r="Z43" s="39" t="str">
        <f aca="false">IF($A43="","",IFERROR(INDEX(Data_Input!$Q$1:$Q$5000,$B43),""))</f>
        <v/>
      </c>
      <c r="AA43" s="33" t="str">
        <f aca="false">IF($A43="","",IFERROR(Z43/Y43,""))</f>
        <v/>
      </c>
      <c r="AB43" s="26" t="str">
        <f aca="false">IF($A43="","",IFERROR(INDEX(Data_Input!$V$1:$V$5000,$B43)-INDEX(Data_Input!$W$1:$W$5000,$B43),""))</f>
        <v/>
      </c>
      <c r="AC43" s="27" t="str">
        <f aca="false">IF($A43="","",IFERROR(AB43*E43/1000000000,""))</f>
        <v/>
      </c>
      <c r="AD43" s="35" t="str">
        <f aca="false">IF($A43="","",IFERROR(AB43*E43/INDEX(Data_Input!$R$1:$R$5000,$B43),""))</f>
        <v/>
      </c>
      <c r="AE43" s="27" t="str">
        <f aca="false">IF($A43="","",IFERROR(INDEX(Data_Input!$V$1:$V$5000,$B43)*E43/INDEX(Data_Input!$X$1:$X$5000,$B43)/1000000,""))</f>
        <v/>
      </c>
      <c r="AF43" s="27" t="str">
        <f aca="false">IF($A43="","",IFERROR(INDEX(Data_Input!$W$1:$W$5000,$B43)*E43/INDEX(Data_Input!$Y$1:$Y$5000,$B43)/1000000,""))</f>
        <v/>
      </c>
      <c r="AG43" s="33" t="str">
        <f aca="false">IF($A43="","",IFERROR(AE43/AF43,""))</f>
        <v/>
      </c>
      <c r="AH43" s="41" t="str">
        <f aca="false">IF($A43="","",IFERROR(INDEX(Daily_History!$AH$1:$AH$5000,$C43)/1000000000,""))</f>
        <v/>
      </c>
      <c r="AI43" s="35" t="str">
        <f aca="false">IF($A43="","",IFERROR(AH43/(5*G43),""))</f>
        <v/>
      </c>
      <c r="AJ43" s="27" t="str">
        <f aca="false">IF($A43="","",IFERROR(MAX(-10,MIN(10,IF(D43&gt;I43*1.02,3,IF(D43&gt;I43,1.5,IF(D43&lt;I43*0.98,-3,-1.5)))+IF(I43&gt;K43*1.02,3,IF(I43&gt;K43,1.5,IF(I43&lt;K43*0.98,-3,-1.5)))+IF(D43&gt;=Q43*0.995,2,IF(D43&lt;=R43*1.005,-2,0))+IF(P43&gt;0.03,2,IF(P43&gt;0,1,IF(P43&lt;-0.03,-2,-1))))),0))</f>
        <v/>
      </c>
      <c r="AK43" s="27" t="str">
        <f aca="false">IF($A43="","",IFERROR(MAX(-10,MIN(10,IF(AG43&gt;=SM_STRONG,4,IF(AG43&gt;=SM_MOD,2,IF(AG43&lt;=SM_BAD,-4,IF(AG43&lt;=SM_WEAK,-2,0))))+IF(AD43&gt;=NF_STRONG,3,IF(AD43&gt;=NF_MOD,1.5,IF(AD43&lt;=-NF_STRONG,-3,IF(AD43&lt;=-NF_MOD,-1.5,0))))+IF(AI43&gt;=NF_MOD,3,IF(AI43&gt;0,1.5,IF(AI43&lt;=-NF_MOD,-3,-1.5))))),0))</f>
        <v/>
      </c>
      <c r="AL43" s="27" t="str">
        <f aca="false">IF($A43="","",IFERROR(N43*5-10,0))</f>
        <v/>
      </c>
      <c r="AM43" s="27" t="str">
        <f aca="false">IF($A43="","",IFERROR(IF(F43&gt;0,IF(AA43&gt;=VOL_HIGH,9,IF(AA43&gt;=VOL_MOD,5,IF(AA43&lt;=VOL_DRY,-2,2))),IF(F43&lt;0,IF(AA43&gt;=VOL_HIGH,-9,IF(AA43&gt;=VOL_MOD,-5,IF(AA43&lt;=VOL_DRY,2,-2))),0)),0))</f>
        <v/>
      </c>
      <c r="AN43" s="41" t="str">
        <f aca="false">IF($A43="","",MARKET_SCORE)</f>
        <v/>
      </c>
      <c r="AO43" s="41" t="str">
        <f aca="false">IF($A43="","",IFERROR(INDEX(Time_Link!$B$1:$B$5000,MATCH($A43,Time_Link!$A$1:$A$5000,0)),0))</f>
        <v/>
      </c>
      <c r="AP43" s="27" t="str">
        <f aca="false">IF($A43="","",IFERROR((AJ43*W_TREND+AK43*W_SMART+AL43*W_MA+AM43*W_VOL+AN43*W_MARKET+AO43*W_TIME)/W_SUM,0))</f>
        <v/>
      </c>
      <c r="AQ43" s="28" t="str">
        <f aca="false">IF($A43="","",IF(ABS(AP43)&gt;=8,5,IF(ABS(AP43)&gt;=5,4,IF(ABS(AP43)&gt;=3,3,IF(ABS(AP43)&gt;=1.5,2,1)))))</f>
        <v/>
      </c>
      <c r="AR43" s="23" t="str">
        <f aca="false">IF($A43="","",IF(G43="","بدون داده",IF(G43&lt;MIN_LIQ_B,"کم‌اعتبار","معتبر")))</f>
        <v/>
      </c>
      <c r="AS43" s="42" t="str">
        <f aca="false">IF($A43="","",IFERROR(AP43+ROW()/1000000,-99))</f>
        <v/>
      </c>
      <c r="AT43" s="28" t="str">
        <f aca="false">IF($A43="","",RANK(AS43,$AS$5:$AS$64,0))</f>
        <v/>
      </c>
      <c r="AU43" s="28" t="str">
        <f aca="false">IF($A43="","",RANK(AS43,$AS$5:$AS$64,1))</f>
        <v/>
      </c>
    </row>
    <row r="44" customFormat="false" ht="15" hidden="false" customHeight="false" outlineLevel="0" collapsed="false">
      <c r="A44" s="37" t="str">
        <f aca="false">IF(COUNTA(Watchlist!$A$44)=0,"",Watchlist!$A$44)</f>
        <v/>
      </c>
      <c r="B44" s="28" t="str">
        <f aca="false">IF($A44="","",IFERROR(MATCH($A44,Data_Input!$A$1:$A$5000,0),""))</f>
        <v/>
      </c>
      <c r="C44" s="28" t="str">
        <f aca="false">IF($A44="","",IFERROR(MATCH($A44,Daily_History!$AN$1:$AN$5000,0),""))</f>
        <v/>
      </c>
      <c r="D44" s="39" t="str">
        <f aca="false">IF($A44="","",IFERROR(INDEX(Data_Input!$I$1:$I$5000,$B44),""))</f>
        <v/>
      </c>
      <c r="E44" s="39" t="str">
        <f aca="false">IF($A44="","",IFERROR(INDEX(Data_Input!$J$1:$J$5000,$B44),""))</f>
        <v/>
      </c>
      <c r="F44" s="40" t="str">
        <f aca="false">IF($A44="","",IFERROR(INDEX(Data_Input!$M$1:$M$5000,$B44),""))</f>
        <v/>
      </c>
      <c r="G44" s="41" t="str">
        <f aca="false">IF($A44="","",IFERROR(INDEX(Data_Input!$R$1:$R$5000,$B44)/1000000000,""))</f>
        <v/>
      </c>
      <c r="H44" s="39" t="str">
        <f aca="false">IF($A44="","",IFERROR(INDEX(Daily_History!$V$1:$V$5000,$C44),""))</f>
        <v/>
      </c>
      <c r="I44" s="39" t="str">
        <f aca="false">IF($A44="","",IFERROR(INDEX(Daily_History!$W$1:$W$5000,$C44),""))</f>
        <v/>
      </c>
      <c r="J44" s="39" t="str">
        <f aca="false">IF($A44="","",IFERROR(INDEX(Daily_History!$X$1:$X$5000,$C44),""))</f>
        <v/>
      </c>
      <c r="K44" s="39" t="str">
        <f aca="false">IF($A44="","",IFERROR(INDEX(Daily_History!$Y$1:$Y$5000,$C44),""))</f>
        <v/>
      </c>
      <c r="L44" s="35" t="str">
        <f aca="false">IF($A44="","",IFERROR($D44/$I44-1,""))</f>
        <v/>
      </c>
      <c r="M44" s="35" t="str">
        <f aca="false">IF($A44="","",IFERROR($D44/$K44-1,""))</f>
        <v/>
      </c>
      <c r="N44" s="28" t="str">
        <f aca="false">IF($A44="","",IF(D44&gt;H44,1,0)+IF(D44&gt;I44,1,0)+IF(D44&gt;J44,1,0)+IF(D44&gt;K44,1,0))</f>
        <v/>
      </c>
      <c r="O44" s="23" t="str">
        <f aca="false">IF($A44="","",IF(AND(ISNUMBER(H44),ISNUMBER(K44)),IF(AND(H44&gt;I44,I44&gt;J44,J44&gt;K44),"آرایش صعودی کامل",IF(AND(H44&lt;I44,I44&lt;J44,J44&lt;K44),"آرایش نزولی کامل",IF(I44&gt;K44,"تقاطع طلایی","تقاطع مرگ"))),"داده ناکافی"))</f>
        <v/>
      </c>
      <c r="P44" s="35" t="str">
        <f aca="false">IF($A44="","",IFERROR(H44/INDEX(Daily_History!$V$1:$V$5000,$C44-MA_SHORT)-1,""))</f>
        <v/>
      </c>
      <c r="Q44" s="39" t="str">
        <f aca="false">IF($A44="","",IFERROR(INDEX(Daily_History!$AI$1:$AI$5000,$C44),""))</f>
        <v/>
      </c>
      <c r="R44" s="39" t="str">
        <f aca="false">IF($A44="","",IFERROR(INDEX(Daily_History!$AJ$1:$AJ$5000,$C44),""))</f>
        <v/>
      </c>
      <c r="S44" s="39" t="str">
        <f aca="false">IF($A44="","",IFERROR(INDEX(Daily_History!$AK$1:$AK$5000,$C44),""))</f>
        <v/>
      </c>
      <c r="T44" s="39" t="str">
        <f aca="false">IF($A44="","",IFERROR(INDEX(Daily_History!$AL$1:$AL$5000,$C44),""))</f>
        <v/>
      </c>
      <c r="U44" s="23" t="str">
        <f aca="false">IF($A44="","",IF(AND(ISNUMBER(S44),ISNUMBER(D44)),IF(D44&gt;=S44*0.995,"سقف‌شکنی میان‌مدت (HH)",IF(D44&gt;=Q44*0.995,"سقف‌شکنی کوتاه‌مدت",IF(D44&lt;=T44*1.005,"کف‌شکنی میان‌مدت (LL)",IF(D44&lt;=R44*1.005,"کف‌شکنی کوتاه‌مدت","درون محدوده")))),"داده ناکافی"))</f>
        <v/>
      </c>
      <c r="V44" s="39" t="str">
        <f aca="false">IF($A44="","",IFERROR(INDEX(Daily_History!$AB$1:$AB$5000,$C44),""))</f>
        <v/>
      </c>
      <c r="W44" s="35" t="str">
        <f aca="false">IF($A44="","",IFERROR(V44/D44,""))</f>
        <v/>
      </c>
      <c r="X44" s="26" t="str">
        <f aca="false">IF($A44="","",IFERROR(D44-ATR_STOP_MULT*V44,""))</f>
        <v/>
      </c>
      <c r="Y44" s="39" t="str">
        <f aca="false">IF($A44="","",IFERROR(INDEX(Daily_History!$Z$1:$Z$5000,$C44),""))</f>
        <v/>
      </c>
      <c r="Z44" s="39" t="str">
        <f aca="false">IF($A44="","",IFERROR(INDEX(Data_Input!$Q$1:$Q$5000,$B44),""))</f>
        <v/>
      </c>
      <c r="AA44" s="33" t="str">
        <f aca="false">IF($A44="","",IFERROR(Z44/Y44,""))</f>
        <v/>
      </c>
      <c r="AB44" s="26" t="str">
        <f aca="false">IF($A44="","",IFERROR(INDEX(Data_Input!$V$1:$V$5000,$B44)-INDEX(Data_Input!$W$1:$W$5000,$B44),""))</f>
        <v/>
      </c>
      <c r="AC44" s="27" t="str">
        <f aca="false">IF($A44="","",IFERROR(AB44*E44/1000000000,""))</f>
        <v/>
      </c>
      <c r="AD44" s="35" t="str">
        <f aca="false">IF($A44="","",IFERROR(AB44*E44/INDEX(Data_Input!$R$1:$R$5000,$B44),""))</f>
        <v/>
      </c>
      <c r="AE44" s="27" t="str">
        <f aca="false">IF($A44="","",IFERROR(INDEX(Data_Input!$V$1:$V$5000,$B44)*E44/INDEX(Data_Input!$X$1:$X$5000,$B44)/1000000,""))</f>
        <v/>
      </c>
      <c r="AF44" s="27" t="str">
        <f aca="false">IF($A44="","",IFERROR(INDEX(Data_Input!$W$1:$W$5000,$B44)*E44/INDEX(Data_Input!$Y$1:$Y$5000,$B44)/1000000,""))</f>
        <v/>
      </c>
      <c r="AG44" s="33" t="str">
        <f aca="false">IF($A44="","",IFERROR(AE44/AF44,""))</f>
        <v/>
      </c>
      <c r="AH44" s="41" t="str">
        <f aca="false">IF($A44="","",IFERROR(INDEX(Daily_History!$AH$1:$AH$5000,$C44)/1000000000,""))</f>
        <v/>
      </c>
      <c r="AI44" s="35" t="str">
        <f aca="false">IF($A44="","",IFERROR(AH44/(5*G44),""))</f>
        <v/>
      </c>
      <c r="AJ44" s="27" t="str">
        <f aca="false">IF($A44="","",IFERROR(MAX(-10,MIN(10,IF(D44&gt;I44*1.02,3,IF(D44&gt;I44,1.5,IF(D44&lt;I44*0.98,-3,-1.5)))+IF(I44&gt;K44*1.02,3,IF(I44&gt;K44,1.5,IF(I44&lt;K44*0.98,-3,-1.5)))+IF(D44&gt;=Q44*0.995,2,IF(D44&lt;=R44*1.005,-2,0))+IF(P44&gt;0.03,2,IF(P44&gt;0,1,IF(P44&lt;-0.03,-2,-1))))),0))</f>
        <v/>
      </c>
      <c r="AK44" s="27" t="str">
        <f aca="false">IF($A44="","",IFERROR(MAX(-10,MIN(10,IF(AG44&gt;=SM_STRONG,4,IF(AG44&gt;=SM_MOD,2,IF(AG44&lt;=SM_BAD,-4,IF(AG44&lt;=SM_WEAK,-2,0))))+IF(AD44&gt;=NF_STRONG,3,IF(AD44&gt;=NF_MOD,1.5,IF(AD44&lt;=-NF_STRONG,-3,IF(AD44&lt;=-NF_MOD,-1.5,0))))+IF(AI44&gt;=NF_MOD,3,IF(AI44&gt;0,1.5,IF(AI44&lt;=-NF_MOD,-3,-1.5))))),0))</f>
        <v/>
      </c>
      <c r="AL44" s="27" t="str">
        <f aca="false">IF($A44="","",IFERROR(N44*5-10,0))</f>
        <v/>
      </c>
      <c r="AM44" s="27" t="str">
        <f aca="false">IF($A44="","",IFERROR(IF(F44&gt;0,IF(AA44&gt;=VOL_HIGH,9,IF(AA44&gt;=VOL_MOD,5,IF(AA44&lt;=VOL_DRY,-2,2))),IF(F44&lt;0,IF(AA44&gt;=VOL_HIGH,-9,IF(AA44&gt;=VOL_MOD,-5,IF(AA44&lt;=VOL_DRY,2,-2))),0)),0))</f>
        <v/>
      </c>
      <c r="AN44" s="41" t="str">
        <f aca="false">IF($A44="","",MARKET_SCORE)</f>
        <v/>
      </c>
      <c r="AO44" s="41" t="str">
        <f aca="false">IF($A44="","",IFERROR(INDEX(Time_Link!$B$1:$B$5000,MATCH($A44,Time_Link!$A$1:$A$5000,0)),0))</f>
        <v/>
      </c>
      <c r="AP44" s="27" t="str">
        <f aca="false">IF($A44="","",IFERROR((AJ44*W_TREND+AK44*W_SMART+AL44*W_MA+AM44*W_VOL+AN44*W_MARKET+AO44*W_TIME)/W_SUM,0))</f>
        <v/>
      </c>
      <c r="AQ44" s="28" t="str">
        <f aca="false">IF($A44="","",IF(ABS(AP44)&gt;=8,5,IF(ABS(AP44)&gt;=5,4,IF(ABS(AP44)&gt;=3,3,IF(ABS(AP44)&gt;=1.5,2,1)))))</f>
        <v/>
      </c>
      <c r="AR44" s="23" t="str">
        <f aca="false">IF($A44="","",IF(G44="","بدون داده",IF(G44&lt;MIN_LIQ_B,"کم‌اعتبار","معتبر")))</f>
        <v/>
      </c>
      <c r="AS44" s="42" t="str">
        <f aca="false">IF($A44="","",IFERROR(AP44+ROW()/1000000,-99))</f>
        <v/>
      </c>
      <c r="AT44" s="28" t="str">
        <f aca="false">IF($A44="","",RANK(AS44,$AS$5:$AS$64,0))</f>
        <v/>
      </c>
      <c r="AU44" s="28" t="str">
        <f aca="false">IF($A44="","",RANK(AS44,$AS$5:$AS$64,1))</f>
        <v/>
      </c>
    </row>
    <row r="45" customFormat="false" ht="15" hidden="false" customHeight="false" outlineLevel="0" collapsed="false">
      <c r="A45" s="37" t="str">
        <f aca="false">IF(COUNTA(Watchlist!$A$45)=0,"",Watchlist!$A$45)</f>
        <v/>
      </c>
      <c r="B45" s="28" t="str">
        <f aca="false">IF($A45="","",IFERROR(MATCH($A45,Data_Input!$A$1:$A$5000,0),""))</f>
        <v/>
      </c>
      <c r="C45" s="28" t="str">
        <f aca="false">IF($A45="","",IFERROR(MATCH($A45,Daily_History!$AN$1:$AN$5000,0),""))</f>
        <v/>
      </c>
      <c r="D45" s="39" t="str">
        <f aca="false">IF($A45="","",IFERROR(INDEX(Data_Input!$I$1:$I$5000,$B45),""))</f>
        <v/>
      </c>
      <c r="E45" s="39" t="str">
        <f aca="false">IF($A45="","",IFERROR(INDEX(Data_Input!$J$1:$J$5000,$B45),""))</f>
        <v/>
      </c>
      <c r="F45" s="40" t="str">
        <f aca="false">IF($A45="","",IFERROR(INDEX(Data_Input!$M$1:$M$5000,$B45),""))</f>
        <v/>
      </c>
      <c r="G45" s="41" t="str">
        <f aca="false">IF($A45="","",IFERROR(INDEX(Data_Input!$R$1:$R$5000,$B45)/1000000000,""))</f>
        <v/>
      </c>
      <c r="H45" s="39" t="str">
        <f aca="false">IF($A45="","",IFERROR(INDEX(Daily_History!$V$1:$V$5000,$C45),""))</f>
        <v/>
      </c>
      <c r="I45" s="39" t="str">
        <f aca="false">IF($A45="","",IFERROR(INDEX(Daily_History!$W$1:$W$5000,$C45),""))</f>
        <v/>
      </c>
      <c r="J45" s="39" t="str">
        <f aca="false">IF($A45="","",IFERROR(INDEX(Daily_History!$X$1:$X$5000,$C45),""))</f>
        <v/>
      </c>
      <c r="K45" s="39" t="str">
        <f aca="false">IF($A45="","",IFERROR(INDEX(Daily_History!$Y$1:$Y$5000,$C45),""))</f>
        <v/>
      </c>
      <c r="L45" s="35" t="str">
        <f aca="false">IF($A45="","",IFERROR($D45/$I45-1,""))</f>
        <v/>
      </c>
      <c r="M45" s="35" t="str">
        <f aca="false">IF($A45="","",IFERROR($D45/$K45-1,""))</f>
        <v/>
      </c>
      <c r="N45" s="28" t="str">
        <f aca="false">IF($A45="","",IF(D45&gt;H45,1,0)+IF(D45&gt;I45,1,0)+IF(D45&gt;J45,1,0)+IF(D45&gt;K45,1,0))</f>
        <v/>
      </c>
      <c r="O45" s="23" t="str">
        <f aca="false">IF($A45="","",IF(AND(ISNUMBER(H45),ISNUMBER(K45)),IF(AND(H45&gt;I45,I45&gt;J45,J45&gt;K45),"آرایش صعودی کامل",IF(AND(H45&lt;I45,I45&lt;J45,J45&lt;K45),"آرایش نزولی کامل",IF(I45&gt;K45,"تقاطع طلایی","تقاطع مرگ"))),"داده ناکافی"))</f>
        <v/>
      </c>
      <c r="P45" s="35" t="str">
        <f aca="false">IF($A45="","",IFERROR(H45/INDEX(Daily_History!$V$1:$V$5000,$C45-MA_SHORT)-1,""))</f>
        <v/>
      </c>
      <c r="Q45" s="39" t="str">
        <f aca="false">IF($A45="","",IFERROR(INDEX(Daily_History!$AI$1:$AI$5000,$C45),""))</f>
        <v/>
      </c>
      <c r="R45" s="39" t="str">
        <f aca="false">IF($A45="","",IFERROR(INDEX(Daily_History!$AJ$1:$AJ$5000,$C45),""))</f>
        <v/>
      </c>
      <c r="S45" s="39" t="str">
        <f aca="false">IF($A45="","",IFERROR(INDEX(Daily_History!$AK$1:$AK$5000,$C45),""))</f>
        <v/>
      </c>
      <c r="T45" s="39" t="str">
        <f aca="false">IF($A45="","",IFERROR(INDEX(Daily_History!$AL$1:$AL$5000,$C45),""))</f>
        <v/>
      </c>
      <c r="U45" s="23" t="str">
        <f aca="false">IF($A45="","",IF(AND(ISNUMBER(S45),ISNUMBER(D45)),IF(D45&gt;=S45*0.995,"سقف‌شکنی میان‌مدت (HH)",IF(D45&gt;=Q45*0.995,"سقف‌شکنی کوتاه‌مدت",IF(D45&lt;=T45*1.005,"کف‌شکنی میان‌مدت (LL)",IF(D45&lt;=R45*1.005,"کف‌شکنی کوتاه‌مدت","درون محدوده")))),"داده ناکافی"))</f>
        <v/>
      </c>
      <c r="V45" s="39" t="str">
        <f aca="false">IF($A45="","",IFERROR(INDEX(Daily_History!$AB$1:$AB$5000,$C45),""))</f>
        <v/>
      </c>
      <c r="W45" s="35" t="str">
        <f aca="false">IF($A45="","",IFERROR(V45/D45,""))</f>
        <v/>
      </c>
      <c r="X45" s="26" t="str">
        <f aca="false">IF($A45="","",IFERROR(D45-ATR_STOP_MULT*V45,""))</f>
        <v/>
      </c>
      <c r="Y45" s="39" t="str">
        <f aca="false">IF($A45="","",IFERROR(INDEX(Daily_History!$Z$1:$Z$5000,$C45),""))</f>
        <v/>
      </c>
      <c r="Z45" s="39" t="str">
        <f aca="false">IF($A45="","",IFERROR(INDEX(Data_Input!$Q$1:$Q$5000,$B45),""))</f>
        <v/>
      </c>
      <c r="AA45" s="33" t="str">
        <f aca="false">IF($A45="","",IFERROR(Z45/Y45,""))</f>
        <v/>
      </c>
      <c r="AB45" s="26" t="str">
        <f aca="false">IF($A45="","",IFERROR(INDEX(Data_Input!$V$1:$V$5000,$B45)-INDEX(Data_Input!$W$1:$W$5000,$B45),""))</f>
        <v/>
      </c>
      <c r="AC45" s="27" t="str">
        <f aca="false">IF($A45="","",IFERROR(AB45*E45/1000000000,""))</f>
        <v/>
      </c>
      <c r="AD45" s="35" t="str">
        <f aca="false">IF($A45="","",IFERROR(AB45*E45/INDEX(Data_Input!$R$1:$R$5000,$B45),""))</f>
        <v/>
      </c>
      <c r="AE45" s="27" t="str">
        <f aca="false">IF($A45="","",IFERROR(INDEX(Data_Input!$V$1:$V$5000,$B45)*E45/INDEX(Data_Input!$X$1:$X$5000,$B45)/1000000,""))</f>
        <v/>
      </c>
      <c r="AF45" s="27" t="str">
        <f aca="false">IF($A45="","",IFERROR(INDEX(Data_Input!$W$1:$W$5000,$B45)*E45/INDEX(Data_Input!$Y$1:$Y$5000,$B45)/1000000,""))</f>
        <v/>
      </c>
      <c r="AG45" s="33" t="str">
        <f aca="false">IF($A45="","",IFERROR(AE45/AF45,""))</f>
        <v/>
      </c>
      <c r="AH45" s="41" t="str">
        <f aca="false">IF($A45="","",IFERROR(INDEX(Daily_History!$AH$1:$AH$5000,$C45)/1000000000,""))</f>
        <v/>
      </c>
      <c r="AI45" s="35" t="str">
        <f aca="false">IF($A45="","",IFERROR(AH45/(5*G45),""))</f>
        <v/>
      </c>
      <c r="AJ45" s="27" t="str">
        <f aca="false">IF($A45="","",IFERROR(MAX(-10,MIN(10,IF(D45&gt;I45*1.02,3,IF(D45&gt;I45,1.5,IF(D45&lt;I45*0.98,-3,-1.5)))+IF(I45&gt;K45*1.02,3,IF(I45&gt;K45,1.5,IF(I45&lt;K45*0.98,-3,-1.5)))+IF(D45&gt;=Q45*0.995,2,IF(D45&lt;=R45*1.005,-2,0))+IF(P45&gt;0.03,2,IF(P45&gt;0,1,IF(P45&lt;-0.03,-2,-1))))),0))</f>
        <v/>
      </c>
      <c r="AK45" s="27" t="str">
        <f aca="false">IF($A45="","",IFERROR(MAX(-10,MIN(10,IF(AG45&gt;=SM_STRONG,4,IF(AG45&gt;=SM_MOD,2,IF(AG45&lt;=SM_BAD,-4,IF(AG45&lt;=SM_WEAK,-2,0))))+IF(AD45&gt;=NF_STRONG,3,IF(AD45&gt;=NF_MOD,1.5,IF(AD45&lt;=-NF_STRONG,-3,IF(AD45&lt;=-NF_MOD,-1.5,0))))+IF(AI45&gt;=NF_MOD,3,IF(AI45&gt;0,1.5,IF(AI45&lt;=-NF_MOD,-3,-1.5))))),0))</f>
        <v/>
      </c>
      <c r="AL45" s="27" t="str">
        <f aca="false">IF($A45="","",IFERROR(N45*5-10,0))</f>
        <v/>
      </c>
      <c r="AM45" s="27" t="str">
        <f aca="false">IF($A45="","",IFERROR(IF(F45&gt;0,IF(AA45&gt;=VOL_HIGH,9,IF(AA45&gt;=VOL_MOD,5,IF(AA45&lt;=VOL_DRY,-2,2))),IF(F45&lt;0,IF(AA45&gt;=VOL_HIGH,-9,IF(AA45&gt;=VOL_MOD,-5,IF(AA45&lt;=VOL_DRY,2,-2))),0)),0))</f>
        <v/>
      </c>
      <c r="AN45" s="41" t="str">
        <f aca="false">IF($A45="","",MARKET_SCORE)</f>
        <v/>
      </c>
      <c r="AO45" s="41" t="str">
        <f aca="false">IF($A45="","",IFERROR(INDEX(Time_Link!$B$1:$B$5000,MATCH($A45,Time_Link!$A$1:$A$5000,0)),0))</f>
        <v/>
      </c>
      <c r="AP45" s="27" t="str">
        <f aca="false">IF($A45="","",IFERROR((AJ45*W_TREND+AK45*W_SMART+AL45*W_MA+AM45*W_VOL+AN45*W_MARKET+AO45*W_TIME)/W_SUM,0))</f>
        <v/>
      </c>
      <c r="AQ45" s="28" t="str">
        <f aca="false">IF($A45="","",IF(ABS(AP45)&gt;=8,5,IF(ABS(AP45)&gt;=5,4,IF(ABS(AP45)&gt;=3,3,IF(ABS(AP45)&gt;=1.5,2,1)))))</f>
        <v/>
      </c>
      <c r="AR45" s="23" t="str">
        <f aca="false">IF($A45="","",IF(G45="","بدون داده",IF(G45&lt;MIN_LIQ_B,"کم‌اعتبار","معتبر")))</f>
        <v/>
      </c>
      <c r="AS45" s="42" t="str">
        <f aca="false">IF($A45="","",IFERROR(AP45+ROW()/1000000,-99))</f>
        <v/>
      </c>
      <c r="AT45" s="28" t="str">
        <f aca="false">IF($A45="","",RANK(AS45,$AS$5:$AS$64,0))</f>
        <v/>
      </c>
      <c r="AU45" s="28" t="str">
        <f aca="false">IF($A45="","",RANK(AS45,$AS$5:$AS$64,1))</f>
        <v/>
      </c>
    </row>
    <row r="46" customFormat="false" ht="15" hidden="false" customHeight="false" outlineLevel="0" collapsed="false">
      <c r="A46" s="37" t="str">
        <f aca="false">IF(COUNTA(Watchlist!$A$46)=0,"",Watchlist!$A$46)</f>
        <v/>
      </c>
      <c r="B46" s="28" t="str">
        <f aca="false">IF($A46="","",IFERROR(MATCH($A46,Data_Input!$A$1:$A$5000,0),""))</f>
        <v/>
      </c>
      <c r="C46" s="28" t="str">
        <f aca="false">IF($A46="","",IFERROR(MATCH($A46,Daily_History!$AN$1:$AN$5000,0),""))</f>
        <v/>
      </c>
      <c r="D46" s="39" t="str">
        <f aca="false">IF($A46="","",IFERROR(INDEX(Data_Input!$I$1:$I$5000,$B46),""))</f>
        <v/>
      </c>
      <c r="E46" s="39" t="str">
        <f aca="false">IF($A46="","",IFERROR(INDEX(Data_Input!$J$1:$J$5000,$B46),""))</f>
        <v/>
      </c>
      <c r="F46" s="40" t="str">
        <f aca="false">IF($A46="","",IFERROR(INDEX(Data_Input!$M$1:$M$5000,$B46),""))</f>
        <v/>
      </c>
      <c r="G46" s="41" t="str">
        <f aca="false">IF($A46="","",IFERROR(INDEX(Data_Input!$R$1:$R$5000,$B46)/1000000000,""))</f>
        <v/>
      </c>
      <c r="H46" s="39" t="str">
        <f aca="false">IF($A46="","",IFERROR(INDEX(Daily_History!$V$1:$V$5000,$C46),""))</f>
        <v/>
      </c>
      <c r="I46" s="39" t="str">
        <f aca="false">IF($A46="","",IFERROR(INDEX(Daily_History!$W$1:$W$5000,$C46),""))</f>
        <v/>
      </c>
      <c r="J46" s="39" t="str">
        <f aca="false">IF($A46="","",IFERROR(INDEX(Daily_History!$X$1:$X$5000,$C46),""))</f>
        <v/>
      </c>
      <c r="K46" s="39" t="str">
        <f aca="false">IF($A46="","",IFERROR(INDEX(Daily_History!$Y$1:$Y$5000,$C46),""))</f>
        <v/>
      </c>
      <c r="L46" s="35" t="str">
        <f aca="false">IF($A46="","",IFERROR($D46/$I46-1,""))</f>
        <v/>
      </c>
      <c r="M46" s="35" t="str">
        <f aca="false">IF($A46="","",IFERROR($D46/$K46-1,""))</f>
        <v/>
      </c>
      <c r="N46" s="28" t="str">
        <f aca="false">IF($A46="","",IF(D46&gt;H46,1,0)+IF(D46&gt;I46,1,0)+IF(D46&gt;J46,1,0)+IF(D46&gt;K46,1,0))</f>
        <v/>
      </c>
      <c r="O46" s="23" t="str">
        <f aca="false">IF($A46="","",IF(AND(ISNUMBER(H46),ISNUMBER(K46)),IF(AND(H46&gt;I46,I46&gt;J46,J46&gt;K46),"آرایش صعودی کامل",IF(AND(H46&lt;I46,I46&lt;J46,J46&lt;K46),"آرایش نزولی کامل",IF(I46&gt;K46,"تقاطع طلایی","تقاطع مرگ"))),"داده ناکافی"))</f>
        <v/>
      </c>
      <c r="P46" s="35" t="str">
        <f aca="false">IF($A46="","",IFERROR(H46/INDEX(Daily_History!$V$1:$V$5000,$C46-MA_SHORT)-1,""))</f>
        <v/>
      </c>
      <c r="Q46" s="39" t="str">
        <f aca="false">IF($A46="","",IFERROR(INDEX(Daily_History!$AI$1:$AI$5000,$C46),""))</f>
        <v/>
      </c>
      <c r="R46" s="39" t="str">
        <f aca="false">IF($A46="","",IFERROR(INDEX(Daily_History!$AJ$1:$AJ$5000,$C46),""))</f>
        <v/>
      </c>
      <c r="S46" s="39" t="str">
        <f aca="false">IF($A46="","",IFERROR(INDEX(Daily_History!$AK$1:$AK$5000,$C46),""))</f>
        <v/>
      </c>
      <c r="T46" s="39" t="str">
        <f aca="false">IF($A46="","",IFERROR(INDEX(Daily_History!$AL$1:$AL$5000,$C46),""))</f>
        <v/>
      </c>
      <c r="U46" s="23" t="str">
        <f aca="false">IF($A46="","",IF(AND(ISNUMBER(S46),ISNUMBER(D46)),IF(D46&gt;=S46*0.995,"سقف‌شکنی میان‌مدت (HH)",IF(D46&gt;=Q46*0.995,"سقف‌شکنی کوتاه‌مدت",IF(D46&lt;=T46*1.005,"کف‌شکنی میان‌مدت (LL)",IF(D46&lt;=R46*1.005,"کف‌شکنی کوتاه‌مدت","درون محدوده")))),"داده ناکافی"))</f>
        <v/>
      </c>
      <c r="V46" s="39" t="str">
        <f aca="false">IF($A46="","",IFERROR(INDEX(Daily_History!$AB$1:$AB$5000,$C46),""))</f>
        <v/>
      </c>
      <c r="W46" s="35" t="str">
        <f aca="false">IF($A46="","",IFERROR(V46/D46,""))</f>
        <v/>
      </c>
      <c r="X46" s="26" t="str">
        <f aca="false">IF($A46="","",IFERROR(D46-ATR_STOP_MULT*V46,""))</f>
        <v/>
      </c>
      <c r="Y46" s="39" t="str">
        <f aca="false">IF($A46="","",IFERROR(INDEX(Daily_History!$Z$1:$Z$5000,$C46),""))</f>
        <v/>
      </c>
      <c r="Z46" s="39" t="str">
        <f aca="false">IF($A46="","",IFERROR(INDEX(Data_Input!$Q$1:$Q$5000,$B46),""))</f>
        <v/>
      </c>
      <c r="AA46" s="33" t="str">
        <f aca="false">IF($A46="","",IFERROR(Z46/Y46,""))</f>
        <v/>
      </c>
      <c r="AB46" s="26" t="str">
        <f aca="false">IF($A46="","",IFERROR(INDEX(Data_Input!$V$1:$V$5000,$B46)-INDEX(Data_Input!$W$1:$W$5000,$B46),""))</f>
        <v/>
      </c>
      <c r="AC46" s="27" t="str">
        <f aca="false">IF($A46="","",IFERROR(AB46*E46/1000000000,""))</f>
        <v/>
      </c>
      <c r="AD46" s="35" t="str">
        <f aca="false">IF($A46="","",IFERROR(AB46*E46/INDEX(Data_Input!$R$1:$R$5000,$B46),""))</f>
        <v/>
      </c>
      <c r="AE46" s="27" t="str">
        <f aca="false">IF($A46="","",IFERROR(INDEX(Data_Input!$V$1:$V$5000,$B46)*E46/INDEX(Data_Input!$X$1:$X$5000,$B46)/1000000,""))</f>
        <v/>
      </c>
      <c r="AF46" s="27" t="str">
        <f aca="false">IF($A46="","",IFERROR(INDEX(Data_Input!$W$1:$W$5000,$B46)*E46/INDEX(Data_Input!$Y$1:$Y$5000,$B46)/1000000,""))</f>
        <v/>
      </c>
      <c r="AG46" s="33" t="str">
        <f aca="false">IF($A46="","",IFERROR(AE46/AF46,""))</f>
        <v/>
      </c>
      <c r="AH46" s="41" t="str">
        <f aca="false">IF($A46="","",IFERROR(INDEX(Daily_History!$AH$1:$AH$5000,$C46)/1000000000,""))</f>
        <v/>
      </c>
      <c r="AI46" s="35" t="str">
        <f aca="false">IF($A46="","",IFERROR(AH46/(5*G46),""))</f>
        <v/>
      </c>
      <c r="AJ46" s="27" t="str">
        <f aca="false">IF($A46="","",IFERROR(MAX(-10,MIN(10,IF(D46&gt;I46*1.02,3,IF(D46&gt;I46,1.5,IF(D46&lt;I46*0.98,-3,-1.5)))+IF(I46&gt;K46*1.02,3,IF(I46&gt;K46,1.5,IF(I46&lt;K46*0.98,-3,-1.5)))+IF(D46&gt;=Q46*0.995,2,IF(D46&lt;=R46*1.005,-2,0))+IF(P46&gt;0.03,2,IF(P46&gt;0,1,IF(P46&lt;-0.03,-2,-1))))),0))</f>
        <v/>
      </c>
      <c r="AK46" s="27" t="str">
        <f aca="false">IF($A46="","",IFERROR(MAX(-10,MIN(10,IF(AG46&gt;=SM_STRONG,4,IF(AG46&gt;=SM_MOD,2,IF(AG46&lt;=SM_BAD,-4,IF(AG46&lt;=SM_WEAK,-2,0))))+IF(AD46&gt;=NF_STRONG,3,IF(AD46&gt;=NF_MOD,1.5,IF(AD46&lt;=-NF_STRONG,-3,IF(AD46&lt;=-NF_MOD,-1.5,0))))+IF(AI46&gt;=NF_MOD,3,IF(AI46&gt;0,1.5,IF(AI46&lt;=-NF_MOD,-3,-1.5))))),0))</f>
        <v/>
      </c>
      <c r="AL46" s="27" t="str">
        <f aca="false">IF($A46="","",IFERROR(N46*5-10,0))</f>
        <v/>
      </c>
      <c r="AM46" s="27" t="str">
        <f aca="false">IF($A46="","",IFERROR(IF(F46&gt;0,IF(AA46&gt;=VOL_HIGH,9,IF(AA46&gt;=VOL_MOD,5,IF(AA46&lt;=VOL_DRY,-2,2))),IF(F46&lt;0,IF(AA46&gt;=VOL_HIGH,-9,IF(AA46&gt;=VOL_MOD,-5,IF(AA46&lt;=VOL_DRY,2,-2))),0)),0))</f>
        <v/>
      </c>
      <c r="AN46" s="41" t="str">
        <f aca="false">IF($A46="","",MARKET_SCORE)</f>
        <v/>
      </c>
      <c r="AO46" s="41" t="str">
        <f aca="false">IF($A46="","",IFERROR(INDEX(Time_Link!$B$1:$B$5000,MATCH($A46,Time_Link!$A$1:$A$5000,0)),0))</f>
        <v/>
      </c>
      <c r="AP46" s="27" t="str">
        <f aca="false">IF($A46="","",IFERROR((AJ46*W_TREND+AK46*W_SMART+AL46*W_MA+AM46*W_VOL+AN46*W_MARKET+AO46*W_TIME)/W_SUM,0))</f>
        <v/>
      </c>
      <c r="AQ46" s="28" t="str">
        <f aca="false">IF($A46="","",IF(ABS(AP46)&gt;=8,5,IF(ABS(AP46)&gt;=5,4,IF(ABS(AP46)&gt;=3,3,IF(ABS(AP46)&gt;=1.5,2,1)))))</f>
        <v/>
      </c>
      <c r="AR46" s="23" t="str">
        <f aca="false">IF($A46="","",IF(G46="","بدون داده",IF(G46&lt;MIN_LIQ_B,"کم‌اعتبار","معتبر")))</f>
        <v/>
      </c>
      <c r="AS46" s="42" t="str">
        <f aca="false">IF($A46="","",IFERROR(AP46+ROW()/1000000,-99))</f>
        <v/>
      </c>
      <c r="AT46" s="28" t="str">
        <f aca="false">IF($A46="","",RANK(AS46,$AS$5:$AS$64,0))</f>
        <v/>
      </c>
      <c r="AU46" s="28" t="str">
        <f aca="false">IF($A46="","",RANK(AS46,$AS$5:$AS$64,1))</f>
        <v/>
      </c>
    </row>
    <row r="47" customFormat="false" ht="15" hidden="false" customHeight="false" outlineLevel="0" collapsed="false">
      <c r="A47" s="37" t="str">
        <f aca="false">IF(COUNTA(Watchlist!$A$47)=0,"",Watchlist!$A$47)</f>
        <v/>
      </c>
      <c r="B47" s="28" t="str">
        <f aca="false">IF($A47="","",IFERROR(MATCH($A47,Data_Input!$A$1:$A$5000,0),""))</f>
        <v/>
      </c>
      <c r="C47" s="28" t="str">
        <f aca="false">IF($A47="","",IFERROR(MATCH($A47,Daily_History!$AN$1:$AN$5000,0),""))</f>
        <v/>
      </c>
      <c r="D47" s="39" t="str">
        <f aca="false">IF($A47="","",IFERROR(INDEX(Data_Input!$I$1:$I$5000,$B47),""))</f>
        <v/>
      </c>
      <c r="E47" s="39" t="str">
        <f aca="false">IF($A47="","",IFERROR(INDEX(Data_Input!$J$1:$J$5000,$B47),""))</f>
        <v/>
      </c>
      <c r="F47" s="40" t="str">
        <f aca="false">IF($A47="","",IFERROR(INDEX(Data_Input!$M$1:$M$5000,$B47),""))</f>
        <v/>
      </c>
      <c r="G47" s="41" t="str">
        <f aca="false">IF($A47="","",IFERROR(INDEX(Data_Input!$R$1:$R$5000,$B47)/1000000000,""))</f>
        <v/>
      </c>
      <c r="H47" s="39" t="str">
        <f aca="false">IF($A47="","",IFERROR(INDEX(Daily_History!$V$1:$V$5000,$C47),""))</f>
        <v/>
      </c>
      <c r="I47" s="39" t="str">
        <f aca="false">IF($A47="","",IFERROR(INDEX(Daily_History!$W$1:$W$5000,$C47),""))</f>
        <v/>
      </c>
      <c r="J47" s="39" t="str">
        <f aca="false">IF($A47="","",IFERROR(INDEX(Daily_History!$X$1:$X$5000,$C47),""))</f>
        <v/>
      </c>
      <c r="K47" s="39" t="str">
        <f aca="false">IF($A47="","",IFERROR(INDEX(Daily_History!$Y$1:$Y$5000,$C47),""))</f>
        <v/>
      </c>
      <c r="L47" s="35" t="str">
        <f aca="false">IF($A47="","",IFERROR($D47/$I47-1,""))</f>
        <v/>
      </c>
      <c r="M47" s="35" t="str">
        <f aca="false">IF($A47="","",IFERROR($D47/$K47-1,""))</f>
        <v/>
      </c>
      <c r="N47" s="28" t="str">
        <f aca="false">IF($A47="","",IF(D47&gt;H47,1,0)+IF(D47&gt;I47,1,0)+IF(D47&gt;J47,1,0)+IF(D47&gt;K47,1,0))</f>
        <v/>
      </c>
      <c r="O47" s="23" t="str">
        <f aca="false">IF($A47="","",IF(AND(ISNUMBER(H47),ISNUMBER(K47)),IF(AND(H47&gt;I47,I47&gt;J47,J47&gt;K47),"آرایش صعودی کامل",IF(AND(H47&lt;I47,I47&lt;J47,J47&lt;K47),"آرایش نزولی کامل",IF(I47&gt;K47,"تقاطع طلایی","تقاطع مرگ"))),"داده ناکافی"))</f>
        <v/>
      </c>
      <c r="P47" s="35" t="str">
        <f aca="false">IF($A47="","",IFERROR(H47/INDEX(Daily_History!$V$1:$V$5000,$C47-MA_SHORT)-1,""))</f>
        <v/>
      </c>
      <c r="Q47" s="39" t="str">
        <f aca="false">IF($A47="","",IFERROR(INDEX(Daily_History!$AI$1:$AI$5000,$C47),""))</f>
        <v/>
      </c>
      <c r="R47" s="39" t="str">
        <f aca="false">IF($A47="","",IFERROR(INDEX(Daily_History!$AJ$1:$AJ$5000,$C47),""))</f>
        <v/>
      </c>
      <c r="S47" s="39" t="str">
        <f aca="false">IF($A47="","",IFERROR(INDEX(Daily_History!$AK$1:$AK$5000,$C47),""))</f>
        <v/>
      </c>
      <c r="T47" s="39" t="str">
        <f aca="false">IF($A47="","",IFERROR(INDEX(Daily_History!$AL$1:$AL$5000,$C47),""))</f>
        <v/>
      </c>
      <c r="U47" s="23" t="str">
        <f aca="false">IF($A47="","",IF(AND(ISNUMBER(S47),ISNUMBER(D47)),IF(D47&gt;=S47*0.995,"سقف‌شکنی میان‌مدت (HH)",IF(D47&gt;=Q47*0.995,"سقف‌شکنی کوتاه‌مدت",IF(D47&lt;=T47*1.005,"کف‌شکنی میان‌مدت (LL)",IF(D47&lt;=R47*1.005,"کف‌شکنی کوتاه‌مدت","درون محدوده")))),"داده ناکافی"))</f>
        <v/>
      </c>
      <c r="V47" s="39" t="str">
        <f aca="false">IF($A47="","",IFERROR(INDEX(Daily_History!$AB$1:$AB$5000,$C47),""))</f>
        <v/>
      </c>
      <c r="W47" s="35" t="str">
        <f aca="false">IF($A47="","",IFERROR(V47/D47,""))</f>
        <v/>
      </c>
      <c r="X47" s="26" t="str">
        <f aca="false">IF($A47="","",IFERROR(D47-ATR_STOP_MULT*V47,""))</f>
        <v/>
      </c>
      <c r="Y47" s="39" t="str">
        <f aca="false">IF($A47="","",IFERROR(INDEX(Daily_History!$Z$1:$Z$5000,$C47),""))</f>
        <v/>
      </c>
      <c r="Z47" s="39" t="str">
        <f aca="false">IF($A47="","",IFERROR(INDEX(Data_Input!$Q$1:$Q$5000,$B47),""))</f>
        <v/>
      </c>
      <c r="AA47" s="33" t="str">
        <f aca="false">IF($A47="","",IFERROR(Z47/Y47,""))</f>
        <v/>
      </c>
      <c r="AB47" s="26" t="str">
        <f aca="false">IF($A47="","",IFERROR(INDEX(Data_Input!$V$1:$V$5000,$B47)-INDEX(Data_Input!$W$1:$W$5000,$B47),""))</f>
        <v/>
      </c>
      <c r="AC47" s="27" t="str">
        <f aca="false">IF($A47="","",IFERROR(AB47*E47/1000000000,""))</f>
        <v/>
      </c>
      <c r="AD47" s="35" t="str">
        <f aca="false">IF($A47="","",IFERROR(AB47*E47/INDEX(Data_Input!$R$1:$R$5000,$B47),""))</f>
        <v/>
      </c>
      <c r="AE47" s="27" t="str">
        <f aca="false">IF($A47="","",IFERROR(INDEX(Data_Input!$V$1:$V$5000,$B47)*E47/INDEX(Data_Input!$X$1:$X$5000,$B47)/1000000,""))</f>
        <v/>
      </c>
      <c r="AF47" s="27" t="str">
        <f aca="false">IF($A47="","",IFERROR(INDEX(Data_Input!$W$1:$W$5000,$B47)*E47/INDEX(Data_Input!$Y$1:$Y$5000,$B47)/1000000,""))</f>
        <v/>
      </c>
      <c r="AG47" s="33" t="str">
        <f aca="false">IF($A47="","",IFERROR(AE47/AF47,""))</f>
        <v/>
      </c>
      <c r="AH47" s="41" t="str">
        <f aca="false">IF($A47="","",IFERROR(INDEX(Daily_History!$AH$1:$AH$5000,$C47)/1000000000,""))</f>
        <v/>
      </c>
      <c r="AI47" s="35" t="str">
        <f aca="false">IF($A47="","",IFERROR(AH47/(5*G47),""))</f>
        <v/>
      </c>
      <c r="AJ47" s="27" t="str">
        <f aca="false">IF($A47="","",IFERROR(MAX(-10,MIN(10,IF(D47&gt;I47*1.02,3,IF(D47&gt;I47,1.5,IF(D47&lt;I47*0.98,-3,-1.5)))+IF(I47&gt;K47*1.02,3,IF(I47&gt;K47,1.5,IF(I47&lt;K47*0.98,-3,-1.5)))+IF(D47&gt;=Q47*0.995,2,IF(D47&lt;=R47*1.005,-2,0))+IF(P47&gt;0.03,2,IF(P47&gt;0,1,IF(P47&lt;-0.03,-2,-1))))),0))</f>
        <v/>
      </c>
      <c r="AK47" s="27" t="str">
        <f aca="false">IF($A47="","",IFERROR(MAX(-10,MIN(10,IF(AG47&gt;=SM_STRONG,4,IF(AG47&gt;=SM_MOD,2,IF(AG47&lt;=SM_BAD,-4,IF(AG47&lt;=SM_WEAK,-2,0))))+IF(AD47&gt;=NF_STRONG,3,IF(AD47&gt;=NF_MOD,1.5,IF(AD47&lt;=-NF_STRONG,-3,IF(AD47&lt;=-NF_MOD,-1.5,0))))+IF(AI47&gt;=NF_MOD,3,IF(AI47&gt;0,1.5,IF(AI47&lt;=-NF_MOD,-3,-1.5))))),0))</f>
        <v/>
      </c>
      <c r="AL47" s="27" t="str">
        <f aca="false">IF($A47="","",IFERROR(N47*5-10,0))</f>
        <v/>
      </c>
      <c r="AM47" s="27" t="str">
        <f aca="false">IF($A47="","",IFERROR(IF(F47&gt;0,IF(AA47&gt;=VOL_HIGH,9,IF(AA47&gt;=VOL_MOD,5,IF(AA47&lt;=VOL_DRY,-2,2))),IF(F47&lt;0,IF(AA47&gt;=VOL_HIGH,-9,IF(AA47&gt;=VOL_MOD,-5,IF(AA47&lt;=VOL_DRY,2,-2))),0)),0))</f>
        <v/>
      </c>
      <c r="AN47" s="41" t="str">
        <f aca="false">IF($A47="","",MARKET_SCORE)</f>
        <v/>
      </c>
      <c r="AO47" s="41" t="str">
        <f aca="false">IF($A47="","",IFERROR(INDEX(Time_Link!$B$1:$B$5000,MATCH($A47,Time_Link!$A$1:$A$5000,0)),0))</f>
        <v/>
      </c>
      <c r="AP47" s="27" t="str">
        <f aca="false">IF($A47="","",IFERROR((AJ47*W_TREND+AK47*W_SMART+AL47*W_MA+AM47*W_VOL+AN47*W_MARKET+AO47*W_TIME)/W_SUM,0))</f>
        <v/>
      </c>
      <c r="AQ47" s="28" t="str">
        <f aca="false">IF($A47="","",IF(ABS(AP47)&gt;=8,5,IF(ABS(AP47)&gt;=5,4,IF(ABS(AP47)&gt;=3,3,IF(ABS(AP47)&gt;=1.5,2,1)))))</f>
        <v/>
      </c>
      <c r="AR47" s="23" t="str">
        <f aca="false">IF($A47="","",IF(G47="","بدون داده",IF(G47&lt;MIN_LIQ_B,"کم‌اعتبار","معتبر")))</f>
        <v/>
      </c>
      <c r="AS47" s="42" t="str">
        <f aca="false">IF($A47="","",IFERROR(AP47+ROW()/1000000,-99))</f>
        <v/>
      </c>
      <c r="AT47" s="28" t="str">
        <f aca="false">IF($A47="","",RANK(AS47,$AS$5:$AS$64,0))</f>
        <v/>
      </c>
      <c r="AU47" s="28" t="str">
        <f aca="false">IF($A47="","",RANK(AS47,$AS$5:$AS$64,1))</f>
        <v/>
      </c>
    </row>
    <row r="48" customFormat="false" ht="15" hidden="false" customHeight="false" outlineLevel="0" collapsed="false">
      <c r="A48" s="37" t="str">
        <f aca="false">IF(COUNTA(Watchlist!$A$48)=0,"",Watchlist!$A$48)</f>
        <v/>
      </c>
      <c r="B48" s="28" t="str">
        <f aca="false">IF($A48="","",IFERROR(MATCH($A48,Data_Input!$A$1:$A$5000,0),""))</f>
        <v/>
      </c>
      <c r="C48" s="28" t="str">
        <f aca="false">IF($A48="","",IFERROR(MATCH($A48,Daily_History!$AN$1:$AN$5000,0),""))</f>
        <v/>
      </c>
      <c r="D48" s="39" t="str">
        <f aca="false">IF($A48="","",IFERROR(INDEX(Data_Input!$I$1:$I$5000,$B48),""))</f>
        <v/>
      </c>
      <c r="E48" s="39" t="str">
        <f aca="false">IF($A48="","",IFERROR(INDEX(Data_Input!$J$1:$J$5000,$B48),""))</f>
        <v/>
      </c>
      <c r="F48" s="40" t="str">
        <f aca="false">IF($A48="","",IFERROR(INDEX(Data_Input!$M$1:$M$5000,$B48),""))</f>
        <v/>
      </c>
      <c r="G48" s="41" t="str">
        <f aca="false">IF($A48="","",IFERROR(INDEX(Data_Input!$R$1:$R$5000,$B48)/1000000000,""))</f>
        <v/>
      </c>
      <c r="H48" s="39" t="str">
        <f aca="false">IF($A48="","",IFERROR(INDEX(Daily_History!$V$1:$V$5000,$C48),""))</f>
        <v/>
      </c>
      <c r="I48" s="39" t="str">
        <f aca="false">IF($A48="","",IFERROR(INDEX(Daily_History!$W$1:$W$5000,$C48),""))</f>
        <v/>
      </c>
      <c r="J48" s="39" t="str">
        <f aca="false">IF($A48="","",IFERROR(INDEX(Daily_History!$X$1:$X$5000,$C48),""))</f>
        <v/>
      </c>
      <c r="K48" s="39" t="str">
        <f aca="false">IF($A48="","",IFERROR(INDEX(Daily_History!$Y$1:$Y$5000,$C48),""))</f>
        <v/>
      </c>
      <c r="L48" s="35" t="str">
        <f aca="false">IF($A48="","",IFERROR($D48/$I48-1,""))</f>
        <v/>
      </c>
      <c r="M48" s="35" t="str">
        <f aca="false">IF($A48="","",IFERROR($D48/$K48-1,""))</f>
        <v/>
      </c>
      <c r="N48" s="28" t="str">
        <f aca="false">IF($A48="","",IF(D48&gt;H48,1,0)+IF(D48&gt;I48,1,0)+IF(D48&gt;J48,1,0)+IF(D48&gt;K48,1,0))</f>
        <v/>
      </c>
      <c r="O48" s="23" t="str">
        <f aca="false">IF($A48="","",IF(AND(ISNUMBER(H48),ISNUMBER(K48)),IF(AND(H48&gt;I48,I48&gt;J48,J48&gt;K48),"آرایش صعودی کامل",IF(AND(H48&lt;I48,I48&lt;J48,J48&lt;K48),"آرایش نزولی کامل",IF(I48&gt;K48,"تقاطع طلایی","تقاطع مرگ"))),"داده ناکافی"))</f>
        <v/>
      </c>
      <c r="P48" s="35" t="str">
        <f aca="false">IF($A48="","",IFERROR(H48/INDEX(Daily_History!$V$1:$V$5000,$C48-MA_SHORT)-1,""))</f>
        <v/>
      </c>
      <c r="Q48" s="39" t="str">
        <f aca="false">IF($A48="","",IFERROR(INDEX(Daily_History!$AI$1:$AI$5000,$C48),""))</f>
        <v/>
      </c>
      <c r="R48" s="39" t="str">
        <f aca="false">IF($A48="","",IFERROR(INDEX(Daily_History!$AJ$1:$AJ$5000,$C48),""))</f>
        <v/>
      </c>
      <c r="S48" s="39" t="str">
        <f aca="false">IF($A48="","",IFERROR(INDEX(Daily_History!$AK$1:$AK$5000,$C48),""))</f>
        <v/>
      </c>
      <c r="T48" s="39" t="str">
        <f aca="false">IF($A48="","",IFERROR(INDEX(Daily_History!$AL$1:$AL$5000,$C48),""))</f>
        <v/>
      </c>
      <c r="U48" s="23" t="str">
        <f aca="false">IF($A48="","",IF(AND(ISNUMBER(S48),ISNUMBER(D48)),IF(D48&gt;=S48*0.995,"سقف‌شکنی میان‌مدت (HH)",IF(D48&gt;=Q48*0.995,"سقف‌شکنی کوتاه‌مدت",IF(D48&lt;=T48*1.005,"کف‌شکنی میان‌مدت (LL)",IF(D48&lt;=R48*1.005,"کف‌شکنی کوتاه‌مدت","درون محدوده")))),"داده ناکافی"))</f>
        <v/>
      </c>
      <c r="V48" s="39" t="str">
        <f aca="false">IF($A48="","",IFERROR(INDEX(Daily_History!$AB$1:$AB$5000,$C48),""))</f>
        <v/>
      </c>
      <c r="W48" s="35" t="str">
        <f aca="false">IF($A48="","",IFERROR(V48/D48,""))</f>
        <v/>
      </c>
      <c r="X48" s="26" t="str">
        <f aca="false">IF($A48="","",IFERROR(D48-ATR_STOP_MULT*V48,""))</f>
        <v/>
      </c>
      <c r="Y48" s="39" t="str">
        <f aca="false">IF($A48="","",IFERROR(INDEX(Daily_History!$Z$1:$Z$5000,$C48),""))</f>
        <v/>
      </c>
      <c r="Z48" s="39" t="str">
        <f aca="false">IF($A48="","",IFERROR(INDEX(Data_Input!$Q$1:$Q$5000,$B48),""))</f>
        <v/>
      </c>
      <c r="AA48" s="33" t="str">
        <f aca="false">IF($A48="","",IFERROR(Z48/Y48,""))</f>
        <v/>
      </c>
      <c r="AB48" s="26" t="str">
        <f aca="false">IF($A48="","",IFERROR(INDEX(Data_Input!$V$1:$V$5000,$B48)-INDEX(Data_Input!$W$1:$W$5000,$B48),""))</f>
        <v/>
      </c>
      <c r="AC48" s="27" t="str">
        <f aca="false">IF($A48="","",IFERROR(AB48*E48/1000000000,""))</f>
        <v/>
      </c>
      <c r="AD48" s="35" t="str">
        <f aca="false">IF($A48="","",IFERROR(AB48*E48/INDEX(Data_Input!$R$1:$R$5000,$B48),""))</f>
        <v/>
      </c>
      <c r="AE48" s="27" t="str">
        <f aca="false">IF($A48="","",IFERROR(INDEX(Data_Input!$V$1:$V$5000,$B48)*E48/INDEX(Data_Input!$X$1:$X$5000,$B48)/1000000,""))</f>
        <v/>
      </c>
      <c r="AF48" s="27" t="str">
        <f aca="false">IF($A48="","",IFERROR(INDEX(Data_Input!$W$1:$W$5000,$B48)*E48/INDEX(Data_Input!$Y$1:$Y$5000,$B48)/1000000,""))</f>
        <v/>
      </c>
      <c r="AG48" s="33" t="str">
        <f aca="false">IF($A48="","",IFERROR(AE48/AF48,""))</f>
        <v/>
      </c>
      <c r="AH48" s="41" t="str">
        <f aca="false">IF($A48="","",IFERROR(INDEX(Daily_History!$AH$1:$AH$5000,$C48)/1000000000,""))</f>
        <v/>
      </c>
      <c r="AI48" s="35" t="str">
        <f aca="false">IF($A48="","",IFERROR(AH48/(5*G48),""))</f>
        <v/>
      </c>
      <c r="AJ48" s="27" t="str">
        <f aca="false">IF($A48="","",IFERROR(MAX(-10,MIN(10,IF(D48&gt;I48*1.02,3,IF(D48&gt;I48,1.5,IF(D48&lt;I48*0.98,-3,-1.5)))+IF(I48&gt;K48*1.02,3,IF(I48&gt;K48,1.5,IF(I48&lt;K48*0.98,-3,-1.5)))+IF(D48&gt;=Q48*0.995,2,IF(D48&lt;=R48*1.005,-2,0))+IF(P48&gt;0.03,2,IF(P48&gt;0,1,IF(P48&lt;-0.03,-2,-1))))),0))</f>
        <v/>
      </c>
      <c r="AK48" s="27" t="str">
        <f aca="false">IF($A48="","",IFERROR(MAX(-10,MIN(10,IF(AG48&gt;=SM_STRONG,4,IF(AG48&gt;=SM_MOD,2,IF(AG48&lt;=SM_BAD,-4,IF(AG48&lt;=SM_WEAK,-2,0))))+IF(AD48&gt;=NF_STRONG,3,IF(AD48&gt;=NF_MOD,1.5,IF(AD48&lt;=-NF_STRONG,-3,IF(AD48&lt;=-NF_MOD,-1.5,0))))+IF(AI48&gt;=NF_MOD,3,IF(AI48&gt;0,1.5,IF(AI48&lt;=-NF_MOD,-3,-1.5))))),0))</f>
        <v/>
      </c>
      <c r="AL48" s="27" t="str">
        <f aca="false">IF($A48="","",IFERROR(N48*5-10,0))</f>
        <v/>
      </c>
      <c r="AM48" s="27" t="str">
        <f aca="false">IF($A48="","",IFERROR(IF(F48&gt;0,IF(AA48&gt;=VOL_HIGH,9,IF(AA48&gt;=VOL_MOD,5,IF(AA48&lt;=VOL_DRY,-2,2))),IF(F48&lt;0,IF(AA48&gt;=VOL_HIGH,-9,IF(AA48&gt;=VOL_MOD,-5,IF(AA48&lt;=VOL_DRY,2,-2))),0)),0))</f>
        <v/>
      </c>
      <c r="AN48" s="41" t="str">
        <f aca="false">IF($A48="","",MARKET_SCORE)</f>
        <v/>
      </c>
      <c r="AO48" s="41" t="str">
        <f aca="false">IF($A48="","",IFERROR(INDEX(Time_Link!$B$1:$B$5000,MATCH($A48,Time_Link!$A$1:$A$5000,0)),0))</f>
        <v/>
      </c>
      <c r="AP48" s="27" t="str">
        <f aca="false">IF($A48="","",IFERROR((AJ48*W_TREND+AK48*W_SMART+AL48*W_MA+AM48*W_VOL+AN48*W_MARKET+AO48*W_TIME)/W_SUM,0))</f>
        <v/>
      </c>
      <c r="AQ48" s="28" t="str">
        <f aca="false">IF($A48="","",IF(ABS(AP48)&gt;=8,5,IF(ABS(AP48)&gt;=5,4,IF(ABS(AP48)&gt;=3,3,IF(ABS(AP48)&gt;=1.5,2,1)))))</f>
        <v/>
      </c>
      <c r="AR48" s="23" t="str">
        <f aca="false">IF($A48="","",IF(G48="","بدون داده",IF(G48&lt;MIN_LIQ_B,"کم‌اعتبار","معتبر")))</f>
        <v/>
      </c>
      <c r="AS48" s="42" t="str">
        <f aca="false">IF($A48="","",IFERROR(AP48+ROW()/1000000,-99))</f>
        <v/>
      </c>
      <c r="AT48" s="28" t="str">
        <f aca="false">IF($A48="","",RANK(AS48,$AS$5:$AS$64,0))</f>
        <v/>
      </c>
      <c r="AU48" s="28" t="str">
        <f aca="false">IF($A48="","",RANK(AS48,$AS$5:$AS$64,1))</f>
        <v/>
      </c>
    </row>
    <row r="49" customFormat="false" ht="15" hidden="false" customHeight="false" outlineLevel="0" collapsed="false">
      <c r="A49" s="37" t="str">
        <f aca="false">IF(COUNTA(Watchlist!$A$49)=0,"",Watchlist!$A$49)</f>
        <v/>
      </c>
      <c r="B49" s="28" t="str">
        <f aca="false">IF($A49="","",IFERROR(MATCH($A49,Data_Input!$A$1:$A$5000,0),""))</f>
        <v/>
      </c>
      <c r="C49" s="28" t="str">
        <f aca="false">IF($A49="","",IFERROR(MATCH($A49,Daily_History!$AN$1:$AN$5000,0),""))</f>
        <v/>
      </c>
      <c r="D49" s="39" t="str">
        <f aca="false">IF($A49="","",IFERROR(INDEX(Data_Input!$I$1:$I$5000,$B49),""))</f>
        <v/>
      </c>
      <c r="E49" s="39" t="str">
        <f aca="false">IF($A49="","",IFERROR(INDEX(Data_Input!$J$1:$J$5000,$B49),""))</f>
        <v/>
      </c>
      <c r="F49" s="40" t="str">
        <f aca="false">IF($A49="","",IFERROR(INDEX(Data_Input!$M$1:$M$5000,$B49),""))</f>
        <v/>
      </c>
      <c r="G49" s="41" t="str">
        <f aca="false">IF($A49="","",IFERROR(INDEX(Data_Input!$R$1:$R$5000,$B49)/1000000000,""))</f>
        <v/>
      </c>
      <c r="H49" s="39" t="str">
        <f aca="false">IF($A49="","",IFERROR(INDEX(Daily_History!$V$1:$V$5000,$C49),""))</f>
        <v/>
      </c>
      <c r="I49" s="39" t="str">
        <f aca="false">IF($A49="","",IFERROR(INDEX(Daily_History!$W$1:$W$5000,$C49),""))</f>
        <v/>
      </c>
      <c r="J49" s="39" t="str">
        <f aca="false">IF($A49="","",IFERROR(INDEX(Daily_History!$X$1:$X$5000,$C49),""))</f>
        <v/>
      </c>
      <c r="K49" s="39" t="str">
        <f aca="false">IF($A49="","",IFERROR(INDEX(Daily_History!$Y$1:$Y$5000,$C49),""))</f>
        <v/>
      </c>
      <c r="L49" s="35" t="str">
        <f aca="false">IF($A49="","",IFERROR($D49/$I49-1,""))</f>
        <v/>
      </c>
      <c r="M49" s="35" t="str">
        <f aca="false">IF($A49="","",IFERROR($D49/$K49-1,""))</f>
        <v/>
      </c>
      <c r="N49" s="28" t="str">
        <f aca="false">IF($A49="","",IF(D49&gt;H49,1,0)+IF(D49&gt;I49,1,0)+IF(D49&gt;J49,1,0)+IF(D49&gt;K49,1,0))</f>
        <v/>
      </c>
      <c r="O49" s="23" t="str">
        <f aca="false">IF($A49="","",IF(AND(ISNUMBER(H49),ISNUMBER(K49)),IF(AND(H49&gt;I49,I49&gt;J49,J49&gt;K49),"آرایش صعودی کامل",IF(AND(H49&lt;I49,I49&lt;J49,J49&lt;K49),"آرایش نزولی کامل",IF(I49&gt;K49,"تقاطع طلایی","تقاطع مرگ"))),"داده ناکافی"))</f>
        <v/>
      </c>
      <c r="P49" s="35" t="str">
        <f aca="false">IF($A49="","",IFERROR(H49/INDEX(Daily_History!$V$1:$V$5000,$C49-MA_SHORT)-1,""))</f>
        <v/>
      </c>
      <c r="Q49" s="39" t="str">
        <f aca="false">IF($A49="","",IFERROR(INDEX(Daily_History!$AI$1:$AI$5000,$C49),""))</f>
        <v/>
      </c>
      <c r="R49" s="39" t="str">
        <f aca="false">IF($A49="","",IFERROR(INDEX(Daily_History!$AJ$1:$AJ$5000,$C49),""))</f>
        <v/>
      </c>
      <c r="S49" s="39" t="str">
        <f aca="false">IF($A49="","",IFERROR(INDEX(Daily_History!$AK$1:$AK$5000,$C49),""))</f>
        <v/>
      </c>
      <c r="T49" s="39" t="str">
        <f aca="false">IF($A49="","",IFERROR(INDEX(Daily_History!$AL$1:$AL$5000,$C49),""))</f>
        <v/>
      </c>
      <c r="U49" s="23" t="str">
        <f aca="false">IF($A49="","",IF(AND(ISNUMBER(S49),ISNUMBER(D49)),IF(D49&gt;=S49*0.995,"سقف‌شکنی میان‌مدت (HH)",IF(D49&gt;=Q49*0.995,"سقف‌شکنی کوتاه‌مدت",IF(D49&lt;=T49*1.005,"کف‌شکنی میان‌مدت (LL)",IF(D49&lt;=R49*1.005,"کف‌شکنی کوتاه‌مدت","درون محدوده")))),"داده ناکافی"))</f>
        <v/>
      </c>
      <c r="V49" s="39" t="str">
        <f aca="false">IF($A49="","",IFERROR(INDEX(Daily_History!$AB$1:$AB$5000,$C49),""))</f>
        <v/>
      </c>
      <c r="W49" s="35" t="str">
        <f aca="false">IF($A49="","",IFERROR(V49/D49,""))</f>
        <v/>
      </c>
      <c r="X49" s="26" t="str">
        <f aca="false">IF($A49="","",IFERROR(D49-ATR_STOP_MULT*V49,""))</f>
        <v/>
      </c>
      <c r="Y49" s="39" t="str">
        <f aca="false">IF($A49="","",IFERROR(INDEX(Daily_History!$Z$1:$Z$5000,$C49),""))</f>
        <v/>
      </c>
      <c r="Z49" s="39" t="str">
        <f aca="false">IF($A49="","",IFERROR(INDEX(Data_Input!$Q$1:$Q$5000,$B49),""))</f>
        <v/>
      </c>
      <c r="AA49" s="33" t="str">
        <f aca="false">IF($A49="","",IFERROR(Z49/Y49,""))</f>
        <v/>
      </c>
      <c r="AB49" s="26" t="str">
        <f aca="false">IF($A49="","",IFERROR(INDEX(Data_Input!$V$1:$V$5000,$B49)-INDEX(Data_Input!$W$1:$W$5000,$B49),""))</f>
        <v/>
      </c>
      <c r="AC49" s="27" t="str">
        <f aca="false">IF($A49="","",IFERROR(AB49*E49/1000000000,""))</f>
        <v/>
      </c>
      <c r="AD49" s="35" t="str">
        <f aca="false">IF($A49="","",IFERROR(AB49*E49/INDEX(Data_Input!$R$1:$R$5000,$B49),""))</f>
        <v/>
      </c>
      <c r="AE49" s="27" t="str">
        <f aca="false">IF($A49="","",IFERROR(INDEX(Data_Input!$V$1:$V$5000,$B49)*E49/INDEX(Data_Input!$X$1:$X$5000,$B49)/1000000,""))</f>
        <v/>
      </c>
      <c r="AF49" s="27" t="str">
        <f aca="false">IF($A49="","",IFERROR(INDEX(Data_Input!$W$1:$W$5000,$B49)*E49/INDEX(Data_Input!$Y$1:$Y$5000,$B49)/1000000,""))</f>
        <v/>
      </c>
      <c r="AG49" s="33" t="str">
        <f aca="false">IF($A49="","",IFERROR(AE49/AF49,""))</f>
        <v/>
      </c>
      <c r="AH49" s="41" t="str">
        <f aca="false">IF($A49="","",IFERROR(INDEX(Daily_History!$AH$1:$AH$5000,$C49)/1000000000,""))</f>
        <v/>
      </c>
      <c r="AI49" s="35" t="str">
        <f aca="false">IF($A49="","",IFERROR(AH49/(5*G49),""))</f>
        <v/>
      </c>
      <c r="AJ49" s="27" t="str">
        <f aca="false">IF($A49="","",IFERROR(MAX(-10,MIN(10,IF(D49&gt;I49*1.02,3,IF(D49&gt;I49,1.5,IF(D49&lt;I49*0.98,-3,-1.5)))+IF(I49&gt;K49*1.02,3,IF(I49&gt;K49,1.5,IF(I49&lt;K49*0.98,-3,-1.5)))+IF(D49&gt;=Q49*0.995,2,IF(D49&lt;=R49*1.005,-2,0))+IF(P49&gt;0.03,2,IF(P49&gt;0,1,IF(P49&lt;-0.03,-2,-1))))),0))</f>
        <v/>
      </c>
      <c r="AK49" s="27" t="str">
        <f aca="false">IF($A49="","",IFERROR(MAX(-10,MIN(10,IF(AG49&gt;=SM_STRONG,4,IF(AG49&gt;=SM_MOD,2,IF(AG49&lt;=SM_BAD,-4,IF(AG49&lt;=SM_WEAK,-2,0))))+IF(AD49&gt;=NF_STRONG,3,IF(AD49&gt;=NF_MOD,1.5,IF(AD49&lt;=-NF_STRONG,-3,IF(AD49&lt;=-NF_MOD,-1.5,0))))+IF(AI49&gt;=NF_MOD,3,IF(AI49&gt;0,1.5,IF(AI49&lt;=-NF_MOD,-3,-1.5))))),0))</f>
        <v/>
      </c>
      <c r="AL49" s="27" t="str">
        <f aca="false">IF($A49="","",IFERROR(N49*5-10,0))</f>
        <v/>
      </c>
      <c r="AM49" s="27" t="str">
        <f aca="false">IF($A49="","",IFERROR(IF(F49&gt;0,IF(AA49&gt;=VOL_HIGH,9,IF(AA49&gt;=VOL_MOD,5,IF(AA49&lt;=VOL_DRY,-2,2))),IF(F49&lt;0,IF(AA49&gt;=VOL_HIGH,-9,IF(AA49&gt;=VOL_MOD,-5,IF(AA49&lt;=VOL_DRY,2,-2))),0)),0))</f>
        <v/>
      </c>
      <c r="AN49" s="41" t="str">
        <f aca="false">IF($A49="","",MARKET_SCORE)</f>
        <v/>
      </c>
      <c r="AO49" s="41" t="str">
        <f aca="false">IF($A49="","",IFERROR(INDEX(Time_Link!$B$1:$B$5000,MATCH($A49,Time_Link!$A$1:$A$5000,0)),0))</f>
        <v/>
      </c>
      <c r="AP49" s="27" t="str">
        <f aca="false">IF($A49="","",IFERROR((AJ49*W_TREND+AK49*W_SMART+AL49*W_MA+AM49*W_VOL+AN49*W_MARKET+AO49*W_TIME)/W_SUM,0))</f>
        <v/>
      </c>
      <c r="AQ49" s="28" t="str">
        <f aca="false">IF($A49="","",IF(ABS(AP49)&gt;=8,5,IF(ABS(AP49)&gt;=5,4,IF(ABS(AP49)&gt;=3,3,IF(ABS(AP49)&gt;=1.5,2,1)))))</f>
        <v/>
      </c>
      <c r="AR49" s="23" t="str">
        <f aca="false">IF($A49="","",IF(G49="","بدون داده",IF(G49&lt;MIN_LIQ_B,"کم‌اعتبار","معتبر")))</f>
        <v/>
      </c>
      <c r="AS49" s="42" t="str">
        <f aca="false">IF($A49="","",IFERROR(AP49+ROW()/1000000,-99))</f>
        <v/>
      </c>
      <c r="AT49" s="28" t="str">
        <f aca="false">IF($A49="","",RANK(AS49,$AS$5:$AS$64,0))</f>
        <v/>
      </c>
      <c r="AU49" s="28" t="str">
        <f aca="false">IF($A49="","",RANK(AS49,$AS$5:$AS$64,1))</f>
        <v/>
      </c>
    </row>
    <row r="50" customFormat="false" ht="15" hidden="false" customHeight="false" outlineLevel="0" collapsed="false">
      <c r="A50" s="37" t="str">
        <f aca="false">IF(COUNTA(Watchlist!$A$50)=0,"",Watchlist!$A$50)</f>
        <v/>
      </c>
      <c r="B50" s="28" t="str">
        <f aca="false">IF($A50="","",IFERROR(MATCH($A50,Data_Input!$A$1:$A$5000,0),""))</f>
        <v/>
      </c>
      <c r="C50" s="28" t="str">
        <f aca="false">IF($A50="","",IFERROR(MATCH($A50,Daily_History!$AN$1:$AN$5000,0),""))</f>
        <v/>
      </c>
      <c r="D50" s="39" t="str">
        <f aca="false">IF($A50="","",IFERROR(INDEX(Data_Input!$I$1:$I$5000,$B50),""))</f>
        <v/>
      </c>
      <c r="E50" s="39" t="str">
        <f aca="false">IF($A50="","",IFERROR(INDEX(Data_Input!$J$1:$J$5000,$B50),""))</f>
        <v/>
      </c>
      <c r="F50" s="40" t="str">
        <f aca="false">IF($A50="","",IFERROR(INDEX(Data_Input!$M$1:$M$5000,$B50),""))</f>
        <v/>
      </c>
      <c r="G50" s="41" t="str">
        <f aca="false">IF($A50="","",IFERROR(INDEX(Data_Input!$R$1:$R$5000,$B50)/1000000000,""))</f>
        <v/>
      </c>
      <c r="H50" s="39" t="str">
        <f aca="false">IF($A50="","",IFERROR(INDEX(Daily_History!$V$1:$V$5000,$C50),""))</f>
        <v/>
      </c>
      <c r="I50" s="39" t="str">
        <f aca="false">IF($A50="","",IFERROR(INDEX(Daily_History!$W$1:$W$5000,$C50),""))</f>
        <v/>
      </c>
      <c r="J50" s="39" t="str">
        <f aca="false">IF($A50="","",IFERROR(INDEX(Daily_History!$X$1:$X$5000,$C50),""))</f>
        <v/>
      </c>
      <c r="K50" s="39" t="str">
        <f aca="false">IF($A50="","",IFERROR(INDEX(Daily_History!$Y$1:$Y$5000,$C50),""))</f>
        <v/>
      </c>
      <c r="L50" s="35" t="str">
        <f aca="false">IF($A50="","",IFERROR($D50/$I50-1,""))</f>
        <v/>
      </c>
      <c r="M50" s="35" t="str">
        <f aca="false">IF($A50="","",IFERROR($D50/$K50-1,""))</f>
        <v/>
      </c>
      <c r="N50" s="28" t="str">
        <f aca="false">IF($A50="","",IF(D50&gt;H50,1,0)+IF(D50&gt;I50,1,0)+IF(D50&gt;J50,1,0)+IF(D50&gt;K50,1,0))</f>
        <v/>
      </c>
      <c r="O50" s="23" t="str">
        <f aca="false">IF($A50="","",IF(AND(ISNUMBER(H50),ISNUMBER(K50)),IF(AND(H50&gt;I50,I50&gt;J50,J50&gt;K50),"آرایش صعودی کامل",IF(AND(H50&lt;I50,I50&lt;J50,J50&lt;K50),"آرایش نزولی کامل",IF(I50&gt;K50,"تقاطع طلایی","تقاطع مرگ"))),"داده ناکافی"))</f>
        <v/>
      </c>
      <c r="P50" s="35" t="str">
        <f aca="false">IF($A50="","",IFERROR(H50/INDEX(Daily_History!$V$1:$V$5000,$C50-MA_SHORT)-1,""))</f>
        <v/>
      </c>
      <c r="Q50" s="39" t="str">
        <f aca="false">IF($A50="","",IFERROR(INDEX(Daily_History!$AI$1:$AI$5000,$C50),""))</f>
        <v/>
      </c>
      <c r="R50" s="39" t="str">
        <f aca="false">IF($A50="","",IFERROR(INDEX(Daily_History!$AJ$1:$AJ$5000,$C50),""))</f>
        <v/>
      </c>
      <c r="S50" s="39" t="str">
        <f aca="false">IF($A50="","",IFERROR(INDEX(Daily_History!$AK$1:$AK$5000,$C50),""))</f>
        <v/>
      </c>
      <c r="T50" s="39" t="str">
        <f aca="false">IF($A50="","",IFERROR(INDEX(Daily_History!$AL$1:$AL$5000,$C50),""))</f>
        <v/>
      </c>
      <c r="U50" s="23" t="str">
        <f aca="false">IF($A50="","",IF(AND(ISNUMBER(S50),ISNUMBER(D50)),IF(D50&gt;=S50*0.995,"سقف‌شکنی میان‌مدت (HH)",IF(D50&gt;=Q50*0.995,"سقف‌شکنی کوتاه‌مدت",IF(D50&lt;=T50*1.005,"کف‌شکنی میان‌مدت (LL)",IF(D50&lt;=R50*1.005,"کف‌شکنی کوتاه‌مدت","درون محدوده")))),"داده ناکافی"))</f>
        <v/>
      </c>
      <c r="V50" s="39" t="str">
        <f aca="false">IF($A50="","",IFERROR(INDEX(Daily_History!$AB$1:$AB$5000,$C50),""))</f>
        <v/>
      </c>
      <c r="W50" s="35" t="str">
        <f aca="false">IF($A50="","",IFERROR(V50/D50,""))</f>
        <v/>
      </c>
      <c r="X50" s="26" t="str">
        <f aca="false">IF($A50="","",IFERROR(D50-ATR_STOP_MULT*V50,""))</f>
        <v/>
      </c>
      <c r="Y50" s="39" t="str">
        <f aca="false">IF($A50="","",IFERROR(INDEX(Daily_History!$Z$1:$Z$5000,$C50),""))</f>
        <v/>
      </c>
      <c r="Z50" s="39" t="str">
        <f aca="false">IF($A50="","",IFERROR(INDEX(Data_Input!$Q$1:$Q$5000,$B50),""))</f>
        <v/>
      </c>
      <c r="AA50" s="33" t="str">
        <f aca="false">IF($A50="","",IFERROR(Z50/Y50,""))</f>
        <v/>
      </c>
      <c r="AB50" s="26" t="str">
        <f aca="false">IF($A50="","",IFERROR(INDEX(Data_Input!$V$1:$V$5000,$B50)-INDEX(Data_Input!$W$1:$W$5000,$B50),""))</f>
        <v/>
      </c>
      <c r="AC50" s="27" t="str">
        <f aca="false">IF($A50="","",IFERROR(AB50*E50/1000000000,""))</f>
        <v/>
      </c>
      <c r="AD50" s="35" t="str">
        <f aca="false">IF($A50="","",IFERROR(AB50*E50/INDEX(Data_Input!$R$1:$R$5000,$B50),""))</f>
        <v/>
      </c>
      <c r="AE50" s="27" t="str">
        <f aca="false">IF($A50="","",IFERROR(INDEX(Data_Input!$V$1:$V$5000,$B50)*E50/INDEX(Data_Input!$X$1:$X$5000,$B50)/1000000,""))</f>
        <v/>
      </c>
      <c r="AF50" s="27" t="str">
        <f aca="false">IF($A50="","",IFERROR(INDEX(Data_Input!$W$1:$W$5000,$B50)*E50/INDEX(Data_Input!$Y$1:$Y$5000,$B50)/1000000,""))</f>
        <v/>
      </c>
      <c r="AG50" s="33" t="str">
        <f aca="false">IF($A50="","",IFERROR(AE50/AF50,""))</f>
        <v/>
      </c>
      <c r="AH50" s="41" t="str">
        <f aca="false">IF($A50="","",IFERROR(INDEX(Daily_History!$AH$1:$AH$5000,$C50)/1000000000,""))</f>
        <v/>
      </c>
      <c r="AI50" s="35" t="str">
        <f aca="false">IF($A50="","",IFERROR(AH50/(5*G50),""))</f>
        <v/>
      </c>
      <c r="AJ50" s="27" t="str">
        <f aca="false">IF($A50="","",IFERROR(MAX(-10,MIN(10,IF(D50&gt;I50*1.02,3,IF(D50&gt;I50,1.5,IF(D50&lt;I50*0.98,-3,-1.5)))+IF(I50&gt;K50*1.02,3,IF(I50&gt;K50,1.5,IF(I50&lt;K50*0.98,-3,-1.5)))+IF(D50&gt;=Q50*0.995,2,IF(D50&lt;=R50*1.005,-2,0))+IF(P50&gt;0.03,2,IF(P50&gt;0,1,IF(P50&lt;-0.03,-2,-1))))),0))</f>
        <v/>
      </c>
      <c r="AK50" s="27" t="str">
        <f aca="false">IF($A50="","",IFERROR(MAX(-10,MIN(10,IF(AG50&gt;=SM_STRONG,4,IF(AG50&gt;=SM_MOD,2,IF(AG50&lt;=SM_BAD,-4,IF(AG50&lt;=SM_WEAK,-2,0))))+IF(AD50&gt;=NF_STRONG,3,IF(AD50&gt;=NF_MOD,1.5,IF(AD50&lt;=-NF_STRONG,-3,IF(AD50&lt;=-NF_MOD,-1.5,0))))+IF(AI50&gt;=NF_MOD,3,IF(AI50&gt;0,1.5,IF(AI50&lt;=-NF_MOD,-3,-1.5))))),0))</f>
        <v/>
      </c>
      <c r="AL50" s="27" t="str">
        <f aca="false">IF($A50="","",IFERROR(N50*5-10,0))</f>
        <v/>
      </c>
      <c r="AM50" s="27" t="str">
        <f aca="false">IF($A50="","",IFERROR(IF(F50&gt;0,IF(AA50&gt;=VOL_HIGH,9,IF(AA50&gt;=VOL_MOD,5,IF(AA50&lt;=VOL_DRY,-2,2))),IF(F50&lt;0,IF(AA50&gt;=VOL_HIGH,-9,IF(AA50&gt;=VOL_MOD,-5,IF(AA50&lt;=VOL_DRY,2,-2))),0)),0))</f>
        <v/>
      </c>
      <c r="AN50" s="41" t="str">
        <f aca="false">IF($A50="","",MARKET_SCORE)</f>
        <v/>
      </c>
      <c r="AO50" s="41" t="str">
        <f aca="false">IF($A50="","",IFERROR(INDEX(Time_Link!$B$1:$B$5000,MATCH($A50,Time_Link!$A$1:$A$5000,0)),0))</f>
        <v/>
      </c>
      <c r="AP50" s="27" t="str">
        <f aca="false">IF($A50="","",IFERROR((AJ50*W_TREND+AK50*W_SMART+AL50*W_MA+AM50*W_VOL+AN50*W_MARKET+AO50*W_TIME)/W_SUM,0))</f>
        <v/>
      </c>
      <c r="AQ50" s="28" t="str">
        <f aca="false">IF($A50="","",IF(ABS(AP50)&gt;=8,5,IF(ABS(AP50)&gt;=5,4,IF(ABS(AP50)&gt;=3,3,IF(ABS(AP50)&gt;=1.5,2,1)))))</f>
        <v/>
      </c>
      <c r="AR50" s="23" t="str">
        <f aca="false">IF($A50="","",IF(G50="","بدون داده",IF(G50&lt;MIN_LIQ_B,"کم‌اعتبار","معتبر")))</f>
        <v/>
      </c>
      <c r="AS50" s="42" t="str">
        <f aca="false">IF($A50="","",IFERROR(AP50+ROW()/1000000,-99))</f>
        <v/>
      </c>
      <c r="AT50" s="28" t="str">
        <f aca="false">IF($A50="","",RANK(AS50,$AS$5:$AS$64,0))</f>
        <v/>
      </c>
      <c r="AU50" s="28" t="str">
        <f aca="false">IF($A50="","",RANK(AS50,$AS$5:$AS$64,1))</f>
        <v/>
      </c>
    </row>
    <row r="51" customFormat="false" ht="15" hidden="false" customHeight="false" outlineLevel="0" collapsed="false">
      <c r="A51" s="37" t="str">
        <f aca="false">IF(COUNTA(Watchlist!$A$51)=0,"",Watchlist!$A$51)</f>
        <v/>
      </c>
      <c r="B51" s="28" t="str">
        <f aca="false">IF($A51="","",IFERROR(MATCH($A51,Data_Input!$A$1:$A$5000,0),""))</f>
        <v/>
      </c>
      <c r="C51" s="28" t="str">
        <f aca="false">IF($A51="","",IFERROR(MATCH($A51,Daily_History!$AN$1:$AN$5000,0),""))</f>
        <v/>
      </c>
      <c r="D51" s="39" t="str">
        <f aca="false">IF($A51="","",IFERROR(INDEX(Data_Input!$I$1:$I$5000,$B51),""))</f>
        <v/>
      </c>
      <c r="E51" s="39" t="str">
        <f aca="false">IF($A51="","",IFERROR(INDEX(Data_Input!$J$1:$J$5000,$B51),""))</f>
        <v/>
      </c>
      <c r="F51" s="40" t="str">
        <f aca="false">IF($A51="","",IFERROR(INDEX(Data_Input!$M$1:$M$5000,$B51),""))</f>
        <v/>
      </c>
      <c r="G51" s="41" t="str">
        <f aca="false">IF($A51="","",IFERROR(INDEX(Data_Input!$R$1:$R$5000,$B51)/1000000000,""))</f>
        <v/>
      </c>
      <c r="H51" s="39" t="str">
        <f aca="false">IF($A51="","",IFERROR(INDEX(Daily_History!$V$1:$V$5000,$C51),""))</f>
        <v/>
      </c>
      <c r="I51" s="39" t="str">
        <f aca="false">IF($A51="","",IFERROR(INDEX(Daily_History!$W$1:$W$5000,$C51),""))</f>
        <v/>
      </c>
      <c r="J51" s="39" t="str">
        <f aca="false">IF($A51="","",IFERROR(INDEX(Daily_History!$X$1:$X$5000,$C51),""))</f>
        <v/>
      </c>
      <c r="K51" s="39" t="str">
        <f aca="false">IF($A51="","",IFERROR(INDEX(Daily_History!$Y$1:$Y$5000,$C51),""))</f>
        <v/>
      </c>
      <c r="L51" s="35" t="str">
        <f aca="false">IF($A51="","",IFERROR($D51/$I51-1,""))</f>
        <v/>
      </c>
      <c r="M51" s="35" t="str">
        <f aca="false">IF($A51="","",IFERROR($D51/$K51-1,""))</f>
        <v/>
      </c>
      <c r="N51" s="28" t="str">
        <f aca="false">IF($A51="","",IF(D51&gt;H51,1,0)+IF(D51&gt;I51,1,0)+IF(D51&gt;J51,1,0)+IF(D51&gt;K51,1,0))</f>
        <v/>
      </c>
      <c r="O51" s="23" t="str">
        <f aca="false">IF($A51="","",IF(AND(ISNUMBER(H51),ISNUMBER(K51)),IF(AND(H51&gt;I51,I51&gt;J51,J51&gt;K51),"آرایش صعودی کامل",IF(AND(H51&lt;I51,I51&lt;J51,J51&lt;K51),"آرایش نزولی کامل",IF(I51&gt;K51,"تقاطع طلایی","تقاطع مرگ"))),"داده ناکافی"))</f>
        <v/>
      </c>
      <c r="P51" s="35" t="str">
        <f aca="false">IF($A51="","",IFERROR(H51/INDEX(Daily_History!$V$1:$V$5000,$C51-MA_SHORT)-1,""))</f>
        <v/>
      </c>
      <c r="Q51" s="39" t="str">
        <f aca="false">IF($A51="","",IFERROR(INDEX(Daily_History!$AI$1:$AI$5000,$C51),""))</f>
        <v/>
      </c>
      <c r="R51" s="39" t="str">
        <f aca="false">IF($A51="","",IFERROR(INDEX(Daily_History!$AJ$1:$AJ$5000,$C51),""))</f>
        <v/>
      </c>
      <c r="S51" s="39" t="str">
        <f aca="false">IF($A51="","",IFERROR(INDEX(Daily_History!$AK$1:$AK$5000,$C51),""))</f>
        <v/>
      </c>
      <c r="T51" s="39" t="str">
        <f aca="false">IF($A51="","",IFERROR(INDEX(Daily_History!$AL$1:$AL$5000,$C51),""))</f>
        <v/>
      </c>
      <c r="U51" s="23" t="str">
        <f aca="false">IF($A51="","",IF(AND(ISNUMBER(S51),ISNUMBER(D51)),IF(D51&gt;=S51*0.995,"سقف‌شکنی میان‌مدت (HH)",IF(D51&gt;=Q51*0.995,"سقف‌شکنی کوتاه‌مدت",IF(D51&lt;=T51*1.005,"کف‌شکنی میان‌مدت (LL)",IF(D51&lt;=R51*1.005,"کف‌شکنی کوتاه‌مدت","درون محدوده")))),"داده ناکافی"))</f>
        <v/>
      </c>
      <c r="V51" s="39" t="str">
        <f aca="false">IF($A51="","",IFERROR(INDEX(Daily_History!$AB$1:$AB$5000,$C51),""))</f>
        <v/>
      </c>
      <c r="W51" s="35" t="str">
        <f aca="false">IF($A51="","",IFERROR(V51/D51,""))</f>
        <v/>
      </c>
      <c r="X51" s="26" t="str">
        <f aca="false">IF($A51="","",IFERROR(D51-ATR_STOP_MULT*V51,""))</f>
        <v/>
      </c>
      <c r="Y51" s="39" t="str">
        <f aca="false">IF($A51="","",IFERROR(INDEX(Daily_History!$Z$1:$Z$5000,$C51),""))</f>
        <v/>
      </c>
      <c r="Z51" s="39" t="str">
        <f aca="false">IF($A51="","",IFERROR(INDEX(Data_Input!$Q$1:$Q$5000,$B51),""))</f>
        <v/>
      </c>
      <c r="AA51" s="33" t="str">
        <f aca="false">IF($A51="","",IFERROR(Z51/Y51,""))</f>
        <v/>
      </c>
      <c r="AB51" s="26" t="str">
        <f aca="false">IF($A51="","",IFERROR(INDEX(Data_Input!$V$1:$V$5000,$B51)-INDEX(Data_Input!$W$1:$W$5000,$B51),""))</f>
        <v/>
      </c>
      <c r="AC51" s="27" t="str">
        <f aca="false">IF($A51="","",IFERROR(AB51*E51/1000000000,""))</f>
        <v/>
      </c>
      <c r="AD51" s="35" t="str">
        <f aca="false">IF($A51="","",IFERROR(AB51*E51/INDEX(Data_Input!$R$1:$R$5000,$B51),""))</f>
        <v/>
      </c>
      <c r="AE51" s="27" t="str">
        <f aca="false">IF($A51="","",IFERROR(INDEX(Data_Input!$V$1:$V$5000,$B51)*E51/INDEX(Data_Input!$X$1:$X$5000,$B51)/1000000,""))</f>
        <v/>
      </c>
      <c r="AF51" s="27" t="str">
        <f aca="false">IF($A51="","",IFERROR(INDEX(Data_Input!$W$1:$W$5000,$B51)*E51/INDEX(Data_Input!$Y$1:$Y$5000,$B51)/1000000,""))</f>
        <v/>
      </c>
      <c r="AG51" s="33" t="str">
        <f aca="false">IF($A51="","",IFERROR(AE51/AF51,""))</f>
        <v/>
      </c>
      <c r="AH51" s="41" t="str">
        <f aca="false">IF($A51="","",IFERROR(INDEX(Daily_History!$AH$1:$AH$5000,$C51)/1000000000,""))</f>
        <v/>
      </c>
      <c r="AI51" s="35" t="str">
        <f aca="false">IF($A51="","",IFERROR(AH51/(5*G51),""))</f>
        <v/>
      </c>
      <c r="AJ51" s="27" t="str">
        <f aca="false">IF($A51="","",IFERROR(MAX(-10,MIN(10,IF(D51&gt;I51*1.02,3,IF(D51&gt;I51,1.5,IF(D51&lt;I51*0.98,-3,-1.5)))+IF(I51&gt;K51*1.02,3,IF(I51&gt;K51,1.5,IF(I51&lt;K51*0.98,-3,-1.5)))+IF(D51&gt;=Q51*0.995,2,IF(D51&lt;=R51*1.005,-2,0))+IF(P51&gt;0.03,2,IF(P51&gt;0,1,IF(P51&lt;-0.03,-2,-1))))),0))</f>
        <v/>
      </c>
      <c r="AK51" s="27" t="str">
        <f aca="false">IF($A51="","",IFERROR(MAX(-10,MIN(10,IF(AG51&gt;=SM_STRONG,4,IF(AG51&gt;=SM_MOD,2,IF(AG51&lt;=SM_BAD,-4,IF(AG51&lt;=SM_WEAK,-2,0))))+IF(AD51&gt;=NF_STRONG,3,IF(AD51&gt;=NF_MOD,1.5,IF(AD51&lt;=-NF_STRONG,-3,IF(AD51&lt;=-NF_MOD,-1.5,0))))+IF(AI51&gt;=NF_MOD,3,IF(AI51&gt;0,1.5,IF(AI51&lt;=-NF_MOD,-3,-1.5))))),0))</f>
        <v/>
      </c>
      <c r="AL51" s="27" t="str">
        <f aca="false">IF($A51="","",IFERROR(N51*5-10,0))</f>
        <v/>
      </c>
      <c r="AM51" s="27" t="str">
        <f aca="false">IF($A51="","",IFERROR(IF(F51&gt;0,IF(AA51&gt;=VOL_HIGH,9,IF(AA51&gt;=VOL_MOD,5,IF(AA51&lt;=VOL_DRY,-2,2))),IF(F51&lt;0,IF(AA51&gt;=VOL_HIGH,-9,IF(AA51&gt;=VOL_MOD,-5,IF(AA51&lt;=VOL_DRY,2,-2))),0)),0))</f>
        <v/>
      </c>
      <c r="AN51" s="41" t="str">
        <f aca="false">IF($A51="","",MARKET_SCORE)</f>
        <v/>
      </c>
      <c r="AO51" s="41" t="str">
        <f aca="false">IF($A51="","",IFERROR(INDEX(Time_Link!$B$1:$B$5000,MATCH($A51,Time_Link!$A$1:$A$5000,0)),0))</f>
        <v/>
      </c>
      <c r="AP51" s="27" t="str">
        <f aca="false">IF($A51="","",IFERROR((AJ51*W_TREND+AK51*W_SMART+AL51*W_MA+AM51*W_VOL+AN51*W_MARKET+AO51*W_TIME)/W_SUM,0))</f>
        <v/>
      </c>
      <c r="AQ51" s="28" t="str">
        <f aca="false">IF($A51="","",IF(ABS(AP51)&gt;=8,5,IF(ABS(AP51)&gt;=5,4,IF(ABS(AP51)&gt;=3,3,IF(ABS(AP51)&gt;=1.5,2,1)))))</f>
        <v/>
      </c>
      <c r="AR51" s="23" t="str">
        <f aca="false">IF($A51="","",IF(G51="","بدون داده",IF(G51&lt;MIN_LIQ_B,"کم‌اعتبار","معتبر")))</f>
        <v/>
      </c>
      <c r="AS51" s="42" t="str">
        <f aca="false">IF($A51="","",IFERROR(AP51+ROW()/1000000,-99))</f>
        <v/>
      </c>
      <c r="AT51" s="28" t="str">
        <f aca="false">IF($A51="","",RANK(AS51,$AS$5:$AS$64,0))</f>
        <v/>
      </c>
      <c r="AU51" s="28" t="str">
        <f aca="false">IF($A51="","",RANK(AS51,$AS$5:$AS$64,1))</f>
        <v/>
      </c>
    </row>
    <row r="52" customFormat="false" ht="15" hidden="false" customHeight="false" outlineLevel="0" collapsed="false">
      <c r="A52" s="37" t="str">
        <f aca="false">IF(COUNTA(Watchlist!$A$52)=0,"",Watchlist!$A$52)</f>
        <v/>
      </c>
      <c r="B52" s="28" t="str">
        <f aca="false">IF($A52="","",IFERROR(MATCH($A52,Data_Input!$A$1:$A$5000,0),""))</f>
        <v/>
      </c>
      <c r="C52" s="28" t="str">
        <f aca="false">IF($A52="","",IFERROR(MATCH($A52,Daily_History!$AN$1:$AN$5000,0),""))</f>
        <v/>
      </c>
      <c r="D52" s="39" t="str">
        <f aca="false">IF($A52="","",IFERROR(INDEX(Data_Input!$I$1:$I$5000,$B52),""))</f>
        <v/>
      </c>
      <c r="E52" s="39" t="str">
        <f aca="false">IF($A52="","",IFERROR(INDEX(Data_Input!$J$1:$J$5000,$B52),""))</f>
        <v/>
      </c>
      <c r="F52" s="40" t="str">
        <f aca="false">IF($A52="","",IFERROR(INDEX(Data_Input!$M$1:$M$5000,$B52),""))</f>
        <v/>
      </c>
      <c r="G52" s="41" t="str">
        <f aca="false">IF($A52="","",IFERROR(INDEX(Data_Input!$R$1:$R$5000,$B52)/1000000000,""))</f>
        <v/>
      </c>
      <c r="H52" s="39" t="str">
        <f aca="false">IF($A52="","",IFERROR(INDEX(Daily_History!$V$1:$V$5000,$C52),""))</f>
        <v/>
      </c>
      <c r="I52" s="39" t="str">
        <f aca="false">IF($A52="","",IFERROR(INDEX(Daily_History!$W$1:$W$5000,$C52),""))</f>
        <v/>
      </c>
      <c r="J52" s="39" t="str">
        <f aca="false">IF($A52="","",IFERROR(INDEX(Daily_History!$X$1:$X$5000,$C52),""))</f>
        <v/>
      </c>
      <c r="K52" s="39" t="str">
        <f aca="false">IF($A52="","",IFERROR(INDEX(Daily_History!$Y$1:$Y$5000,$C52),""))</f>
        <v/>
      </c>
      <c r="L52" s="35" t="str">
        <f aca="false">IF($A52="","",IFERROR($D52/$I52-1,""))</f>
        <v/>
      </c>
      <c r="M52" s="35" t="str">
        <f aca="false">IF($A52="","",IFERROR($D52/$K52-1,""))</f>
        <v/>
      </c>
      <c r="N52" s="28" t="str">
        <f aca="false">IF($A52="","",IF(D52&gt;H52,1,0)+IF(D52&gt;I52,1,0)+IF(D52&gt;J52,1,0)+IF(D52&gt;K52,1,0))</f>
        <v/>
      </c>
      <c r="O52" s="23" t="str">
        <f aca="false">IF($A52="","",IF(AND(ISNUMBER(H52),ISNUMBER(K52)),IF(AND(H52&gt;I52,I52&gt;J52,J52&gt;K52),"آرایش صعودی کامل",IF(AND(H52&lt;I52,I52&lt;J52,J52&lt;K52),"آرایش نزولی کامل",IF(I52&gt;K52,"تقاطع طلایی","تقاطع مرگ"))),"داده ناکافی"))</f>
        <v/>
      </c>
      <c r="P52" s="35" t="str">
        <f aca="false">IF($A52="","",IFERROR(H52/INDEX(Daily_History!$V$1:$V$5000,$C52-MA_SHORT)-1,""))</f>
        <v/>
      </c>
      <c r="Q52" s="39" t="str">
        <f aca="false">IF($A52="","",IFERROR(INDEX(Daily_History!$AI$1:$AI$5000,$C52),""))</f>
        <v/>
      </c>
      <c r="R52" s="39" t="str">
        <f aca="false">IF($A52="","",IFERROR(INDEX(Daily_History!$AJ$1:$AJ$5000,$C52),""))</f>
        <v/>
      </c>
      <c r="S52" s="39" t="str">
        <f aca="false">IF($A52="","",IFERROR(INDEX(Daily_History!$AK$1:$AK$5000,$C52),""))</f>
        <v/>
      </c>
      <c r="T52" s="39" t="str">
        <f aca="false">IF($A52="","",IFERROR(INDEX(Daily_History!$AL$1:$AL$5000,$C52),""))</f>
        <v/>
      </c>
      <c r="U52" s="23" t="str">
        <f aca="false">IF($A52="","",IF(AND(ISNUMBER(S52),ISNUMBER(D52)),IF(D52&gt;=S52*0.995,"سقف‌شکنی میان‌مدت (HH)",IF(D52&gt;=Q52*0.995,"سقف‌شکنی کوتاه‌مدت",IF(D52&lt;=T52*1.005,"کف‌شکنی میان‌مدت (LL)",IF(D52&lt;=R52*1.005,"کف‌شکنی کوتاه‌مدت","درون محدوده")))),"داده ناکافی"))</f>
        <v/>
      </c>
      <c r="V52" s="39" t="str">
        <f aca="false">IF($A52="","",IFERROR(INDEX(Daily_History!$AB$1:$AB$5000,$C52),""))</f>
        <v/>
      </c>
      <c r="W52" s="35" t="str">
        <f aca="false">IF($A52="","",IFERROR(V52/D52,""))</f>
        <v/>
      </c>
      <c r="X52" s="26" t="str">
        <f aca="false">IF($A52="","",IFERROR(D52-ATR_STOP_MULT*V52,""))</f>
        <v/>
      </c>
      <c r="Y52" s="39" t="str">
        <f aca="false">IF($A52="","",IFERROR(INDEX(Daily_History!$Z$1:$Z$5000,$C52),""))</f>
        <v/>
      </c>
      <c r="Z52" s="39" t="str">
        <f aca="false">IF($A52="","",IFERROR(INDEX(Data_Input!$Q$1:$Q$5000,$B52),""))</f>
        <v/>
      </c>
      <c r="AA52" s="33" t="str">
        <f aca="false">IF($A52="","",IFERROR(Z52/Y52,""))</f>
        <v/>
      </c>
      <c r="AB52" s="26" t="str">
        <f aca="false">IF($A52="","",IFERROR(INDEX(Data_Input!$V$1:$V$5000,$B52)-INDEX(Data_Input!$W$1:$W$5000,$B52),""))</f>
        <v/>
      </c>
      <c r="AC52" s="27" t="str">
        <f aca="false">IF($A52="","",IFERROR(AB52*E52/1000000000,""))</f>
        <v/>
      </c>
      <c r="AD52" s="35" t="str">
        <f aca="false">IF($A52="","",IFERROR(AB52*E52/INDEX(Data_Input!$R$1:$R$5000,$B52),""))</f>
        <v/>
      </c>
      <c r="AE52" s="27" t="str">
        <f aca="false">IF($A52="","",IFERROR(INDEX(Data_Input!$V$1:$V$5000,$B52)*E52/INDEX(Data_Input!$X$1:$X$5000,$B52)/1000000,""))</f>
        <v/>
      </c>
      <c r="AF52" s="27" t="str">
        <f aca="false">IF($A52="","",IFERROR(INDEX(Data_Input!$W$1:$W$5000,$B52)*E52/INDEX(Data_Input!$Y$1:$Y$5000,$B52)/1000000,""))</f>
        <v/>
      </c>
      <c r="AG52" s="33" t="str">
        <f aca="false">IF($A52="","",IFERROR(AE52/AF52,""))</f>
        <v/>
      </c>
      <c r="AH52" s="41" t="str">
        <f aca="false">IF($A52="","",IFERROR(INDEX(Daily_History!$AH$1:$AH$5000,$C52)/1000000000,""))</f>
        <v/>
      </c>
      <c r="AI52" s="35" t="str">
        <f aca="false">IF($A52="","",IFERROR(AH52/(5*G52),""))</f>
        <v/>
      </c>
      <c r="AJ52" s="27" t="str">
        <f aca="false">IF($A52="","",IFERROR(MAX(-10,MIN(10,IF(D52&gt;I52*1.02,3,IF(D52&gt;I52,1.5,IF(D52&lt;I52*0.98,-3,-1.5)))+IF(I52&gt;K52*1.02,3,IF(I52&gt;K52,1.5,IF(I52&lt;K52*0.98,-3,-1.5)))+IF(D52&gt;=Q52*0.995,2,IF(D52&lt;=R52*1.005,-2,0))+IF(P52&gt;0.03,2,IF(P52&gt;0,1,IF(P52&lt;-0.03,-2,-1))))),0))</f>
        <v/>
      </c>
      <c r="AK52" s="27" t="str">
        <f aca="false">IF($A52="","",IFERROR(MAX(-10,MIN(10,IF(AG52&gt;=SM_STRONG,4,IF(AG52&gt;=SM_MOD,2,IF(AG52&lt;=SM_BAD,-4,IF(AG52&lt;=SM_WEAK,-2,0))))+IF(AD52&gt;=NF_STRONG,3,IF(AD52&gt;=NF_MOD,1.5,IF(AD52&lt;=-NF_STRONG,-3,IF(AD52&lt;=-NF_MOD,-1.5,0))))+IF(AI52&gt;=NF_MOD,3,IF(AI52&gt;0,1.5,IF(AI52&lt;=-NF_MOD,-3,-1.5))))),0))</f>
        <v/>
      </c>
      <c r="AL52" s="27" t="str">
        <f aca="false">IF($A52="","",IFERROR(N52*5-10,0))</f>
        <v/>
      </c>
      <c r="AM52" s="27" t="str">
        <f aca="false">IF($A52="","",IFERROR(IF(F52&gt;0,IF(AA52&gt;=VOL_HIGH,9,IF(AA52&gt;=VOL_MOD,5,IF(AA52&lt;=VOL_DRY,-2,2))),IF(F52&lt;0,IF(AA52&gt;=VOL_HIGH,-9,IF(AA52&gt;=VOL_MOD,-5,IF(AA52&lt;=VOL_DRY,2,-2))),0)),0))</f>
        <v/>
      </c>
      <c r="AN52" s="41" t="str">
        <f aca="false">IF($A52="","",MARKET_SCORE)</f>
        <v/>
      </c>
      <c r="AO52" s="41" t="str">
        <f aca="false">IF($A52="","",IFERROR(INDEX(Time_Link!$B$1:$B$5000,MATCH($A52,Time_Link!$A$1:$A$5000,0)),0))</f>
        <v/>
      </c>
      <c r="AP52" s="27" t="str">
        <f aca="false">IF($A52="","",IFERROR((AJ52*W_TREND+AK52*W_SMART+AL52*W_MA+AM52*W_VOL+AN52*W_MARKET+AO52*W_TIME)/W_SUM,0))</f>
        <v/>
      </c>
      <c r="AQ52" s="28" t="str">
        <f aca="false">IF($A52="","",IF(ABS(AP52)&gt;=8,5,IF(ABS(AP52)&gt;=5,4,IF(ABS(AP52)&gt;=3,3,IF(ABS(AP52)&gt;=1.5,2,1)))))</f>
        <v/>
      </c>
      <c r="AR52" s="23" t="str">
        <f aca="false">IF($A52="","",IF(G52="","بدون داده",IF(G52&lt;MIN_LIQ_B,"کم‌اعتبار","معتبر")))</f>
        <v/>
      </c>
      <c r="AS52" s="42" t="str">
        <f aca="false">IF($A52="","",IFERROR(AP52+ROW()/1000000,-99))</f>
        <v/>
      </c>
      <c r="AT52" s="28" t="str">
        <f aca="false">IF($A52="","",RANK(AS52,$AS$5:$AS$64,0))</f>
        <v/>
      </c>
      <c r="AU52" s="28" t="str">
        <f aca="false">IF($A52="","",RANK(AS52,$AS$5:$AS$64,1))</f>
        <v/>
      </c>
    </row>
    <row r="53" customFormat="false" ht="15" hidden="false" customHeight="false" outlineLevel="0" collapsed="false">
      <c r="A53" s="37" t="str">
        <f aca="false">IF(COUNTA(Watchlist!$A$53)=0,"",Watchlist!$A$53)</f>
        <v/>
      </c>
      <c r="B53" s="28" t="str">
        <f aca="false">IF($A53="","",IFERROR(MATCH($A53,Data_Input!$A$1:$A$5000,0),""))</f>
        <v/>
      </c>
      <c r="C53" s="28" t="str">
        <f aca="false">IF($A53="","",IFERROR(MATCH($A53,Daily_History!$AN$1:$AN$5000,0),""))</f>
        <v/>
      </c>
      <c r="D53" s="39" t="str">
        <f aca="false">IF($A53="","",IFERROR(INDEX(Data_Input!$I$1:$I$5000,$B53),""))</f>
        <v/>
      </c>
      <c r="E53" s="39" t="str">
        <f aca="false">IF($A53="","",IFERROR(INDEX(Data_Input!$J$1:$J$5000,$B53),""))</f>
        <v/>
      </c>
      <c r="F53" s="40" t="str">
        <f aca="false">IF($A53="","",IFERROR(INDEX(Data_Input!$M$1:$M$5000,$B53),""))</f>
        <v/>
      </c>
      <c r="G53" s="41" t="str">
        <f aca="false">IF($A53="","",IFERROR(INDEX(Data_Input!$R$1:$R$5000,$B53)/1000000000,""))</f>
        <v/>
      </c>
      <c r="H53" s="39" t="str">
        <f aca="false">IF($A53="","",IFERROR(INDEX(Daily_History!$V$1:$V$5000,$C53),""))</f>
        <v/>
      </c>
      <c r="I53" s="39" t="str">
        <f aca="false">IF($A53="","",IFERROR(INDEX(Daily_History!$W$1:$W$5000,$C53),""))</f>
        <v/>
      </c>
      <c r="J53" s="39" t="str">
        <f aca="false">IF($A53="","",IFERROR(INDEX(Daily_History!$X$1:$X$5000,$C53),""))</f>
        <v/>
      </c>
      <c r="K53" s="39" t="str">
        <f aca="false">IF($A53="","",IFERROR(INDEX(Daily_History!$Y$1:$Y$5000,$C53),""))</f>
        <v/>
      </c>
      <c r="L53" s="35" t="str">
        <f aca="false">IF($A53="","",IFERROR($D53/$I53-1,""))</f>
        <v/>
      </c>
      <c r="M53" s="35" t="str">
        <f aca="false">IF($A53="","",IFERROR($D53/$K53-1,""))</f>
        <v/>
      </c>
      <c r="N53" s="28" t="str">
        <f aca="false">IF($A53="","",IF(D53&gt;H53,1,0)+IF(D53&gt;I53,1,0)+IF(D53&gt;J53,1,0)+IF(D53&gt;K53,1,0))</f>
        <v/>
      </c>
      <c r="O53" s="23" t="str">
        <f aca="false">IF($A53="","",IF(AND(ISNUMBER(H53),ISNUMBER(K53)),IF(AND(H53&gt;I53,I53&gt;J53,J53&gt;K53),"آرایش صعودی کامل",IF(AND(H53&lt;I53,I53&lt;J53,J53&lt;K53),"آرایش نزولی کامل",IF(I53&gt;K53,"تقاطع طلایی","تقاطع مرگ"))),"داده ناکافی"))</f>
        <v/>
      </c>
      <c r="P53" s="35" t="str">
        <f aca="false">IF($A53="","",IFERROR(H53/INDEX(Daily_History!$V$1:$V$5000,$C53-MA_SHORT)-1,""))</f>
        <v/>
      </c>
      <c r="Q53" s="39" t="str">
        <f aca="false">IF($A53="","",IFERROR(INDEX(Daily_History!$AI$1:$AI$5000,$C53),""))</f>
        <v/>
      </c>
      <c r="R53" s="39" t="str">
        <f aca="false">IF($A53="","",IFERROR(INDEX(Daily_History!$AJ$1:$AJ$5000,$C53),""))</f>
        <v/>
      </c>
      <c r="S53" s="39" t="str">
        <f aca="false">IF($A53="","",IFERROR(INDEX(Daily_History!$AK$1:$AK$5000,$C53),""))</f>
        <v/>
      </c>
      <c r="T53" s="39" t="str">
        <f aca="false">IF($A53="","",IFERROR(INDEX(Daily_History!$AL$1:$AL$5000,$C53),""))</f>
        <v/>
      </c>
      <c r="U53" s="23" t="str">
        <f aca="false">IF($A53="","",IF(AND(ISNUMBER(S53),ISNUMBER(D53)),IF(D53&gt;=S53*0.995,"سقف‌شکنی میان‌مدت (HH)",IF(D53&gt;=Q53*0.995,"سقف‌شکنی کوتاه‌مدت",IF(D53&lt;=T53*1.005,"کف‌شکنی میان‌مدت (LL)",IF(D53&lt;=R53*1.005,"کف‌شکنی کوتاه‌مدت","درون محدوده")))),"داده ناکافی"))</f>
        <v/>
      </c>
      <c r="V53" s="39" t="str">
        <f aca="false">IF($A53="","",IFERROR(INDEX(Daily_History!$AB$1:$AB$5000,$C53),""))</f>
        <v/>
      </c>
      <c r="W53" s="35" t="str">
        <f aca="false">IF($A53="","",IFERROR(V53/D53,""))</f>
        <v/>
      </c>
      <c r="X53" s="26" t="str">
        <f aca="false">IF($A53="","",IFERROR(D53-ATR_STOP_MULT*V53,""))</f>
        <v/>
      </c>
      <c r="Y53" s="39" t="str">
        <f aca="false">IF($A53="","",IFERROR(INDEX(Daily_History!$Z$1:$Z$5000,$C53),""))</f>
        <v/>
      </c>
      <c r="Z53" s="39" t="str">
        <f aca="false">IF($A53="","",IFERROR(INDEX(Data_Input!$Q$1:$Q$5000,$B53),""))</f>
        <v/>
      </c>
      <c r="AA53" s="33" t="str">
        <f aca="false">IF($A53="","",IFERROR(Z53/Y53,""))</f>
        <v/>
      </c>
      <c r="AB53" s="26" t="str">
        <f aca="false">IF($A53="","",IFERROR(INDEX(Data_Input!$V$1:$V$5000,$B53)-INDEX(Data_Input!$W$1:$W$5000,$B53),""))</f>
        <v/>
      </c>
      <c r="AC53" s="27" t="str">
        <f aca="false">IF($A53="","",IFERROR(AB53*E53/1000000000,""))</f>
        <v/>
      </c>
      <c r="AD53" s="35" t="str">
        <f aca="false">IF($A53="","",IFERROR(AB53*E53/INDEX(Data_Input!$R$1:$R$5000,$B53),""))</f>
        <v/>
      </c>
      <c r="AE53" s="27" t="str">
        <f aca="false">IF($A53="","",IFERROR(INDEX(Data_Input!$V$1:$V$5000,$B53)*E53/INDEX(Data_Input!$X$1:$X$5000,$B53)/1000000,""))</f>
        <v/>
      </c>
      <c r="AF53" s="27" t="str">
        <f aca="false">IF($A53="","",IFERROR(INDEX(Data_Input!$W$1:$W$5000,$B53)*E53/INDEX(Data_Input!$Y$1:$Y$5000,$B53)/1000000,""))</f>
        <v/>
      </c>
      <c r="AG53" s="33" t="str">
        <f aca="false">IF($A53="","",IFERROR(AE53/AF53,""))</f>
        <v/>
      </c>
      <c r="AH53" s="41" t="str">
        <f aca="false">IF($A53="","",IFERROR(INDEX(Daily_History!$AH$1:$AH$5000,$C53)/1000000000,""))</f>
        <v/>
      </c>
      <c r="AI53" s="35" t="str">
        <f aca="false">IF($A53="","",IFERROR(AH53/(5*G53),""))</f>
        <v/>
      </c>
      <c r="AJ53" s="27" t="str">
        <f aca="false">IF($A53="","",IFERROR(MAX(-10,MIN(10,IF(D53&gt;I53*1.02,3,IF(D53&gt;I53,1.5,IF(D53&lt;I53*0.98,-3,-1.5)))+IF(I53&gt;K53*1.02,3,IF(I53&gt;K53,1.5,IF(I53&lt;K53*0.98,-3,-1.5)))+IF(D53&gt;=Q53*0.995,2,IF(D53&lt;=R53*1.005,-2,0))+IF(P53&gt;0.03,2,IF(P53&gt;0,1,IF(P53&lt;-0.03,-2,-1))))),0))</f>
        <v/>
      </c>
      <c r="AK53" s="27" t="str">
        <f aca="false">IF($A53="","",IFERROR(MAX(-10,MIN(10,IF(AG53&gt;=SM_STRONG,4,IF(AG53&gt;=SM_MOD,2,IF(AG53&lt;=SM_BAD,-4,IF(AG53&lt;=SM_WEAK,-2,0))))+IF(AD53&gt;=NF_STRONG,3,IF(AD53&gt;=NF_MOD,1.5,IF(AD53&lt;=-NF_STRONG,-3,IF(AD53&lt;=-NF_MOD,-1.5,0))))+IF(AI53&gt;=NF_MOD,3,IF(AI53&gt;0,1.5,IF(AI53&lt;=-NF_MOD,-3,-1.5))))),0))</f>
        <v/>
      </c>
      <c r="AL53" s="27" t="str">
        <f aca="false">IF($A53="","",IFERROR(N53*5-10,0))</f>
        <v/>
      </c>
      <c r="AM53" s="27" t="str">
        <f aca="false">IF($A53="","",IFERROR(IF(F53&gt;0,IF(AA53&gt;=VOL_HIGH,9,IF(AA53&gt;=VOL_MOD,5,IF(AA53&lt;=VOL_DRY,-2,2))),IF(F53&lt;0,IF(AA53&gt;=VOL_HIGH,-9,IF(AA53&gt;=VOL_MOD,-5,IF(AA53&lt;=VOL_DRY,2,-2))),0)),0))</f>
        <v/>
      </c>
      <c r="AN53" s="41" t="str">
        <f aca="false">IF($A53="","",MARKET_SCORE)</f>
        <v/>
      </c>
      <c r="AO53" s="41" t="str">
        <f aca="false">IF($A53="","",IFERROR(INDEX(Time_Link!$B$1:$B$5000,MATCH($A53,Time_Link!$A$1:$A$5000,0)),0))</f>
        <v/>
      </c>
      <c r="AP53" s="27" t="str">
        <f aca="false">IF($A53="","",IFERROR((AJ53*W_TREND+AK53*W_SMART+AL53*W_MA+AM53*W_VOL+AN53*W_MARKET+AO53*W_TIME)/W_SUM,0))</f>
        <v/>
      </c>
      <c r="AQ53" s="28" t="str">
        <f aca="false">IF($A53="","",IF(ABS(AP53)&gt;=8,5,IF(ABS(AP53)&gt;=5,4,IF(ABS(AP53)&gt;=3,3,IF(ABS(AP53)&gt;=1.5,2,1)))))</f>
        <v/>
      </c>
      <c r="AR53" s="23" t="str">
        <f aca="false">IF($A53="","",IF(G53="","بدون داده",IF(G53&lt;MIN_LIQ_B,"کم‌اعتبار","معتبر")))</f>
        <v/>
      </c>
      <c r="AS53" s="42" t="str">
        <f aca="false">IF($A53="","",IFERROR(AP53+ROW()/1000000,-99))</f>
        <v/>
      </c>
      <c r="AT53" s="28" t="str">
        <f aca="false">IF($A53="","",RANK(AS53,$AS$5:$AS$64,0))</f>
        <v/>
      </c>
      <c r="AU53" s="28" t="str">
        <f aca="false">IF($A53="","",RANK(AS53,$AS$5:$AS$64,1))</f>
        <v/>
      </c>
    </row>
    <row r="54" customFormat="false" ht="15" hidden="false" customHeight="false" outlineLevel="0" collapsed="false">
      <c r="A54" s="37" t="str">
        <f aca="false">IF(COUNTA(Watchlist!$A$54)=0,"",Watchlist!$A$54)</f>
        <v/>
      </c>
      <c r="B54" s="28" t="str">
        <f aca="false">IF($A54="","",IFERROR(MATCH($A54,Data_Input!$A$1:$A$5000,0),""))</f>
        <v/>
      </c>
      <c r="C54" s="28" t="str">
        <f aca="false">IF($A54="","",IFERROR(MATCH($A54,Daily_History!$AN$1:$AN$5000,0),""))</f>
        <v/>
      </c>
      <c r="D54" s="39" t="str">
        <f aca="false">IF($A54="","",IFERROR(INDEX(Data_Input!$I$1:$I$5000,$B54),""))</f>
        <v/>
      </c>
      <c r="E54" s="39" t="str">
        <f aca="false">IF($A54="","",IFERROR(INDEX(Data_Input!$J$1:$J$5000,$B54),""))</f>
        <v/>
      </c>
      <c r="F54" s="40" t="str">
        <f aca="false">IF($A54="","",IFERROR(INDEX(Data_Input!$M$1:$M$5000,$B54),""))</f>
        <v/>
      </c>
      <c r="G54" s="41" t="str">
        <f aca="false">IF($A54="","",IFERROR(INDEX(Data_Input!$R$1:$R$5000,$B54)/1000000000,""))</f>
        <v/>
      </c>
      <c r="H54" s="39" t="str">
        <f aca="false">IF($A54="","",IFERROR(INDEX(Daily_History!$V$1:$V$5000,$C54),""))</f>
        <v/>
      </c>
      <c r="I54" s="39" t="str">
        <f aca="false">IF($A54="","",IFERROR(INDEX(Daily_History!$W$1:$W$5000,$C54),""))</f>
        <v/>
      </c>
      <c r="J54" s="39" t="str">
        <f aca="false">IF($A54="","",IFERROR(INDEX(Daily_History!$X$1:$X$5000,$C54),""))</f>
        <v/>
      </c>
      <c r="K54" s="39" t="str">
        <f aca="false">IF($A54="","",IFERROR(INDEX(Daily_History!$Y$1:$Y$5000,$C54),""))</f>
        <v/>
      </c>
      <c r="L54" s="35" t="str">
        <f aca="false">IF($A54="","",IFERROR($D54/$I54-1,""))</f>
        <v/>
      </c>
      <c r="M54" s="35" t="str">
        <f aca="false">IF($A54="","",IFERROR($D54/$K54-1,""))</f>
        <v/>
      </c>
      <c r="N54" s="28" t="str">
        <f aca="false">IF($A54="","",IF(D54&gt;H54,1,0)+IF(D54&gt;I54,1,0)+IF(D54&gt;J54,1,0)+IF(D54&gt;K54,1,0))</f>
        <v/>
      </c>
      <c r="O54" s="23" t="str">
        <f aca="false">IF($A54="","",IF(AND(ISNUMBER(H54),ISNUMBER(K54)),IF(AND(H54&gt;I54,I54&gt;J54,J54&gt;K54),"آرایش صعودی کامل",IF(AND(H54&lt;I54,I54&lt;J54,J54&lt;K54),"آرایش نزولی کامل",IF(I54&gt;K54,"تقاطع طلایی","تقاطع مرگ"))),"داده ناکافی"))</f>
        <v/>
      </c>
      <c r="P54" s="35" t="str">
        <f aca="false">IF($A54="","",IFERROR(H54/INDEX(Daily_History!$V$1:$V$5000,$C54-MA_SHORT)-1,""))</f>
        <v/>
      </c>
      <c r="Q54" s="39" t="str">
        <f aca="false">IF($A54="","",IFERROR(INDEX(Daily_History!$AI$1:$AI$5000,$C54),""))</f>
        <v/>
      </c>
      <c r="R54" s="39" t="str">
        <f aca="false">IF($A54="","",IFERROR(INDEX(Daily_History!$AJ$1:$AJ$5000,$C54),""))</f>
        <v/>
      </c>
      <c r="S54" s="39" t="str">
        <f aca="false">IF($A54="","",IFERROR(INDEX(Daily_History!$AK$1:$AK$5000,$C54),""))</f>
        <v/>
      </c>
      <c r="T54" s="39" t="str">
        <f aca="false">IF($A54="","",IFERROR(INDEX(Daily_History!$AL$1:$AL$5000,$C54),""))</f>
        <v/>
      </c>
      <c r="U54" s="23" t="str">
        <f aca="false">IF($A54="","",IF(AND(ISNUMBER(S54),ISNUMBER(D54)),IF(D54&gt;=S54*0.995,"سقف‌شکنی میان‌مدت (HH)",IF(D54&gt;=Q54*0.995,"سقف‌شکنی کوتاه‌مدت",IF(D54&lt;=T54*1.005,"کف‌شکنی میان‌مدت (LL)",IF(D54&lt;=R54*1.005,"کف‌شکنی کوتاه‌مدت","درون محدوده")))),"داده ناکافی"))</f>
        <v/>
      </c>
      <c r="V54" s="39" t="str">
        <f aca="false">IF($A54="","",IFERROR(INDEX(Daily_History!$AB$1:$AB$5000,$C54),""))</f>
        <v/>
      </c>
      <c r="W54" s="35" t="str">
        <f aca="false">IF($A54="","",IFERROR(V54/D54,""))</f>
        <v/>
      </c>
      <c r="X54" s="26" t="str">
        <f aca="false">IF($A54="","",IFERROR(D54-ATR_STOP_MULT*V54,""))</f>
        <v/>
      </c>
      <c r="Y54" s="39" t="str">
        <f aca="false">IF($A54="","",IFERROR(INDEX(Daily_History!$Z$1:$Z$5000,$C54),""))</f>
        <v/>
      </c>
      <c r="Z54" s="39" t="str">
        <f aca="false">IF($A54="","",IFERROR(INDEX(Data_Input!$Q$1:$Q$5000,$B54),""))</f>
        <v/>
      </c>
      <c r="AA54" s="33" t="str">
        <f aca="false">IF($A54="","",IFERROR(Z54/Y54,""))</f>
        <v/>
      </c>
      <c r="AB54" s="26" t="str">
        <f aca="false">IF($A54="","",IFERROR(INDEX(Data_Input!$V$1:$V$5000,$B54)-INDEX(Data_Input!$W$1:$W$5000,$B54),""))</f>
        <v/>
      </c>
      <c r="AC54" s="27" t="str">
        <f aca="false">IF($A54="","",IFERROR(AB54*E54/1000000000,""))</f>
        <v/>
      </c>
      <c r="AD54" s="35" t="str">
        <f aca="false">IF($A54="","",IFERROR(AB54*E54/INDEX(Data_Input!$R$1:$R$5000,$B54),""))</f>
        <v/>
      </c>
      <c r="AE54" s="27" t="str">
        <f aca="false">IF($A54="","",IFERROR(INDEX(Data_Input!$V$1:$V$5000,$B54)*E54/INDEX(Data_Input!$X$1:$X$5000,$B54)/1000000,""))</f>
        <v/>
      </c>
      <c r="AF54" s="27" t="str">
        <f aca="false">IF($A54="","",IFERROR(INDEX(Data_Input!$W$1:$W$5000,$B54)*E54/INDEX(Data_Input!$Y$1:$Y$5000,$B54)/1000000,""))</f>
        <v/>
      </c>
      <c r="AG54" s="33" t="str">
        <f aca="false">IF($A54="","",IFERROR(AE54/AF54,""))</f>
        <v/>
      </c>
      <c r="AH54" s="41" t="str">
        <f aca="false">IF($A54="","",IFERROR(INDEX(Daily_History!$AH$1:$AH$5000,$C54)/1000000000,""))</f>
        <v/>
      </c>
      <c r="AI54" s="35" t="str">
        <f aca="false">IF($A54="","",IFERROR(AH54/(5*G54),""))</f>
        <v/>
      </c>
      <c r="AJ54" s="27" t="str">
        <f aca="false">IF($A54="","",IFERROR(MAX(-10,MIN(10,IF(D54&gt;I54*1.02,3,IF(D54&gt;I54,1.5,IF(D54&lt;I54*0.98,-3,-1.5)))+IF(I54&gt;K54*1.02,3,IF(I54&gt;K54,1.5,IF(I54&lt;K54*0.98,-3,-1.5)))+IF(D54&gt;=Q54*0.995,2,IF(D54&lt;=R54*1.005,-2,0))+IF(P54&gt;0.03,2,IF(P54&gt;0,1,IF(P54&lt;-0.03,-2,-1))))),0))</f>
        <v/>
      </c>
      <c r="AK54" s="27" t="str">
        <f aca="false">IF($A54="","",IFERROR(MAX(-10,MIN(10,IF(AG54&gt;=SM_STRONG,4,IF(AG54&gt;=SM_MOD,2,IF(AG54&lt;=SM_BAD,-4,IF(AG54&lt;=SM_WEAK,-2,0))))+IF(AD54&gt;=NF_STRONG,3,IF(AD54&gt;=NF_MOD,1.5,IF(AD54&lt;=-NF_STRONG,-3,IF(AD54&lt;=-NF_MOD,-1.5,0))))+IF(AI54&gt;=NF_MOD,3,IF(AI54&gt;0,1.5,IF(AI54&lt;=-NF_MOD,-3,-1.5))))),0))</f>
        <v/>
      </c>
      <c r="AL54" s="27" t="str">
        <f aca="false">IF($A54="","",IFERROR(N54*5-10,0))</f>
        <v/>
      </c>
      <c r="AM54" s="27" t="str">
        <f aca="false">IF($A54="","",IFERROR(IF(F54&gt;0,IF(AA54&gt;=VOL_HIGH,9,IF(AA54&gt;=VOL_MOD,5,IF(AA54&lt;=VOL_DRY,-2,2))),IF(F54&lt;0,IF(AA54&gt;=VOL_HIGH,-9,IF(AA54&gt;=VOL_MOD,-5,IF(AA54&lt;=VOL_DRY,2,-2))),0)),0))</f>
        <v/>
      </c>
      <c r="AN54" s="41" t="str">
        <f aca="false">IF($A54="","",MARKET_SCORE)</f>
        <v/>
      </c>
      <c r="AO54" s="41" t="str">
        <f aca="false">IF($A54="","",IFERROR(INDEX(Time_Link!$B$1:$B$5000,MATCH($A54,Time_Link!$A$1:$A$5000,0)),0))</f>
        <v/>
      </c>
      <c r="AP54" s="27" t="str">
        <f aca="false">IF($A54="","",IFERROR((AJ54*W_TREND+AK54*W_SMART+AL54*W_MA+AM54*W_VOL+AN54*W_MARKET+AO54*W_TIME)/W_SUM,0))</f>
        <v/>
      </c>
      <c r="AQ54" s="28" t="str">
        <f aca="false">IF($A54="","",IF(ABS(AP54)&gt;=8,5,IF(ABS(AP54)&gt;=5,4,IF(ABS(AP54)&gt;=3,3,IF(ABS(AP54)&gt;=1.5,2,1)))))</f>
        <v/>
      </c>
      <c r="AR54" s="23" t="str">
        <f aca="false">IF($A54="","",IF(G54="","بدون داده",IF(G54&lt;MIN_LIQ_B,"کم‌اعتبار","معتبر")))</f>
        <v/>
      </c>
      <c r="AS54" s="42" t="str">
        <f aca="false">IF($A54="","",IFERROR(AP54+ROW()/1000000,-99))</f>
        <v/>
      </c>
      <c r="AT54" s="28" t="str">
        <f aca="false">IF($A54="","",RANK(AS54,$AS$5:$AS$64,0))</f>
        <v/>
      </c>
      <c r="AU54" s="28" t="str">
        <f aca="false">IF($A54="","",RANK(AS54,$AS$5:$AS$64,1))</f>
        <v/>
      </c>
    </row>
    <row r="55" customFormat="false" ht="15" hidden="false" customHeight="false" outlineLevel="0" collapsed="false">
      <c r="A55" s="37" t="str">
        <f aca="false">IF(COUNTA(Watchlist!$A$55)=0,"",Watchlist!$A$55)</f>
        <v/>
      </c>
      <c r="B55" s="28" t="str">
        <f aca="false">IF($A55="","",IFERROR(MATCH($A55,Data_Input!$A$1:$A$5000,0),""))</f>
        <v/>
      </c>
      <c r="C55" s="28" t="str">
        <f aca="false">IF($A55="","",IFERROR(MATCH($A55,Daily_History!$AN$1:$AN$5000,0),""))</f>
        <v/>
      </c>
      <c r="D55" s="39" t="str">
        <f aca="false">IF($A55="","",IFERROR(INDEX(Data_Input!$I$1:$I$5000,$B55),""))</f>
        <v/>
      </c>
      <c r="E55" s="39" t="str">
        <f aca="false">IF($A55="","",IFERROR(INDEX(Data_Input!$J$1:$J$5000,$B55),""))</f>
        <v/>
      </c>
      <c r="F55" s="40" t="str">
        <f aca="false">IF($A55="","",IFERROR(INDEX(Data_Input!$M$1:$M$5000,$B55),""))</f>
        <v/>
      </c>
      <c r="G55" s="41" t="str">
        <f aca="false">IF($A55="","",IFERROR(INDEX(Data_Input!$R$1:$R$5000,$B55)/1000000000,""))</f>
        <v/>
      </c>
      <c r="H55" s="39" t="str">
        <f aca="false">IF($A55="","",IFERROR(INDEX(Daily_History!$V$1:$V$5000,$C55),""))</f>
        <v/>
      </c>
      <c r="I55" s="39" t="str">
        <f aca="false">IF($A55="","",IFERROR(INDEX(Daily_History!$W$1:$W$5000,$C55),""))</f>
        <v/>
      </c>
      <c r="J55" s="39" t="str">
        <f aca="false">IF($A55="","",IFERROR(INDEX(Daily_History!$X$1:$X$5000,$C55),""))</f>
        <v/>
      </c>
      <c r="K55" s="39" t="str">
        <f aca="false">IF($A55="","",IFERROR(INDEX(Daily_History!$Y$1:$Y$5000,$C55),""))</f>
        <v/>
      </c>
      <c r="L55" s="35" t="str">
        <f aca="false">IF($A55="","",IFERROR($D55/$I55-1,""))</f>
        <v/>
      </c>
      <c r="M55" s="35" t="str">
        <f aca="false">IF($A55="","",IFERROR($D55/$K55-1,""))</f>
        <v/>
      </c>
      <c r="N55" s="28" t="str">
        <f aca="false">IF($A55="","",IF(D55&gt;H55,1,0)+IF(D55&gt;I55,1,0)+IF(D55&gt;J55,1,0)+IF(D55&gt;K55,1,0))</f>
        <v/>
      </c>
      <c r="O55" s="23" t="str">
        <f aca="false">IF($A55="","",IF(AND(ISNUMBER(H55),ISNUMBER(K55)),IF(AND(H55&gt;I55,I55&gt;J55,J55&gt;K55),"آرایش صعودی کامل",IF(AND(H55&lt;I55,I55&lt;J55,J55&lt;K55),"آرایش نزولی کامل",IF(I55&gt;K55,"تقاطع طلایی","تقاطع مرگ"))),"داده ناکافی"))</f>
        <v/>
      </c>
      <c r="P55" s="35" t="str">
        <f aca="false">IF($A55="","",IFERROR(H55/INDEX(Daily_History!$V$1:$V$5000,$C55-MA_SHORT)-1,""))</f>
        <v/>
      </c>
      <c r="Q55" s="39" t="str">
        <f aca="false">IF($A55="","",IFERROR(INDEX(Daily_History!$AI$1:$AI$5000,$C55),""))</f>
        <v/>
      </c>
      <c r="R55" s="39" t="str">
        <f aca="false">IF($A55="","",IFERROR(INDEX(Daily_History!$AJ$1:$AJ$5000,$C55),""))</f>
        <v/>
      </c>
      <c r="S55" s="39" t="str">
        <f aca="false">IF($A55="","",IFERROR(INDEX(Daily_History!$AK$1:$AK$5000,$C55),""))</f>
        <v/>
      </c>
      <c r="T55" s="39" t="str">
        <f aca="false">IF($A55="","",IFERROR(INDEX(Daily_History!$AL$1:$AL$5000,$C55),""))</f>
        <v/>
      </c>
      <c r="U55" s="23" t="str">
        <f aca="false">IF($A55="","",IF(AND(ISNUMBER(S55),ISNUMBER(D55)),IF(D55&gt;=S55*0.995,"سقف‌شکنی میان‌مدت (HH)",IF(D55&gt;=Q55*0.995,"سقف‌شکنی کوتاه‌مدت",IF(D55&lt;=T55*1.005,"کف‌شکنی میان‌مدت (LL)",IF(D55&lt;=R55*1.005,"کف‌شکنی کوتاه‌مدت","درون محدوده")))),"داده ناکافی"))</f>
        <v/>
      </c>
      <c r="V55" s="39" t="str">
        <f aca="false">IF($A55="","",IFERROR(INDEX(Daily_History!$AB$1:$AB$5000,$C55),""))</f>
        <v/>
      </c>
      <c r="W55" s="35" t="str">
        <f aca="false">IF($A55="","",IFERROR(V55/D55,""))</f>
        <v/>
      </c>
      <c r="X55" s="26" t="str">
        <f aca="false">IF($A55="","",IFERROR(D55-ATR_STOP_MULT*V55,""))</f>
        <v/>
      </c>
      <c r="Y55" s="39" t="str">
        <f aca="false">IF($A55="","",IFERROR(INDEX(Daily_History!$Z$1:$Z$5000,$C55),""))</f>
        <v/>
      </c>
      <c r="Z55" s="39" t="str">
        <f aca="false">IF($A55="","",IFERROR(INDEX(Data_Input!$Q$1:$Q$5000,$B55),""))</f>
        <v/>
      </c>
      <c r="AA55" s="33" t="str">
        <f aca="false">IF($A55="","",IFERROR(Z55/Y55,""))</f>
        <v/>
      </c>
      <c r="AB55" s="26" t="str">
        <f aca="false">IF($A55="","",IFERROR(INDEX(Data_Input!$V$1:$V$5000,$B55)-INDEX(Data_Input!$W$1:$W$5000,$B55),""))</f>
        <v/>
      </c>
      <c r="AC55" s="27" t="str">
        <f aca="false">IF($A55="","",IFERROR(AB55*E55/1000000000,""))</f>
        <v/>
      </c>
      <c r="AD55" s="35" t="str">
        <f aca="false">IF($A55="","",IFERROR(AB55*E55/INDEX(Data_Input!$R$1:$R$5000,$B55),""))</f>
        <v/>
      </c>
      <c r="AE55" s="27" t="str">
        <f aca="false">IF($A55="","",IFERROR(INDEX(Data_Input!$V$1:$V$5000,$B55)*E55/INDEX(Data_Input!$X$1:$X$5000,$B55)/1000000,""))</f>
        <v/>
      </c>
      <c r="AF55" s="27" t="str">
        <f aca="false">IF($A55="","",IFERROR(INDEX(Data_Input!$W$1:$W$5000,$B55)*E55/INDEX(Data_Input!$Y$1:$Y$5000,$B55)/1000000,""))</f>
        <v/>
      </c>
      <c r="AG55" s="33" t="str">
        <f aca="false">IF($A55="","",IFERROR(AE55/AF55,""))</f>
        <v/>
      </c>
      <c r="AH55" s="41" t="str">
        <f aca="false">IF($A55="","",IFERROR(INDEX(Daily_History!$AH$1:$AH$5000,$C55)/1000000000,""))</f>
        <v/>
      </c>
      <c r="AI55" s="35" t="str">
        <f aca="false">IF($A55="","",IFERROR(AH55/(5*G55),""))</f>
        <v/>
      </c>
      <c r="AJ55" s="27" t="str">
        <f aca="false">IF($A55="","",IFERROR(MAX(-10,MIN(10,IF(D55&gt;I55*1.02,3,IF(D55&gt;I55,1.5,IF(D55&lt;I55*0.98,-3,-1.5)))+IF(I55&gt;K55*1.02,3,IF(I55&gt;K55,1.5,IF(I55&lt;K55*0.98,-3,-1.5)))+IF(D55&gt;=Q55*0.995,2,IF(D55&lt;=R55*1.005,-2,0))+IF(P55&gt;0.03,2,IF(P55&gt;0,1,IF(P55&lt;-0.03,-2,-1))))),0))</f>
        <v/>
      </c>
      <c r="AK55" s="27" t="str">
        <f aca="false">IF($A55="","",IFERROR(MAX(-10,MIN(10,IF(AG55&gt;=SM_STRONG,4,IF(AG55&gt;=SM_MOD,2,IF(AG55&lt;=SM_BAD,-4,IF(AG55&lt;=SM_WEAK,-2,0))))+IF(AD55&gt;=NF_STRONG,3,IF(AD55&gt;=NF_MOD,1.5,IF(AD55&lt;=-NF_STRONG,-3,IF(AD55&lt;=-NF_MOD,-1.5,0))))+IF(AI55&gt;=NF_MOD,3,IF(AI55&gt;0,1.5,IF(AI55&lt;=-NF_MOD,-3,-1.5))))),0))</f>
        <v/>
      </c>
      <c r="AL55" s="27" t="str">
        <f aca="false">IF($A55="","",IFERROR(N55*5-10,0))</f>
        <v/>
      </c>
      <c r="AM55" s="27" t="str">
        <f aca="false">IF($A55="","",IFERROR(IF(F55&gt;0,IF(AA55&gt;=VOL_HIGH,9,IF(AA55&gt;=VOL_MOD,5,IF(AA55&lt;=VOL_DRY,-2,2))),IF(F55&lt;0,IF(AA55&gt;=VOL_HIGH,-9,IF(AA55&gt;=VOL_MOD,-5,IF(AA55&lt;=VOL_DRY,2,-2))),0)),0))</f>
        <v/>
      </c>
      <c r="AN55" s="41" t="str">
        <f aca="false">IF($A55="","",MARKET_SCORE)</f>
        <v/>
      </c>
      <c r="AO55" s="41" t="str">
        <f aca="false">IF($A55="","",IFERROR(INDEX(Time_Link!$B$1:$B$5000,MATCH($A55,Time_Link!$A$1:$A$5000,0)),0))</f>
        <v/>
      </c>
      <c r="AP55" s="27" t="str">
        <f aca="false">IF($A55="","",IFERROR((AJ55*W_TREND+AK55*W_SMART+AL55*W_MA+AM55*W_VOL+AN55*W_MARKET+AO55*W_TIME)/W_SUM,0))</f>
        <v/>
      </c>
      <c r="AQ55" s="28" t="str">
        <f aca="false">IF($A55="","",IF(ABS(AP55)&gt;=8,5,IF(ABS(AP55)&gt;=5,4,IF(ABS(AP55)&gt;=3,3,IF(ABS(AP55)&gt;=1.5,2,1)))))</f>
        <v/>
      </c>
      <c r="AR55" s="23" t="str">
        <f aca="false">IF($A55="","",IF(G55="","بدون داده",IF(G55&lt;MIN_LIQ_B,"کم‌اعتبار","معتبر")))</f>
        <v/>
      </c>
      <c r="AS55" s="42" t="str">
        <f aca="false">IF($A55="","",IFERROR(AP55+ROW()/1000000,-99))</f>
        <v/>
      </c>
      <c r="AT55" s="28" t="str">
        <f aca="false">IF($A55="","",RANK(AS55,$AS$5:$AS$64,0))</f>
        <v/>
      </c>
      <c r="AU55" s="28" t="str">
        <f aca="false">IF($A55="","",RANK(AS55,$AS$5:$AS$64,1))</f>
        <v/>
      </c>
    </row>
    <row r="56" customFormat="false" ht="15" hidden="false" customHeight="false" outlineLevel="0" collapsed="false">
      <c r="A56" s="37" t="str">
        <f aca="false">IF(COUNTA(Watchlist!$A$56)=0,"",Watchlist!$A$56)</f>
        <v/>
      </c>
      <c r="B56" s="28" t="str">
        <f aca="false">IF($A56="","",IFERROR(MATCH($A56,Data_Input!$A$1:$A$5000,0),""))</f>
        <v/>
      </c>
      <c r="C56" s="28" t="str">
        <f aca="false">IF($A56="","",IFERROR(MATCH($A56,Daily_History!$AN$1:$AN$5000,0),""))</f>
        <v/>
      </c>
      <c r="D56" s="39" t="str">
        <f aca="false">IF($A56="","",IFERROR(INDEX(Data_Input!$I$1:$I$5000,$B56),""))</f>
        <v/>
      </c>
      <c r="E56" s="39" t="str">
        <f aca="false">IF($A56="","",IFERROR(INDEX(Data_Input!$J$1:$J$5000,$B56),""))</f>
        <v/>
      </c>
      <c r="F56" s="40" t="str">
        <f aca="false">IF($A56="","",IFERROR(INDEX(Data_Input!$M$1:$M$5000,$B56),""))</f>
        <v/>
      </c>
      <c r="G56" s="41" t="str">
        <f aca="false">IF($A56="","",IFERROR(INDEX(Data_Input!$R$1:$R$5000,$B56)/1000000000,""))</f>
        <v/>
      </c>
      <c r="H56" s="39" t="str">
        <f aca="false">IF($A56="","",IFERROR(INDEX(Daily_History!$V$1:$V$5000,$C56),""))</f>
        <v/>
      </c>
      <c r="I56" s="39" t="str">
        <f aca="false">IF($A56="","",IFERROR(INDEX(Daily_History!$W$1:$W$5000,$C56),""))</f>
        <v/>
      </c>
      <c r="J56" s="39" t="str">
        <f aca="false">IF($A56="","",IFERROR(INDEX(Daily_History!$X$1:$X$5000,$C56),""))</f>
        <v/>
      </c>
      <c r="K56" s="39" t="str">
        <f aca="false">IF($A56="","",IFERROR(INDEX(Daily_History!$Y$1:$Y$5000,$C56),""))</f>
        <v/>
      </c>
      <c r="L56" s="35" t="str">
        <f aca="false">IF($A56="","",IFERROR($D56/$I56-1,""))</f>
        <v/>
      </c>
      <c r="M56" s="35" t="str">
        <f aca="false">IF($A56="","",IFERROR($D56/$K56-1,""))</f>
        <v/>
      </c>
      <c r="N56" s="28" t="str">
        <f aca="false">IF($A56="","",IF(D56&gt;H56,1,0)+IF(D56&gt;I56,1,0)+IF(D56&gt;J56,1,0)+IF(D56&gt;K56,1,0))</f>
        <v/>
      </c>
      <c r="O56" s="23" t="str">
        <f aca="false">IF($A56="","",IF(AND(ISNUMBER(H56),ISNUMBER(K56)),IF(AND(H56&gt;I56,I56&gt;J56,J56&gt;K56),"آرایش صعودی کامل",IF(AND(H56&lt;I56,I56&lt;J56,J56&lt;K56),"آرایش نزولی کامل",IF(I56&gt;K56,"تقاطع طلایی","تقاطع مرگ"))),"داده ناکافی"))</f>
        <v/>
      </c>
      <c r="P56" s="35" t="str">
        <f aca="false">IF($A56="","",IFERROR(H56/INDEX(Daily_History!$V$1:$V$5000,$C56-MA_SHORT)-1,""))</f>
        <v/>
      </c>
      <c r="Q56" s="39" t="str">
        <f aca="false">IF($A56="","",IFERROR(INDEX(Daily_History!$AI$1:$AI$5000,$C56),""))</f>
        <v/>
      </c>
      <c r="R56" s="39" t="str">
        <f aca="false">IF($A56="","",IFERROR(INDEX(Daily_History!$AJ$1:$AJ$5000,$C56),""))</f>
        <v/>
      </c>
      <c r="S56" s="39" t="str">
        <f aca="false">IF($A56="","",IFERROR(INDEX(Daily_History!$AK$1:$AK$5000,$C56),""))</f>
        <v/>
      </c>
      <c r="T56" s="39" t="str">
        <f aca="false">IF($A56="","",IFERROR(INDEX(Daily_History!$AL$1:$AL$5000,$C56),""))</f>
        <v/>
      </c>
      <c r="U56" s="23" t="str">
        <f aca="false">IF($A56="","",IF(AND(ISNUMBER(S56),ISNUMBER(D56)),IF(D56&gt;=S56*0.995,"سقف‌شکنی میان‌مدت (HH)",IF(D56&gt;=Q56*0.995,"سقف‌شکنی کوتاه‌مدت",IF(D56&lt;=T56*1.005,"کف‌شکنی میان‌مدت (LL)",IF(D56&lt;=R56*1.005,"کف‌شکنی کوتاه‌مدت","درون محدوده")))),"داده ناکافی"))</f>
        <v/>
      </c>
      <c r="V56" s="39" t="str">
        <f aca="false">IF($A56="","",IFERROR(INDEX(Daily_History!$AB$1:$AB$5000,$C56),""))</f>
        <v/>
      </c>
      <c r="W56" s="35" t="str">
        <f aca="false">IF($A56="","",IFERROR(V56/D56,""))</f>
        <v/>
      </c>
      <c r="X56" s="26" t="str">
        <f aca="false">IF($A56="","",IFERROR(D56-ATR_STOP_MULT*V56,""))</f>
        <v/>
      </c>
      <c r="Y56" s="39" t="str">
        <f aca="false">IF($A56="","",IFERROR(INDEX(Daily_History!$Z$1:$Z$5000,$C56),""))</f>
        <v/>
      </c>
      <c r="Z56" s="39" t="str">
        <f aca="false">IF($A56="","",IFERROR(INDEX(Data_Input!$Q$1:$Q$5000,$B56),""))</f>
        <v/>
      </c>
      <c r="AA56" s="33" t="str">
        <f aca="false">IF($A56="","",IFERROR(Z56/Y56,""))</f>
        <v/>
      </c>
      <c r="AB56" s="26" t="str">
        <f aca="false">IF($A56="","",IFERROR(INDEX(Data_Input!$V$1:$V$5000,$B56)-INDEX(Data_Input!$W$1:$W$5000,$B56),""))</f>
        <v/>
      </c>
      <c r="AC56" s="27" t="str">
        <f aca="false">IF($A56="","",IFERROR(AB56*E56/1000000000,""))</f>
        <v/>
      </c>
      <c r="AD56" s="35" t="str">
        <f aca="false">IF($A56="","",IFERROR(AB56*E56/INDEX(Data_Input!$R$1:$R$5000,$B56),""))</f>
        <v/>
      </c>
      <c r="AE56" s="27" t="str">
        <f aca="false">IF($A56="","",IFERROR(INDEX(Data_Input!$V$1:$V$5000,$B56)*E56/INDEX(Data_Input!$X$1:$X$5000,$B56)/1000000,""))</f>
        <v/>
      </c>
      <c r="AF56" s="27" t="str">
        <f aca="false">IF($A56="","",IFERROR(INDEX(Data_Input!$W$1:$W$5000,$B56)*E56/INDEX(Data_Input!$Y$1:$Y$5000,$B56)/1000000,""))</f>
        <v/>
      </c>
      <c r="AG56" s="33" t="str">
        <f aca="false">IF($A56="","",IFERROR(AE56/AF56,""))</f>
        <v/>
      </c>
      <c r="AH56" s="41" t="str">
        <f aca="false">IF($A56="","",IFERROR(INDEX(Daily_History!$AH$1:$AH$5000,$C56)/1000000000,""))</f>
        <v/>
      </c>
      <c r="AI56" s="35" t="str">
        <f aca="false">IF($A56="","",IFERROR(AH56/(5*G56),""))</f>
        <v/>
      </c>
      <c r="AJ56" s="27" t="str">
        <f aca="false">IF($A56="","",IFERROR(MAX(-10,MIN(10,IF(D56&gt;I56*1.02,3,IF(D56&gt;I56,1.5,IF(D56&lt;I56*0.98,-3,-1.5)))+IF(I56&gt;K56*1.02,3,IF(I56&gt;K56,1.5,IF(I56&lt;K56*0.98,-3,-1.5)))+IF(D56&gt;=Q56*0.995,2,IF(D56&lt;=R56*1.005,-2,0))+IF(P56&gt;0.03,2,IF(P56&gt;0,1,IF(P56&lt;-0.03,-2,-1))))),0))</f>
        <v/>
      </c>
      <c r="AK56" s="27" t="str">
        <f aca="false">IF($A56="","",IFERROR(MAX(-10,MIN(10,IF(AG56&gt;=SM_STRONG,4,IF(AG56&gt;=SM_MOD,2,IF(AG56&lt;=SM_BAD,-4,IF(AG56&lt;=SM_WEAK,-2,0))))+IF(AD56&gt;=NF_STRONG,3,IF(AD56&gt;=NF_MOD,1.5,IF(AD56&lt;=-NF_STRONG,-3,IF(AD56&lt;=-NF_MOD,-1.5,0))))+IF(AI56&gt;=NF_MOD,3,IF(AI56&gt;0,1.5,IF(AI56&lt;=-NF_MOD,-3,-1.5))))),0))</f>
        <v/>
      </c>
      <c r="AL56" s="27" t="str">
        <f aca="false">IF($A56="","",IFERROR(N56*5-10,0))</f>
        <v/>
      </c>
      <c r="AM56" s="27" t="str">
        <f aca="false">IF($A56="","",IFERROR(IF(F56&gt;0,IF(AA56&gt;=VOL_HIGH,9,IF(AA56&gt;=VOL_MOD,5,IF(AA56&lt;=VOL_DRY,-2,2))),IF(F56&lt;0,IF(AA56&gt;=VOL_HIGH,-9,IF(AA56&gt;=VOL_MOD,-5,IF(AA56&lt;=VOL_DRY,2,-2))),0)),0))</f>
        <v/>
      </c>
      <c r="AN56" s="41" t="str">
        <f aca="false">IF($A56="","",MARKET_SCORE)</f>
        <v/>
      </c>
      <c r="AO56" s="41" t="str">
        <f aca="false">IF($A56="","",IFERROR(INDEX(Time_Link!$B$1:$B$5000,MATCH($A56,Time_Link!$A$1:$A$5000,0)),0))</f>
        <v/>
      </c>
      <c r="AP56" s="27" t="str">
        <f aca="false">IF($A56="","",IFERROR((AJ56*W_TREND+AK56*W_SMART+AL56*W_MA+AM56*W_VOL+AN56*W_MARKET+AO56*W_TIME)/W_SUM,0))</f>
        <v/>
      </c>
      <c r="AQ56" s="28" t="str">
        <f aca="false">IF($A56="","",IF(ABS(AP56)&gt;=8,5,IF(ABS(AP56)&gt;=5,4,IF(ABS(AP56)&gt;=3,3,IF(ABS(AP56)&gt;=1.5,2,1)))))</f>
        <v/>
      </c>
      <c r="AR56" s="23" t="str">
        <f aca="false">IF($A56="","",IF(G56="","بدون داده",IF(G56&lt;MIN_LIQ_B,"کم‌اعتبار","معتبر")))</f>
        <v/>
      </c>
      <c r="AS56" s="42" t="str">
        <f aca="false">IF($A56="","",IFERROR(AP56+ROW()/1000000,-99))</f>
        <v/>
      </c>
      <c r="AT56" s="28" t="str">
        <f aca="false">IF($A56="","",RANK(AS56,$AS$5:$AS$64,0))</f>
        <v/>
      </c>
      <c r="AU56" s="28" t="str">
        <f aca="false">IF($A56="","",RANK(AS56,$AS$5:$AS$64,1))</f>
        <v/>
      </c>
    </row>
    <row r="57" customFormat="false" ht="15" hidden="false" customHeight="false" outlineLevel="0" collapsed="false">
      <c r="A57" s="37" t="str">
        <f aca="false">IF(COUNTA(Watchlist!$A$57)=0,"",Watchlist!$A$57)</f>
        <v/>
      </c>
      <c r="B57" s="28" t="str">
        <f aca="false">IF($A57="","",IFERROR(MATCH($A57,Data_Input!$A$1:$A$5000,0),""))</f>
        <v/>
      </c>
      <c r="C57" s="28" t="str">
        <f aca="false">IF($A57="","",IFERROR(MATCH($A57,Daily_History!$AN$1:$AN$5000,0),""))</f>
        <v/>
      </c>
      <c r="D57" s="39" t="str">
        <f aca="false">IF($A57="","",IFERROR(INDEX(Data_Input!$I$1:$I$5000,$B57),""))</f>
        <v/>
      </c>
      <c r="E57" s="39" t="str">
        <f aca="false">IF($A57="","",IFERROR(INDEX(Data_Input!$J$1:$J$5000,$B57),""))</f>
        <v/>
      </c>
      <c r="F57" s="40" t="str">
        <f aca="false">IF($A57="","",IFERROR(INDEX(Data_Input!$M$1:$M$5000,$B57),""))</f>
        <v/>
      </c>
      <c r="G57" s="41" t="str">
        <f aca="false">IF($A57="","",IFERROR(INDEX(Data_Input!$R$1:$R$5000,$B57)/1000000000,""))</f>
        <v/>
      </c>
      <c r="H57" s="39" t="str">
        <f aca="false">IF($A57="","",IFERROR(INDEX(Daily_History!$V$1:$V$5000,$C57),""))</f>
        <v/>
      </c>
      <c r="I57" s="39" t="str">
        <f aca="false">IF($A57="","",IFERROR(INDEX(Daily_History!$W$1:$W$5000,$C57),""))</f>
        <v/>
      </c>
      <c r="J57" s="39" t="str">
        <f aca="false">IF($A57="","",IFERROR(INDEX(Daily_History!$X$1:$X$5000,$C57),""))</f>
        <v/>
      </c>
      <c r="K57" s="39" t="str">
        <f aca="false">IF($A57="","",IFERROR(INDEX(Daily_History!$Y$1:$Y$5000,$C57),""))</f>
        <v/>
      </c>
      <c r="L57" s="35" t="str">
        <f aca="false">IF($A57="","",IFERROR($D57/$I57-1,""))</f>
        <v/>
      </c>
      <c r="M57" s="35" t="str">
        <f aca="false">IF($A57="","",IFERROR($D57/$K57-1,""))</f>
        <v/>
      </c>
      <c r="N57" s="28" t="str">
        <f aca="false">IF($A57="","",IF(D57&gt;H57,1,0)+IF(D57&gt;I57,1,0)+IF(D57&gt;J57,1,0)+IF(D57&gt;K57,1,0))</f>
        <v/>
      </c>
      <c r="O57" s="23" t="str">
        <f aca="false">IF($A57="","",IF(AND(ISNUMBER(H57),ISNUMBER(K57)),IF(AND(H57&gt;I57,I57&gt;J57,J57&gt;K57),"آرایش صعودی کامل",IF(AND(H57&lt;I57,I57&lt;J57,J57&lt;K57),"آرایش نزولی کامل",IF(I57&gt;K57,"تقاطع طلایی","تقاطع مرگ"))),"داده ناکافی"))</f>
        <v/>
      </c>
      <c r="P57" s="35" t="str">
        <f aca="false">IF($A57="","",IFERROR(H57/INDEX(Daily_History!$V$1:$V$5000,$C57-MA_SHORT)-1,""))</f>
        <v/>
      </c>
      <c r="Q57" s="39" t="str">
        <f aca="false">IF($A57="","",IFERROR(INDEX(Daily_History!$AI$1:$AI$5000,$C57),""))</f>
        <v/>
      </c>
      <c r="R57" s="39" t="str">
        <f aca="false">IF($A57="","",IFERROR(INDEX(Daily_History!$AJ$1:$AJ$5000,$C57),""))</f>
        <v/>
      </c>
      <c r="S57" s="39" t="str">
        <f aca="false">IF($A57="","",IFERROR(INDEX(Daily_History!$AK$1:$AK$5000,$C57),""))</f>
        <v/>
      </c>
      <c r="T57" s="39" t="str">
        <f aca="false">IF($A57="","",IFERROR(INDEX(Daily_History!$AL$1:$AL$5000,$C57),""))</f>
        <v/>
      </c>
      <c r="U57" s="23" t="str">
        <f aca="false">IF($A57="","",IF(AND(ISNUMBER(S57),ISNUMBER(D57)),IF(D57&gt;=S57*0.995,"سقف‌شکنی میان‌مدت (HH)",IF(D57&gt;=Q57*0.995,"سقف‌شکنی کوتاه‌مدت",IF(D57&lt;=T57*1.005,"کف‌شکنی میان‌مدت (LL)",IF(D57&lt;=R57*1.005,"کف‌شکنی کوتاه‌مدت","درون محدوده")))),"داده ناکافی"))</f>
        <v/>
      </c>
      <c r="V57" s="39" t="str">
        <f aca="false">IF($A57="","",IFERROR(INDEX(Daily_History!$AB$1:$AB$5000,$C57),""))</f>
        <v/>
      </c>
      <c r="W57" s="35" t="str">
        <f aca="false">IF($A57="","",IFERROR(V57/D57,""))</f>
        <v/>
      </c>
      <c r="X57" s="26" t="str">
        <f aca="false">IF($A57="","",IFERROR(D57-ATR_STOP_MULT*V57,""))</f>
        <v/>
      </c>
      <c r="Y57" s="39" t="str">
        <f aca="false">IF($A57="","",IFERROR(INDEX(Daily_History!$Z$1:$Z$5000,$C57),""))</f>
        <v/>
      </c>
      <c r="Z57" s="39" t="str">
        <f aca="false">IF($A57="","",IFERROR(INDEX(Data_Input!$Q$1:$Q$5000,$B57),""))</f>
        <v/>
      </c>
      <c r="AA57" s="33" t="str">
        <f aca="false">IF($A57="","",IFERROR(Z57/Y57,""))</f>
        <v/>
      </c>
      <c r="AB57" s="26" t="str">
        <f aca="false">IF($A57="","",IFERROR(INDEX(Data_Input!$V$1:$V$5000,$B57)-INDEX(Data_Input!$W$1:$W$5000,$B57),""))</f>
        <v/>
      </c>
      <c r="AC57" s="27" t="str">
        <f aca="false">IF($A57="","",IFERROR(AB57*E57/1000000000,""))</f>
        <v/>
      </c>
      <c r="AD57" s="35" t="str">
        <f aca="false">IF($A57="","",IFERROR(AB57*E57/INDEX(Data_Input!$R$1:$R$5000,$B57),""))</f>
        <v/>
      </c>
      <c r="AE57" s="27" t="str">
        <f aca="false">IF($A57="","",IFERROR(INDEX(Data_Input!$V$1:$V$5000,$B57)*E57/INDEX(Data_Input!$X$1:$X$5000,$B57)/1000000,""))</f>
        <v/>
      </c>
      <c r="AF57" s="27" t="str">
        <f aca="false">IF($A57="","",IFERROR(INDEX(Data_Input!$W$1:$W$5000,$B57)*E57/INDEX(Data_Input!$Y$1:$Y$5000,$B57)/1000000,""))</f>
        <v/>
      </c>
      <c r="AG57" s="33" t="str">
        <f aca="false">IF($A57="","",IFERROR(AE57/AF57,""))</f>
        <v/>
      </c>
      <c r="AH57" s="41" t="str">
        <f aca="false">IF($A57="","",IFERROR(INDEX(Daily_History!$AH$1:$AH$5000,$C57)/1000000000,""))</f>
        <v/>
      </c>
      <c r="AI57" s="35" t="str">
        <f aca="false">IF($A57="","",IFERROR(AH57/(5*G57),""))</f>
        <v/>
      </c>
      <c r="AJ57" s="27" t="str">
        <f aca="false">IF($A57="","",IFERROR(MAX(-10,MIN(10,IF(D57&gt;I57*1.02,3,IF(D57&gt;I57,1.5,IF(D57&lt;I57*0.98,-3,-1.5)))+IF(I57&gt;K57*1.02,3,IF(I57&gt;K57,1.5,IF(I57&lt;K57*0.98,-3,-1.5)))+IF(D57&gt;=Q57*0.995,2,IF(D57&lt;=R57*1.005,-2,0))+IF(P57&gt;0.03,2,IF(P57&gt;0,1,IF(P57&lt;-0.03,-2,-1))))),0))</f>
        <v/>
      </c>
      <c r="AK57" s="27" t="str">
        <f aca="false">IF($A57="","",IFERROR(MAX(-10,MIN(10,IF(AG57&gt;=SM_STRONG,4,IF(AG57&gt;=SM_MOD,2,IF(AG57&lt;=SM_BAD,-4,IF(AG57&lt;=SM_WEAK,-2,0))))+IF(AD57&gt;=NF_STRONG,3,IF(AD57&gt;=NF_MOD,1.5,IF(AD57&lt;=-NF_STRONG,-3,IF(AD57&lt;=-NF_MOD,-1.5,0))))+IF(AI57&gt;=NF_MOD,3,IF(AI57&gt;0,1.5,IF(AI57&lt;=-NF_MOD,-3,-1.5))))),0))</f>
        <v/>
      </c>
      <c r="AL57" s="27" t="str">
        <f aca="false">IF($A57="","",IFERROR(N57*5-10,0))</f>
        <v/>
      </c>
      <c r="AM57" s="27" t="str">
        <f aca="false">IF($A57="","",IFERROR(IF(F57&gt;0,IF(AA57&gt;=VOL_HIGH,9,IF(AA57&gt;=VOL_MOD,5,IF(AA57&lt;=VOL_DRY,-2,2))),IF(F57&lt;0,IF(AA57&gt;=VOL_HIGH,-9,IF(AA57&gt;=VOL_MOD,-5,IF(AA57&lt;=VOL_DRY,2,-2))),0)),0))</f>
        <v/>
      </c>
      <c r="AN57" s="41" t="str">
        <f aca="false">IF($A57="","",MARKET_SCORE)</f>
        <v/>
      </c>
      <c r="AO57" s="41" t="str">
        <f aca="false">IF($A57="","",IFERROR(INDEX(Time_Link!$B$1:$B$5000,MATCH($A57,Time_Link!$A$1:$A$5000,0)),0))</f>
        <v/>
      </c>
      <c r="AP57" s="27" t="str">
        <f aca="false">IF($A57="","",IFERROR((AJ57*W_TREND+AK57*W_SMART+AL57*W_MA+AM57*W_VOL+AN57*W_MARKET+AO57*W_TIME)/W_SUM,0))</f>
        <v/>
      </c>
      <c r="AQ57" s="28" t="str">
        <f aca="false">IF($A57="","",IF(ABS(AP57)&gt;=8,5,IF(ABS(AP57)&gt;=5,4,IF(ABS(AP57)&gt;=3,3,IF(ABS(AP57)&gt;=1.5,2,1)))))</f>
        <v/>
      </c>
      <c r="AR57" s="23" t="str">
        <f aca="false">IF($A57="","",IF(G57="","بدون داده",IF(G57&lt;MIN_LIQ_B,"کم‌اعتبار","معتبر")))</f>
        <v/>
      </c>
      <c r="AS57" s="42" t="str">
        <f aca="false">IF($A57="","",IFERROR(AP57+ROW()/1000000,-99))</f>
        <v/>
      </c>
      <c r="AT57" s="28" t="str">
        <f aca="false">IF($A57="","",RANK(AS57,$AS$5:$AS$64,0))</f>
        <v/>
      </c>
      <c r="AU57" s="28" t="str">
        <f aca="false">IF($A57="","",RANK(AS57,$AS$5:$AS$64,1))</f>
        <v/>
      </c>
    </row>
    <row r="58" customFormat="false" ht="15" hidden="false" customHeight="false" outlineLevel="0" collapsed="false">
      <c r="A58" s="37" t="str">
        <f aca="false">IF(COUNTA(Watchlist!$A$58)=0,"",Watchlist!$A$58)</f>
        <v/>
      </c>
      <c r="B58" s="28" t="str">
        <f aca="false">IF($A58="","",IFERROR(MATCH($A58,Data_Input!$A$1:$A$5000,0),""))</f>
        <v/>
      </c>
      <c r="C58" s="28" t="str">
        <f aca="false">IF($A58="","",IFERROR(MATCH($A58,Daily_History!$AN$1:$AN$5000,0),""))</f>
        <v/>
      </c>
      <c r="D58" s="39" t="str">
        <f aca="false">IF($A58="","",IFERROR(INDEX(Data_Input!$I$1:$I$5000,$B58),""))</f>
        <v/>
      </c>
      <c r="E58" s="39" t="str">
        <f aca="false">IF($A58="","",IFERROR(INDEX(Data_Input!$J$1:$J$5000,$B58),""))</f>
        <v/>
      </c>
      <c r="F58" s="40" t="str">
        <f aca="false">IF($A58="","",IFERROR(INDEX(Data_Input!$M$1:$M$5000,$B58),""))</f>
        <v/>
      </c>
      <c r="G58" s="41" t="str">
        <f aca="false">IF($A58="","",IFERROR(INDEX(Data_Input!$R$1:$R$5000,$B58)/1000000000,""))</f>
        <v/>
      </c>
      <c r="H58" s="39" t="str">
        <f aca="false">IF($A58="","",IFERROR(INDEX(Daily_History!$V$1:$V$5000,$C58),""))</f>
        <v/>
      </c>
      <c r="I58" s="39" t="str">
        <f aca="false">IF($A58="","",IFERROR(INDEX(Daily_History!$W$1:$W$5000,$C58),""))</f>
        <v/>
      </c>
      <c r="J58" s="39" t="str">
        <f aca="false">IF($A58="","",IFERROR(INDEX(Daily_History!$X$1:$X$5000,$C58),""))</f>
        <v/>
      </c>
      <c r="K58" s="39" t="str">
        <f aca="false">IF($A58="","",IFERROR(INDEX(Daily_History!$Y$1:$Y$5000,$C58),""))</f>
        <v/>
      </c>
      <c r="L58" s="35" t="str">
        <f aca="false">IF($A58="","",IFERROR($D58/$I58-1,""))</f>
        <v/>
      </c>
      <c r="M58" s="35" t="str">
        <f aca="false">IF($A58="","",IFERROR($D58/$K58-1,""))</f>
        <v/>
      </c>
      <c r="N58" s="28" t="str">
        <f aca="false">IF($A58="","",IF(D58&gt;H58,1,0)+IF(D58&gt;I58,1,0)+IF(D58&gt;J58,1,0)+IF(D58&gt;K58,1,0))</f>
        <v/>
      </c>
      <c r="O58" s="23" t="str">
        <f aca="false">IF($A58="","",IF(AND(ISNUMBER(H58),ISNUMBER(K58)),IF(AND(H58&gt;I58,I58&gt;J58,J58&gt;K58),"آرایش صعودی کامل",IF(AND(H58&lt;I58,I58&lt;J58,J58&lt;K58),"آرایش نزولی کامل",IF(I58&gt;K58,"تقاطع طلایی","تقاطع مرگ"))),"داده ناکافی"))</f>
        <v/>
      </c>
      <c r="P58" s="35" t="str">
        <f aca="false">IF($A58="","",IFERROR(H58/INDEX(Daily_History!$V$1:$V$5000,$C58-MA_SHORT)-1,""))</f>
        <v/>
      </c>
      <c r="Q58" s="39" t="str">
        <f aca="false">IF($A58="","",IFERROR(INDEX(Daily_History!$AI$1:$AI$5000,$C58),""))</f>
        <v/>
      </c>
      <c r="R58" s="39" t="str">
        <f aca="false">IF($A58="","",IFERROR(INDEX(Daily_History!$AJ$1:$AJ$5000,$C58),""))</f>
        <v/>
      </c>
      <c r="S58" s="39" t="str">
        <f aca="false">IF($A58="","",IFERROR(INDEX(Daily_History!$AK$1:$AK$5000,$C58),""))</f>
        <v/>
      </c>
      <c r="T58" s="39" t="str">
        <f aca="false">IF($A58="","",IFERROR(INDEX(Daily_History!$AL$1:$AL$5000,$C58),""))</f>
        <v/>
      </c>
      <c r="U58" s="23" t="str">
        <f aca="false">IF($A58="","",IF(AND(ISNUMBER(S58),ISNUMBER(D58)),IF(D58&gt;=S58*0.995,"سقف‌شکنی میان‌مدت (HH)",IF(D58&gt;=Q58*0.995,"سقف‌شکنی کوتاه‌مدت",IF(D58&lt;=T58*1.005,"کف‌شکنی میان‌مدت (LL)",IF(D58&lt;=R58*1.005,"کف‌شکنی کوتاه‌مدت","درون محدوده")))),"داده ناکافی"))</f>
        <v/>
      </c>
      <c r="V58" s="39" t="str">
        <f aca="false">IF($A58="","",IFERROR(INDEX(Daily_History!$AB$1:$AB$5000,$C58),""))</f>
        <v/>
      </c>
      <c r="W58" s="35" t="str">
        <f aca="false">IF($A58="","",IFERROR(V58/D58,""))</f>
        <v/>
      </c>
      <c r="X58" s="26" t="str">
        <f aca="false">IF($A58="","",IFERROR(D58-ATR_STOP_MULT*V58,""))</f>
        <v/>
      </c>
      <c r="Y58" s="39" t="str">
        <f aca="false">IF($A58="","",IFERROR(INDEX(Daily_History!$Z$1:$Z$5000,$C58),""))</f>
        <v/>
      </c>
      <c r="Z58" s="39" t="str">
        <f aca="false">IF($A58="","",IFERROR(INDEX(Data_Input!$Q$1:$Q$5000,$B58),""))</f>
        <v/>
      </c>
      <c r="AA58" s="33" t="str">
        <f aca="false">IF($A58="","",IFERROR(Z58/Y58,""))</f>
        <v/>
      </c>
      <c r="AB58" s="26" t="str">
        <f aca="false">IF($A58="","",IFERROR(INDEX(Data_Input!$V$1:$V$5000,$B58)-INDEX(Data_Input!$W$1:$W$5000,$B58),""))</f>
        <v/>
      </c>
      <c r="AC58" s="27" t="str">
        <f aca="false">IF($A58="","",IFERROR(AB58*E58/1000000000,""))</f>
        <v/>
      </c>
      <c r="AD58" s="35" t="str">
        <f aca="false">IF($A58="","",IFERROR(AB58*E58/INDEX(Data_Input!$R$1:$R$5000,$B58),""))</f>
        <v/>
      </c>
      <c r="AE58" s="27" t="str">
        <f aca="false">IF($A58="","",IFERROR(INDEX(Data_Input!$V$1:$V$5000,$B58)*E58/INDEX(Data_Input!$X$1:$X$5000,$B58)/1000000,""))</f>
        <v/>
      </c>
      <c r="AF58" s="27" t="str">
        <f aca="false">IF($A58="","",IFERROR(INDEX(Data_Input!$W$1:$W$5000,$B58)*E58/INDEX(Data_Input!$Y$1:$Y$5000,$B58)/1000000,""))</f>
        <v/>
      </c>
      <c r="AG58" s="33" t="str">
        <f aca="false">IF($A58="","",IFERROR(AE58/AF58,""))</f>
        <v/>
      </c>
      <c r="AH58" s="41" t="str">
        <f aca="false">IF($A58="","",IFERROR(INDEX(Daily_History!$AH$1:$AH$5000,$C58)/1000000000,""))</f>
        <v/>
      </c>
      <c r="AI58" s="35" t="str">
        <f aca="false">IF($A58="","",IFERROR(AH58/(5*G58),""))</f>
        <v/>
      </c>
      <c r="AJ58" s="27" t="str">
        <f aca="false">IF($A58="","",IFERROR(MAX(-10,MIN(10,IF(D58&gt;I58*1.02,3,IF(D58&gt;I58,1.5,IF(D58&lt;I58*0.98,-3,-1.5)))+IF(I58&gt;K58*1.02,3,IF(I58&gt;K58,1.5,IF(I58&lt;K58*0.98,-3,-1.5)))+IF(D58&gt;=Q58*0.995,2,IF(D58&lt;=R58*1.005,-2,0))+IF(P58&gt;0.03,2,IF(P58&gt;0,1,IF(P58&lt;-0.03,-2,-1))))),0))</f>
        <v/>
      </c>
      <c r="AK58" s="27" t="str">
        <f aca="false">IF($A58="","",IFERROR(MAX(-10,MIN(10,IF(AG58&gt;=SM_STRONG,4,IF(AG58&gt;=SM_MOD,2,IF(AG58&lt;=SM_BAD,-4,IF(AG58&lt;=SM_WEAK,-2,0))))+IF(AD58&gt;=NF_STRONG,3,IF(AD58&gt;=NF_MOD,1.5,IF(AD58&lt;=-NF_STRONG,-3,IF(AD58&lt;=-NF_MOD,-1.5,0))))+IF(AI58&gt;=NF_MOD,3,IF(AI58&gt;0,1.5,IF(AI58&lt;=-NF_MOD,-3,-1.5))))),0))</f>
        <v/>
      </c>
      <c r="AL58" s="27" t="str">
        <f aca="false">IF($A58="","",IFERROR(N58*5-10,0))</f>
        <v/>
      </c>
      <c r="AM58" s="27" t="str">
        <f aca="false">IF($A58="","",IFERROR(IF(F58&gt;0,IF(AA58&gt;=VOL_HIGH,9,IF(AA58&gt;=VOL_MOD,5,IF(AA58&lt;=VOL_DRY,-2,2))),IF(F58&lt;0,IF(AA58&gt;=VOL_HIGH,-9,IF(AA58&gt;=VOL_MOD,-5,IF(AA58&lt;=VOL_DRY,2,-2))),0)),0))</f>
        <v/>
      </c>
      <c r="AN58" s="41" t="str">
        <f aca="false">IF($A58="","",MARKET_SCORE)</f>
        <v/>
      </c>
      <c r="AO58" s="41" t="str">
        <f aca="false">IF($A58="","",IFERROR(INDEX(Time_Link!$B$1:$B$5000,MATCH($A58,Time_Link!$A$1:$A$5000,0)),0))</f>
        <v/>
      </c>
      <c r="AP58" s="27" t="str">
        <f aca="false">IF($A58="","",IFERROR((AJ58*W_TREND+AK58*W_SMART+AL58*W_MA+AM58*W_VOL+AN58*W_MARKET+AO58*W_TIME)/W_SUM,0))</f>
        <v/>
      </c>
      <c r="AQ58" s="28" t="str">
        <f aca="false">IF($A58="","",IF(ABS(AP58)&gt;=8,5,IF(ABS(AP58)&gt;=5,4,IF(ABS(AP58)&gt;=3,3,IF(ABS(AP58)&gt;=1.5,2,1)))))</f>
        <v/>
      </c>
      <c r="AR58" s="23" t="str">
        <f aca="false">IF($A58="","",IF(G58="","بدون داده",IF(G58&lt;MIN_LIQ_B,"کم‌اعتبار","معتبر")))</f>
        <v/>
      </c>
      <c r="AS58" s="42" t="str">
        <f aca="false">IF($A58="","",IFERROR(AP58+ROW()/1000000,-99))</f>
        <v/>
      </c>
      <c r="AT58" s="28" t="str">
        <f aca="false">IF($A58="","",RANK(AS58,$AS$5:$AS$64,0))</f>
        <v/>
      </c>
      <c r="AU58" s="28" t="str">
        <f aca="false">IF($A58="","",RANK(AS58,$AS$5:$AS$64,1))</f>
        <v/>
      </c>
    </row>
    <row r="59" customFormat="false" ht="15" hidden="false" customHeight="false" outlineLevel="0" collapsed="false">
      <c r="A59" s="37" t="str">
        <f aca="false">IF(COUNTA(Watchlist!$A$59)=0,"",Watchlist!$A$59)</f>
        <v/>
      </c>
      <c r="B59" s="28" t="str">
        <f aca="false">IF($A59="","",IFERROR(MATCH($A59,Data_Input!$A$1:$A$5000,0),""))</f>
        <v/>
      </c>
      <c r="C59" s="28" t="str">
        <f aca="false">IF($A59="","",IFERROR(MATCH($A59,Daily_History!$AN$1:$AN$5000,0),""))</f>
        <v/>
      </c>
      <c r="D59" s="39" t="str">
        <f aca="false">IF($A59="","",IFERROR(INDEX(Data_Input!$I$1:$I$5000,$B59),""))</f>
        <v/>
      </c>
      <c r="E59" s="39" t="str">
        <f aca="false">IF($A59="","",IFERROR(INDEX(Data_Input!$J$1:$J$5000,$B59),""))</f>
        <v/>
      </c>
      <c r="F59" s="40" t="str">
        <f aca="false">IF($A59="","",IFERROR(INDEX(Data_Input!$M$1:$M$5000,$B59),""))</f>
        <v/>
      </c>
      <c r="G59" s="41" t="str">
        <f aca="false">IF($A59="","",IFERROR(INDEX(Data_Input!$R$1:$R$5000,$B59)/1000000000,""))</f>
        <v/>
      </c>
      <c r="H59" s="39" t="str">
        <f aca="false">IF($A59="","",IFERROR(INDEX(Daily_History!$V$1:$V$5000,$C59),""))</f>
        <v/>
      </c>
      <c r="I59" s="39" t="str">
        <f aca="false">IF($A59="","",IFERROR(INDEX(Daily_History!$W$1:$W$5000,$C59),""))</f>
        <v/>
      </c>
      <c r="J59" s="39" t="str">
        <f aca="false">IF($A59="","",IFERROR(INDEX(Daily_History!$X$1:$X$5000,$C59),""))</f>
        <v/>
      </c>
      <c r="K59" s="39" t="str">
        <f aca="false">IF($A59="","",IFERROR(INDEX(Daily_History!$Y$1:$Y$5000,$C59),""))</f>
        <v/>
      </c>
      <c r="L59" s="35" t="str">
        <f aca="false">IF($A59="","",IFERROR($D59/$I59-1,""))</f>
        <v/>
      </c>
      <c r="M59" s="35" t="str">
        <f aca="false">IF($A59="","",IFERROR($D59/$K59-1,""))</f>
        <v/>
      </c>
      <c r="N59" s="28" t="str">
        <f aca="false">IF($A59="","",IF(D59&gt;H59,1,0)+IF(D59&gt;I59,1,0)+IF(D59&gt;J59,1,0)+IF(D59&gt;K59,1,0))</f>
        <v/>
      </c>
      <c r="O59" s="23" t="str">
        <f aca="false">IF($A59="","",IF(AND(ISNUMBER(H59),ISNUMBER(K59)),IF(AND(H59&gt;I59,I59&gt;J59,J59&gt;K59),"آرایش صعودی کامل",IF(AND(H59&lt;I59,I59&lt;J59,J59&lt;K59),"آرایش نزولی کامل",IF(I59&gt;K59,"تقاطع طلایی","تقاطع مرگ"))),"داده ناکافی"))</f>
        <v/>
      </c>
      <c r="P59" s="35" t="str">
        <f aca="false">IF($A59="","",IFERROR(H59/INDEX(Daily_History!$V$1:$V$5000,$C59-MA_SHORT)-1,""))</f>
        <v/>
      </c>
      <c r="Q59" s="39" t="str">
        <f aca="false">IF($A59="","",IFERROR(INDEX(Daily_History!$AI$1:$AI$5000,$C59),""))</f>
        <v/>
      </c>
      <c r="R59" s="39" t="str">
        <f aca="false">IF($A59="","",IFERROR(INDEX(Daily_History!$AJ$1:$AJ$5000,$C59),""))</f>
        <v/>
      </c>
      <c r="S59" s="39" t="str">
        <f aca="false">IF($A59="","",IFERROR(INDEX(Daily_History!$AK$1:$AK$5000,$C59),""))</f>
        <v/>
      </c>
      <c r="T59" s="39" t="str">
        <f aca="false">IF($A59="","",IFERROR(INDEX(Daily_History!$AL$1:$AL$5000,$C59),""))</f>
        <v/>
      </c>
      <c r="U59" s="23" t="str">
        <f aca="false">IF($A59="","",IF(AND(ISNUMBER(S59),ISNUMBER(D59)),IF(D59&gt;=S59*0.995,"سقف‌شکنی میان‌مدت (HH)",IF(D59&gt;=Q59*0.995,"سقف‌شکنی کوتاه‌مدت",IF(D59&lt;=T59*1.005,"کف‌شکنی میان‌مدت (LL)",IF(D59&lt;=R59*1.005,"کف‌شکنی کوتاه‌مدت","درون محدوده")))),"داده ناکافی"))</f>
        <v/>
      </c>
      <c r="V59" s="39" t="str">
        <f aca="false">IF($A59="","",IFERROR(INDEX(Daily_History!$AB$1:$AB$5000,$C59),""))</f>
        <v/>
      </c>
      <c r="W59" s="35" t="str">
        <f aca="false">IF($A59="","",IFERROR(V59/D59,""))</f>
        <v/>
      </c>
      <c r="X59" s="26" t="str">
        <f aca="false">IF($A59="","",IFERROR(D59-ATR_STOP_MULT*V59,""))</f>
        <v/>
      </c>
      <c r="Y59" s="39" t="str">
        <f aca="false">IF($A59="","",IFERROR(INDEX(Daily_History!$Z$1:$Z$5000,$C59),""))</f>
        <v/>
      </c>
      <c r="Z59" s="39" t="str">
        <f aca="false">IF($A59="","",IFERROR(INDEX(Data_Input!$Q$1:$Q$5000,$B59),""))</f>
        <v/>
      </c>
      <c r="AA59" s="33" t="str">
        <f aca="false">IF($A59="","",IFERROR(Z59/Y59,""))</f>
        <v/>
      </c>
      <c r="AB59" s="26" t="str">
        <f aca="false">IF($A59="","",IFERROR(INDEX(Data_Input!$V$1:$V$5000,$B59)-INDEX(Data_Input!$W$1:$W$5000,$B59),""))</f>
        <v/>
      </c>
      <c r="AC59" s="27" t="str">
        <f aca="false">IF($A59="","",IFERROR(AB59*E59/1000000000,""))</f>
        <v/>
      </c>
      <c r="AD59" s="35" t="str">
        <f aca="false">IF($A59="","",IFERROR(AB59*E59/INDEX(Data_Input!$R$1:$R$5000,$B59),""))</f>
        <v/>
      </c>
      <c r="AE59" s="27" t="str">
        <f aca="false">IF($A59="","",IFERROR(INDEX(Data_Input!$V$1:$V$5000,$B59)*E59/INDEX(Data_Input!$X$1:$X$5000,$B59)/1000000,""))</f>
        <v/>
      </c>
      <c r="AF59" s="27" t="str">
        <f aca="false">IF($A59="","",IFERROR(INDEX(Data_Input!$W$1:$W$5000,$B59)*E59/INDEX(Data_Input!$Y$1:$Y$5000,$B59)/1000000,""))</f>
        <v/>
      </c>
      <c r="AG59" s="33" t="str">
        <f aca="false">IF($A59="","",IFERROR(AE59/AF59,""))</f>
        <v/>
      </c>
      <c r="AH59" s="41" t="str">
        <f aca="false">IF($A59="","",IFERROR(INDEX(Daily_History!$AH$1:$AH$5000,$C59)/1000000000,""))</f>
        <v/>
      </c>
      <c r="AI59" s="35" t="str">
        <f aca="false">IF($A59="","",IFERROR(AH59/(5*G59),""))</f>
        <v/>
      </c>
      <c r="AJ59" s="27" t="str">
        <f aca="false">IF($A59="","",IFERROR(MAX(-10,MIN(10,IF(D59&gt;I59*1.02,3,IF(D59&gt;I59,1.5,IF(D59&lt;I59*0.98,-3,-1.5)))+IF(I59&gt;K59*1.02,3,IF(I59&gt;K59,1.5,IF(I59&lt;K59*0.98,-3,-1.5)))+IF(D59&gt;=Q59*0.995,2,IF(D59&lt;=R59*1.005,-2,0))+IF(P59&gt;0.03,2,IF(P59&gt;0,1,IF(P59&lt;-0.03,-2,-1))))),0))</f>
        <v/>
      </c>
      <c r="AK59" s="27" t="str">
        <f aca="false">IF($A59="","",IFERROR(MAX(-10,MIN(10,IF(AG59&gt;=SM_STRONG,4,IF(AG59&gt;=SM_MOD,2,IF(AG59&lt;=SM_BAD,-4,IF(AG59&lt;=SM_WEAK,-2,0))))+IF(AD59&gt;=NF_STRONG,3,IF(AD59&gt;=NF_MOD,1.5,IF(AD59&lt;=-NF_STRONG,-3,IF(AD59&lt;=-NF_MOD,-1.5,0))))+IF(AI59&gt;=NF_MOD,3,IF(AI59&gt;0,1.5,IF(AI59&lt;=-NF_MOD,-3,-1.5))))),0))</f>
        <v/>
      </c>
      <c r="AL59" s="27" t="str">
        <f aca="false">IF($A59="","",IFERROR(N59*5-10,0))</f>
        <v/>
      </c>
      <c r="AM59" s="27" t="str">
        <f aca="false">IF($A59="","",IFERROR(IF(F59&gt;0,IF(AA59&gt;=VOL_HIGH,9,IF(AA59&gt;=VOL_MOD,5,IF(AA59&lt;=VOL_DRY,-2,2))),IF(F59&lt;0,IF(AA59&gt;=VOL_HIGH,-9,IF(AA59&gt;=VOL_MOD,-5,IF(AA59&lt;=VOL_DRY,2,-2))),0)),0))</f>
        <v/>
      </c>
      <c r="AN59" s="41" t="str">
        <f aca="false">IF($A59="","",MARKET_SCORE)</f>
        <v/>
      </c>
      <c r="AO59" s="41" t="str">
        <f aca="false">IF($A59="","",IFERROR(INDEX(Time_Link!$B$1:$B$5000,MATCH($A59,Time_Link!$A$1:$A$5000,0)),0))</f>
        <v/>
      </c>
      <c r="AP59" s="27" t="str">
        <f aca="false">IF($A59="","",IFERROR((AJ59*W_TREND+AK59*W_SMART+AL59*W_MA+AM59*W_VOL+AN59*W_MARKET+AO59*W_TIME)/W_SUM,0))</f>
        <v/>
      </c>
      <c r="AQ59" s="28" t="str">
        <f aca="false">IF($A59="","",IF(ABS(AP59)&gt;=8,5,IF(ABS(AP59)&gt;=5,4,IF(ABS(AP59)&gt;=3,3,IF(ABS(AP59)&gt;=1.5,2,1)))))</f>
        <v/>
      </c>
      <c r="AR59" s="23" t="str">
        <f aca="false">IF($A59="","",IF(G59="","بدون داده",IF(G59&lt;MIN_LIQ_B,"کم‌اعتبار","معتبر")))</f>
        <v/>
      </c>
      <c r="AS59" s="42" t="str">
        <f aca="false">IF($A59="","",IFERROR(AP59+ROW()/1000000,-99))</f>
        <v/>
      </c>
      <c r="AT59" s="28" t="str">
        <f aca="false">IF($A59="","",RANK(AS59,$AS$5:$AS$64,0))</f>
        <v/>
      </c>
      <c r="AU59" s="28" t="str">
        <f aca="false">IF($A59="","",RANK(AS59,$AS$5:$AS$64,1))</f>
        <v/>
      </c>
    </row>
    <row r="60" customFormat="false" ht="15" hidden="false" customHeight="false" outlineLevel="0" collapsed="false">
      <c r="A60" s="37" t="str">
        <f aca="false">IF(COUNTA(Watchlist!$A$60)=0,"",Watchlist!$A$60)</f>
        <v/>
      </c>
      <c r="B60" s="28" t="str">
        <f aca="false">IF($A60="","",IFERROR(MATCH($A60,Data_Input!$A$1:$A$5000,0),""))</f>
        <v/>
      </c>
      <c r="C60" s="28" t="str">
        <f aca="false">IF($A60="","",IFERROR(MATCH($A60,Daily_History!$AN$1:$AN$5000,0),""))</f>
        <v/>
      </c>
      <c r="D60" s="39" t="str">
        <f aca="false">IF($A60="","",IFERROR(INDEX(Data_Input!$I$1:$I$5000,$B60),""))</f>
        <v/>
      </c>
      <c r="E60" s="39" t="str">
        <f aca="false">IF($A60="","",IFERROR(INDEX(Data_Input!$J$1:$J$5000,$B60),""))</f>
        <v/>
      </c>
      <c r="F60" s="40" t="str">
        <f aca="false">IF($A60="","",IFERROR(INDEX(Data_Input!$M$1:$M$5000,$B60),""))</f>
        <v/>
      </c>
      <c r="G60" s="41" t="str">
        <f aca="false">IF($A60="","",IFERROR(INDEX(Data_Input!$R$1:$R$5000,$B60)/1000000000,""))</f>
        <v/>
      </c>
      <c r="H60" s="39" t="str">
        <f aca="false">IF($A60="","",IFERROR(INDEX(Daily_History!$V$1:$V$5000,$C60),""))</f>
        <v/>
      </c>
      <c r="I60" s="39" t="str">
        <f aca="false">IF($A60="","",IFERROR(INDEX(Daily_History!$W$1:$W$5000,$C60),""))</f>
        <v/>
      </c>
      <c r="J60" s="39" t="str">
        <f aca="false">IF($A60="","",IFERROR(INDEX(Daily_History!$X$1:$X$5000,$C60),""))</f>
        <v/>
      </c>
      <c r="K60" s="39" t="str">
        <f aca="false">IF($A60="","",IFERROR(INDEX(Daily_History!$Y$1:$Y$5000,$C60),""))</f>
        <v/>
      </c>
      <c r="L60" s="35" t="str">
        <f aca="false">IF($A60="","",IFERROR($D60/$I60-1,""))</f>
        <v/>
      </c>
      <c r="M60" s="35" t="str">
        <f aca="false">IF($A60="","",IFERROR($D60/$K60-1,""))</f>
        <v/>
      </c>
      <c r="N60" s="28" t="str">
        <f aca="false">IF($A60="","",IF(D60&gt;H60,1,0)+IF(D60&gt;I60,1,0)+IF(D60&gt;J60,1,0)+IF(D60&gt;K60,1,0))</f>
        <v/>
      </c>
      <c r="O60" s="23" t="str">
        <f aca="false">IF($A60="","",IF(AND(ISNUMBER(H60),ISNUMBER(K60)),IF(AND(H60&gt;I60,I60&gt;J60,J60&gt;K60),"آرایش صعودی کامل",IF(AND(H60&lt;I60,I60&lt;J60,J60&lt;K60),"آرایش نزولی کامل",IF(I60&gt;K60,"تقاطع طلایی","تقاطع مرگ"))),"داده ناکافی"))</f>
        <v/>
      </c>
      <c r="P60" s="35" t="str">
        <f aca="false">IF($A60="","",IFERROR(H60/INDEX(Daily_History!$V$1:$V$5000,$C60-MA_SHORT)-1,""))</f>
        <v/>
      </c>
      <c r="Q60" s="39" t="str">
        <f aca="false">IF($A60="","",IFERROR(INDEX(Daily_History!$AI$1:$AI$5000,$C60),""))</f>
        <v/>
      </c>
      <c r="R60" s="39" t="str">
        <f aca="false">IF($A60="","",IFERROR(INDEX(Daily_History!$AJ$1:$AJ$5000,$C60),""))</f>
        <v/>
      </c>
      <c r="S60" s="39" t="str">
        <f aca="false">IF($A60="","",IFERROR(INDEX(Daily_History!$AK$1:$AK$5000,$C60),""))</f>
        <v/>
      </c>
      <c r="T60" s="39" t="str">
        <f aca="false">IF($A60="","",IFERROR(INDEX(Daily_History!$AL$1:$AL$5000,$C60),""))</f>
        <v/>
      </c>
      <c r="U60" s="23" t="str">
        <f aca="false">IF($A60="","",IF(AND(ISNUMBER(S60),ISNUMBER(D60)),IF(D60&gt;=S60*0.995,"سقف‌شکنی میان‌مدت (HH)",IF(D60&gt;=Q60*0.995,"سقف‌شکنی کوتاه‌مدت",IF(D60&lt;=T60*1.005,"کف‌شکنی میان‌مدت (LL)",IF(D60&lt;=R60*1.005,"کف‌شکنی کوتاه‌مدت","درون محدوده")))),"داده ناکافی"))</f>
        <v/>
      </c>
      <c r="V60" s="39" t="str">
        <f aca="false">IF($A60="","",IFERROR(INDEX(Daily_History!$AB$1:$AB$5000,$C60),""))</f>
        <v/>
      </c>
      <c r="W60" s="35" t="str">
        <f aca="false">IF($A60="","",IFERROR(V60/D60,""))</f>
        <v/>
      </c>
      <c r="X60" s="26" t="str">
        <f aca="false">IF($A60="","",IFERROR(D60-ATR_STOP_MULT*V60,""))</f>
        <v/>
      </c>
      <c r="Y60" s="39" t="str">
        <f aca="false">IF($A60="","",IFERROR(INDEX(Daily_History!$Z$1:$Z$5000,$C60),""))</f>
        <v/>
      </c>
      <c r="Z60" s="39" t="str">
        <f aca="false">IF($A60="","",IFERROR(INDEX(Data_Input!$Q$1:$Q$5000,$B60),""))</f>
        <v/>
      </c>
      <c r="AA60" s="33" t="str">
        <f aca="false">IF($A60="","",IFERROR(Z60/Y60,""))</f>
        <v/>
      </c>
      <c r="AB60" s="26" t="str">
        <f aca="false">IF($A60="","",IFERROR(INDEX(Data_Input!$V$1:$V$5000,$B60)-INDEX(Data_Input!$W$1:$W$5000,$B60),""))</f>
        <v/>
      </c>
      <c r="AC60" s="27" t="str">
        <f aca="false">IF($A60="","",IFERROR(AB60*E60/1000000000,""))</f>
        <v/>
      </c>
      <c r="AD60" s="35" t="str">
        <f aca="false">IF($A60="","",IFERROR(AB60*E60/INDEX(Data_Input!$R$1:$R$5000,$B60),""))</f>
        <v/>
      </c>
      <c r="AE60" s="27" t="str">
        <f aca="false">IF($A60="","",IFERROR(INDEX(Data_Input!$V$1:$V$5000,$B60)*E60/INDEX(Data_Input!$X$1:$X$5000,$B60)/1000000,""))</f>
        <v/>
      </c>
      <c r="AF60" s="27" t="str">
        <f aca="false">IF($A60="","",IFERROR(INDEX(Data_Input!$W$1:$W$5000,$B60)*E60/INDEX(Data_Input!$Y$1:$Y$5000,$B60)/1000000,""))</f>
        <v/>
      </c>
      <c r="AG60" s="33" t="str">
        <f aca="false">IF($A60="","",IFERROR(AE60/AF60,""))</f>
        <v/>
      </c>
      <c r="AH60" s="41" t="str">
        <f aca="false">IF($A60="","",IFERROR(INDEX(Daily_History!$AH$1:$AH$5000,$C60)/1000000000,""))</f>
        <v/>
      </c>
      <c r="AI60" s="35" t="str">
        <f aca="false">IF($A60="","",IFERROR(AH60/(5*G60),""))</f>
        <v/>
      </c>
      <c r="AJ60" s="27" t="str">
        <f aca="false">IF($A60="","",IFERROR(MAX(-10,MIN(10,IF(D60&gt;I60*1.02,3,IF(D60&gt;I60,1.5,IF(D60&lt;I60*0.98,-3,-1.5)))+IF(I60&gt;K60*1.02,3,IF(I60&gt;K60,1.5,IF(I60&lt;K60*0.98,-3,-1.5)))+IF(D60&gt;=Q60*0.995,2,IF(D60&lt;=R60*1.005,-2,0))+IF(P60&gt;0.03,2,IF(P60&gt;0,1,IF(P60&lt;-0.03,-2,-1))))),0))</f>
        <v/>
      </c>
      <c r="AK60" s="27" t="str">
        <f aca="false">IF($A60="","",IFERROR(MAX(-10,MIN(10,IF(AG60&gt;=SM_STRONG,4,IF(AG60&gt;=SM_MOD,2,IF(AG60&lt;=SM_BAD,-4,IF(AG60&lt;=SM_WEAK,-2,0))))+IF(AD60&gt;=NF_STRONG,3,IF(AD60&gt;=NF_MOD,1.5,IF(AD60&lt;=-NF_STRONG,-3,IF(AD60&lt;=-NF_MOD,-1.5,0))))+IF(AI60&gt;=NF_MOD,3,IF(AI60&gt;0,1.5,IF(AI60&lt;=-NF_MOD,-3,-1.5))))),0))</f>
        <v/>
      </c>
      <c r="AL60" s="27" t="str">
        <f aca="false">IF($A60="","",IFERROR(N60*5-10,0))</f>
        <v/>
      </c>
      <c r="AM60" s="27" t="str">
        <f aca="false">IF($A60="","",IFERROR(IF(F60&gt;0,IF(AA60&gt;=VOL_HIGH,9,IF(AA60&gt;=VOL_MOD,5,IF(AA60&lt;=VOL_DRY,-2,2))),IF(F60&lt;0,IF(AA60&gt;=VOL_HIGH,-9,IF(AA60&gt;=VOL_MOD,-5,IF(AA60&lt;=VOL_DRY,2,-2))),0)),0))</f>
        <v/>
      </c>
      <c r="AN60" s="41" t="str">
        <f aca="false">IF($A60="","",MARKET_SCORE)</f>
        <v/>
      </c>
      <c r="AO60" s="41" t="str">
        <f aca="false">IF($A60="","",IFERROR(INDEX(Time_Link!$B$1:$B$5000,MATCH($A60,Time_Link!$A$1:$A$5000,0)),0))</f>
        <v/>
      </c>
      <c r="AP60" s="27" t="str">
        <f aca="false">IF($A60="","",IFERROR((AJ60*W_TREND+AK60*W_SMART+AL60*W_MA+AM60*W_VOL+AN60*W_MARKET+AO60*W_TIME)/W_SUM,0))</f>
        <v/>
      </c>
      <c r="AQ60" s="28" t="str">
        <f aca="false">IF($A60="","",IF(ABS(AP60)&gt;=8,5,IF(ABS(AP60)&gt;=5,4,IF(ABS(AP60)&gt;=3,3,IF(ABS(AP60)&gt;=1.5,2,1)))))</f>
        <v/>
      </c>
      <c r="AR60" s="23" t="str">
        <f aca="false">IF($A60="","",IF(G60="","بدون داده",IF(G60&lt;MIN_LIQ_B,"کم‌اعتبار","معتبر")))</f>
        <v/>
      </c>
      <c r="AS60" s="42" t="str">
        <f aca="false">IF($A60="","",IFERROR(AP60+ROW()/1000000,-99))</f>
        <v/>
      </c>
      <c r="AT60" s="28" t="str">
        <f aca="false">IF($A60="","",RANK(AS60,$AS$5:$AS$64,0))</f>
        <v/>
      </c>
      <c r="AU60" s="28" t="str">
        <f aca="false">IF($A60="","",RANK(AS60,$AS$5:$AS$64,1))</f>
        <v/>
      </c>
    </row>
    <row r="61" customFormat="false" ht="15" hidden="false" customHeight="false" outlineLevel="0" collapsed="false">
      <c r="A61" s="37" t="str">
        <f aca="false">IF(COUNTA(Watchlist!$A$61)=0,"",Watchlist!$A$61)</f>
        <v/>
      </c>
      <c r="B61" s="28" t="str">
        <f aca="false">IF($A61="","",IFERROR(MATCH($A61,Data_Input!$A$1:$A$5000,0),""))</f>
        <v/>
      </c>
      <c r="C61" s="28" t="str">
        <f aca="false">IF($A61="","",IFERROR(MATCH($A61,Daily_History!$AN$1:$AN$5000,0),""))</f>
        <v/>
      </c>
      <c r="D61" s="39" t="str">
        <f aca="false">IF($A61="","",IFERROR(INDEX(Data_Input!$I$1:$I$5000,$B61),""))</f>
        <v/>
      </c>
      <c r="E61" s="39" t="str">
        <f aca="false">IF($A61="","",IFERROR(INDEX(Data_Input!$J$1:$J$5000,$B61),""))</f>
        <v/>
      </c>
      <c r="F61" s="40" t="str">
        <f aca="false">IF($A61="","",IFERROR(INDEX(Data_Input!$M$1:$M$5000,$B61),""))</f>
        <v/>
      </c>
      <c r="G61" s="41" t="str">
        <f aca="false">IF($A61="","",IFERROR(INDEX(Data_Input!$R$1:$R$5000,$B61)/1000000000,""))</f>
        <v/>
      </c>
      <c r="H61" s="39" t="str">
        <f aca="false">IF($A61="","",IFERROR(INDEX(Daily_History!$V$1:$V$5000,$C61),""))</f>
        <v/>
      </c>
      <c r="I61" s="39" t="str">
        <f aca="false">IF($A61="","",IFERROR(INDEX(Daily_History!$W$1:$W$5000,$C61),""))</f>
        <v/>
      </c>
      <c r="J61" s="39" t="str">
        <f aca="false">IF($A61="","",IFERROR(INDEX(Daily_History!$X$1:$X$5000,$C61),""))</f>
        <v/>
      </c>
      <c r="K61" s="39" t="str">
        <f aca="false">IF($A61="","",IFERROR(INDEX(Daily_History!$Y$1:$Y$5000,$C61),""))</f>
        <v/>
      </c>
      <c r="L61" s="35" t="str">
        <f aca="false">IF($A61="","",IFERROR($D61/$I61-1,""))</f>
        <v/>
      </c>
      <c r="M61" s="35" t="str">
        <f aca="false">IF($A61="","",IFERROR($D61/$K61-1,""))</f>
        <v/>
      </c>
      <c r="N61" s="28" t="str">
        <f aca="false">IF($A61="","",IF(D61&gt;H61,1,0)+IF(D61&gt;I61,1,0)+IF(D61&gt;J61,1,0)+IF(D61&gt;K61,1,0))</f>
        <v/>
      </c>
      <c r="O61" s="23" t="str">
        <f aca="false">IF($A61="","",IF(AND(ISNUMBER(H61),ISNUMBER(K61)),IF(AND(H61&gt;I61,I61&gt;J61,J61&gt;K61),"آرایش صعودی کامل",IF(AND(H61&lt;I61,I61&lt;J61,J61&lt;K61),"آرایش نزولی کامل",IF(I61&gt;K61,"تقاطع طلایی","تقاطع مرگ"))),"داده ناکافی"))</f>
        <v/>
      </c>
      <c r="P61" s="35" t="str">
        <f aca="false">IF($A61="","",IFERROR(H61/INDEX(Daily_History!$V$1:$V$5000,$C61-MA_SHORT)-1,""))</f>
        <v/>
      </c>
      <c r="Q61" s="39" t="str">
        <f aca="false">IF($A61="","",IFERROR(INDEX(Daily_History!$AI$1:$AI$5000,$C61),""))</f>
        <v/>
      </c>
      <c r="R61" s="39" t="str">
        <f aca="false">IF($A61="","",IFERROR(INDEX(Daily_History!$AJ$1:$AJ$5000,$C61),""))</f>
        <v/>
      </c>
      <c r="S61" s="39" t="str">
        <f aca="false">IF($A61="","",IFERROR(INDEX(Daily_History!$AK$1:$AK$5000,$C61),""))</f>
        <v/>
      </c>
      <c r="T61" s="39" t="str">
        <f aca="false">IF($A61="","",IFERROR(INDEX(Daily_History!$AL$1:$AL$5000,$C61),""))</f>
        <v/>
      </c>
      <c r="U61" s="23" t="str">
        <f aca="false">IF($A61="","",IF(AND(ISNUMBER(S61),ISNUMBER(D61)),IF(D61&gt;=S61*0.995,"سقف‌شکنی میان‌مدت (HH)",IF(D61&gt;=Q61*0.995,"سقف‌شکنی کوتاه‌مدت",IF(D61&lt;=T61*1.005,"کف‌شکنی میان‌مدت (LL)",IF(D61&lt;=R61*1.005,"کف‌شکنی کوتاه‌مدت","درون محدوده")))),"داده ناکافی"))</f>
        <v/>
      </c>
      <c r="V61" s="39" t="str">
        <f aca="false">IF($A61="","",IFERROR(INDEX(Daily_History!$AB$1:$AB$5000,$C61),""))</f>
        <v/>
      </c>
      <c r="W61" s="35" t="str">
        <f aca="false">IF($A61="","",IFERROR(V61/D61,""))</f>
        <v/>
      </c>
      <c r="X61" s="26" t="str">
        <f aca="false">IF($A61="","",IFERROR(D61-ATR_STOP_MULT*V61,""))</f>
        <v/>
      </c>
      <c r="Y61" s="39" t="str">
        <f aca="false">IF($A61="","",IFERROR(INDEX(Daily_History!$Z$1:$Z$5000,$C61),""))</f>
        <v/>
      </c>
      <c r="Z61" s="39" t="str">
        <f aca="false">IF($A61="","",IFERROR(INDEX(Data_Input!$Q$1:$Q$5000,$B61),""))</f>
        <v/>
      </c>
      <c r="AA61" s="33" t="str">
        <f aca="false">IF($A61="","",IFERROR(Z61/Y61,""))</f>
        <v/>
      </c>
      <c r="AB61" s="26" t="str">
        <f aca="false">IF($A61="","",IFERROR(INDEX(Data_Input!$V$1:$V$5000,$B61)-INDEX(Data_Input!$W$1:$W$5000,$B61),""))</f>
        <v/>
      </c>
      <c r="AC61" s="27" t="str">
        <f aca="false">IF($A61="","",IFERROR(AB61*E61/1000000000,""))</f>
        <v/>
      </c>
      <c r="AD61" s="35" t="str">
        <f aca="false">IF($A61="","",IFERROR(AB61*E61/INDEX(Data_Input!$R$1:$R$5000,$B61),""))</f>
        <v/>
      </c>
      <c r="AE61" s="27" t="str">
        <f aca="false">IF($A61="","",IFERROR(INDEX(Data_Input!$V$1:$V$5000,$B61)*E61/INDEX(Data_Input!$X$1:$X$5000,$B61)/1000000,""))</f>
        <v/>
      </c>
      <c r="AF61" s="27" t="str">
        <f aca="false">IF($A61="","",IFERROR(INDEX(Data_Input!$W$1:$W$5000,$B61)*E61/INDEX(Data_Input!$Y$1:$Y$5000,$B61)/1000000,""))</f>
        <v/>
      </c>
      <c r="AG61" s="33" t="str">
        <f aca="false">IF($A61="","",IFERROR(AE61/AF61,""))</f>
        <v/>
      </c>
      <c r="AH61" s="41" t="str">
        <f aca="false">IF($A61="","",IFERROR(INDEX(Daily_History!$AH$1:$AH$5000,$C61)/1000000000,""))</f>
        <v/>
      </c>
      <c r="AI61" s="35" t="str">
        <f aca="false">IF($A61="","",IFERROR(AH61/(5*G61),""))</f>
        <v/>
      </c>
      <c r="AJ61" s="27" t="str">
        <f aca="false">IF($A61="","",IFERROR(MAX(-10,MIN(10,IF(D61&gt;I61*1.02,3,IF(D61&gt;I61,1.5,IF(D61&lt;I61*0.98,-3,-1.5)))+IF(I61&gt;K61*1.02,3,IF(I61&gt;K61,1.5,IF(I61&lt;K61*0.98,-3,-1.5)))+IF(D61&gt;=Q61*0.995,2,IF(D61&lt;=R61*1.005,-2,0))+IF(P61&gt;0.03,2,IF(P61&gt;0,1,IF(P61&lt;-0.03,-2,-1))))),0))</f>
        <v/>
      </c>
      <c r="AK61" s="27" t="str">
        <f aca="false">IF($A61="","",IFERROR(MAX(-10,MIN(10,IF(AG61&gt;=SM_STRONG,4,IF(AG61&gt;=SM_MOD,2,IF(AG61&lt;=SM_BAD,-4,IF(AG61&lt;=SM_WEAK,-2,0))))+IF(AD61&gt;=NF_STRONG,3,IF(AD61&gt;=NF_MOD,1.5,IF(AD61&lt;=-NF_STRONG,-3,IF(AD61&lt;=-NF_MOD,-1.5,0))))+IF(AI61&gt;=NF_MOD,3,IF(AI61&gt;0,1.5,IF(AI61&lt;=-NF_MOD,-3,-1.5))))),0))</f>
        <v/>
      </c>
      <c r="AL61" s="27" t="str">
        <f aca="false">IF($A61="","",IFERROR(N61*5-10,0))</f>
        <v/>
      </c>
      <c r="AM61" s="27" t="str">
        <f aca="false">IF($A61="","",IFERROR(IF(F61&gt;0,IF(AA61&gt;=VOL_HIGH,9,IF(AA61&gt;=VOL_MOD,5,IF(AA61&lt;=VOL_DRY,-2,2))),IF(F61&lt;0,IF(AA61&gt;=VOL_HIGH,-9,IF(AA61&gt;=VOL_MOD,-5,IF(AA61&lt;=VOL_DRY,2,-2))),0)),0))</f>
        <v/>
      </c>
      <c r="AN61" s="41" t="str">
        <f aca="false">IF($A61="","",MARKET_SCORE)</f>
        <v/>
      </c>
      <c r="AO61" s="41" t="str">
        <f aca="false">IF($A61="","",IFERROR(INDEX(Time_Link!$B$1:$B$5000,MATCH($A61,Time_Link!$A$1:$A$5000,0)),0))</f>
        <v/>
      </c>
      <c r="AP61" s="27" t="str">
        <f aca="false">IF($A61="","",IFERROR((AJ61*W_TREND+AK61*W_SMART+AL61*W_MA+AM61*W_VOL+AN61*W_MARKET+AO61*W_TIME)/W_SUM,0))</f>
        <v/>
      </c>
      <c r="AQ61" s="28" t="str">
        <f aca="false">IF($A61="","",IF(ABS(AP61)&gt;=8,5,IF(ABS(AP61)&gt;=5,4,IF(ABS(AP61)&gt;=3,3,IF(ABS(AP61)&gt;=1.5,2,1)))))</f>
        <v/>
      </c>
      <c r="AR61" s="23" t="str">
        <f aca="false">IF($A61="","",IF(G61="","بدون داده",IF(G61&lt;MIN_LIQ_B,"کم‌اعتبار","معتبر")))</f>
        <v/>
      </c>
      <c r="AS61" s="42" t="str">
        <f aca="false">IF($A61="","",IFERROR(AP61+ROW()/1000000,-99))</f>
        <v/>
      </c>
      <c r="AT61" s="28" t="str">
        <f aca="false">IF($A61="","",RANK(AS61,$AS$5:$AS$64,0))</f>
        <v/>
      </c>
      <c r="AU61" s="28" t="str">
        <f aca="false">IF($A61="","",RANK(AS61,$AS$5:$AS$64,1))</f>
        <v/>
      </c>
    </row>
    <row r="62" customFormat="false" ht="15" hidden="false" customHeight="false" outlineLevel="0" collapsed="false">
      <c r="A62" s="37" t="str">
        <f aca="false">IF(COUNTA(Watchlist!$A$62)=0,"",Watchlist!$A$62)</f>
        <v/>
      </c>
      <c r="B62" s="28" t="str">
        <f aca="false">IF($A62="","",IFERROR(MATCH($A62,Data_Input!$A$1:$A$5000,0),""))</f>
        <v/>
      </c>
      <c r="C62" s="28" t="str">
        <f aca="false">IF($A62="","",IFERROR(MATCH($A62,Daily_History!$AN$1:$AN$5000,0),""))</f>
        <v/>
      </c>
      <c r="D62" s="39" t="str">
        <f aca="false">IF($A62="","",IFERROR(INDEX(Data_Input!$I$1:$I$5000,$B62),""))</f>
        <v/>
      </c>
      <c r="E62" s="39" t="str">
        <f aca="false">IF($A62="","",IFERROR(INDEX(Data_Input!$J$1:$J$5000,$B62),""))</f>
        <v/>
      </c>
      <c r="F62" s="40" t="str">
        <f aca="false">IF($A62="","",IFERROR(INDEX(Data_Input!$M$1:$M$5000,$B62),""))</f>
        <v/>
      </c>
      <c r="G62" s="41" t="str">
        <f aca="false">IF($A62="","",IFERROR(INDEX(Data_Input!$R$1:$R$5000,$B62)/1000000000,""))</f>
        <v/>
      </c>
      <c r="H62" s="39" t="str">
        <f aca="false">IF($A62="","",IFERROR(INDEX(Daily_History!$V$1:$V$5000,$C62),""))</f>
        <v/>
      </c>
      <c r="I62" s="39" t="str">
        <f aca="false">IF($A62="","",IFERROR(INDEX(Daily_History!$W$1:$W$5000,$C62),""))</f>
        <v/>
      </c>
      <c r="J62" s="39" t="str">
        <f aca="false">IF($A62="","",IFERROR(INDEX(Daily_History!$X$1:$X$5000,$C62),""))</f>
        <v/>
      </c>
      <c r="K62" s="39" t="str">
        <f aca="false">IF($A62="","",IFERROR(INDEX(Daily_History!$Y$1:$Y$5000,$C62),""))</f>
        <v/>
      </c>
      <c r="L62" s="35" t="str">
        <f aca="false">IF($A62="","",IFERROR($D62/$I62-1,""))</f>
        <v/>
      </c>
      <c r="M62" s="35" t="str">
        <f aca="false">IF($A62="","",IFERROR($D62/$K62-1,""))</f>
        <v/>
      </c>
      <c r="N62" s="28" t="str">
        <f aca="false">IF($A62="","",IF(D62&gt;H62,1,0)+IF(D62&gt;I62,1,0)+IF(D62&gt;J62,1,0)+IF(D62&gt;K62,1,0))</f>
        <v/>
      </c>
      <c r="O62" s="23" t="str">
        <f aca="false">IF($A62="","",IF(AND(ISNUMBER(H62),ISNUMBER(K62)),IF(AND(H62&gt;I62,I62&gt;J62,J62&gt;K62),"آرایش صعودی کامل",IF(AND(H62&lt;I62,I62&lt;J62,J62&lt;K62),"آرایش نزولی کامل",IF(I62&gt;K62,"تقاطع طلایی","تقاطع مرگ"))),"داده ناکافی"))</f>
        <v/>
      </c>
      <c r="P62" s="35" t="str">
        <f aca="false">IF($A62="","",IFERROR(H62/INDEX(Daily_History!$V$1:$V$5000,$C62-MA_SHORT)-1,""))</f>
        <v/>
      </c>
      <c r="Q62" s="39" t="str">
        <f aca="false">IF($A62="","",IFERROR(INDEX(Daily_History!$AI$1:$AI$5000,$C62),""))</f>
        <v/>
      </c>
      <c r="R62" s="39" t="str">
        <f aca="false">IF($A62="","",IFERROR(INDEX(Daily_History!$AJ$1:$AJ$5000,$C62),""))</f>
        <v/>
      </c>
      <c r="S62" s="39" t="str">
        <f aca="false">IF($A62="","",IFERROR(INDEX(Daily_History!$AK$1:$AK$5000,$C62),""))</f>
        <v/>
      </c>
      <c r="T62" s="39" t="str">
        <f aca="false">IF($A62="","",IFERROR(INDEX(Daily_History!$AL$1:$AL$5000,$C62),""))</f>
        <v/>
      </c>
      <c r="U62" s="23" t="str">
        <f aca="false">IF($A62="","",IF(AND(ISNUMBER(S62),ISNUMBER(D62)),IF(D62&gt;=S62*0.995,"سقف‌شکنی میان‌مدت (HH)",IF(D62&gt;=Q62*0.995,"سقف‌شکنی کوتاه‌مدت",IF(D62&lt;=T62*1.005,"کف‌شکنی میان‌مدت (LL)",IF(D62&lt;=R62*1.005,"کف‌شکنی کوتاه‌مدت","درون محدوده")))),"داده ناکافی"))</f>
        <v/>
      </c>
      <c r="V62" s="39" t="str">
        <f aca="false">IF($A62="","",IFERROR(INDEX(Daily_History!$AB$1:$AB$5000,$C62),""))</f>
        <v/>
      </c>
      <c r="W62" s="35" t="str">
        <f aca="false">IF($A62="","",IFERROR(V62/D62,""))</f>
        <v/>
      </c>
      <c r="X62" s="26" t="str">
        <f aca="false">IF($A62="","",IFERROR(D62-ATR_STOP_MULT*V62,""))</f>
        <v/>
      </c>
      <c r="Y62" s="39" t="str">
        <f aca="false">IF($A62="","",IFERROR(INDEX(Daily_History!$Z$1:$Z$5000,$C62),""))</f>
        <v/>
      </c>
      <c r="Z62" s="39" t="str">
        <f aca="false">IF($A62="","",IFERROR(INDEX(Data_Input!$Q$1:$Q$5000,$B62),""))</f>
        <v/>
      </c>
      <c r="AA62" s="33" t="str">
        <f aca="false">IF($A62="","",IFERROR(Z62/Y62,""))</f>
        <v/>
      </c>
      <c r="AB62" s="26" t="str">
        <f aca="false">IF($A62="","",IFERROR(INDEX(Data_Input!$V$1:$V$5000,$B62)-INDEX(Data_Input!$W$1:$W$5000,$B62),""))</f>
        <v/>
      </c>
      <c r="AC62" s="27" t="str">
        <f aca="false">IF($A62="","",IFERROR(AB62*E62/1000000000,""))</f>
        <v/>
      </c>
      <c r="AD62" s="35" t="str">
        <f aca="false">IF($A62="","",IFERROR(AB62*E62/INDEX(Data_Input!$R$1:$R$5000,$B62),""))</f>
        <v/>
      </c>
      <c r="AE62" s="27" t="str">
        <f aca="false">IF($A62="","",IFERROR(INDEX(Data_Input!$V$1:$V$5000,$B62)*E62/INDEX(Data_Input!$X$1:$X$5000,$B62)/1000000,""))</f>
        <v/>
      </c>
      <c r="AF62" s="27" t="str">
        <f aca="false">IF($A62="","",IFERROR(INDEX(Data_Input!$W$1:$W$5000,$B62)*E62/INDEX(Data_Input!$Y$1:$Y$5000,$B62)/1000000,""))</f>
        <v/>
      </c>
      <c r="AG62" s="33" t="str">
        <f aca="false">IF($A62="","",IFERROR(AE62/AF62,""))</f>
        <v/>
      </c>
      <c r="AH62" s="41" t="str">
        <f aca="false">IF($A62="","",IFERROR(INDEX(Daily_History!$AH$1:$AH$5000,$C62)/1000000000,""))</f>
        <v/>
      </c>
      <c r="AI62" s="35" t="str">
        <f aca="false">IF($A62="","",IFERROR(AH62/(5*G62),""))</f>
        <v/>
      </c>
      <c r="AJ62" s="27" t="str">
        <f aca="false">IF($A62="","",IFERROR(MAX(-10,MIN(10,IF(D62&gt;I62*1.02,3,IF(D62&gt;I62,1.5,IF(D62&lt;I62*0.98,-3,-1.5)))+IF(I62&gt;K62*1.02,3,IF(I62&gt;K62,1.5,IF(I62&lt;K62*0.98,-3,-1.5)))+IF(D62&gt;=Q62*0.995,2,IF(D62&lt;=R62*1.005,-2,0))+IF(P62&gt;0.03,2,IF(P62&gt;0,1,IF(P62&lt;-0.03,-2,-1))))),0))</f>
        <v/>
      </c>
      <c r="AK62" s="27" t="str">
        <f aca="false">IF($A62="","",IFERROR(MAX(-10,MIN(10,IF(AG62&gt;=SM_STRONG,4,IF(AG62&gt;=SM_MOD,2,IF(AG62&lt;=SM_BAD,-4,IF(AG62&lt;=SM_WEAK,-2,0))))+IF(AD62&gt;=NF_STRONG,3,IF(AD62&gt;=NF_MOD,1.5,IF(AD62&lt;=-NF_STRONG,-3,IF(AD62&lt;=-NF_MOD,-1.5,0))))+IF(AI62&gt;=NF_MOD,3,IF(AI62&gt;0,1.5,IF(AI62&lt;=-NF_MOD,-3,-1.5))))),0))</f>
        <v/>
      </c>
      <c r="AL62" s="27" t="str">
        <f aca="false">IF($A62="","",IFERROR(N62*5-10,0))</f>
        <v/>
      </c>
      <c r="AM62" s="27" t="str">
        <f aca="false">IF($A62="","",IFERROR(IF(F62&gt;0,IF(AA62&gt;=VOL_HIGH,9,IF(AA62&gt;=VOL_MOD,5,IF(AA62&lt;=VOL_DRY,-2,2))),IF(F62&lt;0,IF(AA62&gt;=VOL_HIGH,-9,IF(AA62&gt;=VOL_MOD,-5,IF(AA62&lt;=VOL_DRY,2,-2))),0)),0))</f>
        <v/>
      </c>
      <c r="AN62" s="41" t="str">
        <f aca="false">IF($A62="","",MARKET_SCORE)</f>
        <v/>
      </c>
      <c r="AO62" s="41" t="str">
        <f aca="false">IF($A62="","",IFERROR(INDEX(Time_Link!$B$1:$B$5000,MATCH($A62,Time_Link!$A$1:$A$5000,0)),0))</f>
        <v/>
      </c>
      <c r="AP62" s="27" t="str">
        <f aca="false">IF($A62="","",IFERROR((AJ62*W_TREND+AK62*W_SMART+AL62*W_MA+AM62*W_VOL+AN62*W_MARKET+AO62*W_TIME)/W_SUM,0))</f>
        <v/>
      </c>
      <c r="AQ62" s="28" t="str">
        <f aca="false">IF($A62="","",IF(ABS(AP62)&gt;=8,5,IF(ABS(AP62)&gt;=5,4,IF(ABS(AP62)&gt;=3,3,IF(ABS(AP62)&gt;=1.5,2,1)))))</f>
        <v/>
      </c>
      <c r="AR62" s="23" t="str">
        <f aca="false">IF($A62="","",IF(G62="","بدون داده",IF(G62&lt;MIN_LIQ_B,"کم‌اعتبار","معتبر")))</f>
        <v/>
      </c>
      <c r="AS62" s="42" t="str">
        <f aca="false">IF($A62="","",IFERROR(AP62+ROW()/1000000,-99))</f>
        <v/>
      </c>
      <c r="AT62" s="28" t="str">
        <f aca="false">IF($A62="","",RANK(AS62,$AS$5:$AS$64,0))</f>
        <v/>
      </c>
      <c r="AU62" s="28" t="str">
        <f aca="false">IF($A62="","",RANK(AS62,$AS$5:$AS$64,1))</f>
        <v/>
      </c>
    </row>
    <row r="63" customFormat="false" ht="15" hidden="false" customHeight="false" outlineLevel="0" collapsed="false">
      <c r="A63" s="37" t="str">
        <f aca="false">IF(COUNTA(Watchlist!$A$63)=0,"",Watchlist!$A$63)</f>
        <v/>
      </c>
      <c r="B63" s="28" t="str">
        <f aca="false">IF($A63="","",IFERROR(MATCH($A63,Data_Input!$A$1:$A$5000,0),""))</f>
        <v/>
      </c>
      <c r="C63" s="28" t="str">
        <f aca="false">IF($A63="","",IFERROR(MATCH($A63,Daily_History!$AN$1:$AN$5000,0),""))</f>
        <v/>
      </c>
      <c r="D63" s="39" t="str">
        <f aca="false">IF($A63="","",IFERROR(INDEX(Data_Input!$I$1:$I$5000,$B63),""))</f>
        <v/>
      </c>
      <c r="E63" s="39" t="str">
        <f aca="false">IF($A63="","",IFERROR(INDEX(Data_Input!$J$1:$J$5000,$B63),""))</f>
        <v/>
      </c>
      <c r="F63" s="40" t="str">
        <f aca="false">IF($A63="","",IFERROR(INDEX(Data_Input!$M$1:$M$5000,$B63),""))</f>
        <v/>
      </c>
      <c r="G63" s="41" t="str">
        <f aca="false">IF($A63="","",IFERROR(INDEX(Data_Input!$R$1:$R$5000,$B63)/1000000000,""))</f>
        <v/>
      </c>
      <c r="H63" s="39" t="str">
        <f aca="false">IF($A63="","",IFERROR(INDEX(Daily_History!$V$1:$V$5000,$C63),""))</f>
        <v/>
      </c>
      <c r="I63" s="39" t="str">
        <f aca="false">IF($A63="","",IFERROR(INDEX(Daily_History!$W$1:$W$5000,$C63),""))</f>
        <v/>
      </c>
      <c r="J63" s="39" t="str">
        <f aca="false">IF($A63="","",IFERROR(INDEX(Daily_History!$X$1:$X$5000,$C63),""))</f>
        <v/>
      </c>
      <c r="K63" s="39" t="str">
        <f aca="false">IF($A63="","",IFERROR(INDEX(Daily_History!$Y$1:$Y$5000,$C63),""))</f>
        <v/>
      </c>
      <c r="L63" s="35" t="str">
        <f aca="false">IF($A63="","",IFERROR($D63/$I63-1,""))</f>
        <v/>
      </c>
      <c r="M63" s="35" t="str">
        <f aca="false">IF($A63="","",IFERROR($D63/$K63-1,""))</f>
        <v/>
      </c>
      <c r="N63" s="28" t="str">
        <f aca="false">IF($A63="","",IF(D63&gt;H63,1,0)+IF(D63&gt;I63,1,0)+IF(D63&gt;J63,1,0)+IF(D63&gt;K63,1,0))</f>
        <v/>
      </c>
      <c r="O63" s="23" t="str">
        <f aca="false">IF($A63="","",IF(AND(ISNUMBER(H63),ISNUMBER(K63)),IF(AND(H63&gt;I63,I63&gt;J63,J63&gt;K63),"آرایش صعودی کامل",IF(AND(H63&lt;I63,I63&lt;J63,J63&lt;K63),"آرایش نزولی کامل",IF(I63&gt;K63,"تقاطع طلایی","تقاطع مرگ"))),"داده ناکافی"))</f>
        <v/>
      </c>
      <c r="P63" s="35" t="str">
        <f aca="false">IF($A63="","",IFERROR(H63/INDEX(Daily_History!$V$1:$V$5000,$C63-MA_SHORT)-1,""))</f>
        <v/>
      </c>
      <c r="Q63" s="39" t="str">
        <f aca="false">IF($A63="","",IFERROR(INDEX(Daily_History!$AI$1:$AI$5000,$C63),""))</f>
        <v/>
      </c>
      <c r="R63" s="39" t="str">
        <f aca="false">IF($A63="","",IFERROR(INDEX(Daily_History!$AJ$1:$AJ$5000,$C63),""))</f>
        <v/>
      </c>
      <c r="S63" s="39" t="str">
        <f aca="false">IF($A63="","",IFERROR(INDEX(Daily_History!$AK$1:$AK$5000,$C63),""))</f>
        <v/>
      </c>
      <c r="T63" s="39" t="str">
        <f aca="false">IF($A63="","",IFERROR(INDEX(Daily_History!$AL$1:$AL$5000,$C63),""))</f>
        <v/>
      </c>
      <c r="U63" s="23" t="str">
        <f aca="false">IF($A63="","",IF(AND(ISNUMBER(S63),ISNUMBER(D63)),IF(D63&gt;=S63*0.995,"سقف‌شکنی میان‌مدت (HH)",IF(D63&gt;=Q63*0.995,"سقف‌شکنی کوتاه‌مدت",IF(D63&lt;=T63*1.005,"کف‌شکنی میان‌مدت (LL)",IF(D63&lt;=R63*1.005,"کف‌شکنی کوتاه‌مدت","درون محدوده")))),"داده ناکافی"))</f>
        <v/>
      </c>
      <c r="V63" s="39" t="str">
        <f aca="false">IF($A63="","",IFERROR(INDEX(Daily_History!$AB$1:$AB$5000,$C63),""))</f>
        <v/>
      </c>
      <c r="W63" s="35" t="str">
        <f aca="false">IF($A63="","",IFERROR(V63/D63,""))</f>
        <v/>
      </c>
      <c r="X63" s="26" t="str">
        <f aca="false">IF($A63="","",IFERROR(D63-ATR_STOP_MULT*V63,""))</f>
        <v/>
      </c>
      <c r="Y63" s="39" t="str">
        <f aca="false">IF($A63="","",IFERROR(INDEX(Daily_History!$Z$1:$Z$5000,$C63),""))</f>
        <v/>
      </c>
      <c r="Z63" s="39" t="str">
        <f aca="false">IF($A63="","",IFERROR(INDEX(Data_Input!$Q$1:$Q$5000,$B63),""))</f>
        <v/>
      </c>
      <c r="AA63" s="33" t="str">
        <f aca="false">IF($A63="","",IFERROR(Z63/Y63,""))</f>
        <v/>
      </c>
      <c r="AB63" s="26" t="str">
        <f aca="false">IF($A63="","",IFERROR(INDEX(Data_Input!$V$1:$V$5000,$B63)-INDEX(Data_Input!$W$1:$W$5000,$B63),""))</f>
        <v/>
      </c>
      <c r="AC63" s="27" t="str">
        <f aca="false">IF($A63="","",IFERROR(AB63*E63/1000000000,""))</f>
        <v/>
      </c>
      <c r="AD63" s="35" t="str">
        <f aca="false">IF($A63="","",IFERROR(AB63*E63/INDEX(Data_Input!$R$1:$R$5000,$B63),""))</f>
        <v/>
      </c>
      <c r="AE63" s="27" t="str">
        <f aca="false">IF($A63="","",IFERROR(INDEX(Data_Input!$V$1:$V$5000,$B63)*E63/INDEX(Data_Input!$X$1:$X$5000,$B63)/1000000,""))</f>
        <v/>
      </c>
      <c r="AF63" s="27" t="str">
        <f aca="false">IF($A63="","",IFERROR(INDEX(Data_Input!$W$1:$W$5000,$B63)*E63/INDEX(Data_Input!$Y$1:$Y$5000,$B63)/1000000,""))</f>
        <v/>
      </c>
      <c r="AG63" s="33" t="str">
        <f aca="false">IF($A63="","",IFERROR(AE63/AF63,""))</f>
        <v/>
      </c>
      <c r="AH63" s="41" t="str">
        <f aca="false">IF($A63="","",IFERROR(INDEX(Daily_History!$AH$1:$AH$5000,$C63)/1000000000,""))</f>
        <v/>
      </c>
      <c r="AI63" s="35" t="str">
        <f aca="false">IF($A63="","",IFERROR(AH63/(5*G63),""))</f>
        <v/>
      </c>
      <c r="AJ63" s="27" t="str">
        <f aca="false">IF($A63="","",IFERROR(MAX(-10,MIN(10,IF(D63&gt;I63*1.02,3,IF(D63&gt;I63,1.5,IF(D63&lt;I63*0.98,-3,-1.5)))+IF(I63&gt;K63*1.02,3,IF(I63&gt;K63,1.5,IF(I63&lt;K63*0.98,-3,-1.5)))+IF(D63&gt;=Q63*0.995,2,IF(D63&lt;=R63*1.005,-2,0))+IF(P63&gt;0.03,2,IF(P63&gt;0,1,IF(P63&lt;-0.03,-2,-1))))),0))</f>
        <v/>
      </c>
      <c r="AK63" s="27" t="str">
        <f aca="false">IF($A63="","",IFERROR(MAX(-10,MIN(10,IF(AG63&gt;=SM_STRONG,4,IF(AG63&gt;=SM_MOD,2,IF(AG63&lt;=SM_BAD,-4,IF(AG63&lt;=SM_WEAK,-2,0))))+IF(AD63&gt;=NF_STRONG,3,IF(AD63&gt;=NF_MOD,1.5,IF(AD63&lt;=-NF_STRONG,-3,IF(AD63&lt;=-NF_MOD,-1.5,0))))+IF(AI63&gt;=NF_MOD,3,IF(AI63&gt;0,1.5,IF(AI63&lt;=-NF_MOD,-3,-1.5))))),0))</f>
        <v/>
      </c>
      <c r="AL63" s="27" t="str">
        <f aca="false">IF($A63="","",IFERROR(N63*5-10,0))</f>
        <v/>
      </c>
      <c r="AM63" s="27" t="str">
        <f aca="false">IF($A63="","",IFERROR(IF(F63&gt;0,IF(AA63&gt;=VOL_HIGH,9,IF(AA63&gt;=VOL_MOD,5,IF(AA63&lt;=VOL_DRY,-2,2))),IF(F63&lt;0,IF(AA63&gt;=VOL_HIGH,-9,IF(AA63&gt;=VOL_MOD,-5,IF(AA63&lt;=VOL_DRY,2,-2))),0)),0))</f>
        <v/>
      </c>
      <c r="AN63" s="41" t="str">
        <f aca="false">IF($A63="","",MARKET_SCORE)</f>
        <v/>
      </c>
      <c r="AO63" s="41" t="str">
        <f aca="false">IF($A63="","",IFERROR(INDEX(Time_Link!$B$1:$B$5000,MATCH($A63,Time_Link!$A$1:$A$5000,0)),0))</f>
        <v/>
      </c>
      <c r="AP63" s="27" t="str">
        <f aca="false">IF($A63="","",IFERROR((AJ63*W_TREND+AK63*W_SMART+AL63*W_MA+AM63*W_VOL+AN63*W_MARKET+AO63*W_TIME)/W_SUM,0))</f>
        <v/>
      </c>
      <c r="AQ63" s="28" t="str">
        <f aca="false">IF($A63="","",IF(ABS(AP63)&gt;=8,5,IF(ABS(AP63)&gt;=5,4,IF(ABS(AP63)&gt;=3,3,IF(ABS(AP63)&gt;=1.5,2,1)))))</f>
        <v/>
      </c>
      <c r="AR63" s="23" t="str">
        <f aca="false">IF($A63="","",IF(G63="","بدون داده",IF(G63&lt;MIN_LIQ_B,"کم‌اعتبار","معتبر")))</f>
        <v/>
      </c>
      <c r="AS63" s="42" t="str">
        <f aca="false">IF($A63="","",IFERROR(AP63+ROW()/1000000,-99))</f>
        <v/>
      </c>
      <c r="AT63" s="28" t="str">
        <f aca="false">IF($A63="","",RANK(AS63,$AS$5:$AS$64,0))</f>
        <v/>
      </c>
      <c r="AU63" s="28" t="str">
        <f aca="false">IF($A63="","",RANK(AS63,$AS$5:$AS$64,1))</f>
        <v/>
      </c>
    </row>
    <row r="64" customFormat="false" ht="15" hidden="false" customHeight="false" outlineLevel="0" collapsed="false">
      <c r="A64" s="37" t="str">
        <f aca="false">IF(COUNTA(Watchlist!$A$64)=0,"",Watchlist!$A$64)</f>
        <v/>
      </c>
      <c r="B64" s="28" t="str">
        <f aca="false">IF($A64="","",IFERROR(MATCH($A64,Data_Input!$A$1:$A$5000,0),""))</f>
        <v/>
      </c>
      <c r="C64" s="28" t="str">
        <f aca="false">IF($A64="","",IFERROR(MATCH($A64,Daily_History!$AN$1:$AN$5000,0),""))</f>
        <v/>
      </c>
      <c r="D64" s="39" t="str">
        <f aca="false">IF($A64="","",IFERROR(INDEX(Data_Input!$I$1:$I$5000,$B64),""))</f>
        <v/>
      </c>
      <c r="E64" s="39" t="str">
        <f aca="false">IF($A64="","",IFERROR(INDEX(Data_Input!$J$1:$J$5000,$B64),""))</f>
        <v/>
      </c>
      <c r="F64" s="40" t="str">
        <f aca="false">IF($A64="","",IFERROR(INDEX(Data_Input!$M$1:$M$5000,$B64),""))</f>
        <v/>
      </c>
      <c r="G64" s="41" t="str">
        <f aca="false">IF($A64="","",IFERROR(INDEX(Data_Input!$R$1:$R$5000,$B64)/1000000000,""))</f>
        <v/>
      </c>
      <c r="H64" s="39" t="str">
        <f aca="false">IF($A64="","",IFERROR(INDEX(Daily_History!$V$1:$V$5000,$C64),""))</f>
        <v/>
      </c>
      <c r="I64" s="39" t="str">
        <f aca="false">IF($A64="","",IFERROR(INDEX(Daily_History!$W$1:$W$5000,$C64),""))</f>
        <v/>
      </c>
      <c r="J64" s="39" t="str">
        <f aca="false">IF($A64="","",IFERROR(INDEX(Daily_History!$X$1:$X$5000,$C64),""))</f>
        <v/>
      </c>
      <c r="K64" s="39" t="str">
        <f aca="false">IF($A64="","",IFERROR(INDEX(Daily_History!$Y$1:$Y$5000,$C64),""))</f>
        <v/>
      </c>
      <c r="L64" s="35" t="str">
        <f aca="false">IF($A64="","",IFERROR($D64/$I64-1,""))</f>
        <v/>
      </c>
      <c r="M64" s="35" t="str">
        <f aca="false">IF($A64="","",IFERROR($D64/$K64-1,""))</f>
        <v/>
      </c>
      <c r="N64" s="28" t="str">
        <f aca="false">IF($A64="","",IF(D64&gt;H64,1,0)+IF(D64&gt;I64,1,0)+IF(D64&gt;J64,1,0)+IF(D64&gt;K64,1,0))</f>
        <v/>
      </c>
      <c r="O64" s="23" t="str">
        <f aca="false">IF($A64="","",IF(AND(ISNUMBER(H64),ISNUMBER(K64)),IF(AND(H64&gt;I64,I64&gt;J64,J64&gt;K64),"آرایش صعودی کامل",IF(AND(H64&lt;I64,I64&lt;J64,J64&lt;K64),"آرایش نزولی کامل",IF(I64&gt;K64,"تقاطع طلایی","تقاطع مرگ"))),"داده ناکافی"))</f>
        <v/>
      </c>
      <c r="P64" s="35" t="str">
        <f aca="false">IF($A64="","",IFERROR(H64/INDEX(Daily_History!$V$1:$V$5000,$C64-MA_SHORT)-1,""))</f>
        <v/>
      </c>
      <c r="Q64" s="39" t="str">
        <f aca="false">IF($A64="","",IFERROR(INDEX(Daily_History!$AI$1:$AI$5000,$C64),""))</f>
        <v/>
      </c>
      <c r="R64" s="39" t="str">
        <f aca="false">IF($A64="","",IFERROR(INDEX(Daily_History!$AJ$1:$AJ$5000,$C64),""))</f>
        <v/>
      </c>
      <c r="S64" s="39" t="str">
        <f aca="false">IF($A64="","",IFERROR(INDEX(Daily_History!$AK$1:$AK$5000,$C64),""))</f>
        <v/>
      </c>
      <c r="T64" s="39" t="str">
        <f aca="false">IF($A64="","",IFERROR(INDEX(Daily_History!$AL$1:$AL$5000,$C64),""))</f>
        <v/>
      </c>
      <c r="U64" s="23" t="str">
        <f aca="false">IF($A64="","",IF(AND(ISNUMBER(S64),ISNUMBER(D64)),IF(D64&gt;=S64*0.995,"سقف‌شکنی میان‌مدت (HH)",IF(D64&gt;=Q64*0.995,"سقف‌شکنی کوتاه‌مدت",IF(D64&lt;=T64*1.005,"کف‌شکنی میان‌مدت (LL)",IF(D64&lt;=R64*1.005,"کف‌شکنی کوتاه‌مدت","درون محدوده")))),"داده ناکافی"))</f>
        <v/>
      </c>
      <c r="V64" s="39" t="str">
        <f aca="false">IF($A64="","",IFERROR(INDEX(Daily_History!$AB$1:$AB$5000,$C64),""))</f>
        <v/>
      </c>
      <c r="W64" s="35" t="str">
        <f aca="false">IF($A64="","",IFERROR(V64/D64,""))</f>
        <v/>
      </c>
      <c r="X64" s="26" t="str">
        <f aca="false">IF($A64="","",IFERROR(D64-ATR_STOP_MULT*V64,""))</f>
        <v/>
      </c>
      <c r="Y64" s="39" t="str">
        <f aca="false">IF($A64="","",IFERROR(INDEX(Daily_History!$Z$1:$Z$5000,$C64),""))</f>
        <v/>
      </c>
      <c r="Z64" s="39" t="str">
        <f aca="false">IF($A64="","",IFERROR(INDEX(Data_Input!$Q$1:$Q$5000,$B64),""))</f>
        <v/>
      </c>
      <c r="AA64" s="33" t="str">
        <f aca="false">IF($A64="","",IFERROR(Z64/Y64,""))</f>
        <v/>
      </c>
      <c r="AB64" s="26" t="str">
        <f aca="false">IF($A64="","",IFERROR(INDEX(Data_Input!$V$1:$V$5000,$B64)-INDEX(Data_Input!$W$1:$W$5000,$B64),""))</f>
        <v/>
      </c>
      <c r="AC64" s="27" t="str">
        <f aca="false">IF($A64="","",IFERROR(AB64*E64/1000000000,""))</f>
        <v/>
      </c>
      <c r="AD64" s="35" t="str">
        <f aca="false">IF($A64="","",IFERROR(AB64*E64/INDEX(Data_Input!$R$1:$R$5000,$B64),""))</f>
        <v/>
      </c>
      <c r="AE64" s="27" t="str">
        <f aca="false">IF($A64="","",IFERROR(INDEX(Data_Input!$V$1:$V$5000,$B64)*E64/INDEX(Data_Input!$X$1:$X$5000,$B64)/1000000,""))</f>
        <v/>
      </c>
      <c r="AF64" s="27" t="str">
        <f aca="false">IF($A64="","",IFERROR(INDEX(Data_Input!$W$1:$W$5000,$B64)*E64/INDEX(Data_Input!$Y$1:$Y$5000,$B64)/1000000,""))</f>
        <v/>
      </c>
      <c r="AG64" s="33" t="str">
        <f aca="false">IF($A64="","",IFERROR(AE64/AF64,""))</f>
        <v/>
      </c>
      <c r="AH64" s="41" t="str">
        <f aca="false">IF($A64="","",IFERROR(INDEX(Daily_History!$AH$1:$AH$5000,$C64)/1000000000,""))</f>
        <v/>
      </c>
      <c r="AI64" s="35" t="str">
        <f aca="false">IF($A64="","",IFERROR(AH64/(5*G64),""))</f>
        <v/>
      </c>
      <c r="AJ64" s="27" t="str">
        <f aca="false">IF($A64="","",IFERROR(MAX(-10,MIN(10,IF(D64&gt;I64*1.02,3,IF(D64&gt;I64,1.5,IF(D64&lt;I64*0.98,-3,-1.5)))+IF(I64&gt;K64*1.02,3,IF(I64&gt;K64,1.5,IF(I64&lt;K64*0.98,-3,-1.5)))+IF(D64&gt;=Q64*0.995,2,IF(D64&lt;=R64*1.005,-2,0))+IF(P64&gt;0.03,2,IF(P64&gt;0,1,IF(P64&lt;-0.03,-2,-1))))),0))</f>
        <v/>
      </c>
      <c r="AK64" s="27" t="str">
        <f aca="false">IF($A64="","",IFERROR(MAX(-10,MIN(10,IF(AG64&gt;=SM_STRONG,4,IF(AG64&gt;=SM_MOD,2,IF(AG64&lt;=SM_BAD,-4,IF(AG64&lt;=SM_WEAK,-2,0))))+IF(AD64&gt;=NF_STRONG,3,IF(AD64&gt;=NF_MOD,1.5,IF(AD64&lt;=-NF_STRONG,-3,IF(AD64&lt;=-NF_MOD,-1.5,0))))+IF(AI64&gt;=NF_MOD,3,IF(AI64&gt;0,1.5,IF(AI64&lt;=-NF_MOD,-3,-1.5))))),0))</f>
        <v/>
      </c>
      <c r="AL64" s="27" t="str">
        <f aca="false">IF($A64="","",IFERROR(N64*5-10,0))</f>
        <v/>
      </c>
      <c r="AM64" s="27" t="str">
        <f aca="false">IF($A64="","",IFERROR(IF(F64&gt;0,IF(AA64&gt;=VOL_HIGH,9,IF(AA64&gt;=VOL_MOD,5,IF(AA64&lt;=VOL_DRY,-2,2))),IF(F64&lt;0,IF(AA64&gt;=VOL_HIGH,-9,IF(AA64&gt;=VOL_MOD,-5,IF(AA64&lt;=VOL_DRY,2,-2))),0)),0))</f>
        <v/>
      </c>
      <c r="AN64" s="41" t="str">
        <f aca="false">IF($A64="","",MARKET_SCORE)</f>
        <v/>
      </c>
      <c r="AO64" s="41" t="str">
        <f aca="false">IF($A64="","",IFERROR(INDEX(Time_Link!$B$1:$B$5000,MATCH($A64,Time_Link!$A$1:$A$5000,0)),0))</f>
        <v/>
      </c>
      <c r="AP64" s="27" t="str">
        <f aca="false">IF($A64="","",IFERROR((AJ64*W_TREND+AK64*W_SMART+AL64*W_MA+AM64*W_VOL+AN64*W_MARKET+AO64*W_TIME)/W_SUM,0))</f>
        <v/>
      </c>
      <c r="AQ64" s="28" t="str">
        <f aca="false">IF($A64="","",IF(ABS(AP64)&gt;=8,5,IF(ABS(AP64)&gt;=5,4,IF(ABS(AP64)&gt;=3,3,IF(ABS(AP64)&gt;=1.5,2,1)))))</f>
        <v/>
      </c>
      <c r="AR64" s="23" t="str">
        <f aca="false">IF($A64="","",IF(G64="","بدون داده",IF(G64&lt;MIN_LIQ_B,"کم‌اعتبار","معتبر")))</f>
        <v/>
      </c>
      <c r="AS64" s="42" t="str">
        <f aca="false">IF($A64="","",IFERROR(AP64+ROW()/1000000,-99))</f>
        <v/>
      </c>
      <c r="AT64" s="28" t="str">
        <f aca="false">IF($A64="","",RANK(AS64,$AS$5:$AS$64,0))</f>
        <v/>
      </c>
      <c r="AU64" s="28" t="str">
        <f aca="false">IF($A64="","",RANK(AS64,$AS$5:$AS$64,1))</f>
        <v/>
      </c>
    </row>
  </sheetData>
  <mergeCells count="2">
    <mergeCell ref="A1:AU1"/>
    <mergeCell ref="A2:AU2"/>
  </mergeCells>
  <conditionalFormatting sqref="AJ5:AJ64">
    <cfRule type="colorScale" priority="2">
      <colorScale>
        <cfvo type="num" val="-10"/>
        <cfvo type="num" val="0"/>
        <cfvo type="num" val="10"/>
        <color rgb="FFC00000"/>
        <color rgb="FFFFFFFF"/>
        <color rgb="FF00B050"/>
      </colorScale>
    </cfRule>
  </conditionalFormatting>
  <conditionalFormatting sqref="AK5:AK64">
    <cfRule type="colorScale" priority="3">
      <colorScale>
        <cfvo type="num" val="-10"/>
        <cfvo type="num" val="0"/>
        <cfvo type="num" val="10"/>
        <color rgb="FFC00000"/>
        <color rgb="FFFFFFFF"/>
        <color rgb="FF00B050"/>
      </colorScale>
    </cfRule>
  </conditionalFormatting>
  <conditionalFormatting sqref="AL5:AL64">
    <cfRule type="colorScale" priority="4">
      <colorScale>
        <cfvo type="num" val="-10"/>
        <cfvo type="num" val="0"/>
        <cfvo type="num" val="10"/>
        <color rgb="FFC00000"/>
        <color rgb="FFFFFFFF"/>
        <color rgb="FF00B050"/>
      </colorScale>
    </cfRule>
  </conditionalFormatting>
  <conditionalFormatting sqref="AM5:AM64">
    <cfRule type="colorScale" priority="5">
      <colorScale>
        <cfvo type="num" val="-10"/>
        <cfvo type="num" val="0"/>
        <cfvo type="num" val="10"/>
        <color rgb="FFC00000"/>
        <color rgb="FFFFFFFF"/>
        <color rgb="FF00B050"/>
      </colorScale>
    </cfRule>
  </conditionalFormatting>
  <conditionalFormatting sqref="AN5:AN64">
    <cfRule type="colorScale" priority="6">
      <colorScale>
        <cfvo type="num" val="-10"/>
        <cfvo type="num" val="0"/>
        <cfvo type="num" val="10"/>
        <color rgb="FFC00000"/>
        <color rgb="FFFFFFFF"/>
        <color rgb="FF00B050"/>
      </colorScale>
    </cfRule>
  </conditionalFormatting>
  <conditionalFormatting sqref="AO5:AO64">
    <cfRule type="colorScale" priority="7">
      <colorScale>
        <cfvo type="num" val="-10"/>
        <cfvo type="num" val="0"/>
        <cfvo type="num" val="10"/>
        <color rgb="FFC00000"/>
        <color rgb="FFFFFFFF"/>
        <color rgb="FF00B050"/>
      </colorScale>
    </cfRule>
  </conditionalFormatting>
  <conditionalFormatting sqref="AP5:AP64">
    <cfRule type="colorScale" priority="8">
      <colorScale>
        <cfvo type="num" val="-10"/>
        <cfvo type="num" val="0"/>
        <cfvo type="num" val="10"/>
        <color rgb="FFC00000"/>
        <color rgb="FFFFFFFF"/>
        <color rgb="FF00B050"/>
      </colorScale>
    </cfRule>
  </conditionalFormatting>
  <conditionalFormatting sqref="AA5:AA64">
    <cfRule type="dataBar" priority="9">
      <dataBar showValue="1" minLength="10" maxLength="90">
        <cfvo type="num" val="0"/>
        <cfvo type="num" val="4"/>
        <color rgb="FF638EC6"/>
      </dataBar>
      <extLst>
        <ext xmlns:x14="http://schemas.microsoft.com/office/spreadsheetml/2009/9/main" uri="{B025F937-C7B1-47D3-B67F-A62EFF666E3E}">
          <x14:id>{CB917018-B486-4BED-BCC2-2048CF80C278}</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B917018-B486-4BED-BCC2-2048CF80C278}">
            <x14:dataBar minLength="10" maxLength="90" axisPosition="none" gradient="true">
              <x14:cfvo type="num">
                <xm:f>0</xm:f>
              </x14:cfvo>
              <x14:cfvo type="num">
                <xm:f>4</xm:f>
              </x14:cfvo>
              <x14:negativeFillColor rgb="FF638EC6"/>
              <x14:axisColor rgb="FF000000"/>
            </x14:dataBar>
          </x14:cfRule>
          <xm:sqref>AA5:AA64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08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5" min="3" style="0" width="12"/>
    <col collapsed="false" customWidth="true" hidden="false" outlineLevel="0" max="11" min="6" style="0" width="11"/>
    <col collapsed="false" customWidth="true" hidden="false" outlineLevel="0" max="12" min="12" style="0" width="14"/>
    <col collapsed="false" customWidth="true" hidden="false" outlineLevel="0" max="13" min="13" style="0" width="16"/>
    <col collapsed="false" customWidth="true" hidden="false" outlineLevel="0" max="14" min="14" style="0" width="11"/>
    <col collapsed="false" customWidth="true" hidden="false" outlineLevel="0" max="16" min="15" style="0" width="14"/>
    <col collapsed="false" customWidth="true" hidden="false" outlineLevel="0" max="18" min="17" style="0" width="13"/>
    <col collapsed="false" customWidth="true" hidden="false" outlineLevel="0" max="20" min="19" style="0" width="14"/>
    <col collapsed="false" customWidth="true" hidden="false" outlineLevel="0" max="21" min="21" style="0" width="10"/>
    <col collapsed="false" customWidth="true" hidden="false" outlineLevel="0" max="25" min="22" style="0" width="12"/>
    <col collapsed="false" customWidth="true" hidden="false" outlineLevel="0" max="26" min="26" style="0" width="14"/>
    <col collapsed="false" customWidth="true" hidden="false" outlineLevel="0" max="28" min="27" style="0" width="12"/>
    <col collapsed="false" customWidth="true" hidden="false" outlineLevel="0" max="29" min="29" style="0" width="14"/>
    <col collapsed="false" customWidth="true" hidden="false" outlineLevel="0" max="30" min="30" style="0" width="17"/>
    <col collapsed="false" customWidth="true" hidden="false" outlineLevel="0" max="32" min="31" style="0" width="15"/>
    <col collapsed="false" customWidth="true" hidden="false" outlineLevel="0" max="33" min="33" style="0" width="12"/>
    <col collapsed="false" customWidth="true" hidden="false" outlineLevel="0" max="34" min="34" style="0" width="17"/>
    <col collapsed="false" customWidth="true" hidden="false" outlineLevel="0" max="38" min="35" style="0" width="13"/>
    <col collapsed="false" customWidth="true" hidden="false" outlineLevel="0" max="39" min="39" style="0" width="11"/>
    <col collapsed="false" customWidth="true" hidden="false" outlineLevel="0" max="40" min="40" style="0" width="13"/>
  </cols>
  <sheetData>
    <row r="1" customFormat="false" ht="27.75" hidden="false" customHeight="true" outlineLevel="0" collapsed="false">
      <c r="A1" s="1" t="s">
        <v>250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ustomFormat="false" ht="18" hidden="false" customHeight="true" outlineLevel="0" collapsed="false">
      <c r="A2" s="30" t="s">
        <v>251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customFormat="false" ht="30" hidden="false" customHeight="true" outlineLevel="0" collapsed="false">
      <c r="A3" s="31" t="s">
        <v>26</v>
      </c>
      <c r="B3" s="31" t="s">
        <v>62</v>
      </c>
      <c r="C3" s="31" t="s">
        <v>252</v>
      </c>
      <c r="D3" s="31" t="s">
        <v>253</v>
      </c>
      <c r="E3" s="31" t="s">
        <v>254</v>
      </c>
      <c r="F3" s="31" t="s">
        <v>69</v>
      </c>
      <c r="G3" s="31" t="s">
        <v>255</v>
      </c>
      <c r="H3" s="31" t="s">
        <v>256</v>
      </c>
      <c r="I3" s="31" t="s">
        <v>66</v>
      </c>
      <c r="J3" s="31" t="s">
        <v>28</v>
      </c>
      <c r="K3" s="31" t="s">
        <v>67</v>
      </c>
      <c r="L3" s="31" t="s">
        <v>72</v>
      </c>
      <c r="M3" s="31" t="s">
        <v>257</v>
      </c>
      <c r="N3" s="31" t="s">
        <v>74</v>
      </c>
      <c r="O3" s="31" t="s">
        <v>77</v>
      </c>
      <c r="P3" s="31" t="s">
        <v>78</v>
      </c>
      <c r="Q3" s="31" t="s">
        <v>79</v>
      </c>
      <c r="R3" s="31" t="s">
        <v>80</v>
      </c>
      <c r="S3" s="31" t="s">
        <v>81</v>
      </c>
      <c r="T3" s="31" t="s">
        <v>82</v>
      </c>
      <c r="U3" s="31" t="s">
        <v>258</v>
      </c>
      <c r="V3" s="31" t="s">
        <v>177</v>
      </c>
      <c r="W3" s="31" t="s">
        <v>178</v>
      </c>
      <c r="X3" s="31" t="s">
        <v>179</v>
      </c>
      <c r="Y3" s="31" t="s">
        <v>180</v>
      </c>
      <c r="Z3" s="31" t="s">
        <v>192</v>
      </c>
      <c r="AA3" s="31" t="s">
        <v>259</v>
      </c>
      <c r="AB3" s="31" t="s">
        <v>190</v>
      </c>
      <c r="AC3" s="31" t="s">
        <v>194</v>
      </c>
      <c r="AD3" s="31" t="s">
        <v>260</v>
      </c>
      <c r="AE3" s="31" t="s">
        <v>197</v>
      </c>
      <c r="AF3" s="31" t="s">
        <v>198</v>
      </c>
      <c r="AG3" s="31" t="s">
        <v>45</v>
      </c>
      <c r="AH3" s="31" t="s">
        <v>261</v>
      </c>
      <c r="AI3" s="31" t="s">
        <v>262</v>
      </c>
      <c r="AJ3" s="31" t="s">
        <v>263</v>
      </c>
      <c r="AK3" s="31" t="s">
        <v>264</v>
      </c>
      <c r="AL3" s="31" t="s">
        <v>265</v>
      </c>
      <c r="AM3" s="31" t="s">
        <v>266</v>
      </c>
      <c r="AN3" s="31" t="s">
        <v>267</v>
      </c>
    </row>
    <row r="4" customFormat="false" ht="21.75" hidden="false" customHeight="true" outlineLevel="0" collapsed="false">
      <c r="A4" s="36" t="s">
        <v>93</v>
      </c>
      <c r="B4" s="36" t="s">
        <v>95</v>
      </c>
      <c r="C4" s="36" t="s">
        <v>129</v>
      </c>
      <c r="D4" s="36" t="s">
        <v>268</v>
      </c>
      <c r="E4" s="36" t="s">
        <v>129</v>
      </c>
      <c r="F4" s="36" t="s">
        <v>269</v>
      </c>
      <c r="G4" s="36" t="s">
        <v>270</v>
      </c>
      <c r="H4" s="36" t="s">
        <v>271</v>
      </c>
      <c r="I4" s="36" t="s">
        <v>102</v>
      </c>
      <c r="J4" s="36" t="s">
        <v>101</v>
      </c>
      <c r="K4" s="36" t="s">
        <v>103</v>
      </c>
      <c r="L4" s="36" t="s">
        <v>109</v>
      </c>
      <c r="M4" s="36" t="s">
        <v>110</v>
      </c>
      <c r="N4" s="36" t="s">
        <v>111</v>
      </c>
      <c r="O4" s="36" t="s">
        <v>114</v>
      </c>
      <c r="P4" s="36" t="s">
        <v>115</v>
      </c>
      <c r="Q4" s="36" t="s">
        <v>116</v>
      </c>
      <c r="R4" s="36" t="s">
        <v>117</v>
      </c>
      <c r="S4" s="36" t="s">
        <v>118</v>
      </c>
      <c r="T4" s="36" t="s">
        <v>119</v>
      </c>
      <c r="U4" s="36" t="s">
        <v>272</v>
      </c>
      <c r="V4" s="36" t="s">
        <v>273</v>
      </c>
      <c r="W4" s="36" t="s">
        <v>274</v>
      </c>
      <c r="X4" s="36" t="s">
        <v>275</v>
      </c>
      <c r="Y4" s="36" t="s">
        <v>276</v>
      </c>
      <c r="Z4" s="36" t="s">
        <v>273</v>
      </c>
      <c r="AA4" s="36" t="s">
        <v>277</v>
      </c>
      <c r="AB4" s="36" t="s">
        <v>278</v>
      </c>
      <c r="AC4" s="36" t="s">
        <v>233</v>
      </c>
      <c r="AD4" s="36" t="s">
        <v>279</v>
      </c>
      <c r="AE4" s="36" t="s">
        <v>280</v>
      </c>
      <c r="AF4" s="36" t="s">
        <v>281</v>
      </c>
      <c r="AG4" s="36" t="s">
        <v>282</v>
      </c>
      <c r="AH4" s="36" t="s">
        <v>283</v>
      </c>
      <c r="AI4" s="36" t="s">
        <v>284</v>
      </c>
      <c r="AJ4" s="36" t="s">
        <v>284</v>
      </c>
      <c r="AK4" s="36" t="s">
        <v>285</v>
      </c>
      <c r="AL4" s="36" t="s">
        <v>285</v>
      </c>
      <c r="AM4" s="36" t="s">
        <v>286</v>
      </c>
      <c r="AN4" s="36" t="s">
        <v>287</v>
      </c>
    </row>
    <row r="5" customFormat="false" ht="15" hidden="false" customHeight="false" outlineLevel="0" collapsed="false">
      <c r="A5" s="43" t="s">
        <v>130</v>
      </c>
      <c r="B5" s="44" t="s">
        <v>132</v>
      </c>
      <c r="C5" s="45" t="n">
        <v>45906</v>
      </c>
      <c r="D5" s="46" t="n">
        <v>20250906</v>
      </c>
      <c r="E5" s="47" t="s">
        <v>288</v>
      </c>
      <c r="F5" s="48" t="n">
        <v>5798</v>
      </c>
      <c r="G5" s="48" t="n">
        <v>5943</v>
      </c>
      <c r="H5" s="48" t="n">
        <v>5756</v>
      </c>
      <c r="I5" s="48" t="n">
        <v>5856</v>
      </c>
      <c r="J5" s="48" t="n">
        <v>5797</v>
      </c>
      <c r="K5" s="48" t="n">
        <v>5844</v>
      </c>
      <c r="L5" s="48" t="n">
        <v>43459844</v>
      </c>
      <c r="M5" s="48" t="n">
        <v>254500846464</v>
      </c>
      <c r="N5" s="48" t="n">
        <v>3044</v>
      </c>
      <c r="O5" s="48" t="n">
        <v>28452895</v>
      </c>
      <c r="P5" s="48" t="n">
        <v>15395071</v>
      </c>
      <c r="Q5" s="48" t="n">
        <v>1074</v>
      </c>
      <c r="R5" s="48" t="n">
        <v>2242</v>
      </c>
      <c r="S5" s="48" t="n">
        <v>15006949</v>
      </c>
      <c r="T5" s="48" t="n">
        <v>28064773</v>
      </c>
      <c r="U5" s="46" t="n">
        <f aca="false">IF($A5=$A4,$U4+1,1)</f>
        <v>1</v>
      </c>
      <c r="V5" s="48" t="str">
        <f aca="false">IF($U5&gt;=MA_SHORT,AVERAGE(INDEX($I$5:$I5,2-MA_SHORT):$I5),"")</f>
        <v/>
      </c>
      <c r="W5" s="48" t="str">
        <f aca="false">IF($U5&gt;=MA_MED,AVERAGE(INDEX($I$5:$I5,2-MA_MED):$I5),"")</f>
        <v/>
      </c>
      <c r="X5" s="48" t="str">
        <f aca="false">IF($U5&gt;=MA_LONG1,AVERAGE(INDEX($I$5:$I5,2-MA_LONG1):$I5),"")</f>
        <v/>
      </c>
      <c r="Y5" s="48" t="str">
        <f aca="false">IF($U5&gt;=MA_LONG2,AVERAGE(INDEX($I$5:$I5,2-MA_LONG2):$I5),"")</f>
        <v/>
      </c>
      <c r="Z5" s="48" t="str">
        <f aca="false">IF($U5&gt;=MA_SHORT,AVERAGE(INDEX($L$5:$L5,2-MA_SHORT):$L5),"")</f>
        <v/>
      </c>
      <c r="AA5" s="48" t="n">
        <f aca="false">IF($U5=1,$G5-$H5,MAX($G5-$H5,ABS($G5-$I4),ABS($H5-$I4)))</f>
        <v>187</v>
      </c>
      <c r="AB5" s="48" t="str">
        <f aca="false">IF($U5&gt;=ATR_PER,AVERAGE(INDEX($AA$5:$AA5,2-ATR_PER):$AA5),"")</f>
        <v/>
      </c>
      <c r="AC5" s="48" t="n">
        <f aca="false">$O5-$P5</f>
        <v>13057824</v>
      </c>
      <c r="AD5" s="48" t="n">
        <f aca="false">$AC5*$I5</f>
        <v>76466617344</v>
      </c>
      <c r="AE5" s="49" t="n">
        <f aca="false">IF($Q5&gt;0,$O5*$I5/$Q5/1000000,"")</f>
        <v>155.139807374302</v>
      </c>
      <c r="AF5" s="49" t="n">
        <f aca="false">IF($R5&gt;0,$P5*$I5/$R5/1000000,"")</f>
        <v>40.2112113184657</v>
      </c>
      <c r="AG5" s="50" t="n">
        <f aca="false">IF(AND(ISNUMBER($AE5),ISNUMBER($AF5),$AF5&gt;0),$AE5/$AF5,"")</f>
        <v>3.85812320214932</v>
      </c>
      <c r="AH5" s="48" t="str">
        <f aca="false">IF($U5&gt;=5,SUM(INDEX($AD$5:$AD5,2-5):$AD5),"")</f>
        <v/>
      </c>
      <c r="AI5" s="48" t="str">
        <f aca="false">IF($U5&gt;=STRUCT_S,MAX(INDEX($G$5:$G5,2-STRUCT_S):$G5),"")</f>
        <v/>
      </c>
      <c r="AJ5" s="48" t="str">
        <f aca="false">IF($U5&gt;=STRUCT_S,MIN(INDEX($H$5:$H5,2-STRUCT_S):$H5),"")</f>
        <v/>
      </c>
      <c r="AK5" s="48" t="str">
        <f aca="false">IF($U5&gt;=STRUCT_L,MAX(INDEX($G$5:$G5,2-STRUCT_L):$G5),"")</f>
        <v/>
      </c>
      <c r="AL5" s="48" t="str">
        <f aca="false">IF($U5&gt;=STRUCT_L,MIN(INDEX($H$5:$H5,2-STRUCT_L):$H5),"")</f>
        <v/>
      </c>
      <c r="AM5" s="46" t="n">
        <f aca="false">IF($A5&lt;&gt;$A6,1,0)</f>
        <v>0</v>
      </c>
      <c r="AN5" s="47" t="str">
        <f aca="false">IF($AM5=1,$A5,"")</f>
        <v/>
      </c>
    </row>
    <row r="6" customFormat="false" ht="15" hidden="false" customHeight="false" outlineLevel="0" collapsed="false">
      <c r="A6" s="43" t="s">
        <v>130</v>
      </c>
      <c r="B6" s="44" t="s">
        <v>132</v>
      </c>
      <c r="C6" s="45" t="n">
        <v>45907</v>
      </c>
      <c r="D6" s="46" t="n">
        <v>20250907</v>
      </c>
      <c r="E6" s="47" t="s">
        <v>289</v>
      </c>
      <c r="F6" s="48" t="n">
        <v>5893</v>
      </c>
      <c r="G6" s="48" t="n">
        <v>5987</v>
      </c>
      <c r="H6" s="48" t="n">
        <v>5805</v>
      </c>
      <c r="I6" s="48" t="n">
        <v>5935</v>
      </c>
      <c r="J6" s="48" t="n">
        <v>5932</v>
      </c>
      <c r="K6" s="48" t="n">
        <v>5856</v>
      </c>
      <c r="L6" s="48" t="n">
        <v>61406199</v>
      </c>
      <c r="M6" s="48" t="n">
        <v>364445791065</v>
      </c>
      <c r="N6" s="48" t="n">
        <v>3090</v>
      </c>
      <c r="O6" s="48" t="n">
        <v>39273710</v>
      </c>
      <c r="P6" s="48" t="n">
        <v>22504994</v>
      </c>
      <c r="Q6" s="48" t="n">
        <v>847</v>
      </c>
      <c r="R6" s="48" t="n">
        <v>2111</v>
      </c>
      <c r="S6" s="48" t="n">
        <v>22132489</v>
      </c>
      <c r="T6" s="48" t="n">
        <v>38901205</v>
      </c>
      <c r="U6" s="46" t="n">
        <f aca="false">IF($A6=$A5,$U5+1,1)</f>
        <v>2</v>
      </c>
      <c r="V6" s="48" t="str">
        <f aca="false">IF($U6&gt;=MA_SHORT,AVERAGE(INDEX($I$5:$I6,3-MA_SHORT):$I6),"")</f>
        <v/>
      </c>
      <c r="W6" s="48" t="str">
        <f aca="false">IF($U6&gt;=MA_MED,AVERAGE(INDEX($I$5:$I6,3-MA_MED):$I6),"")</f>
        <v/>
      </c>
      <c r="X6" s="48" t="str">
        <f aca="false">IF($U6&gt;=MA_LONG1,AVERAGE(INDEX($I$5:$I6,3-MA_LONG1):$I6),"")</f>
        <v/>
      </c>
      <c r="Y6" s="48" t="str">
        <f aca="false">IF($U6&gt;=MA_LONG2,AVERAGE(INDEX($I$5:$I6,3-MA_LONG2):$I6),"")</f>
        <v/>
      </c>
      <c r="Z6" s="48" t="str">
        <f aca="false">IF($U6&gt;=MA_SHORT,AVERAGE(INDEX($L$5:$L6,3-MA_SHORT):$L6),"")</f>
        <v/>
      </c>
      <c r="AA6" s="48" t="n">
        <f aca="false">IF($U6=1,$G6-$H6,MAX($G6-$H6,ABS($G6-$I5),ABS($H6-$I5)))</f>
        <v>182</v>
      </c>
      <c r="AB6" s="48" t="str">
        <f aca="false">IF($U6&gt;=ATR_PER,AVERAGE(INDEX($AA$5:$AA6,3-ATR_PER):$AA6),"")</f>
        <v/>
      </c>
      <c r="AC6" s="48" t="n">
        <f aca="false">$O6-$P6</f>
        <v>16768716</v>
      </c>
      <c r="AD6" s="48" t="n">
        <f aca="false">$AC6*$I6</f>
        <v>99522329460</v>
      </c>
      <c r="AE6" s="49" t="n">
        <f aca="false">IF($Q6&gt;0,$O6*$I6/$Q6/1000000,"")</f>
        <v>275.194178099174</v>
      </c>
      <c r="AF6" s="49" t="n">
        <f aca="false">IF($R6&gt;0,$P6*$I6/$R6/1000000,"")</f>
        <v>63.271975078162</v>
      </c>
      <c r="AG6" s="50" t="n">
        <f aca="false">IF(AND(ISNUMBER($AE6),ISNUMBER($AF6),$AF6&gt;0),$AE6/$AF6,"")</f>
        <v>4.34938498062083</v>
      </c>
      <c r="AH6" s="48" t="str">
        <f aca="false">IF($U6&gt;=5,SUM(INDEX($AD$5:$AD6,3-5):$AD6),"")</f>
        <v/>
      </c>
      <c r="AI6" s="48" t="str">
        <f aca="false">IF($U6&gt;=STRUCT_S,MAX(INDEX($G$5:$G6,3-STRUCT_S):$G6),"")</f>
        <v/>
      </c>
      <c r="AJ6" s="48" t="str">
        <f aca="false">IF($U6&gt;=STRUCT_S,MIN(INDEX($H$5:$H6,3-STRUCT_S):$H6),"")</f>
        <v/>
      </c>
      <c r="AK6" s="48" t="str">
        <f aca="false">IF($U6&gt;=STRUCT_L,MAX(INDEX($G$5:$G6,3-STRUCT_L):$G6),"")</f>
        <v/>
      </c>
      <c r="AL6" s="48" t="str">
        <f aca="false">IF($U6&gt;=STRUCT_L,MIN(INDEX($H$5:$H6,3-STRUCT_L):$H6),"")</f>
        <v/>
      </c>
      <c r="AM6" s="46" t="n">
        <f aca="false">IF($A6&lt;&gt;$A7,1,0)</f>
        <v>0</v>
      </c>
      <c r="AN6" s="47" t="str">
        <f aca="false">IF($AM6=1,$A6,"")</f>
        <v/>
      </c>
    </row>
    <row r="7" customFormat="false" ht="15" hidden="false" customHeight="false" outlineLevel="0" collapsed="false">
      <c r="A7" s="43" t="s">
        <v>130</v>
      </c>
      <c r="B7" s="44" t="s">
        <v>132</v>
      </c>
      <c r="C7" s="45" t="n">
        <v>45908</v>
      </c>
      <c r="D7" s="46" t="n">
        <v>20250908</v>
      </c>
      <c r="E7" s="47" t="s">
        <v>290</v>
      </c>
      <c r="F7" s="48" t="n">
        <v>5906</v>
      </c>
      <c r="G7" s="48" t="n">
        <v>6009</v>
      </c>
      <c r="H7" s="48" t="n">
        <v>5726</v>
      </c>
      <c r="I7" s="48" t="n">
        <v>5798</v>
      </c>
      <c r="J7" s="48" t="n">
        <v>5809</v>
      </c>
      <c r="K7" s="48" t="n">
        <v>5935</v>
      </c>
      <c r="L7" s="48" t="n">
        <v>48855388</v>
      </c>
      <c r="M7" s="48" t="n">
        <v>283263539624</v>
      </c>
      <c r="N7" s="48" t="n">
        <v>2099</v>
      </c>
      <c r="O7" s="48" t="n">
        <v>21165346</v>
      </c>
      <c r="P7" s="48" t="n">
        <v>25317582</v>
      </c>
      <c r="Q7" s="48" t="n">
        <v>1253</v>
      </c>
      <c r="R7" s="48" t="n">
        <v>888</v>
      </c>
      <c r="S7" s="48" t="n">
        <v>27690042</v>
      </c>
      <c r="T7" s="48" t="n">
        <v>23537806</v>
      </c>
      <c r="U7" s="46" t="n">
        <f aca="false">IF($A7=$A6,$U6+1,1)</f>
        <v>3</v>
      </c>
      <c r="V7" s="48" t="str">
        <f aca="false">IF($U7&gt;=MA_SHORT,AVERAGE(INDEX($I$5:$I7,4-MA_SHORT):$I7),"")</f>
        <v/>
      </c>
      <c r="W7" s="48" t="str">
        <f aca="false">IF($U7&gt;=MA_MED,AVERAGE(INDEX($I$5:$I7,4-MA_MED):$I7),"")</f>
        <v/>
      </c>
      <c r="X7" s="48" t="str">
        <f aca="false">IF($U7&gt;=MA_LONG1,AVERAGE(INDEX($I$5:$I7,4-MA_LONG1):$I7),"")</f>
        <v/>
      </c>
      <c r="Y7" s="48" t="str">
        <f aca="false">IF($U7&gt;=MA_LONG2,AVERAGE(INDEX($I$5:$I7,4-MA_LONG2):$I7),"")</f>
        <v/>
      </c>
      <c r="Z7" s="48" t="str">
        <f aca="false">IF($U7&gt;=MA_SHORT,AVERAGE(INDEX($L$5:$L7,4-MA_SHORT):$L7),"")</f>
        <v/>
      </c>
      <c r="AA7" s="48" t="n">
        <f aca="false">IF($U7=1,$G7-$H7,MAX($G7-$H7,ABS($G7-$I6),ABS($H7-$I6)))</f>
        <v>283</v>
      </c>
      <c r="AB7" s="48" t="str">
        <f aca="false">IF($U7&gt;=ATR_PER,AVERAGE(INDEX($AA$5:$AA7,4-ATR_PER):$AA7),"")</f>
        <v/>
      </c>
      <c r="AC7" s="48" t="n">
        <f aca="false">$O7-$P7</f>
        <v>-4152236</v>
      </c>
      <c r="AD7" s="48" t="n">
        <f aca="false">$AC7*$I7</f>
        <v>-24074664328</v>
      </c>
      <c r="AE7" s="49" t="n">
        <f aca="false">IF($Q7&gt;0,$O7*$I7/$Q7/1000000,"")</f>
        <v>97.9382889928172</v>
      </c>
      <c r="AF7" s="49" t="n">
        <f aca="false">IF($R7&gt;0,$P7*$I7/$R7/1000000,"")</f>
        <v>165.305563554054</v>
      </c>
      <c r="AG7" s="50" t="n">
        <f aca="false">IF(AND(ISNUMBER($AE7),ISNUMBER($AF7),$AF7&gt;0),$AE7/$AF7,"")</f>
        <v>0.592468195789381</v>
      </c>
      <c r="AH7" s="48" t="str">
        <f aca="false">IF($U7&gt;=5,SUM(INDEX($AD$5:$AD7,4-5):$AD7),"")</f>
        <v/>
      </c>
      <c r="AI7" s="48" t="str">
        <f aca="false">IF($U7&gt;=STRUCT_S,MAX(INDEX($G$5:$G7,4-STRUCT_S):$G7),"")</f>
        <v/>
      </c>
      <c r="AJ7" s="48" t="str">
        <f aca="false">IF($U7&gt;=STRUCT_S,MIN(INDEX($H$5:$H7,4-STRUCT_S):$H7),"")</f>
        <v/>
      </c>
      <c r="AK7" s="48" t="str">
        <f aca="false">IF($U7&gt;=STRUCT_L,MAX(INDEX($G$5:$G7,4-STRUCT_L):$G7),"")</f>
        <v/>
      </c>
      <c r="AL7" s="48" t="str">
        <f aca="false">IF($U7&gt;=STRUCT_L,MIN(INDEX($H$5:$H7,4-STRUCT_L):$H7),"")</f>
        <v/>
      </c>
      <c r="AM7" s="46" t="n">
        <f aca="false">IF($A7&lt;&gt;$A8,1,0)</f>
        <v>0</v>
      </c>
      <c r="AN7" s="47" t="str">
        <f aca="false">IF($AM7=1,$A7,"")</f>
        <v/>
      </c>
    </row>
    <row r="8" customFormat="false" ht="15" hidden="false" customHeight="false" outlineLevel="0" collapsed="false">
      <c r="A8" s="43" t="s">
        <v>130</v>
      </c>
      <c r="B8" s="44" t="s">
        <v>132</v>
      </c>
      <c r="C8" s="45" t="n">
        <v>45909</v>
      </c>
      <c r="D8" s="46" t="n">
        <v>20250909</v>
      </c>
      <c r="E8" s="47" t="s">
        <v>291</v>
      </c>
      <c r="F8" s="48" t="n">
        <v>5790</v>
      </c>
      <c r="G8" s="48" t="n">
        <v>5818</v>
      </c>
      <c r="H8" s="48" t="n">
        <v>5658</v>
      </c>
      <c r="I8" s="48" t="n">
        <v>5677</v>
      </c>
      <c r="J8" s="48" t="n">
        <v>5738</v>
      </c>
      <c r="K8" s="48" t="n">
        <v>5798</v>
      </c>
      <c r="L8" s="48" t="n">
        <v>48285309</v>
      </c>
      <c r="M8" s="48" t="n">
        <v>274115699193</v>
      </c>
      <c r="N8" s="48" t="n">
        <v>2093</v>
      </c>
      <c r="O8" s="48" t="n">
        <v>24677226</v>
      </c>
      <c r="P8" s="48" t="n">
        <v>28279231</v>
      </c>
      <c r="Q8" s="48" t="n">
        <v>1372</v>
      </c>
      <c r="R8" s="48" t="n">
        <v>584</v>
      </c>
      <c r="S8" s="48" t="n">
        <v>23608083</v>
      </c>
      <c r="T8" s="48" t="n">
        <v>20006078</v>
      </c>
      <c r="U8" s="46" t="n">
        <f aca="false">IF($A8=$A7,$U7+1,1)</f>
        <v>4</v>
      </c>
      <c r="V8" s="48" t="str">
        <f aca="false">IF($U8&gt;=MA_SHORT,AVERAGE(INDEX($I$5:$I8,5-MA_SHORT):$I8),"")</f>
        <v/>
      </c>
      <c r="W8" s="48" t="str">
        <f aca="false">IF($U8&gt;=MA_MED,AVERAGE(INDEX($I$5:$I8,5-MA_MED):$I8),"")</f>
        <v/>
      </c>
      <c r="X8" s="48" t="str">
        <f aca="false">IF($U8&gt;=MA_LONG1,AVERAGE(INDEX($I$5:$I8,5-MA_LONG1):$I8),"")</f>
        <v/>
      </c>
      <c r="Y8" s="48" t="str">
        <f aca="false">IF($U8&gt;=MA_LONG2,AVERAGE(INDEX($I$5:$I8,5-MA_LONG2):$I8),"")</f>
        <v/>
      </c>
      <c r="Z8" s="48" t="str">
        <f aca="false">IF($U8&gt;=MA_SHORT,AVERAGE(INDEX($L$5:$L8,5-MA_SHORT):$L8),"")</f>
        <v/>
      </c>
      <c r="AA8" s="48" t="n">
        <f aca="false">IF($U8=1,$G8-$H8,MAX($G8-$H8,ABS($G8-$I7),ABS($H8-$I7)))</f>
        <v>160</v>
      </c>
      <c r="AB8" s="48" t="str">
        <f aca="false">IF($U8&gt;=ATR_PER,AVERAGE(INDEX($AA$5:$AA8,5-ATR_PER):$AA8),"")</f>
        <v/>
      </c>
      <c r="AC8" s="48" t="n">
        <f aca="false">$O8-$P8</f>
        <v>-3602005</v>
      </c>
      <c r="AD8" s="48" t="n">
        <f aca="false">$AC8*$I8</f>
        <v>-20448582385</v>
      </c>
      <c r="AE8" s="49" t="n">
        <f aca="false">IF($Q8&gt;0,$O8*$I8/$Q8/1000000,"")</f>
        <v>102.108317785714</v>
      </c>
      <c r="AF8" s="49" t="n">
        <f aca="false">IF($R8&gt;0,$P8*$I8/$R8/1000000,"")</f>
        <v>274.899305457192</v>
      </c>
      <c r="AG8" s="50" t="n">
        <f aca="false">IF(AND(ISNUMBER($AE8),ISNUMBER($AF8),$AF8&gt;0),$AE8/$AF8,"")</f>
        <v>0.371438980596533</v>
      </c>
      <c r="AH8" s="48" t="str">
        <f aca="false">IF($U8&gt;=5,SUM(INDEX($AD$5:$AD8,5-5):$AD8),"")</f>
        <v/>
      </c>
      <c r="AI8" s="48" t="str">
        <f aca="false">IF($U8&gt;=STRUCT_S,MAX(INDEX($G$5:$G8,5-STRUCT_S):$G8),"")</f>
        <v/>
      </c>
      <c r="AJ8" s="48" t="str">
        <f aca="false">IF($U8&gt;=STRUCT_S,MIN(INDEX($H$5:$H8,5-STRUCT_S):$H8),"")</f>
        <v/>
      </c>
      <c r="AK8" s="48" t="str">
        <f aca="false">IF($U8&gt;=STRUCT_L,MAX(INDEX($G$5:$G8,5-STRUCT_L):$G8),"")</f>
        <v/>
      </c>
      <c r="AL8" s="48" t="str">
        <f aca="false">IF($U8&gt;=STRUCT_L,MIN(INDEX($H$5:$H8,5-STRUCT_L):$H8),"")</f>
        <v/>
      </c>
      <c r="AM8" s="46" t="n">
        <f aca="false">IF($A8&lt;&gt;$A9,1,0)</f>
        <v>0</v>
      </c>
      <c r="AN8" s="47" t="str">
        <f aca="false">IF($AM8=1,$A8,"")</f>
        <v/>
      </c>
    </row>
    <row r="9" customFormat="false" ht="15" hidden="false" customHeight="false" outlineLevel="0" collapsed="false">
      <c r="A9" s="43" t="s">
        <v>130</v>
      </c>
      <c r="B9" s="44" t="s">
        <v>132</v>
      </c>
      <c r="C9" s="45" t="n">
        <v>45910</v>
      </c>
      <c r="D9" s="46" t="n">
        <v>20250910</v>
      </c>
      <c r="E9" s="47" t="s">
        <v>292</v>
      </c>
      <c r="F9" s="48" t="n">
        <v>5722</v>
      </c>
      <c r="G9" s="48" t="n">
        <v>5739</v>
      </c>
      <c r="H9" s="48" t="n">
        <v>5640</v>
      </c>
      <c r="I9" s="48" t="n">
        <v>5702</v>
      </c>
      <c r="J9" s="48" t="n">
        <v>5687</v>
      </c>
      <c r="K9" s="48" t="n">
        <v>5677</v>
      </c>
      <c r="L9" s="48" t="n">
        <v>82274277</v>
      </c>
      <c r="M9" s="48" t="n">
        <v>469127927454</v>
      </c>
      <c r="N9" s="48" t="n">
        <v>2114</v>
      </c>
      <c r="O9" s="48" t="n">
        <v>54024740</v>
      </c>
      <c r="P9" s="48" t="n">
        <v>17040378</v>
      </c>
      <c r="Q9" s="48" t="n">
        <v>642</v>
      </c>
      <c r="R9" s="48" t="n">
        <v>1384</v>
      </c>
      <c r="S9" s="48" t="n">
        <v>28249537</v>
      </c>
      <c r="T9" s="48" t="n">
        <v>65233899</v>
      </c>
      <c r="U9" s="46" t="n">
        <f aca="false">IF($A9=$A8,$U8+1,1)</f>
        <v>5</v>
      </c>
      <c r="V9" s="48" t="str">
        <f aca="false">IF($U9&gt;=MA_SHORT,AVERAGE(INDEX($I$5:$I9,6-MA_SHORT):$I9),"")</f>
        <v/>
      </c>
      <c r="W9" s="48" t="str">
        <f aca="false">IF($U9&gt;=MA_MED,AVERAGE(INDEX($I$5:$I9,6-MA_MED):$I9),"")</f>
        <v/>
      </c>
      <c r="X9" s="48" t="str">
        <f aca="false">IF($U9&gt;=MA_LONG1,AVERAGE(INDEX($I$5:$I9,6-MA_LONG1):$I9),"")</f>
        <v/>
      </c>
      <c r="Y9" s="48" t="str">
        <f aca="false">IF($U9&gt;=MA_LONG2,AVERAGE(INDEX($I$5:$I9,6-MA_LONG2):$I9),"")</f>
        <v/>
      </c>
      <c r="Z9" s="48" t="str">
        <f aca="false">IF($U9&gt;=MA_SHORT,AVERAGE(INDEX($L$5:$L9,6-MA_SHORT):$L9),"")</f>
        <v/>
      </c>
      <c r="AA9" s="48" t="n">
        <f aca="false">IF($U9=1,$G9-$H9,MAX($G9-$H9,ABS($G9-$I8),ABS($H9-$I8)))</f>
        <v>99</v>
      </c>
      <c r="AB9" s="48" t="str">
        <f aca="false">IF($U9&gt;=ATR_PER,AVERAGE(INDEX($AA$5:$AA9,6-ATR_PER):$AA9),"")</f>
        <v/>
      </c>
      <c r="AC9" s="48" t="n">
        <f aca="false">$O9-$P9</f>
        <v>36984362</v>
      </c>
      <c r="AD9" s="48" t="n">
        <f aca="false">$AC9*$I9</f>
        <v>210884832124</v>
      </c>
      <c r="AE9" s="49" t="n">
        <f aca="false">IF($Q9&gt;0,$O9*$I9/$Q9/1000000,"")</f>
        <v>479.827207912773</v>
      </c>
      <c r="AF9" s="49" t="n">
        <f aca="false">IF($R9&gt;0,$P9*$I9/$R9/1000000,"")</f>
        <v>70.205372367052</v>
      </c>
      <c r="AG9" s="50" t="n">
        <f aca="false">IF(AND(ISNUMBER($AE9),ISNUMBER($AF9),$AF9&gt;0),$AE9/$AF9,"")</f>
        <v>6.83462236200544</v>
      </c>
      <c r="AH9" s="48" t="n">
        <f aca="false">IF($U9&gt;=5,SUM(INDEX($AD$5:$AD9,6-5):$AD9),"")</f>
        <v>342350532215</v>
      </c>
      <c r="AI9" s="48" t="str">
        <f aca="false">IF($U9&gt;=STRUCT_S,MAX(INDEX($G$5:$G9,6-STRUCT_S):$G9),"")</f>
        <v/>
      </c>
      <c r="AJ9" s="48" t="str">
        <f aca="false">IF($U9&gt;=STRUCT_S,MIN(INDEX($H$5:$H9,6-STRUCT_S):$H9),"")</f>
        <v/>
      </c>
      <c r="AK9" s="48" t="str">
        <f aca="false">IF($U9&gt;=STRUCT_L,MAX(INDEX($G$5:$G9,6-STRUCT_L):$G9),"")</f>
        <v/>
      </c>
      <c r="AL9" s="48" t="str">
        <f aca="false">IF($U9&gt;=STRUCT_L,MIN(INDEX($H$5:$H9,6-STRUCT_L):$H9),"")</f>
        <v/>
      </c>
      <c r="AM9" s="46" t="n">
        <f aca="false">IF($A9&lt;&gt;$A10,1,0)</f>
        <v>0</v>
      </c>
      <c r="AN9" s="47" t="str">
        <f aca="false">IF($AM9=1,$A9,"")</f>
        <v/>
      </c>
    </row>
    <row r="10" customFormat="false" ht="15" hidden="false" customHeight="false" outlineLevel="0" collapsed="false">
      <c r="A10" s="43" t="s">
        <v>130</v>
      </c>
      <c r="B10" s="44" t="s">
        <v>132</v>
      </c>
      <c r="C10" s="45" t="n">
        <v>45913</v>
      </c>
      <c r="D10" s="46" t="n">
        <v>20250913</v>
      </c>
      <c r="E10" s="47" t="s">
        <v>293</v>
      </c>
      <c r="F10" s="48" t="n">
        <v>5620</v>
      </c>
      <c r="G10" s="48" t="n">
        <v>5762</v>
      </c>
      <c r="H10" s="48" t="n">
        <v>5595</v>
      </c>
      <c r="I10" s="48" t="n">
        <v>5655</v>
      </c>
      <c r="J10" s="48" t="n">
        <v>5754</v>
      </c>
      <c r="K10" s="48" t="n">
        <v>5702</v>
      </c>
      <c r="L10" s="48" t="n">
        <v>45034323</v>
      </c>
      <c r="M10" s="48" t="n">
        <v>254669096565</v>
      </c>
      <c r="N10" s="48" t="n">
        <v>2561</v>
      </c>
      <c r="O10" s="48" t="n">
        <v>20892390</v>
      </c>
      <c r="P10" s="48" t="n">
        <v>24178515</v>
      </c>
      <c r="Q10" s="48" t="n">
        <v>1668</v>
      </c>
      <c r="R10" s="48" t="n">
        <v>1042</v>
      </c>
      <c r="S10" s="48" t="n">
        <v>24141933</v>
      </c>
      <c r="T10" s="48" t="n">
        <v>20855808</v>
      </c>
      <c r="U10" s="46" t="n">
        <f aca="false">IF($A10=$A9,$U9+1,1)</f>
        <v>6</v>
      </c>
      <c r="V10" s="48" t="str">
        <f aca="false">IF($U10&gt;=MA_SHORT,AVERAGE(INDEX($I$5:$I10,7-MA_SHORT):$I10),"")</f>
        <v/>
      </c>
      <c r="W10" s="48" t="str">
        <f aca="false">IF($U10&gt;=MA_MED,AVERAGE(INDEX($I$5:$I10,7-MA_MED):$I10),"")</f>
        <v/>
      </c>
      <c r="X10" s="48" t="str">
        <f aca="false">IF($U10&gt;=MA_LONG1,AVERAGE(INDEX($I$5:$I10,7-MA_LONG1):$I10),"")</f>
        <v/>
      </c>
      <c r="Y10" s="48" t="str">
        <f aca="false">IF($U10&gt;=MA_LONG2,AVERAGE(INDEX($I$5:$I10,7-MA_LONG2):$I10),"")</f>
        <v/>
      </c>
      <c r="Z10" s="48" t="str">
        <f aca="false">IF($U10&gt;=MA_SHORT,AVERAGE(INDEX($L$5:$L10,7-MA_SHORT):$L10),"")</f>
        <v/>
      </c>
      <c r="AA10" s="48" t="n">
        <f aca="false">IF($U10=1,$G10-$H10,MAX($G10-$H10,ABS($G10-$I9),ABS($H10-$I9)))</f>
        <v>167</v>
      </c>
      <c r="AB10" s="48" t="str">
        <f aca="false">IF($U10&gt;=ATR_PER,AVERAGE(INDEX($AA$5:$AA10,7-ATR_PER):$AA10),"")</f>
        <v/>
      </c>
      <c r="AC10" s="48" t="n">
        <f aca="false">$O10-$P10</f>
        <v>-3286125</v>
      </c>
      <c r="AD10" s="48" t="n">
        <f aca="false">$AC10*$I10</f>
        <v>-18583036875</v>
      </c>
      <c r="AE10" s="49" t="n">
        <f aca="false">IF($Q10&gt;0,$O10*$I10/$Q10/1000000,"")</f>
        <v>70.8312142985612</v>
      </c>
      <c r="AF10" s="49" t="n">
        <f aca="false">IF($R10&gt;0,$P10*$I10/$R10/1000000,"")</f>
        <v>131.218332365643</v>
      </c>
      <c r="AG10" s="50" t="n">
        <f aca="false">IF(AND(ISNUMBER($AE10),ISNUMBER($AF10),$AF10&gt;0),$AE10/$AF10,"")</f>
        <v>0.539796635284072</v>
      </c>
      <c r="AH10" s="48" t="n">
        <f aca="false">IF($U10&gt;=5,SUM(INDEX($AD$5:$AD10,7-5):$AD10),"")</f>
        <v>247300877996</v>
      </c>
      <c r="AI10" s="48" t="str">
        <f aca="false">IF($U10&gt;=STRUCT_S,MAX(INDEX($G$5:$G10,7-STRUCT_S):$G10),"")</f>
        <v/>
      </c>
      <c r="AJ10" s="48" t="str">
        <f aca="false">IF($U10&gt;=STRUCT_S,MIN(INDEX($H$5:$H10,7-STRUCT_S):$H10),"")</f>
        <v/>
      </c>
      <c r="AK10" s="48" t="str">
        <f aca="false">IF($U10&gt;=STRUCT_L,MAX(INDEX($G$5:$G10,7-STRUCT_L):$G10),"")</f>
        <v/>
      </c>
      <c r="AL10" s="48" t="str">
        <f aca="false">IF($U10&gt;=STRUCT_L,MIN(INDEX($H$5:$H10,7-STRUCT_L):$H10),"")</f>
        <v/>
      </c>
      <c r="AM10" s="46" t="n">
        <f aca="false">IF($A10&lt;&gt;$A11,1,0)</f>
        <v>0</v>
      </c>
      <c r="AN10" s="47" t="str">
        <f aca="false">IF($AM10=1,$A10,"")</f>
        <v/>
      </c>
    </row>
    <row r="11" customFormat="false" ht="15" hidden="false" customHeight="false" outlineLevel="0" collapsed="false">
      <c r="A11" s="43" t="s">
        <v>130</v>
      </c>
      <c r="B11" s="44" t="s">
        <v>132</v>
      </c>
      <c r="C11" s="45" t="n">
        <v>45914</v>
      </c>
      <c r="D11" s="46" t="n">
        <v>20250914</v>
      </c>
      <c r="E11" s="47" t="s">
        <v>294</v>
      </c>
      <c r="F11" s="48" t="n">
        <v>5583</v>
      </c>
      <c r="G11" s="48" t="n">
        <v>5898</v>
      </c>
      <c r="H11" s="48" t="n">
        <v>5571</v>
      </c>
      <c r="I11" s="48" t="n">
        <v>5812</v>
      </c>
      <c r="J11" s="48" t="n">
        <v>5771</v>
      </c>
      <c r="K11" s="48" t="n">
        <v>5655</v>
      </c>
      <c r="L11" s="48" t="n">
        <v>54806068</v>
      </c>
      <c r="M11" s="48" t="n">
        <v>318532867216</v>
      </c>
      <c r="N11" s="48" t="n">
        <v>3293</v>
      </c>
      <c r="O11" s="48" t="n">
        <v>36984064</v>
      </c>
      <c r="P11" s="48" t="n">
        <v>17930134</v>
      </c>
      <c r="Q11" s="48" t="n">
        <v>825</v>
      </c>
      <c r="R11" s="48" t="n">
        <v>1650</v>
      </c>
      <c r="S11" s="48" t="n">
        <v>17822004</v>
      </c>
      <c r="T11" s="48" t="n">
        <v>36875934</v>
      </c>
      <c r="U11" s="46" t="n">
        <f aca="false">IF($A11=$A10,$U10+1,1)</f>
        <v>7</v>
      </c>
      <c r="V11" s="48" t="str">
        <f aca="false">IF($U11&gt;=MA_SHORT,AVERAGE(INDEX($I$5:$I11,8-MA_SHORT):$I11),"")</f>
        <v/>
      </c>
      <c r="W11" s="48" t="str">
        <f aca="false">IF($U11&gt;=MA_MED,AVERAGE(INDEX($I$5:$I11,8-MA_MED):$I11),"")</f>
        <v/>
      </c>
      <c r="X11" s="48" t="str">
        <f aca="false">IF($U11&gt;=MA_LONG1,AVERAGE(INDEX($I$5:$I11,8-MA_LONG1):$I11),"")</f>
        <v/>
      </c>
      <c r="Y11" s="48" t="str">
        <f aca="false">IF($U11&gt;=MA_LONG2,AVERAGE(INDEX($I$5:$I11,8-MA_LONG2):$I11),"")</f>
        <v/>
      </c>
      <c r="Z11" s="48" t="str">
        <f aca="false">IF($U11&gt;=MA_SHORT,AVERAGE(INDEX($L$5:$L11,8-MA_SHORT):$L11),"")</f>
        <v/>
      </c>
      <c r="AA11" s="48" t="n">
        <f aca="false">IF($U11=1,$G11-$H11,MAX($G11-$H11,ABS($G11-$I10),ABS($H11-$I10)))</f>
        <v>327</v>
      </c>
      <c r="AB11" s="48" t="str">
        <f aca="false">IF($U11&gt;=ATR_PER,AVERAGE(INDEX($AA$5:$AA11,8-ATR_PER):$AA11),"")</f>
        <v/>
      </c>
      <c r="AC11" s="48" t="n">
        <f aca="false">$O11-$P11</f>
        <v>19053930</v>
      </c>
      <c r="AD11" s="48" t="n">
        <f aca="false">$AC11*$I11</f>
        <v>110741441160</v>
      </c>
      <c r="AE11" s="49" t="n">
        <f aca="false">IF($Q11&gt;0,$O11*$I11/$Q11/1000000,"")</f>
        <v>260.547127233939</v>
      </c>
      <c r="AF11" s="49" t="n">
        <f aca="false">IF($R11&gt;0,$P11*$I11/$R11/1000000,"")</f>
        <v>63.1575386715152</v>
      </c>
      <c r="AG11" s="50" t="n">
        <f aca="false">IF(AND(ISNUMBER($AE11),ISNUMBER($AF11),$AF11&gt;0),$AE11/$AF11,"")</f>
        <v>4.12535277204286</v>
      </c>
      <c r="AH11" s="48" t="n">
        <f aca="false">IF($U11&gt;=5,SUM(INDEX($AD$5:$AD11,8-5):$AD11),"")</f>
        <v>258519989696</v>
      </c>
      <c r="AI11" s="48" t="str">
        <f aca="false">IF($U11&gt;=STRUCT_S,MAX(INDEX($G$5:$G11,8-STRUCT_S):$G11),"")</f>
        <v/>
      </c>
      <c r="AJ11" s="48" t="str">
        <f aca="false">IF($U11&gt;=STRUCT_S,MIN(INDEX($H$5:$H11,8-STRUCT_S):$H11),"")</f>
        <v/>
      </c>
      <c r="AK11" s="48" t="str">
        <f aca="false">IF($U11&gt;=STRUCT_L,MAX(INDEX($G$5:$G11,8-STRUCT_L):$G11),"")</f>
        <v/>
      </c>
      <c r="AL11" s="48" t="str">
        <f aca="false">IF($U11&gt;=STRUCT_L,MIN(INDEX($H$5:$H11,8-STRUCT_L):$H11),"")</f>
        <v/>
      </c>
      <c r="AM11" s="46" t="n">
        <f aca="false">IF($A11&lt;&gt;$A12,1,0)</f>
        <v>0</v>
      </c>
      <c r="AN11" s="47" t="str">
        <f aca="false">IF($AM11=1,$A11,"")</f>
        <v/>
      </c>
    </row>
    <row r="12" customFormat="false" ht="15" hidden="false" customHeight="false" outlineLevel="0" collapsed="false">
      <c r="A12" s="43" t="s">
        <v>130</v>
      </c>
      <c r="B12" s="44" t="s">
        <v>132</v>
      </c>
      <c r="C12" s="45" t="n">
        <v>45915</v>
      </c>
      <c r="D12" s="46" t="n">
        <v>20250915</v>
      </c>
      <c r="E12" s="47" t="s">
        <v>295</v>
      </c>
      <c r="F12" s="48" t="n">
        <v>5900</v>
      </c>
      <c r="G12" s="48" t="n">
        <v>5906</v>
      </c>
      <c r="H12" s="48" t="n">
        <v>5790</v>
      </c>
      <c r="I12" s="48" t="n">
        <v>5884</v>
      </c>
      <c r="J12" s="48" t="n">
        <v>5889</v>
      </c>
      <c r="K12" s="48" t="n">
        <v>5812</v>
      </c>
      <c r="L12" s="48" t="n">
        <v>56488649</v>
      </c>
      <c r="M12" s="48" t="n">
        <v>332379210716</v>
      </c>
      <c r="N12" s="48" t="n">
        <v>1343</v>
      </c>
      <c r="O12" s="48" t="n">
        <v>38146325</v>
      </c>
      <c r="P12" s="48" t="n">
        <v>15864317</v>
      </c>
      <c r="Q12" s="48" t="n">
        <v>485</v>
      </c>
      <c r="R12" s="48" t="n">
        <v>1043</v>
      </c>
      <c r="S12" s="48" t="n">
        <v>18342324</v>
      </c>
      <c r="T12" s="48" t="n">
        <v>40624332</v>
      </c>
      <c r="U12" s="46" t="n">
        <f aca="false">IF($A12=$A11,$U11+1,1)</f>
        <v>8</v>
      </c>
      <c r="V12" s="48" t="str">
        <f aca="false">IF($U12&gt;=MA_SHORT,AVERAGE(INDEX($I$5:$I12,9-MA_SHORT):$I12),"")</f>
        <v/>
      </c>
      <c r="W12" s="48" t="str">
        <f aca="false">IF($U12&gt;=MA_MED,AVERAGE(INDEX($I$5:$I12,9-MA_MED):$I12),"")</f>
        <v/>
      </c>
      <c r="X12" s="48" t="str">
        <f aca="false">IF($U12&gt;=MA_LONG1,AVERAGE(INDEX($I$5:$I12,9-MA_LONG1):$I12),"")</f>
        <v/>
      </c>
      <c r="Y12" s="48" t="str">
        <f aca="false">IF($U12&gt;=MA_LONG2,AVERAGE(INDEX($I$5:$I12,9-MA_LONG2):$I12),"")</f>
        <v/>
      </c>
      <c r="Z12" s="48" t="str">
        <f aca="false">IF($U12&gt;=MA_SHORT,AVERAGE(INDEX($L$5:$L12,9-MA_SHORT):$L12),"")</f>
        <v/>
      </c>
      <c r="AA12" s="48" t="n">
        <f aca="false">IF($U12=1,$G12-$H12,MAX($G12-$H12,ABS($G12-$I11),ABS($H12-$I11)))</f>
        <v>116</v>
      </c>
      <c r="AB12" s="48" t="str">
        <f aca="false">IF($U12&gt;=ATR_PER,AVERAGE(INDEX($AA$5:$AA12,9-ATR_PER):$AA12),"")</f>
        <v/>
      </c>
      <c r="AC12" s="48" t="n">
        <f aca="false">$O12-$P12</f>
        <v>22282008</v>
      </c>
      <c r="AD12" s="48" t="n">
        <f aca="false">$AC12*$I12</f>
        <v>131107335072</v>
      </c>
      <c r="AE12" s="49" t="n">
        <f aca="false">IF($Q12&gt;0,$O12*$I12/$Q12/1000000,"")</f>
        <v>462.78964185567</v>
      </c>
      <c r="AF12" s="49" t="n">
        <f aca="false">IF($R12&gt;0,$P12*$I12/$R12/1000000,"")</f>
        <v>89.4972590872483</v>
      </c>
      <c r="AG12" s="50" t="n">
        <f aca="false">IF(AND(ISNUMBER($AE12),ISNUMBER($AF12),$AF12&gt;0),$AE12/$AF12,"")</f>
        <v>5.17099234742496</v>
      </c>
      <c r="AH12" s="48" t="n">
        <f aca="false">IF($U12&gt;=5,SUM(INDEX($AD$5:$AD12,9-5):$AD12),"")</f>
        <v>413701989096</v>
      </c>
      <c r="AI12" s="48" t="str">
        <f aca="false">IF($U12&gt;=STRUCT_S,MAX(INDEX($G$5:$G12,9-STRUCT_S):$G12),"")</f>
        <v/>
      </c>
      <c r="AJ12" s="48" t="str">
        <f aca="false">IF($U12&gt;=STRUCT_S,MIN(INDEX($H$5:$H12,9-STRUCT_S):$H12),"")</f>
        <v/>
      </c>
      <c r="AK12" s="48" t="str">
        <f aca="false">IF($U12&gt;=STRUCT_L,MAX(INDEX($G$5:$G12,9-STRUCT_L):$G12),"")</f>
        <v/>
      </c>
      <c r="AL12" s="48" t="str">
        <f aca="false">IF($U12&gt;=STRUCT_L,MIN(INDEX($H$5:$H12,9-STRUCT_L):$H12),"")</f>
        <v/>
      </c>
      <c r="AM12" s="46" t="n">
        <f aca="false">IF($A12&lt;&gt;$A13,1,0)</f>
        <v>0</v>
      </c>
      <c r="AN12" s="47" t="str">
        <f aca="false">IF($AM12=1,$A12,"")</f>
        <v/>
      </c>
    </row>
    <row r="13" customFormat="false" ht="15" hidden="false" customHeight="false" outlineLevel="0" collapsed="false">
      <c r="A13" s="43" t="s">
        <v>130</v>
      </c>
      <c r="B13" s="44" t="s">
        <v>132</v>
      </c>
      <c r="C13" s="45" t="n">
        <v>45916</v>
      </c>
      <c r="D13" s="46" t="n">
        <v>20250916</v>
      </c>
      <c r="E13" s="47" t="s">
        <v>296</v>
      </c>
      <c r="F13" s="48" t="n">
        <v>5901</v>
      </c>
      <c r="G13" s="48" t="n">
        <v>5949</v>
      </c>
      <c r="H13" s="48" t="n">
        <v>5865</v>
      </c>
      <c r="I13" s="48" t="n">
        <v>5930</v>
      </c>
      <c r="J13" s="48" t="n">
        <v>5928</v>
      </c>
      <c r="K13" s="48" t="n">
        <v>5884</v>
      </c>
      <c r="L13" s="48" t="n">
        <v>59404314</v>
      </c>
      <c r="M13" s="48" t="n">
        <v>352267582020</v>
      </c>
      <c r="N13" s="48" t="n">
        <v>1728</v>
      </c>
      <c r="O13" s="48" t="n">
        <v>35718853</v>
      </c>
      <c r="P13" s="48" t="n">
        <v>22302313</v>
      </c>
      <c r="Q13" s="48" t="n">
        <v>443</v>
      </c>
      <c r="R13" s="48" t="n">
        <v>1028</v>
      </c>
      <c r="S13" s="48" t="n">
        <v>23685461</v>
      </c>
      <c r="T13" s="48" t="n">
        <v>37102001</v>
      </c>
      <c r="U13" s="46" t="n">
        <f aca="false">IF($A13=$A12,$U12+1,1)</f>
        <v>9</v>
      </c>
      <c r="V13" s="48" t="str">
        <f aca="false">IF($U13&gt;=MA_SHORT,AVERAGE(INDEX($I$5:$I13,10-MA_SHORT):$I13),"")</f>
        <v/>
      </c>
      <c r="W13" s="48" t="str">
        <f aca="false">IF($U13&gt;=MA_MED,AVERAGE(INDEX($I$5:$I13,10-MA_MED):$I13),"")</f>
        <v/>
      </c>
      <c r="X13" s="48" t="str">
        <f aca="false">IF($U13&gt;=MA_LONG1,AVERAGE(INDEX($I$5:$I13,10-MA_LONG1):$I13),"")</f>
        <v/>
      </c>
      <c r="Y13" s="48" t="str">
        <f aca="false">IF($U13&gt;=MA_LONG2,AVERAGE(INDEX($I$5:$I13,10-MA_LONG2):$I13),"")</f>
        <v/>
      </c>
      <c r="Z13" s="48" t="str">
        <f aca="false">IF($U13&gt;=MA_SHORT,AVERAGE(INDEX($L$5:$L13,10-MA_SHORT):$L13),"")</f>
        <v/>
      </c>
      <c r="AA13" s="48" t="n">
        <f aca="false">IF($U13=1,$G13-$H13,MAX($G13-$H13,ABS($G13-$I12),ABS($H13-$I12)))</f>
        <v>84</v>
      </c>
      <c r="AB13" s="48" t="str">
        <f aca="false">IF($U13&gt;=ATR_PER,AVERAGE(INDEX($AA$5:$AA13,10-ATR_PER):$AA13),"")</f>
        <v/>
      </c>
      <c r="AC13" s="48" t="n">
        <f aca="false">$O13-$P13</f>
        <v>13416540</v>
      </c>
      <c r="AD13" s="48" t="n">
        <f aca="false">$AC13*$I13</f>
        <v>79560082200</v>
      </c>
      <c r="AE13" s="49" t="n">
        <f aca="false">IF($Q13&gt;0,$O13*$I13/$Q13/1000000,"")</f>
        <v>478.13272751693</v>
      </c>
      <c r="AF13" s="49" t="n">
        <f aca="false">IF($R13&gt;0,$P13*$I13/$R13/1000000,"")</f>
        <v>128.650502033074</v>
      </c>
      <c r="AG13" s="50" t="n">
        <f aca="false">IF(AND(ISNUMBER($AE13),ISNUMBER($AF13),$AF13&gt;0),$AE13/$AF13,"")</f>
        <v>3.7165243816461</v>
      </c>
      <c r="AH13" s="48" t="n">
        <f aca="false">IF($U13&gt;=5,SUM(INDEX($AD$5:$AD13,10-5):$AD13),"")</f>
        <v>513710653681</v>
      </c>
      <c r="AI13" s="48" t="str">
        <f aca="false">IF($U13&gt;=STRUCT_S,MAX(INDEX($G$5:$G13,10-STRUCT_S):$G13),"")</f>
        <v/>
      </c>
      <c r="AJ13" s="48" t="str">
        <f aca="false">IF($U13&gt;=STRUCT_S,MIN(INDEX($H$5:$H13,10-STRUCT_S):$H13),"")</f>
        <v/>
      </c>
      <c r="AK13" s="48" t="str">
        <f aca="false">IF($U13&gt;=STRUCT_L,MAX(INDEX($G$5:$G13,10-STRUCT_L):$G13),"")</f>
        <v/>
      </c>
      <c r="AL13" s="48" t="str">
        <f aca="false">IF($U13&gt;=STRUCT_L,MIN(INDEX($H$5:$H13,10-STRUCT_L):$H13),"")</f>
        <v/>
      </c>
      <c r="AM13" s="46" t="n">
        <f aca="false">IF($A13&lt;&gt;$A14,1,0)</f>
        <v>0</v>
      </c>
      <c r="AN13" s="47" t="str">
        <f aca="false">IF($AM13=1,$A13,"")</f>
        <v/>
      </c>
    </row>
    <row r="14" customFormat="false" ht="15" hidden="false" customHeight="false" outlineLevel="0" collapsed="false">
      <c r="A14" s="43" t="s">
        <v>130</v>
      </c>
      <c r="B14" s="44" t="s">
        <v>132</v>
      </c>
      <c r="C14" s="45" t="n">
        <v>45917</v>
      </c>
      <c r="D14" s="46" t="n">
        <v>20250917</v>
      </c>
      <c r="E14" s="47" t="s">
        <v>297</v>
      </c>
      <c r="F14" s="48" t="n">
        <v>5864</v>
      </c>
      <c r="G14" s="48" t="n">
        <v>6005</v>
      </c>
      <c r="H14" s="48" t="n">
        <v>5836</v>
      </c>
      <c r="I14" s="48" t="n">
        <v>5911</v>
      </c>
      <c r="J14" s="48" t="n">
        <v>5932</v>
      </c>
      <c r="K14" s="48" t="n">
        <v>5930</v>
      </c>
      <c r="L14" s="48" t="n">
        <v>67327442</v>
      </c>
      <c r="M14" s="48" t="n">
        <v>397972509662</v>
      </c>
      <c r="N14" s="48" t="n">
        <v>4116</v>
      </c>
      <c r="O14" s="48" t="n">
        <v>43077897</v>
      </c>
      <c r="P14" s="48" t="n">
        <v>28155273</v>
      </c>
      <c r="Q14" s="48" t="n">
        <v>2632</v>
      </c>
      <c r="R14" s="48" t="n">
        <v>1527</v>
      </c>
      <c r="S14" s="48" t="n">
        <v>24249545</v>
      </c>
      <c r="T14" s="48" t="n">
        <v>39172169</v>
      </c>
      <c r="U14" s="46" t="n">
        <f aca="false">IF($A14=$A13,$U13+1,1)</f>
        <v>10</v>
      </c>
      <c r="V14" s="48" t="str">
        <f aca="false">IF($U14&gt;=MA_SHORT,AVERAGE(INDEX($I$5:$I14,11-MA_SHORT):$I14),"")</f>
        <v/>
      </c>
      <c r="W14" s="48" t="str">
        <f aca="false">IF($U14&gt;=MA_MED,AVERAGE(INDEX($I$5:$I14,11-MA_MED):$I14),"")</f>
        <v/>
      </c>
      <c r="X14" s="48" t="str">
        <f aca="false">IF($U14&gt;=MA_LONG1,AVERAGE(INDEX($I$5:$I14,11-MA_LONG1):$I14),"")</f>
        <v/>
      </c>
      <c r="Y14" s="48" t="str">
        <f aca="false">IF($U14&gt;=MA_LONG2,AVERAGE(INDEX($I$5:$I14,11-MA_LONG2):$I14),"")</f>
        <v/>
      </c>
      <c r="Z14" s="48" t="str">
        <f aca="false">IF($U14&gt;=MA_SHORT,AVERAGE(INDEX($L$5:$L14,11-MA_SHORT):$L14),"")</f>
        <v/>
      </c>
      <c r="AA14" s="48" t="n">
        <f aca="false">IF($U14=1,$G14-$H14,MAX($G14-$H14,ABS($G14-$I13),ABS($H14-$I13)))</f>
        <v>169</v>
      </c>
      <c r="AB14" s="48" t="str">
        <f aca="false">IF($U14&gt;=ATR_PER,AVERAGE(INDEX($AA$5:$AA14,11-ATR_PER):$AA14),"")</f>
        <v/>
      </c>
      <c r="AC14" s="48" t="n">
        <f aca="false">$O14-$P14</f>
        <v>14922624</v>
      </c>
      <c r="AD14" s="48" t="n">
        <f aca="false">$AC14*$I14</f>
        <v>88207630464</v>
      </c>
      <c r="AE14" s="49" t="n">
        <f aca="false">IF($Q14&gt;0,$O14*$I14/$Q14/1000000,"")</f>
        <v>96.7452314464286</v>
      </c>
      <c r="AF14" s="49" t="n">
        <f aca="false">IF($R14&gt;0,$P14*$I14/$R14/1000000,"")</f>
        <v>108.988748332024</v>
      </c>
      <c r="AG14" s="50" t="n">
        <f aca="false">IF(AND(ISNUMBER($AE14),ISNUMBER($AF14),$AF14&gt;0),$AE14/$AF14,"")</f>
        <v>0.887662560833378</v>
      </c>
      <c r="AH14" s="48" t="n">
        <f aca="false">IF($U14&gt;=5,SUM(INDEX($AD$5:$AD14,11-5):$AD14),"")</f>
        <v>391033452021</v>
      </c>
      <c r="AI14" s="48" t="str">
        <f aca="false">IF($U14&gt;=STRUCT_S,MAX(INDEX($G$5:$G14,11-STRUCT_S):$G14),"")</f>
        <v/>
      </c>
      <c r="AJ14" s="48" t="str">
        <f aca="false">IF($U14&gt;=STRUCT_S,MIN(INDEX($H$5:$H14,11-STRUCT_S):$H14),"")</f>
        <v/>
      </c>
      <c r="AK14" s="48" t="str">
        <f aca="false">IF($U14&gt;=STRUCT_L,MAX(INDEX($G$5:$G14,11-STRUCT_L):$G14),"")</f>
        <v/>
      </c>
      <c r="AL14" s="48" t="str">
        <f aca="false">IF($U14&gt;=STRUCT_L,MIN(INDEX($H$5:$H14,11-STRUCT_L):$H14),"")</f>
        <v/>
      </c>
      <c r="AM14" s="46" t="n">
        <f aca="false">IF($A14&lt;&gt;$A15,1,0)</f>
        <v>0</v>
      </c>
      <c r="AN14" s="47" t="str">
        <f aca="false">IF($AM14=1,$A14,"")</f>
        <v/>
      </c>
    </row>
    <row r="15" customFormat="false" ht="15" hidden="false" customHeight="false" outlineLevel="0" collapsed="false">
      <c r="A15" s="43" t="s">
        <v>130</v>
      </c>
      <c r="B15" s="44" t="s">
        <v>132</v>
      </c>
      <c r="C15" s="45" t="n">
        <v>45920</v>
      </c>
      <c r="D15" s="46" t="n">
        <v>20250920</v>
      </c>
      <c r="E15" s="47" t="s">
        <v>298</v>
      </c>
      <c r="F15" s="48" t="n">
        <v>5936</v>
      </c>
      <c r="G15" s="48" t="n">
        <v>5937</v>
      </c>
      <c r="H15" s="48" t="n">
        <v>5868</v>
      </c>
      <c r="I15" s="48" t="n">
        <v>5894</v>
      </c>
      <c r="J15" s="48" t="n">
        <v>5934</v>
      </c>
      <c r="K15" s="48" t="n">
        <v>5911</v>
      </c>
      <c r="L15" s="48" t="n">
        <v>71966363</v>
      </c>
      <c r="M15" s="48" t="n">
        <v>424169743522</v>
      </c>
      <c r="N15" s="48" t="n">
        <v>1803</v>
      </c>
      <c r="O15" s="48" t="n">
        <v>42810115</v>
      </c>
      <c r="P15" s="48" t="n">
        <v>30679313</v>
      </c>
      <c r="Q15" s="48" t="n">
        <v>1056</v>
      </c>
      <c r="R15" s="48" t="n">
        <v>594</v>
      </c>
      <c r="S15" s="48" t="n">
        <v>29156248</v>
      </c>
      <c r="T15" s="48" t="n">
        <v>41287050</v>
      </c>
      <c r="U15" s="46" t="n">
        <f aca="false">IF($A15=$A14,$U14+1,1)</f>
        <v>11</v>
      </c>
      <c r="V15" s="48" t="str">
        <f aca="false">IF($U15&gt;=MA_SHORT,AVERAGE(INDEX($I$5:$I15,12-MA_SHORT):$I15),"")</f>
        <v/>
      </c>
      <c r="W15" s="48" t="str">
        <f aca="false">IF($U15&gt;=MA_MED,AVERAGE(INDEX($I$5:$I15,12-MA_MED):$I15),"")</f>
        <v/>
      </c>
      <c r="X15" s="48" t="str">
        <f aca="false">IF($U15&gt;=MA_LONG1,AVERAGE(INDEX($I$5:$I15,12-MA_LONG1):$I15),"")</f>
        <v/>
      </c>
      <c r="Y15" s="48" t="str">
        <f aca="false">IF($U15&gt;=MA_LONG2,AVERAGE(INDEX($I$5:$I15,12-MA_LONG2):$I15),"")</f>
        <v/>
      </c>
      <c r="Z15" s="48" t="str">
        <f aca="false">IF($U15&gt;=MA_SHORT,AVERAGE(INDEX($L$5:$L15,12-MA_SHORT):$L15),"")</f>
        <v/>
      </c>
      <c r="AA15" s="48" t="n">
        <f aca="false">IF($U15=1,$G15-$H15,MAX($G15-$H15,ABS($G15-$I14),ABS($H15-$I14)))</f>
        <v>69</v>
      </c>
      <c r="AB15" s="48" t="str">
        <f aca="false">IF($U15&gt;=ATR_PER,AVERAGE(INDEX($AA$5:$AA15,12-ATR_PER):$AA15),"")</f>
        <v/>
      </c>
      <c r="AC15" s="48" t="n">
        <f aca="false">$O15-$P15</f>
        <v>12130802</v>
      </c>
      <c r="AD15" s="48" t="n">
        <f aca="false">$AC15*$I15</f>
        <v>71498946988</v>
      </c>
      <c r="AE15" s="49" t="n">
        <f aca="false">IF($Q15&gt;0,$O15*$I15/$Q15/1000000,"")</f>
        <v>238.942062320076</v>
      </c>
      <c r="AF15" s="49" t="n">
        <f aca="false">IF($R15&gt;0,$P15*$I15/$R15/1000000,"")</f>
        <v>304.417290946128</v>
      </c>
      <c r="AG15" s="50" t="n">
        <f aca="false">IF(AND(ISNUMBER($AE15),ISNUMBER($AF15),$AF15&gt;0),$AE15/$AF15,"")</f>
        <v>0.784916197031531</v>
      </c>
      <c r="AH15" s="48" t="n">
        <f aca="false">IF($U15&gt;=5,SUM(INDEX($AD$5:$AD15,12-5):$AD15),"")</f>
        <v>481115435884</v>
      </c>
      <c r="AI15" s="48" t="str">
        <f aca="false">IF($U15&gt;=STRUCT_S,MAX(INDEX($G$5:$G15,12-STRUCT_S):$G15),"")</f>
        <v/>
      </c>
      <c r="AJ15" s="48" t="str">
        <f aca="false">IF($U15&gt;=STRUCT_S,MIN(INDEX($H$5:$H15,12-STRUCT_S):$H15),"")</f>
        <v/>
      </c>
      <c r="AK15" s="48" t="str">
        <f aca="false">IF($U15&gt;=STRUCT_L,MAX(INDEX($G$5:$G15,12-STRUCT_L):$G15),"")</f>
        <v/>
      </c>
      <c r="AL15" s="48" t="str">
        <f aca="false">IF($U15&gt;=STRUCT_L,MIN(INDEX($H$5:$H15,12-STRUCT_L):$H15),"")</f>
        <v/>
      </c>
      <c r="AM15" s="46" t="n">
        <f aca="false">IF($A15&lt;&gt;$A16,1,0)</f>
        <v>0</v>
      </c>
      <c r="AN15" s="47" t="str">
        <f aca="false">IF($AM15=1,$A15,"")</f>
        <v/>
      </c>
    </row>
    <row r="16" customFormat="false" ht="15" hidden="false" customHeight="false" outlineLevel="0" collapsed="false">
      <c r="A16" s="43" t="s">
        <v>130</v>
      </c>
      <c r="B16" s="44" t="s">
        <v>132</v>
      </c>
      <c r="C16" s="45" t="n">
        <v>45921</v>
      </c>
      <c r="D16" s="46" t="n">
        <v>20250921</v>
      </c>
      <c r="E16" s="47" t="s">
        <v>299</v>
      </c>
      <c r="F16" s="48" t="n">
        <v>5961</v>
      </c>
      <c r="G16" s="48" t="n">
        <v>6029</v>
      </c>
      <c r="H16" s="48" t="n">
        <v>5874</v>
      </c>
      <c r="I16" s="48" t="n">
        <v>6009</v>
      </c>
      <c r="J16" s="48" t="n">
        <v>5909</v>
      </c>
      <c r="K16" s="48" t="n">
        <v>5894</v>
      </c>
      <c r="L16" s="48" t="n">
        <v>47935687</v>
      </c>
      <c r="M16" s="48" t="n">
        <v>288045543183</v>
      </c>
      <c r="N16" s="48" t="n">
        <v>1378</v>
      </c>
      <c r="O16" s="48" t="n">
        <v>31632819</v>
      </c>
      <c r="P16" s="48" t="n">
        <v>19365475</v>
      </c>
      <c r="Q16" s="48" t="n">
        <v>387</v>
      </c>
      <c r="R16" s="48" t="n">
        <v>931</v>
      </c>
      <c r="S16" s="48" t="n">
        <v>16302868</v>
      </c>
      <c r="T16" s="48" t="n">
        <v>28570212</v>
      </c>
      <c r="U16" s="46" t="n">
        <f aca="false">IF($A16=$A15,$U15+1,1)</f>
        <v>12</v>
      </c>
      <c r="V16" s="48" t="str">
        <f aca="false">IF($U16&gt;=MA_SHORT,AVERAGE(INDEX($I$5:$I16,13-MA_SHORT):$I16),"")</f>
        <v/>
      </c>
      <c r="W16" s="48" t="str">
        <f aca="false">IF($U16&gt;=MA_MED,AVERAGE(INDEX($I$5:$I16,13-MA_MED):$I16),"")</f>
        <v/>
      </c>
      <c r="X16" s="48" t="str">
        <f aca="false">IF($U16&gt;=MA_LONG1,AVERAGE(INDEX($I$5:$I16,13-MA_LONG1):$I16),"")</f>
        <v/>
      </c>
      <c r="Y16" s="48" t="str">
        <f aca="false">IF($U16&gt;=MA_LONG2,AVERAGE(INDEX($I$5:$I16,13-MA_LONG2):$I16),"")</f>
        <v/>
      </c>
      <c r="Z16" s="48" t="str">
        <f aca="false">IF($U16&gt;=MA_SHORT,AVERAGE(INDEX($L$5:$L16,13-MA_SHORT):$L16),"")</f>
        <v/>
      </c>
      <c r="AA16" s="48" t="n">
        <f aca="false">IF($U16=1,$G16-$H16,MAX($G16-$H16,ABS($G16-$I15),ABS($H16-$I15)))</f>
        <v>155</v>
      </c>
      <c r="AB16" s="48" t="str">
        <f aca="false">IF($U16&gt;=ATR_PER,AVERAGE(INDEX($AA$5:$AA16,13-ATR_PER):$AA16),"")</f>
        <v/>
      </c>
      <c r="AC16" s="48" t="n">
        <f aca="false">$O16-$P16</f>
        <v>12267344</v>
      </c>
      <c r="AD16" s="48" t="n">
        <f aca="false">$AC16*$I16</f>
        <v>73714470096</v>
      </c>
      <c r="AE16" s="49" t="n">
        <f aca="false">IF($Q16&gt;0,$O16*$I16/$Q16/1000000,"")</f>
        <v>491.16694927907</v>
      </c>
      <c r="AF16" s="49" t="n">
        <f aca="false">IF($R16&gt;0,$P16*$I16/$R16/1000000,"")</f>
        <v>124.991556686359</v>
      </c>
      <c r="AG16" s="50" t="n">
        <f aca="false">IF(AND(ISNUMBER($AE16),ISNUMBER($AF16),$AF16&gt;0),$AE16/$AF16,"")</f>
        <v>3.92960102506408</v>
      </c>
      <c r="AH16" s="48" t="n">
        <f aca="false">IF($U16&gt;=5,SUM(INDEX($AD$5:$AD16,13-5):$AD16),"")</f>
        <v>444088464820</v>
      </c>
      <c r="AI16" s="48" t="str">
        <f aca="false">IF($U16&gt;=STRUCT_S,MAX(INDEX($G$5:$G16,13-STRUCT_S):$G16),"")</f>
        <v/>
      </c>
      <c r="AJ16" s="48" t="str">
        <f aca="false">IF($U16&gt;=STRUCT_S,MIN(INDEX($H$5:$H16,13-STRUCT_S):$H16),"")</f>
        <v/>
      </c>
      <c r="AK16" s="48" t="str">
        <f aca="false">IF($U16&gt;=STRUCT_L,MAX(INDEX($G$5:$G16,13-STRUCT_L):$G16),"")</f>
        <v/>
      </c>
      <c r="AL16" s="48" t="str">
        <f aca="false">IF($U16&gt;=STRUCT_L,MIN(INDEX($H$5:$H16,13-STRUCT_L):$H16),"")</f>
        <v/>
      </c>
      <c r="AM16" s="46" t="n">
        <f aca="false">IF($A16&lt;&gt;$A17,1,0)</f>
        <v>0</v>
      </c>
      <c r="AN16" s="47" t="str">
        <f aca="false">IF($AM16=1,$A16,"")</f>
        <v/>
      </c>
    </row>
    <row r="17" customFormat="false" ht="15" hidden="false" customHeight="false" outlineLevel="0" collapsed="false">
      <c r="A17" s="43" t="s">
        <v>130</v>
      </c>
      <c r="B17" s="44" t="s">
        <v>132</v>
      </c>
      <c r="C17" s="45" t="n">
        <v>45922</v>
      </c>
      <c r="D17" s="46" t="n">
        <v>20250922</v>
      </c>
      <c r="E17" s="47" t="s">
        <v>300</v>
      </c>
      <c r="F17" s="48" t="n">
        <v>6031</v>
      </c>
      <c r="G17" s="48" t="n">
        <v>6073</v>
      </c>
      <c r="H17" s="48" t="n">
        <v>5921</v>
      </c>
      <c r="I17" s="48" t="n">
        <v>5985</v>
      </c>
      <c r="J17" s="48" t="n">
        <v>5933</v>
      </c>
      <c r="K17" s="48" t="n">
        <v>6009</v>
      </c>
      <c r="L17" s="48" t="n">
        <v>137106158</v>
      </c>
      <c r="M17" s="48" t="n">
        <v>820580355630</v>
      </c>
      <c r="N17" s="48" t="n">
        <v>4133</v>
      </c>
      <c r="O17" s="48" t="n">
        <v>80639232</v>
      </c>
      <c r="P17" s="48" t="n">
        <v>57488928</v>
      </c>
      <c r="Q17" s="48" t="n">
        <v>1656</v>
      </c>
      <c r="R17" s="48" t="n">
        <v>1591</v>
      </c>
      <c r="S17" s="48" t="n">
        <v>56466926</v>
      </c>
      <c r="T17" s="48" t="n">
        <v>79617230</v>
      </c>
      <c r="U17" s="46" t="n">
        <f aca="false">IF($A17=$A16,$U16+1,1)</f>
        <v>13</v>
      </c>
      <c r="V17" s="48" t="str">
        <f aca="false">IF($U17&gt;=MA_SHORT,AVERAGE(INDEX($I$5:$I17,14-MA_SHORT):$I17),"")</f>
        <v/>
      </c>
      <c r="W17" s="48" t="str">
        <f aca="false">IF($U17&gt;=MA_MED,AVERAGE(INDEX($I$5:$I17,14-MA_MED):$I17),"")</f>
        <v/>
      </c>
      <c r="X17" s="48" t="str">
        <f aca="false">IF($U17&gt;=MA_LONG1,AVERAGE(INDEX($I$5:$I17,14-MA_LONG1):$I17),"")</f>
        <v/>
      </c>
      <c r="Y17" s="48" t="str">
        <f aca="false">IF($U17&gt;=MA_LONG2,AVERAGE(INDEX($I$5:$I17,14-MA_LONG2):$I17),"")</f>
        <v/>
      </c>
      <c r="Z17" s="48" t="str">
        <f aca="false">IF($U17&gt;=MA_SHORT,AVERAGE(INDEX($L$5:$L17,14-MA_SHORT):$L17),"")</f>
        <v/>
      </c>
      <c r="AA17" s="48" t="n">
        <f aca="false">IF($U17=1,$G17-$H17,MAX($G17-$H17,ABS($G17-$I16),ABS($H17-$I16)))</f>
        <v>152</v>
      </c>
      <c r="AB17" s="48" t="str">
        <f aca="false">IF($U17&gt;=ATR_PER,AVERAGE(INDEX($AA$5:$AA17,14-ATR_PER):$AA17),"")</f>
        <v/>
      </c>
      <c r="AC17" s="48" t="n">
        <f aca="false">$O17-$P17</f>
        <v>23150304</v>
      </c>
      <c r="AD17" s="48" t="n">
        <f aca="false">$AC17*$I17</f>
        <v>138554569440</v>
      </c>
      <c r="AE17" s="49" t="n">
        <f aca="false">IF($Q17&gt;0,$O17*$I17/$Q17/1000000,"")</f>
        <v>291.440702608696</v>
      </c>
      <c r="AF17" s="49" t="n">
        <f aca="false">IF($R17&gt;0,$P17*$I17/$R17/1000000,"")</f>
        <v>216.260989365179</v>
      </c>
      <c r="AG17" s="50" t="n">
        <f aca="false">IF(AND(ISNUMBER($AE17),ISNUMBER($AF17),$AF17&gt;0),$AE17/$AF17,"")</f>
        <v>1.34763418711901</v>
      </c>
      <c r="AH17" s="48" t="n">
        <f aca="false">IF($U17&gt;=5,SUM(INDEX($AD$5:$AD17,14-5):$AD17),"")</f>
        <v>451535699188</v>
      </c>
      <c r="AI17" s="48" t="str">
        <f aca="false">IF($U17&gt;=STRUCT_S,MAX(INDEX($G$5:$G17,14-STRUCT_S):$G17),"")</f>
        <v/>
      </c>
      <c r="AJ17" s="48" t="str">
        <f aca="false">IF($U17&gt;=STRUCT_S,MIN(INDEX($H$5:$H17,14-STRUCT_S):$H17),"")</f>
        <v/>
      </c>
      <c r="AK17" s="48" t="str">
        <f aca="false">IF($U17&gt;=STRUCT_L,MAX(INDEX($G$5:$G17,14-STRUCT_L):$G17),"")</f>
        <v/>
      </c>
      <c r="AL17" s="48" t="str">
        <f aca="false">IF($U17&gt;=STRUCT_L,MIN(INDEX($H$5:$H17,14-STRUCT_L):$H17),"")</f>
        <v/>
      </c>
      <c r="AM17" s="46" t="n">
        <f aca="false">IF($A17&lt;&gt;$A18,1,0)</f>
        <v>0</v>
      </c>
      <c r="AN17" s="47" t="str">
        <f aca="false">IF($AM17=1,$A17,"")</f>
        <v/>
      </c>
    </row>
    <row r="18" customFormat="false" ht="15" hidden="false" customHeight="false" outlineLevel="0" collapsed="false">
      <c r="A18" s="43" t="s">
        <v>130</v>
      </c>
      <c r="B18" s="44" t="s">
        <v>132</v>
      </c>
      <c r="C18" s="45" t="n">
        <v>45923</v>
      </c>
      <c r="D18" s="46" t="n">
        <v>20250923</v>
      </c>
      <c r="E18" s="47" t="s">
        <v>301</v>
      </c>
      <c r="F18" s="48" t="n">
        <v>6014</v>
      </c>
      <c r="G18" s="48" t="n">
        <v>6050</v>
      </c>
      <c r="H18" s="48" t="n">
        <v>5934</v>
      </c>
      <c r="I18" s="48" t="n">
        <v>5998</v>
      </c>
      <c r="J18" s="48" t="n">
        <v>5982</v>
      </c>
      <c r="K18" s="48" t="n">
        <v>5985</v>
      </c>
      <c r="L18" s="48" t="n">
        <v>65482799</v>
      </c>
      <c r="M18" s="48" t="n">
        <v>392765828402</v>
      </c>
      <c r="N18" s="48" t="n">
        <v>6389</v>
      </c>
      <c r="O18" s="48" t="n">
        <v>45401580</v>
      </c>
      <c r="P18" s="48" t="n">
        <v>18372920</v>
      </c>
      <c r="Q18" s="48" t="n">
        <v>2117</v>
      </c>
      <c r="R18" s="48" t="n">
        <v>4289</v>
      </c>
      <c r="S18" s="48" t="n">
        <v>20081219</v>
      </c>
      <c r="T18" s="48" t="n">
        <v>47109879</v>
      </c>
      <c r="U18" s="46" t="n">
        <f aca="false">IF($A18=$A17,$U17+1,1)</f>
        <v>14</v>
      </c>
      <c r="V18" s="48" t="str">
        <f aca="false">IF($U18&gt;=MA_SHORT,AVERAGE(INDEX($I$5:$I18,15-MA_SHORT):$I18),"")</f>
        <v/>
      </c>
      <c r="W18" s="48" t="str">
        <f aca="false">IF($U18&gt;=MA_MED,AVERAGE(INDEX($I$5:$I18,15-MA_MED):$I18),"")</f>
        <v/>
      </c>
      <c r="X18" s="48" t="str">
        <f aca="false">IF($U18&gt;=MA_LONG1,AVERAGE(INDEX($I$5:$I18,15-MA_LONG1):$I18),"")</f>
        <v/>
      </c>
      <c r="Y18" s="48" t="str">
        <f aca="false">IF($U18&gt;=MA_LONG2,AVERAGE(INDEX($I$5:$I18,15-MA_LONG2):$I18),"")</f>
        <v/>
      </c>
      <c r="Z18" s="48" t="str">
        <f aca="false">IF($U18&gt;=MA_SHORT,AVERAGE(INDEX($L$5:$L18,15-MA_SHORT):$L18),"")</f>
        <v/>
      </c>
      <c r="AA18" s="48" t="n">
        <f aca="false">IF($U18=1,$G18-$H18,MAX($G18-$H18,ABS($G18-$I17),ABS($H18-$I17)))</f>
        <v>116</v>
      </c>
      <c r="AB18" s="48" t="n">
        <f aca="false">IF($U18&gt;=ATR_PER,AVERAGE(INDEX($AA$5:$AA18,15-ATR_PER):$AA18),"")</f>
        <v>161.857142857143</v>
      </c>
      <c r="AC18" s="48" t="n">
        <f aca="false">$O18-$P18</f>
        <v>27028660</v>
      </c>
      <c r="AD18" s="48" t="n">
        <f aca="false">$AC18*$I18</f>
        <v>162117902680</v>
      </c>
      <c r="AE18" s="49" t="n">
        <f aca="false">IF($Q18&gt;0,$O18*$I18/$Q18/1000000,"")</f>
        <v>128.634235635333</v>
      </c>
      <c r="AF18" s="49" t="n">
        <f aca="false">IF($R18&gt;0,$P18*$I18/$R18/1000000,"")</f>
        <v>25.6938153788762</v>
      </c>
      <c r="AG18" s="50" t="n">
        <f aca="false">IF(AND(ISNUMBER($AE18),ISNUMBER($AF18),$AF18&gt;0),$AE18/$AF18,"")</f>
        <v>5.00642795702065</v>
      </c>
      <c r="AH18" s="48" t="n">
        <f aca="false">IF($U18&gt;=5,SUM(INDEX($AD$5:$AD18,15-5):$AD18),"")</f>
        <v>534093519668</v>
      </c>
      <c r="AI18" s="48" t="str">
        <f aca="false">IF($U18&gt;=STRUCT_S,MAX(INDEX($G$5:$G18,15-STRUCT_S):$G18),"")</f>
        <v/>
      </c>
      <c r="AJ18" s="48" t="str">
        <f aca="false">IF($U18&gt;=STRUCT_S,MIN(INDEX($H$5:$H18,15-STRUCT_S):$H18),"")</f>
        <v/>
      </c>
      <c r="AK18" s="48" t="str">
        <f aca="false">IF($U18&gt;=STRUCT_L,MAX(INDEX($G$5:$G18,15-STRUCT_L):$G18),"")</f>
        <v/>
      </c>
      <c r="AL18" s="48" t="str">
        <f aca="false">IF($U18&gt;=STRUCT_L,MIN(INDEX($H$5:$H18,15-STRUCT_L):$H18),"")</f>
        <v/>
      </c>
      <c r="AM18" s="46" t="n">
        <f aca="false">IF($A18&lt;&gt;$A19,1,0)</f>
        <v>0</v>
      </c>
      <c r="AN18" s="47" t="str">
        <f aca="false">IF($AM18=1,$A18,"")</f>
        <v/>
      </c>
    </row>
    <row r="19" customFormat="false" ht="15" hidden="false" customHeight="false" outlineLevel="0" collapsed="false">
      <c r="A19" s="43" t="s">
        <v>130</v>
      </c>
      <c r="B19" s="44" t="s">
        <v>132</v>
      </c>
      <c r="C19" s="45" t="n">
        <v>45924</v>
      </c>
      <c r="D19" s="46" t="n">
        <v>20250924</v>
      </c>
      <c r="E19" s="47" t="s">
        <v>302</v>
      </c>
      <c r="F19" s="48" t="n">
        <v>5935</v>
      </c>
      <c r="G19" s="48" t="n">
        <v>6097</v>
      </c>
      <c r="H19" s="48" t="n">
        <v>5807</v>
      </c>
      <c r="I19" s="48" t="n">
        <v>5905</v>
      </c>
      <c r="J19" s="48" t="n">
        <v>5968</v>
      </c>
      <c r="K19" s="48" t="n">
        <v>5998</v>
      </c>
      <c r="L19" s="48" t="n">
        <v>65197813</v>
      </c>
      <c r="M19" s="48" t="n">
        <v>384993085765</v>
      </c>
      <c r="N19" s="48" t="n">
        <v>6215</v>
      </c>
      <c r="O19" s="48" t="n">
        <v>37510273</v>
      </c>
      <c r="P19" s="48" t="n">
        <v>29343402</v>
      </c>
      <c r="Q19" s="48" t="n">
        <v>3000</v>
      </c>
      <c r="R19" s="48" t="n">
        <v>1956</v>
      </c>
      <c r="S19" s="48" t="n">
        <v>27687540</v>
      </c>
      <c r="T19" s="48" t="n">
        <v>35854411</v>
      </c>
      <c r="U19" s="46" t="n">
        <f aca="false">IF($A19=$A18,$U18+1,1)</f>
        <v>15</v>
      </c>
      <c r="V19" s="48" t="str">
        <f aca="false">IF($U19&gt;=MA_SHORT,AVERAGE(INDEX($I$5:$I19,16-MA_SHORT):$I19),"")</f>
        <v/>
      </c>
      <c r="W19" s="48" t="str">
        <f aca="false">IF($U19&gt;=MA_MED,AVERAGE(INDEX($I$5:$I19,16-MA_MED):$I19),"")</f>
        <v/>
      </c>
      <c r="X19" s="48" t="str">
        <f aca="false">IF($U19&gt;=MA_LONG1,AVERAGE(INDEX($I$5:$I19,16-MA_LONG1):$I19),"")</f>
        <v/>
      </c>
      <c r="Y19" s="48" t="str">
        <f aca="false">IF($U19&gt;=MA_LONG2,AVERAGE(INDEX($I$5:$I19,16-MA_LONG2):$I19),"")</f>
        <v/>
      </c>
      <c r="Z19" s="48" t="str">
        <f aca="false">IF($U19&gt;=MA_SHORT,AVERAGE(INDEX($L$5:$L19,16-MA_SHORT):$L19),"")</f>
        <v/>
      </c>
      <c r="AA19" s="48" t="n">
        <f aca="false">IF($U19=1,$G19-$H19,MAX($G19-$H19,ABS($G19-$I18),ABS($H19-$I18)))</f>
        <v>290</v>
      </c>
      <c r="AB19" s="48" t="n">
        <f aca="false">IF($U19&gt;=ATR_PER,AVERAGE(INDEX($AA$5:$AA19,16-ATR_PER):$AA19),"")</f>
        <v>169.214285714286</v>
      </c>
      <c r="AC19" s="48" t="n">
        <f aca="false">$O19-$P19</f>
        <v>8166871</v>
      </c>
      <c r="AD19" s="48" t="n">
        <f aca="false">$AC19*$I19</f>
        <v>48225373255</v>
      </c>
      <c r="AE19" s="49" t="n">
        <f aca="false">IF($Q19&gt;0,$O19*$I19/$Q19/1000000,"")</f>
        <v>73.8327206883333</v>
      </c>
      <c r="AF19" s="49" t="n">
        <f aca="false">IF($R19&gt;0,$P19*$I19/$R19/1000000,"")</f>
        <v>88.5852703527607</v>
      </c>
      <c r="AG19" s="50" t="n">
        <f aca="false">IF(AND(ISNUMBER($AE19),ISNUMBER($AF19),$AF19&gt;0),$AE19/$AF19,"")</f>
        <v>0.833464981190661</v>
      </c>
      <c r="AH19" s="48" t="n">
        <f aca="false">IF($U19&gt;=5,SUM(INDEX($AD$5:$AD19,16-5):$AD19),"")</f>
        <v>494111262459</v>
      </c>
      <c r="AI19" s="48" t="str">
        <f aca="false">IF($U19&gt;=STRUCT_S,MAX(INDEX($G$5:$G19,16-STRUCT_S):$G19),"")</f>
        <v/>
      </c>
      <c r="AJ19" s="48" t="str">
        <f aca="false">IF($U19&gt;=STRUCT_S,MIN(INDEX($H$5:$H19,16-STRUCT_S):$H19),"")</f>
        <v/>
      </c>
      <c r="AK19" s="48" t="str">
        <f aca="false">IF($U19&gt;=STRUCT_L,MAX(INDEX($G$5:$G19,16-STRUCT_L):$G19),"")</f>
        <v/>
      </c>
      <c r="AL19" s="48" t="str">
        <f aca="false">IF($U19&gt;=STRUCT_L,MIN(INDEX($H$5:$H19,16-STRUCT_L):$H19),"")</f>
        <v/>
      </c>
      <c r="AM19" s="46" t="n">
        <f aca="false">IF($A19&lt;&gt;$A20,1,0)</f>
        <v>0</v>
      </c>
      <c r="AN19" s="47" t="str">
        <f aca="false">IF($AM19=1,$A19,"")</f>
        <v/>
      </c>
    </row>
    <row r="20" customFormat="false" ht="15" hidden="false" customHeight="false" outlineLevel="0" collapsed="false">
      <c r="A20" s="43" t="s">
        <v>130</v>
      </c>
      <c r="B20" s="44" t="s">
        <v>132</v>
      </c>
      <c r="C20" s="45" t="n">
        <v>45927</v>
      </c>
      <c r="D20" s="46" t="n">
        <v>20250927</v>
      </c>
      <c r="E20" s="47" t="s">
        <v>303</v>
      </c>
      <c r="F20" s="48" t="n">
        <v>5863</v>
      </c>
      <c r="G20" s="48" t="n">
        <v>6075</v>
      </c>
      <c r="H20" s="48" t="n">
        <v>5828</v>
      </c>
      <c r="I20" s="48" t="n">
        <v>5997</v>
      </c>
      <c r="J20" s="48" t="n">
        <v>6050</v>
      </c>
      <c r="K20" s="48" t="n">
        <v>5905</v>
      </c>
      <c r="L20" s="48" t="n">
        <v>50597524</v>
      </c>
      <c r="M20" s="48" t="n">
        <v>303433351428</v>
      </c>
      <c r="N20" s="48" t="n">
        <v>1561</v>
      </c>
      <c r="O20" s="48" t="n">
        <v>31858053</v>
      </c>
      <c r="P20" s="48" t="n">
        <v>16994169</v>
      </c>
      <c r="Q20" s="48" t="n">
        <v>598</v>
      </c>
      <c r="R20" s="48" t="n">
        <v>813</v>
      </c>
      <c r="S20" s="48" t="n">
        <v>18739471</v>
      </c>
      <c r="T20" s="48" t="n">
        <v>33603355</v>
      </c>
      <c r="U20" s="46" t="n">
        <f aca="false">IF($A20=$A19,$U19+1,1)</f>
        <v>16</v>
      </c>
      <c r="V20" s="48" t="str">
        <f aca="false">IF($U20&gt;=MA_SHORT,AVERAGE(INDEX($I$5:$I20,17-MA_SHORT):$I20),"")</f>
        <v/>
      </c>
      <c r="W20" s="48" t="str">
        <f aca="false">IF($U20&gt;=MA_MED,AVERAGE(INDEX($I$5:$I20,17-MA_MED):$I20),"")</f>
        <v/>
      </c>
      <c r="X20" s="48" t="str">
        <f aca="false">IF($U20&gt;=MA_LONG1,AVERAGE(INDEX($I$5:$I20,17-MA_LONG1):$I20),"")</f>
        <v/>
      </c>
      <c r="Y20" s="48" t="str">
        <f aca="false">IF($U20&gt;=MA_LONG2,AVERAGE(INDEX($I$5:$I20,17-MA_LONG2):$I20),"")</f>
        <v/>
      </c>
      <c r="Z20" s="48" t="str">
        <f aca="false">IF($U20&gt;=MA_SHORT,AVERAGE(INDEX($L$5:$L20,17-MA_SHORT):$L20),"")</f>
        <v/>
      </c>
      <c r="AA20" s="48" t="n">
        <f aca="false">IF($U20=1,$G20-$H20,MAX($G20-$H20,ABS($G20-$I19),ABS($H20-$I19)))</f>
        <v>247</v>
      </c>
      <c r="AB20" s="48" t="n">
        <f aca="false">IF($U20&gt;=ATR_PER,AVERAGE(INDEX($AA$5:$AA20,17-ATR_PER):$AA20),"")</f>
        <v>173.857142857143</v>
      </c>
      <c r="AC20" s="48" t="n">
        <f aca="false">$O20-$P20</f>
        <v>14863884</v>
      </c>
      <c r="AD20" s="48" t="n">
        <f aca="false">$AC20*$I20</f>
        <v>89138712348</v>
      </c>
      <c r="AE20" s="49" t="n">
        <f aca="false">IF($Q20&gt;0,$O20*$I20/$Q20/1000000,"")</f>
        <v>319.486193714047</v>
      </c>
      <c r="AF20" s="49" t="n">
        <f aca="false">IF($R20&gt;0,$P20*$I20/$R20/1000000,"")</f>
        <v>125.355512291513</v>
      </c>
      <c r="AG20" s="50" t="n">
        <f aca="false">IF(AND(ISNUMBER($AE20),ISNUMBER($AF20),$AF20&gt;0),$AE20/$AF20,"")</f>
        <v>2.54864096419697</v>
      </c>
      <c r="AH20" s="48" t="n">
        <f aca="false">IF($U20&gt;=5,SUM(INDEX($AD$5:$AD20,17-5):$AD20),"")</f>
        <v>511751027819</v>
      </c>
      <c r="AI20" s="48" t="str">
        <f aca="false">IF($U20&gt;=STRUCT_S,MAX(INDEX($G$5:$G20,17-STRUCT_S):$G20),"")</f>
        <v/>
      </c>
      <c r="AJ20" s="48" t="str">
        <f aca="false">IF($U20&gt;=STRUCT_S,MIN(INDEX($H$5:$H20,17-STRUCT_S):$H20),"")</f>
        <v/>
      </c>
      <c r="AK20" s="48" t="str">
        <f aca="false">IF($U20&gt;=STRUCT_L,MAX(INDEX($G$5:$G20,17-STRUCT_L):$G20),"")</f>
        <v/>
      </c>
      <c r="AL20" s="48" t="str">
        <f aca="false">IF($U20&gt;=STRUCT_L,MIN(INDEX($H$5:$H20,17-STRUCT_L):$H20),"")</f>
        <v/>
      </c>
      <c r="AM20" s="46" t="n">
        <f aca="false">IF($A20&lt;&gt;$A21,1,0)</f>
        <v>0</v>
      </c>
      <c r="AN20" s="47" t="str">
        <f aca="false">IF($AM20=1,$A20,"")</f>
        <v/>
      </c>
    </row>
    <row r="21" customFormat="false" ht="15" hidden="false" customHeight="false" outlineLevel="0" collapsed="false">
      <c r="A21" s="43" t="s">
        <v>130</v>
      </c>
      <c r="B21" s="44" t="s">
        <v>132</v>
      </c>
      <c r="C21" s="45" t="n">
        <v>45928</v>
      </c>
      <c r="D21" s="46" t="n">
        <v>20250928</v>
      </c>
      <c r="E21" s="47" t="s">
        <v>304</v>
      </c>
      <c r="F21" s="48" t="n">
        <v>5980</v>
      </c>
      <c r="G21" s="48" t="n">
        <v>6176</v>
      </c>
      <c r="H21" s="48" t="n">
        <v>5939</v>
      </c>
      <c r="I21" s="48" t="n">
        <v>6117</v>
      </c>
      <c r="J21" s="48" t="n">
        <v>6060</v>
      </c>
      <c r="K21" s="48" t="n">
        <v>5997</v>
      </c>
      <c r="L21" s="48" t="n">
        <v>69870148</v>
      </c>
      <c r="M21" s="48" t="n">
        <v>427395695316</v>
      </c>
      <c r="N21" s="48" t="n">
        <v>5631</v>
      </c>
      <c r="O21" s="48" t="n">
        <v>43601855</v>
      </c>
      <c r="P21" s="48" t="n">
        <v>21511539</v>
      </c>
      <c r="Q21" s="48" t="n">
        <v>1468</v>
      </c>
      <c r="R21" s="48" t="n">
        <v>2508</v>
      </c>
      <c r="S21" s="48" t="n">
        <v>26268293</v>
      </c>
      <c r="T21" s="48" t="n">
        <v>48358609</v>
      </c>
      <c r="U21" s="46" t="n">
        <f aca="false">IF($A21=$A20,$U20+1,1)</f>
        <v>17</v>
      </c>
      <c r="V21" s="48" t="str">
        <f aca="false">IF($U21&gt;=MA_SHORT,AVERAGE(INDEX($I$5:$I21,18-MA_SHORT):$I21),"")</f>
        <v/>
      </c>
      <c r="W21" s="48" t="str">
        <f aca="false">IF($U21&gt;=MA_MED,AVERAGE(INDEX($I$5:$I21,18-MA_MED):$I21),"")</f>
        <v/>
      </c>
      <c r="X21" s="48" t="str">
        <f aca="false">IF($U21&gt;=MA_LONG1,AVERAGE(INDEX($I$5:$I21,18-MA_LONG1):$I21),"")</f>
        <v/>
      </c>
      <c r="Y21" s="48" t="str">
        <f aca="false">IF($U21&gt;=MA_LONG2,AVERAGE(INDEX($I$5:$I21,18-MA_LONG2):$I21),"")</f>
        <v/>
      </c>
      <c r="Z21" s="48" t="str">
        <f aca="false">IF($U21&gt;=MA_SHORT,AVERAGE(INDEX($L$5:$L21,18-MA_SHORT):$L21),"")</f>
        <v/>
      </c>
      <c r="AA21" s="48" t="n">
        <f aca="false">IF($U21=1,$G21-$H21,MAX($G21-$H21,ABS($G21-$I20),ABS($H21-$I20)))</f>
        <v>237</v>
      </c>
      <c r="AB21" s="48" t="n">
        <f aca="false">IF($U21&gt;=ATR_PER,AVERAGE(INDEX($AA$5:$AA21,18-ATR_PER):$AA21),"")</f>
        <v>170.571428571429</v>
      </c>
      <c r="AC21" s="48" t="n">
        <f aca="false">$O21-$P21</f>
        <v>22090316</v>
      </c>
      <c r="AD21" s="48" t="n">
        <f aca="false">$AC21*$I21</f>
        <v>135126462972</v>
      </c>
      <c r="AE21" s="49" t="n">
        <f aca="false">IF($Q21&gt;0,$O21*$I21/$Q21/1000000,"")</f>
        <v>181.684296345368</v>
      </c>
      <c r="AF21" s="49" t="n">
        <f aca="false">IF($R21&gt;0,$P21*$I21/$R21/1000000,"")</f>
        <v>52.4665406949761</v>
      </c>
      <c r="AG21" s="50" t="n">
        <f aca="false">IF(AND(ISNUMBER($AE21),ISNUMBER($AF21),$AF21&gt;0),$AE21/$AF21,"")</f>
        <v>3.46286021412433</v>
      </c>
      <c r="AH21" s="48" t="n">
        <f aca="false">IF($U21&gt;=5,SUM(INDEX($AD$5:$AD21,18-5):$AD21),"")</f>
        <v>573163020695</v>
      </c>
      <c r="AI21" s="48" t="str">
        <f aca="false">IF($U21&gt;=STRUCT_S,MAX(INDEX($G$5:$G21,18-STRUCT_S):$G21),"")</f>
        <v/>
      </c>
      <c r="AJ21" s="48" t="str">
        <f aca="false">IF($U21&gt;=STRUCT_S,MIN(INDEX($H$5:$H21,18-STRUCT_S):$H21),"")</f>
        <v/>
      </c>
      <c r="AK21" s="48" t="str">
        <f aca="false">IF($U21&gt;=STRUCT_L,MAX(INDEX($G$5:$G21,18-STRUCT_L):$G21),"")</f>
        <v/>
      </c>
      <c r="AL21" s="48" t="str">
        <f aca="false">IF($U21&gt;=STRUCT_L,MIN(INDEX($H$5:$H21,18-STRUCT_L):$H21),"")</f>
        <v/>
      </c>
      <c r="AM21" s="46" t="n">
        <f aca="false">IF($A21&lt;&gt;$A22,1,0)</f>
        <v>0</v>
      </c>
      <c r="AN21" s="47" t="str">
        <f aca="false">IF($AM21=1,$A21,"")</f>
        <v/>
      </c>
    </row>
    <row r="22" customFormat="false" ht="15" hidden="false" customHeight="false" outlineLevel="0" collapsed="false">
      <c r="A22" s="43" t="s">
        <v>130</v>
      </c>
      <c r="B22" s="44" t="s">
        <v>132</v>
      </c>
      <c r="C22" s="45" t="n">
        <v>45929</v>
      </c>
      <c r="D22" s="46" t="n">
        <v>20250929</v>
      </c>
      <c r="E22" s="47" t="s">
        <v>305</v>
      </c>
      <c r="F22" s="48" t="n">
        <v>6093</v>
      </c>
      <c r="G22" s="48" t="n">
        <v>6141</v>
      </c>
      <c r="H22" s="48" t="n">
        <v>6042</v>
      </c>
      <c r="I22" s="48" t="n">
        <v>6066</v>
      </c>
      <c r="J22" s="48" t="n">
        <v>6052</v>
      </c>
      <c r="K22" s="48" t="n">
        <v>6117</v>
      </c>
      <c r="L22" s="48" t="n">
        <v>50392614</v>
      </c>
      <c r="M22" s="48" t="n">
        <v>305681596524</v>
      </c>
      <c r="N22" s="48" t="n">
        <v>1190</v>
      </c>
      <c r="O22" s="48" t="n">
        <v>29014325</v>
      </c>
      <c r="P22" s="48" t="n">
        <v>21650252</v>
      </c>
      <c r="Q22" s="48" t="n">
        <v>505</v>
      </c>
      <c r="R22" s="48" t="n">
        <v>419</v>
      </c>
      <c r="S22" s="48" t="n">
        <v>21378289</v>
      </c>
      <c r="T22" s="48" t="n">
        <v>28742362</v>
      </c>
      <c r="U22" s="46" t="n">
        <f aca="false">IF($A22=$A21,$U21+1,1)</f>
        <v>18</v>
      </c>
      <c r="V22" s="48" t="str">
        <f aca="false">IF($U22&gt;=MA_SHORT,AVERAGE(INDEX($I$5:$I22,19-MA_SHORT):$I22),"")</f>
        <v/>
      </c>
      <c r="W22" s="48" t="str">
        <f aca="false">IF($U22&gt;=MA_MED,AVERAGE(INDEX($I$5:$I22,19-MA_MED):$I22),"")</f>
        <v/>
      </c>
      <c r="X22" s="48" t="str">
        <f aca="false">IF($U22&gt;=MA_LONG1,AVERAGE(INDEX($I$5:$I22,19-MA_LONG1):$I22),"")</f>
        <v/>
      </c>
      <c r="Y22" s="48" t="str">
        <f aca="false">IF($U22&gt;=MA_LONG2,AVERAGE(INDEX($I$5:$I22,19-MA_LONG2):$I22),"")</f>
        <v/>
      </c>
      <c r="Z22" s="48" t="str">
        <f aca="false">IF($U22&gt;=MA_SHORT,AVERAGE(INDEX($L$5:$L22,19-MA_SHORT):$L22),"")</f>
        <v/>
      </c>
      <c r="AA22" s="48" t="n">
        <f aca="false">IF($U22=1,$G22-$H22,MAX($G22-$H22,ABS($G22-$I21),ABS($H22-$I21)))</f>
        <v>99</v>
      </c>
      <c r="AB22" s="48" t="n">
        <f aca="false">IF($U22&gt;=ATR_PER,AVERAGE(INDEX($AA$5:$AA22,19-ATR_PER):$AA22),"")</f>
        <v>166.214285714286</v>
      </c>
      <c r="AC22" s="48" t="n">
        <f aca="false">$O22-$P22</f>
        <v>7364073</v>
      </c>
      <c r="AD22" s="48" t="n">
        <f aca="false">$AC22*$I22</f>
        <v>44670466818</v>
      </c>
      <c r="AE22" s="49" t="n">
        <f aca="false">IF($Q22&gt;0,$O22*$I22/$Q22/1000000,"")</f>
        <v>348.516624653465</v>
      </c>
      <c r="AF22" s="49" t="n">
        <f aca="false">IF($R22&gt;0,$P22*$I22/$R22/1000000,"")</f>
        <v>313.437777164678</v>
      </c>
      <c r="AG22" s="50" t="n">
        <f aca="false">IF(AND(ISNUMBER($AE22),ISNUMBER($AF22),$AF22&gt;0),$AE22/$AF22,"")</f>
        <v>1.11191646331245</v>
      </c>
      <c r="AH22" s="48" t="n">
        <f aca="false">IF($U22&gt;=5,SUM(INDEX($AD$5:$AD22,19-5):$AD22),"")</f>
        <v>479278918073</v>
      </c>
      <c r="AI22" s="48" t="str">
        <f aca="false">IF($U22&gt;=STRUCT_S,MAX(INDEX($G$5:$G22,19-STRUCT_S):$G22),"")</f>
        <v/>
      </c>
      <c r="AJ22" s="48" t="str">
        <f aca="false">IF($U22&gt;=STRUCT_S,MIN(INDEX($H$5:$H22,19-STRUCT_S):$H22),"")</f>
        <v/>
      </c>
      <c r="AK22" s="48" t="str">
        <f aca="false">IF($U22&gt;=STRUCT_L,MAX(INDEX($G$5:$G22,19-STRUCT_L):$G22),"")</f>
        <v/>
      </c>
      <c r="AL22" s="48" t="str">
        <f aca="false">IF($U22&gt;=STRUCT_L,MIN(INDEX($H$5:$H22,19-STRUCT_L):$H22),"")</f>
        <v/>
      </c>
      <c r="AM22" s="46" t="n">
        <f aca="false">IF($A22&lt;&gt;$A23,1,0)</f>
        <v>0</v>
      </c>
      <c r="AN22" s="47" t="str">
        <f aca="false">IF($AM22=1,$A22,"")</f>
        <v/>
      </c>
    </row>
    <row r="23" customFormat="false" ht="15" hidden="false" customHeight="false" outlineLevel="0" collapsed="false">
      <c r="A23" s="43" t="s">
        <v>130</v>
      </c>
      <c r="B23" s="44" t="s">
        <v>132</v>
      </c>
      <c r="C23" s="45" t="n">
        <v>45930</v>
      </c>
      <c r="D23" s="46" t="n">
        <v>20250930</v>
      </c>
      <c r="E23" s="47" t="s">
        <v>306</v>
      </c>
      <c r="F23" s="48" t="n">
        <v>6117</v>
      </c>
      <c r="G23" s="48" t="n">
        <v>6190</v>
      </c>
      <c r="H23" s="48" t="n">
        <v>5980</v>
      </c>
      <c r="I23" s="48" t="n">
        <v>6104</v>
      </c>
      <c r="J23" s="48" t="n">
        <v>6008</v>
      </c>
      <c r="K23" s="48" t="n">
        <v>6066</v>
      </c>
      <c r="L23" s="48" t="n">
        <v>44524967</v>
      </c>
      <c r="M23" s="48" t="n">
        <v>271780398568</v>
      </c>
      <c r="N23" s="48" t="n">
        <v>1394</v>
      </c>
      <c r="O23" s="48" t="n">
        <v>27719452</v>
      </c>
      <c r="P23" s="48" t="n">
        <v>14079169</v>
      </c>
      <c r="Q23" s="48" t="n">
        <v>474</v>
      </c>
      <c r="R23" s="48" t="n">
        <v>663</v>
      </c>
      <c r="S23" s="48" t="n">
        <v>16805515</v>
      </c>
      <c r="T23" s="48" t="n">
        <v>30445798</v>
      </c>
      <c r="U23" s="46" t="n">
        <f aca="false">IF($A23=$A22,$U22+1,1)</f>
        <v>19</v>
      </c>
      <c r="V23" s="48" t="str">
        <f aca="false">IF($U23&gt;=MA_SHORT,AVERAGE(INDEX($I$5:$I23,20-MA_SHORT):$I23),"")</f>
        <v/>
      </c>
      <c r="W23" s="48" t="str">
        <f aca="false">IF($U23&gt;=MA_MED,AVERAGE(INDEX($I$5:$I23,20-MA_MED):$I23),"")</f>
        <v/>
      </c>
      <c r="X23" s="48" t="str">
        <f aca="false">IF($U23&gt;=MA_LONG1,AVERAGE(INDEX($I$5:$I23,20-MA_LONG1):$I23),"")</f>
        <v/>
      </c>
      <c r="Y23" s="48" t="str">
        <f aca="false">IF($U23&gt;=MA_LONG2,AVERAGE(INDEX($I$5:$I23,20-MA_LONG2):$I23),"")</f>
        <v/>
      </c>
      <c r="Z23" s="48" t="str">
        <f aca="false">IF($U23&gt;=MA_SHORT,AVERAGE(INDEX($L$5:$L23,20-MA_SHORT):$L23),"")</f>
        <v/>
      </c>
      <c r="AA23" s="48" t="n">
        <f aca="false">IF($U23=1,$G23-$H23,MAX($G23-$H23,ABS($G23-$I22),ABS($H23-$I22)))</f>
        <v>210</v>
      </c>
      <c r="AB23" s="48" t="n">
        <f aca="false">IF($U23&gt;=ATR_PER,AVERAGE(INDEX($AA$5:$AA23,20-ATR_PER):$AA23),"")</f>
        <v>174.142857142857</v>
      </c>
      <c r="AC23" s="48" t="n">
        <f aca="false">$O23-$P23</f>
        <v>13640283</v>
      </c>
      <c r="AD23" s="48" t="n">
        <f aca="false">$AC23*$I23</f>
        <v>83260287432</v>
      </c>
      <c r="AE23" s="49" t="n">
        <f aca="false">IF($Q23&gt;0,$O23*$I23/$Q23/1000000,"")</f>
        <v>356.961044320675</v>
      </c>
      <c r="AF23" s="49" t="n">
        <f aca="false">IF($R23&gt;0,$P23*$I23/$R23/1000000,"")</f>
        <v>129.621791215686</v>
      </c>
      <c r="AG23" s="50" t="n">
        <f aca="false">IF(AND(ISNUMBER($AE23),ISNUMBER($AF23),$AF23&gt;0),$AE23/$AF23,"")</f>
        <v>2.75386600488111</v>
      </c>
      <c r="AH23" s="48" t="n">
        <f aca="false">IF($U23&gt;=5,SUM(INDEX($AD$5:$AD23,20-5):$AD23),"")</f>
        <v>400421302825</v>
      </c>
      <c r="AI23" s="48" t="str">
        <f aca="false">IF($U23&gt;=STRUCT_S,MAX(INDEX($G$5:$G23,20-STRUCT_S):$G23),"")</f>
        <v/>
      </c>
      <c r="AJ23" s="48" t="str">
        <f aca="false">IF($U23&gt;=STRUCT_S,MIN(INDEX($H$5:$H23,20-STRUCT_S):$H23),"")</f>
        <v/>
      </c>
      <c r="AK23" s="48" t="str">
        <f aca="false">IF($U23&gt;=STRUCT_L,MAX(INDEX($G$5:$G23,20-STRUCT_L):$G23),"")</f>
        <v/>
      </c>
      <c r="AL23" s="48" t="str">
        <f aca="false">IF($U23&gt;=STRUCT_L,MIN(INDEX($H$5:$H23,20-STRUCT_L):$H23),"")</f>
        <v/>
      </c>
      <c r="AM23" s="46" t="n">
        <f aca="false">IF($A23&lt;&gt;$A24,1,0)</f>
        <v>0</v>
      </c>
      <c r="AN23" s="47" t="str">
        <f aca="false">IF($AM23=1,$A23,"")</f>
        <v/>
      </c>
    </row>
    <row r="24" customFormat="false" ht="15" hidden="false" customHeight="false" outlineLevel="0" collapsed="false">
      <c r="A24" s="43" t="s">
        <v>130</v>
      </c>
      <c r="B24" s="44" t="s">
        <v>132</v>
      </c>
      <c r="C24" s="45" t="n">
        <v>45931</v>
      </c>
      <c r="D24" s="46" t="n">
        <v>20251001</v>
      </c>
      <c r="E24" s="47" t="s">
        <v>307</v>
      </c>
      <c r="F24" s="48" t="n">
        <v>6041</v>
      </c>
      <c r="G24" s="48" t="n">
        <v>6138</v>
      </c>
      <c r="H24" s="48" t="n">
        <v>5888</v>
      </c>
      <c r="I24" s="48" t="n">
        <v>5921</v>
      </c>
      <c r="J24" s="48" t="n">
        <v>5920</v>
      </c>
      <c r="K24" s="48" t="n">
        <v>6104</v>
      </c>
      <c r="L24" s="48" t="n">
        <v>50631158</v>
      </c>
      <c r="M24" s="48" t="n">
        <v>299787086518</v>
      </c>
      <c r="N24" s="48" t="n">
        <v>1309</v>
      </c>
      <c r="O24" s="48" t="n">
        <v>24152739</v>
      </c>
      <c r="P24" s="48" t="n">
        <v>22935425</v>
      </c>
      <c r="Q24" s="48" t="n">
        <v>676</v>
      </c>
      <c r="R24" s="48" t="n">
        <v>398</v>
      </c>
      <c r="S24" s="48" t="n">
        <v>26478419</v>
      </c>
      <c r="T24" s="48" t="n">
        <v>27695733</v>
      </c>
      <c r="U24" s="46" t="n">
        <f aca="false">IF($A24=$A23,$U23+1,1)</f>
        <v>20</v>
      </c>
      <c r="V24" s="48" t="n">
        <f aca="false">IF($U24&gt;=MA_SHORT,AVERAGE(INDEX($I$5:$I24,21-MA_SHORT):$I24),"")</f>
        <v>5907.8</v>
      </c>
      <c r="W24" s="48" t="str">
        <f aca="false">IF($U24&gt;=MA_MED,AVERAGE(INDEX($I$5:$I24,21-MA_MED):$I24),"")</f>
        <v/>
      </c>
      <c r="X24" s="48" t="str">
        <f aca="false">IF($U24&gt;=MA_LONG1,AVERAGE(INDEX($I$5:$I24,21-MA_LONG1):$I24),"")</f>
        <v/>
      </c>
      <c r="Y24" s="48" t="str">
        <f aca="false">IF($U24&gt;=MA_LONG2,AVERAGE(INDEX($I$5:$I24,21-MA_LONG2):$I24),"")</f>
        <v/>
      </c>
      <c r="Z24" s="48" t="n">
        <f aca="false">IF($U24&gt;=MA_SHORT,AVERAGE(INDEX($L$5:$L24,21-MA_SHORT):$L24),"")</f>
        <v>61052352.2</v>
      </c>
      <c r="AA24" s="48" t="n">
        <f aca="false">IF($U24=1,$G24-$H24,MAX($G24-$H24,ABS($G24-$I23),ABS($H24-$I23)))</f>
        <v>250</v>
      </c>
      <c r="AB24" s="48" t="n">
        <f aca="false">IF($U24&gt;=ATR_PER,AVERAGE(INDEX($AA$5:$AA24,21-ATR_PER):$AA24),"")</f>
        <v>180.071428571429</v>
      </c>
      <c r="AC24" s="48" t="n">
        <f aca="false">$O24-$P24</f>
        <v>1217314</v>
      </c>
      <c r="AD24" s="48" t="n">
        <f aca="false">$AC24*$I24</f>
        <v>7207716194</v>
      </c>
      <c r="AE24" s="49" t="n">
        <f aca="false">IF($Q24&gt;0,$O24*$I24/$Q24/1000000,"")</f>
        <v>211.550839673077</v>
      </c>
      <c r="AF24" s="49" t="n">
        <f aca="false">IF($R24&gt;0,$P24*$I24/$R24/1000000,"")</f>
        <v>341.207666896985</v>
      </c>
      <c r="AG24" s="50" t="n">
        <f aca="false">IF(AND(ISNUMBER($AE24),ISNUMBER($AF24),$AF24&gt;0),$AE24/$AF24,"")</f>
        <v>0.620006114156124</v>
      </c>
      <c r="AH24" s="48" t="n">
        <f aca="false">IF($U24&gt;=5,SUM(INDEX($AD$5:$AD24,21-5):$AD24),"")</f>
        <v>359403645764</v>
      </c>
      <c r="AI24" s="48" t="n">
        <f aca="false">IF($U24&gt;=STRUCT_S,MAX(INDEX($G$5:$G24,21-STRUCT_S):$G24),"")</f>
        <v>6190</v>
      </c>
      <c r="AJ24" s="48" t="n">
        <f aca="false">IF($U24&gt;=STRUCT_S,MIN(INDEX($H$5:$H24,21-STRUCT_S):$H24),"")</f>
        <v>5571</v>
      </c>
      <c r="AK24" s="48" t="str">
        <f aca="false">IF($U24&gt;=STRUCT_L,MAX(INDEX($G$5:$G24,21-STRUCT_L):$G24),"")</f>
        <v/>
      </c>
      <c r="AL24" s="48" t="str">
        <f aca="false">IF($U24&gt;=STRUCT_L,MIN(INDEX($H$5:$H24,21-STRUCT_L):$H24),"")</f>
        <v/>
      </c>
      <c r="AM24" s="46" t="n">
        <f aca="false">IF($A24&lt;&gt;$A25,1,0)</f>
        <v>0</v>
      </c>
      <c r="AN24" s="47" t="str">
        <f aca="false">IF($AM24=1,$A24,"")</f>
        <v/>
      </c>
    </row>
    <row r="25" customFormat="false" ht="15" hidden="false" customHeight="false" outlineLevel="0" collapsed="false">
      <c r="A25" s="43" t="s">
        <v>130</v>
      </c>
      <c r="B25" s="44" t="s">
        <v>132</v>
      </c>
      <c r="C25" s="45" t="n">
        <v>45934</v>
      </c>
      <c r="D25" s="46" t="n">
        <v>20251004</v>
      </c>
      <c r="E25" s="47" t="s">
        <v>308</v>
      </c>
      <c r="F25" s="48" t="n">
        <v>5890</v>
      </c>
      <c r="G25" s="48" t="n">
        <v>6019</v>
      </c>
      <c r="H25" s="48" t="n">
        <v>5875</v>
      </c>
      <c r="I25" s="48" t="n">
        <v>5972</v>
      </c>
      <c r="J25" s="48" t="n">
        <v>5928</v>
      </c>
      <c r="K25" s="48" t="n">
        <v>5921</v>
      </c>
      <c r="L25" s="48" t="n">
        <v>45129765</v>
      </c>
      <c r="M25" s="48" t="n">
        <v>269514956580</v>
      </c>
      <c r="N25" s="48" t="n">
        <v>1357</v>
      </c>
      <c r="O25" s="48" t="n">
        <v>29572930</v>
      </c>
      <c r="P25" s="48" t="n">
        <v>14905690</v>
      </c>
      <c r="Q25" s="48" t="n">
        <v>522</v>
      </c>
      <c r="R25" s="48" t="n">
        <v>988</v>
      </c>
      <c r="S25" s="48" t="n">
        <v>15556835</v>
      </c>
      <c r="T25" s="48" t="n">
        <v>30224075</v>
      </c>
      <c r="U25" s="46" t="n">
        <f aca="false">IF($A25=$A24,$U24+1,1)</f>
        <v>21</v>
      </c>
      <c r="V25" s="48" t="n">
        <f aca="false">IF($U25&gt;=MA_SHORT,AVERAGE(INDEX($I$5:$I25,22-MA_SHORT):$I25),"")</f>
        <v>5913.6</v>
      </c>
      <c r="W25" s="48" t="str">
        <f aca="false">IF($U25&gt;=MA_MED,AVERAGE(INDEX($I$5:$I25,22-MA_MED):$I25),"")</f>
        <v/>
      </c>
      <c r="X25" s="48" t="str">
        <f aca="false">IF($U25&gt;=MA_LONG1,AVERAGE(INDEX($I$5:$I25,22-MA_LONG1):$I25),"")</f>
        <v/>
      </c>
      <c r="Y25" s="48" t="str">
        <f aca="false">IF($U25&gt;=MA_LONG2,AVERAGE(INDEX($I$5:$I25,22-MA_LONG2):$I25),"")</f>
        <v/>
      </c>
      <c r="Z25" s="48" t="n">
        <f aca="false">IF($U25&gt;=MA_SHORT,AVERAGE(INDEX($L$5:$L25,22-MA_SHORT):$L25),"")</f>
        <v>61135848.25</v>
      </c>
      <c r="AA25" s="48" t="n">
        <f aca="false">IF($U25=1,$G25-$H25,MAX($G25-$H25,ABS($G25-$I24),ABS($H25-$I24)))</f>
        <v>144</v>
      </c>
      <c r="AB25" s="48" t="n">
        <f aca="false">IF($U25&gt;=ATR_PER,AVERAGE(INDEX($AA$5:$AA25,22-ATR_PER):$AA25),"")</f>
        <v>167</v>
      </c>
      <c r="AC25" s="48" t="n">
        <f aca="false">$O25-$P25</f>
        <v>14667240</v>
      </c>
      <c r="AD25" s="48" t="n">
        <f aca="false">$AC25*$I25</f>
        <v>87592757280</v>
      </c>
      <c r="AE25" s="49" t="n">
        <f aca="false">IF($Q25&gt;0,$O25*$I25/$Q25/1000000,"")</f>
        <v>338.332448199234</v>
      </c>
      <c r="AF25" s="49" t="n">
        <f aca="false">IF($R25&gt;0,$P25*$I25/$R25/1000000,"")</f>
        <v>90.0979561538462</v>
      </c>
      <c r="AG25" s="50" t="n">
        <f aca="false">IF(AND(ISNUMBER($AE25),ISNUMBER($AF25),$AF25&gt;0),$AE25/$AF25,"")</f>
        <v>3.75516229937022</v>
      </c>
      <c r="AH25" s="48" t="n">
        <f aca="false">IF($U25&gt;=5,SUM(INDEX($AD$5:$AD25,22-5):$AD25),"")</f>
        <v>357857690696</v>
      </c>
      <c r="AI25" s="48" t="n">
        <f aca="false">IF($U25&gt;=STRUCT_S,MAX(INDEX($G$5:$G25,22-STRUCT_S):$G25),"")</f>
        <v>6190</v>
      </c>
      <c r="AJ25" s="48" t="n">
        <f aca="false">IF($U25&gt;=STRUCT_S,MIN(INDEX($H$5:$H25,22-STRUCT_S):$H25),"")</f>
        <v>5571</v>
      </c>
      <c r="AK25" s="48" t="str">
        <f aca="false">IF($U25&gt;=STRUCT_L,MAX(INDEX($G$5:$G25,22-STRUCT_L):$G25),"")</f>
        <v/>
      </c>
      <c r="AL25" s="48" t="str">
        <f aca="false">IF($U25&gt;=STRUCT_L,MIN(INDEX($H$5:$H25,22-STRUCT_L):$H25),"")</f>
        <v/>
      </c>
      <c r="AM25" s="46" t="n">
        <f aca="false">IF($A25&lt;&gt;$A26,1,0)</f>
        <v>0</v>
      </c>
      <c r="AN25" s="47" t="str">
        <f aca="false">IF($AM25=1,$A25,"")</f>
        <v/>
      </c>
    </row>
    <row r="26" customFormat="false" ht="15" hidden="false" customHeight="false" outlineLevel="0" collapsed="false">
      <c r="A26" s="43" t="s">
        <v>130</v>
      </c>
      <c r="B26" s="44" t="s">
        <v>132</v>
      </c>
      <c r="C26" s="45" t="n">
        <v>45935</v>
      </c>
      <c r="D26" s="46" t="n">
        <v>20251005</v>
      </c>
      <c r="E26" s="47" t="s">
        <v>309</v>
      </c>
      <c r="F26" s="48" t="n">
        <v>6058</v>
      </c>
      <c r="G26" s="48" t="n">
        <v>6142</v>
      </c>
      <c r="H26" s="48" t="n">
        <v>5921</v>
      </c>
      <c r="I26" s="48" t="n">
        <v>6090</v>
      </c>
      <c r="J26" s="48" t="n">
        <v>6106</v>
      </c>
      <c r="K26" s="48" t="n">
        <v>5972</v>
      </c>
      <c r="L26" s="48" t="n">
        <v>47999414</v>
      </c>
      <c r="M26" s="48" t="n">
        <v>292316431260</v>
      </c>
      <c r="N26" s="48" t="n">
        <v>1397</v>
      </c>
      <c r="O26" s="48" t="n">
        <v>38399531</v>
      </c>
      <c r="P26" s="48" t="n">
        <v>13016242</v>
      </c>
      <c r="Q26" s="48" t="n">
        <v>496</v>
      </c>
      <c r="R26" s="48" t="n">
        <v>614</v>
      </c>
      <c r="S26" s="48" t="n">
        <v>9599883</v>
      </c>
      <c r="T26" s="48" t="n">
        <v>34983172</v>
      </c>
      <c r="U26" s="46" t="n">
        <f aca="false">IF($A26=$A25,$U25+1,1)</f>
        <v>22</v>
      </c>
      <c r="V26" s="48" t="n">
        <f aca="false">IF($U26&gt;=MA_SHORT,AVERAGE(INDEX($I$5:$I26,23-MA_SHORT):$I26),"")</f>
        <v>5921.35</v>
      </c>
      <c r="W26" s="48" t="str">
        <f aca="false">IF($U26&gt;=MA_MED,AVERAGE(INDEX($I$5:$I26,23-MA_MED):$I26),"")</f>
        <v/>
      </c>
      <c r="X26" s="48" t="str">
        <f aca="false">IF($U26&gt;=MA_LONG1,AVERAGE(INDEX($I$5:$I26,23-MA_LONG1):$I26),"")</f>
        <v/>
      </c>
      <c r="Y26" s="48" t="str">
        <f aca="false">IF($U26&gt;=MA_LONG2,AVERAGE(INDEX($I$5:$I26,23-MA_LONG2):$I26),"")</f>
        <v/>
      </c>
      <c r="Z26" s="48" t="n">
        <f aca="false">IF($U26&gt;=MA_SHORT,AVERAGE(INDEX($L$5:$L26,23-MA_SHORT):$L26),"")</f>
        <v>60465509</v>
      </c>
      <c r="AA26" s="48" t="n">
        <f aca="false">IF($U26=1,$G26-$H26,MAX($G26-$H26,ABS($G26-$I25),ABS($H26-$I25)))</f>
        <v>221</v>
      </c>
      <c r="AB26" s="48" t="n">
        <f aca="false">IF($U26&gt;=ATR_PER,AVERAGE(INDEX($AA$5:$AA26,23-ATR_PER):$AA26),"")</f>
        <v>174.5</v>
      </c>
      <c r="AC26" s="48" t="n">
        <f aca="false">$O26-$P26</f>
        <v>25383289</v>
      </c>
      <c r="AD26" s="48" t="n">
        <f aca="false">$AC26*$I26</f>
        <v>154584230010</v>
      </c>
      <c r="AE26" s="49" t="n">
        <f aca="false">IF($Q26&gt;0,$O26*$I26/$Q26/1000000,"")</f>
        <v>471.478112479839</v>
      </c>
      <c r="AF26" s="49" t="n">
        <f aca="false">IF($R26&gt;0,$P26*$I26/$R26/1000000,"")</f>
        <v>129.102465439739</v>
      </c>
      <c r="AG26" s="50" t="n">
        <f aca="false">IF(AND(ISNUMBER($AE26),ISNUMBER($AF26),$AF26&gt;0),$AE26/$AF26,"")</f>
        <v>3.65196830962077</v>
      </c>
      <c r="AH26" s="48" t="n">
        <f aca="false">IF($U26&gt;=5,SUM(INDEX($AD$5:$AD26,23-5):$AD26),"")</f>
        <v>377315457734</v>
      </c>
      <c r="AI26" s="48" t="n">
        <f aca="false">IF($U26&gt;=STRUCT_S,MAX(INDEX($G$5:$G26,23-STRUCT_S):$G26),"")</f>
        <v>6190</v>
      </c>
      <c r="AJ26" s="48" t="n">
        <f aca="false">IF($U26&gt;=STRUCT_S,MIN(INDEX($H$5:$H26,23-STRUCT_S):$H26),"")</f>
        <v>5571</v>
      </c>
      <c r="AK26" s="48" t="str">
        <f aca="false">IF($U26&gt;=STRUCT_L,MAX(INDEX($G$5:$G26,23-STRUCT_L):$G26),"")</f>
        <v/>
      </c>
      <c r="AL26" s="48" t="str">
        <f aca="false">IF($U26&gt;=STRUCT_L,MIN(INDEX($H$5:$H26,23-STRUCT_L):$H26),"")</f>
        <v/>
      </c>
      <c r="AM26" s="46" t="n">
        <f aca="false">IF($A26&lt;&gt;$A27,1,0)</f>
        <v>0</v>
      </c>
      <c r="AN26" s="47" t="str">
        <f aca="false">IF($AM26=1,$A26,"")</f>
        <v/>
      </c>
    </row>
    <row r="27" customFormat="false" ht="15" hidden="false" customHeight="false" outlineLevel="0" collapsed="false">
      <c r="A27" s="43" t="s">
        <v>130</v>
      </c>
      <c r="B27" s="44" t="s">
        <v>132</v>
      </c>
      <c r="C27" s="45" t="n">
        <v>45936</v>
      </c>
      <c r="D27" s="46" t="n">
        <v>20251006</v>
      </c>
      <c r="E27" s="47" t="s">
        <v>310</v>
      </c>
      <c r="F27" s="48" t="n">
        <v>6127</v>
      </c>
      <c r="G27" s="48" t="n">
        <v>6146</v>
      </c>
      <c r="H27" s="48" t="n">
        <v>6027</v>
      </c>
      <c r="I27" s="48" t="n">
        <v>6083</v>
      </c>
      <c r="J27" s="48" t="n">
        <v>6083</v>
      </c>
      <c r="K27" s="48" t="n">
        <v>6090</v>
      </c>
      <c r="L27" s="48" t="n">
        <v>43207996</v>
      </c>
      <c r="M27" s="48" t="n">
        <v>262834239668</v>
      </c>
      <c r="N27" s="48" t="n">
        <v>989</v>
      </c>
      <c r="O27" s="48" t="n">
        <v>26589016</v>
      </c>
      <c r="P27" s="48" t="n">
        <v>17857516</v>
      </c>
      <c r="Q27" s="48" t="n">
        <v>408</v>
      </c>
      <c r="R27" s="48" t="n">
        <v>326</v>
      </c>
      <c r="S27" s="48" t="n">
        <v>16618980</v>
      </c>
      <c r="T27" s="48" t="n">
        <v>25350480</v>
      </c>
      <c r="U27" s="46" t="n">
        <f aca="false">IF($A27=$A26,$U26+1,1)</f>
        <v>23</v>
      </c>
      <c r="V27" s="48" t="n">
        <f aca="false">IF($U27&gt;=MA_SHORT,AVERAGE(INDEX($I$5:$I27,24-MA_SHORT):$I27),"")</f>
        <v>5935.6</v>
      </c>
      <c r="W27" s="48" t="str">
        <f aca="false">IF($U27&gt;=MA_MED,AVERAGE(INDEX($I$5:$I27,24-MA_MED):$I27),"")</f>
        <v/>
      </c>
      <c r="X27" s="48" t="str">
        <f aca="false">IF($U27&gt;=MA_LONG1,AVERAGE(INDEX($I$5:$I27,24-MA_LONG1):$I27),"")</f>
        <v/>
      </c>
      <c r="Y27" s="48" t="str">
        <f aca="false">IF($U27&gt;=MA_LONG2,AVERAGE(INDEX($I$5:$I27,24-MA_LONG2):$I27),"")</f>
        <v/>
      </c>
      <c r="Z27" s="48" t="n">
        <f aca="false">IF($U27&gt;=MA_SHORT,AVERAGE(INDEX($L$5:$L27,24-MA_SHORT):$L27),"")</f>
        <v>60183139.4</v>
      </c>
      <c r="AA27" s="48" t="n">
        <f aca="false">IF($U27=1,$G27-$H27,MAX($G27-$H27,ABS($G27-$I26),ABS($H27-$I26)))</f>
        <v>119</v>
      </c>
      <c r="AB27" s="48" t="n">
        <f aca="false">IF($U27&gt;=ATR_PER,AVERAGE(INDEX($AA$5:$AA27,24-ATR_PER):$AA27),"")</f>
        <v>177</v>
      </c>
      <c r="AC27" s="48" t="n">
        <f aca="false">$O27-$P27</f>
        <v>8731500</v>
      </c>
      <c r="AD27" s="48" t="n">
        <f aca="false">$AC27*$I27</f>
        <v>53113714500</v>
      </c>
      <c r="AE27" s="49" t="n">
        <f aca="false">IF($Q27&gt;0,$O27*$I27/$Q27/1000000,"")</f>
        <v>396.423981196078</v>
      </c>
      <c r="AF27" s="49" t="n">
        <f aca="false">IF($R27&gt;0,$P27*$I27/$R27/1000000,"")</f>
        <v>333.212484134969</v>
      </c>
      <c r="AG27" s="50" t="n">
        <f aca="false">IF(AND(ISNUMBER($AE27),ISNUMBER($AF27),$AF27&gt;0),$AE27/$AF27,"")</f>
        <v>1.18970326764679</v>
      </c>
      <c r="AH27" s="48" t="n">
        <f aca="false">IF($U27&gt;=5,SUM(INDEX($AD$5:$AD27,24-5):$AD27),"")</f>
        <v>385758705416</v>
      </c>
      <c r="AI27" s="48" t="n">
        <f aca="false">IF($U27&gt;=STRUCT_S,MAX(INDEX($G$5:$G27,24-STRUCT_S):$G27),"")</f>
        <v>6190</v>
      </c>
      <c r="AJ27" s="48" t="n">
        <f aca="false">IF($U27&gt;=STRUCT_S,MIN(INDEX($H$5:$H27,24-STRUCT_S):$H27),"")</f>
        <v>5571</v>
      </c>
      <c r="AK27" s="48" t="str">
        <f aca="false">IF($U27&gt;=STRUCT_L,MAX(INDEX($G$5:$G27,24-STRUCT_L):$G27),"")</f>
        <v/>
      </c>
      <c r="AL27" s="48" t="str">
        <f aca="false">IF($U27&gt;=STRUCT_L,MIN(INDEX($H$5:$H27,24-STRUCT_L):$H27),"")</f>
        <v/>
      </c>
      <c r="AM27" s="46" t="n">
        <f aca="false">IF($A27&lt;&gt;$A28,1,0)</f>
        <v>0</v>
      </c>
      <c r="AN27" s="47" t="str">
        <f aca="false">IF($AM27=1,$A27,"")</f>
        <v/>
      </c>
    </row>
    <row r="28" customFormat="false" ht="15" hidden="false" customHeight="false" outlineLevel="0" collapsed="false">
      <c r="A28" s="43" t="s">
        <v>130</v>
      </c>
      <c r="B28" s="44" t="s">
        <v>132</v>
      </c>
      <c r="C28" s="45" t="n">
        <v>45937</v>
      </c>
      <c r="D28" s="46" t="n">
        <v>20251007</v>
      </c>
      <c r="E28" s="47" t="s">
        <v>311</v>
      </c>
      <c r="F28" s="48" t="n">
        <v>5954</v>
      </c>
      <c r="G28" s="48" t="n">
        <v>6158</v>
      </c>
      <c r="H28" s="48" t="n">
        <v>5934</v>
      </c>
      <c r="I28" s="48" t="n">
        <v>6008</v>
      </c>
      <c r="J28" s="48" t="n">
        <v>6138</v>
      </c>
      <c r="K28" s="48" t="n">
        <v>6083</v>
      </c>
      <c r="L28" s="48" t="n">
        <v>46086541</v>
      </c>
      <c r="M28" s="48" t="n">
        <v>276887938328</v>
      </c>
      <c r="N28" s="48" t="n">
        <v>1608</v>
      </c>
      <c r="O28" s="48" t="n">
        <v>24323495</v>
      </c>
      <c r="P28" s="48" t="n">
        <v>19665528</v>
      </c>
      <c r="Q28" s="48" t="n">
        <v>1009</v>
      </c>
      <c r="R28" s="48" t="n">
        <v>574</v>
      </c>
      <c r="S28" s="48" t="n">
        <v>21763046</v>
      </c>
      <c r="T28" s="48" t="n">
        <v>26421013</v>
      </c>
      <c r="U28" s="46" t="n">
        <f aca="false">IF($A28=$A27,$U27+1,1)</f>
        <v>24</v>
      </c>
      <c r="V28" s="48" t="n">
        <f aca="false">IF($U28&gt;=MA_SHORT,AVERAGE(INDEX($I$5:$I28,25-MA_SHORT):$I28),"")</f>
        <v>5952.15</v>
      </c>
      <c r="W28" s="48" t="str">
        <f aca="false">IF($U28&gt;=MA_MED,AVERAGE(INDEX($I$5:$I28,25-MA_MED):$I28),"")</f>
        <v/>
      </c>
      <c r="X28" s="48" t="str">
        <f aca="false">IF($U28&gt;=MA_LONG1,AVERAGE(INDEX($I$5:$I28,25-MA_LONG1):$I28),"")</f>
        <v/>
      </c>
      <c r="Y28" s="48" t="str">
        <f aca="false">IF($U28&gt;=MA_LONG2,AVERAGE(INDEX($I$5:$I28,25-MA_LONG2):$I28),"")</f>
        <v/>
      </c>
      <c r="Z28" s="48" t="n">
        <f aca="false">IF($U28&gt;=MA_SHORT,AVERAGE(INDEX($L$5:$L28,25-MA_SHORT):$L28),"")</f>
        <v>60073201</v>
      </c>
      <c r="AA28" s="48" t="n">
        <f aca="false">IF($U28=1,$G28-$H28,MAX($G28-$H28,ABS($G28-$I27),ABS($H28-$I27)))</f>
        <v>224</v>
      </c>
      <c r="AB28" s="48" t="n">
        <f aca="false">IF($U28&gt;=ATR_PER,AVERAGE(INDEX($AA$5:$AA28,25-ATR_PER):$AA28),"")</f>
        <v>180.928571428571</v>
      </c>
      <c r="AC28" s="48" t="n">
        <f aca="false">$O28-$P28</f>
        <v>4657967</v>
      </c>
      <c r="AD28" s="48" t="n">
        <f aca="false">$AC28*$I28</f>
        <v>27985065736</v>
      </c>
      <c r="AE28" s="49" t="n">
        <f aca="false">IF($Q28&gt;0,$O28*$I28/$Q28/1000000,"")</f>
        <v>144.832069335976</v>
      </c>
      <c r="AF28" s="49" t="n">
        <f aca="false">IF($R28&gt;0,$P28*$I28/$R28/1000000,"")</f>
        <v>205.837094466899</v>
      </c>
      <c r="AG28" s="50" t="n">
        <f aca="false">IF(AND(ISNUMBER($AE28),ISNUMBER($AF28),$AF28&gt;0),$AE28/$AF28,"")</f>
        <v>0.70362472668534</v>
      </c>
      <c r="AH28" s="48" t="n">
        <f aca="false">IF($U28&gt;=5,SUM(INDEX($AD$5:$AD28,25-5):$AD28),"")</f>
        <v>330483483720</v>
      </c>
      <c r="AI28" s="48" t="n">
        <f aca="false">IF($U28&gt;=STRUCT_S,MAX(INDEX($G$5:$G28,25-STRUCT_S):$G28),"")</f>
        <v>6190</v>
      </c>
      <c r="AJ28" s="48" t="n">
        <f aca="false">IF($U28&gt;=STRUCT_S,MIN(INDEX($H$5:$H28,25-STRUCT_S):$H28),"")</f>
        <v>5571</v>
      </c>
      <c r="AK28" s="48" t="str">
        <f aca="false">IF($U28&gt;=STRUCT_L,MAX(INDEX($G$5:$G28,25-STRUCT_L):$G28),"")</f>
        <v/>
      </c>
      <c r="AL28" s="48" t="str">
        <f aca="false">IF($U28&gt;=STRUCT_L,MIN(INDEX($H$5:$H28,25-STRUCT_L):$H28),"")</f>
        <v/>
      </c>
      <c r="AM28" s="46" t="n">
        <f aca="false">IF($A28&lt;&gt;$A29,1,0)</f>
        <v>0</v>
      </c>
      <c r="AN28" s="47" t="str">
        <f aca="false">IF($AM28=1,$A28,"")</f>
        <v/>
      </c>
    </row>
    <row r="29" customFormat="false" ht="15" hidden="false" customHeight="false" outlineLevel="0" collapsed="false">
      <c r="A29" s="43" t="s">
        <v>130</v>
      </c>
      <c r="B29" s="44" t="s">
        <v>132</v>
      </c>
      <c r="C29" s="45" t="n">
        <v>45938</v>
      </c>
      <c r="D29" s="46" t="n">
        <v>20251008</v>
      </c>
      <c r="E29" s="47" t="s">
        <v>312</v>
      </c>
      <c r="F29" s="48" t="n">
        <v>6045</v>
      </c>
      <c r="G29" s="48" t="n">
        <v>6060</v>
      </c>
      <c r="H29" s="48" t="n">
        <v>5990</v>
      </c>
      <c r="I29" s="48" t="n">
        <v>6042</v>
      </c>
      <c r="J29" s="48" t="n">
        <v>6043</v>
      </c>
      <c r="K29" s="48" t="n">
        <v>6008</v>
      </c>
      <c r="L29" s="48" t="n">
        <v>129265676</v>
      </c>
      <c r="M29" s="48" t="n">
        <v>781023214392</v>
      </c>
      <c r="N29" s="48" t="n">
        <v>8209</v>
      </c>
      <c r="O29" s="48" t="n">
        <v>82838037</v>
      </c>
      <c r="P29" s="48" t="n">
        <v>47696942</v>
      </c>
      <c r="Q29" s="48" t="n">
        <v>2987</v>
      </c>
      <c r="R29" s="48" t="n">
        <v>4616</v>
      </c>
      <c r="S29" s="48" t="n">
        <v>46427639</v>
      </c>
      <c r="T29" s="48" t="n">
        <v>81568734</v>
      </c>
      <c r="U29" s="46" t="n">
        <f aca="false">IF($A29=$A28,$U28+1,1)</f>
        <v>25</v>
      </c>
      <c r="V29" s="48" t="n">
        <f aca="false">IF($U29&gt;=MA_SHORT,AVERAGE(INDEX($I$5:$I29,26-MA_SHORT):$I29),"")</f>
        <v>5969.15</v>
      </c>
      <c r="W29" s="48" t="str">
        <f aca="false">IF($U29&gt;=MA_MED,AVERAGE(INDEX($I$5:$I29,26-MA_MED):$I29),"")</f>
        <v/>
      </c>
      <c r="X29" s="48" t="str">
        <f aca="false">IF($U29&gt;=MA_LONG1,AVERAGE(INDEX($I$5:$I29,26-MA_LONG1):$I29),"")</f>
        <v/>
      </c>
      <c r="Y29" s="48" t="str">
        <f aca="false">IF($U29&gt;=MA_LONG2,AVERAGE(INDEX($I$5:$I29,26-MA_LONG2):$I29),"")</f>
        <v/>
      </c>
      <c r="Z29" s="48" t="n">
        <f aca="false">IF($U29&gt;=MA_SHORT,AVERAGE(INDEX($L$5:$L29,26-MA_SHORT):$L29),"")</f>
        <v>62422770.95</v>
      </c>
      <c r="AA29" s="48" t="n">
        <f aca="false">IF($U29=1,$G29-$H29,MAX($G29-$H29,ABS($G29-$I28),ABS($H29-$I28)))</f>
        <v>70</v>
      </c>
      <c r="AB29" s="48" t="n">
        <f aca="false">IF($U29&gt;=ATR_PER,AVERAGE(INDEX($AA$5:$AA29,26-ATR_PER):$AA29),"")</f>
        <v>181</v>
      </c>
      <c r="AC29" s="48" t="n">
        <f aca="false">$O29-$P29</f>
        <v>35141095</v>
      </c>
      <c r="AD29" s="48" t="n">
        <f aca="false">$AC29*$I29</f>
        <v>212322495990</v>
      </c>
      <c r="AE29" s="49" t="n">
        <f aca="false">IF($Q29&gt;0,$O29*$I29/$Q29/1000000,"")</f>
        <v>167.561908119853</v>
      </c>
      <c r="AF29" s="49" t="n">
        <f aca="false">IF($R29&gt;0,$P29*$I29/$R29/1000000,"")</f>
        <v>62.4317425398614</v>
      </c>
      <c r="AG29" s="50" t="n">
        <f aca="false">IF(AND(ISNUMBER($AE29),ISNUMBER($AF29),$AF29&gt;0),$AE29/$AF29,"")</f>
        <v>2.68392169276499</v>
      </c>
      <c r="AH29" s="48" t="n">
        <f aca="false">IF($U29&gt;=5,SUM(INDEX($AD$5:$AD29,26-5):$AD29),"")</f>
        <v>535598263516</v>
      </c>
      <c r="AI29" s="48" t="n">
        <f aca="false">IF($U29&gt;=STRUCT_S,MAX(INDEX($G$5:$G29,26-STRUCT_S):$G29),"")</f>
        <v>6190</v>
      </c>
      <c r="AJ29" s="48" t="n">
        <f aca="false">IF($U29&gt;=STRUCT_S,MIN(INDEX($H$5:$H29,26-STRUCT_S):$H29),"")</f>
        <v>5571</v>
      </c>
      <c r="AK29" s="48" t="str">
        <f aca="false">IF($U29&gt;=STRUCT_L,MAX(INDEX($G$5:$G29,26-STRUCT_L):$G29),"")</f>
        <v/>
      </c>
      <c r="AL29" s="48" t="str">
        <f aca="false">IF($U29&gt;=STRUCT_L,MIN(INDEX($H$5:$H29,26-STRUCT_L):$H29),"")</f>
        <v/>
      </c>
      <c r="AM29" s="46" t="n">
        <f aca="false">IF($A29&lt;&gt;$A30,1,0)</f>
        <v>0</v>
      </c>
      <c r="AN29" s="47" t="str">
        <f aca="false">IF($AM29=1,$A29,"")</f>
        <v/>
      </c>
    </row>
    <row r="30" customFormat="false" ht="15" hidden="false" customHeight="false" outlineLevel="0" collapsed="false">
      <c r="A30" s="43" t="s">
        <v>130</v>
      </c>
      <c r="B30" s="44" t="s">
        <v>132</v>
      </c>
      <c r="C30" s="45" t="n">
        <v>45941</v>
      </c>
      <c r="D30" s="46" t="n">
        <v>20251011</v>
      </c>
      <c r="E30" s="47" t="s">
        <v>313</v>
      </c>
      <c r="F30" s="48" t="n">
        <v>5987</v>
      </c>
      <c r="G30" s="48" t="n">
        <v>6074</v>
      </c>
      <c r="H30" s="48" t="n">
        <v>5970</v>
      </c>
      <c r="I30" s="48" t="n">
        <v>6002</v>
      </c>
      <c r="J30" s="48" t="n">
        <v>6045</v>
      </c>
      <c r="K30" s="48" t="n">
        <v>6042</v>
      </c>
      <c r="L30" s="48" t="n">
        <v>70265192</v>
      </c>
      <c r="M30" s="48" t="n">
        <v>421731682384</v>
      </c>
      <c r="N30" s="48" t="n">
        <v>1565</v>
      </c>
      <c r="O30" s="48" t="n">
        <v>37033768</v>
      </c>
      <c r="P30" s="48" t="n">
        <v>33597162</v>
      </c>
      <c r="Q30" s="48" t="n">
        <v>726</v>
      </c>
      <c r="R30" s="48" t="n">
        <v>508</v>
      </c>
      <c r="S30" s="48" t="n">
        <v>33231424</v>
      </c>
      <c r="T30" s="48" t="n">
        <v>36668030</v>
      </c>
      <c r="U30" s="46" t="n">
        <f aca="false">IF($A30=$A29,$U29+1,1)</f>
        <v>26</v>
      </c>
      <c r="V30" s="48" t="n">
        <f aca="false">IF($U30&gt;=MA_SHORT,AVERAGE(INDEX($I$5:$I30,27-MA_SHORT):$I30),"")</f>
        <v>5986.5</v>
      </c>
      <c r="W30" s="48" t="str">
        <f aca="false">IF($U30&gt;=MA_MED,AVERAGE(INDEX($I$5:$I30,27-MA_MED):$I30),"")</f>
        <v/>
      </c>
      <c r="X30" s="48" t="str">
        <f aca="false">IF($U30&gt;=MA_LONG1,AVERAGE(INDEX($I$5:$I30,27-MA_LONG1):$I30),"")</f>
        <v/>
      </c>
      <c r="Y30" s="48" t="str">
        <f aca="false">IF($U30&gt;=MA_LONG2,AVERAGE(INDEX($I$5:$I30,27-MA_LONG2):$I30),"")</f>
        <v/>
      </c>
      <c r="Z30" s="48" t="n">
        <f aca="false">IF($U30&gt;=MA_SHORT,AVERAGE(INDEX($L$5:$L30,27-MA_SHORT):$L30),"")</f>
        <v>63684314.4</v>
      </c>
      <c r="AA30" s="48" t="n">
        <f aca="false">IF($U30=1,$G30-$H30,MAX($G30-$H30,ABS($G30-$I29),ABS($H30-$I29)))</f>
        <v>104</v>
      </c>
      <c r="AB30" s="48" t="n">
        <f aca="false">IF($U30&gt;=ATR_PER,AVERAGE(INDEX($AA$5:$AA30,27-ATR_PER):$AA30),"")</f>
        <v>177.357142857143</v>
      </c>
      <c r="AC30" s="48" t="n">
        <f aca="false">$O30-$P30</f>
        <v>3436606</v>
      </c>
      <c r="AD30" s="48" t="n">
        <f aca="false">$AC30*$I30</f>
        <v>20626509212</v>
      </c>
      <c r="AE30" s="49" t="n">
        <f aca="false">IF($Q30&gt;0,$O30*$I30/$Q30/1000000,"")</f>
        <v>306.166219746556</v>
      </c>
      <c r="AF30" s="49" t="n">
        <f aca="false">IF($R30&gt;0,$P30*$I30/$R30/1000000,"")</f>
        <v>396.949146307087</v>
      </c>
      <c r="AG30" s="50" t="n">
        <f aca="false">IF(AND(ISNUMBER($AE30),ISNUMBER($AF30),$AF30&gt;0),$AE30/$AF30,"")</f>
        <v>0.771298345379741</v>
      </c>
      <c r="AH30" s="48" t="n">
        <f aca="false">IF($U30&gt;=5,SUM(INDEX($AD$5:$AD30,27-5):$AD30),"")</f>
        <v>468632015448</v>
      </c>
      <c r="AI30" s="48" t="n">
        <f aca="false">IF($U30&gt;=STRUCT_S,MAX(INDEX($G$5:$G30,27-STRUCT_S):$G30),"")</f>
        <v>6190</v>
      </c>
      <c r="AJ30" s="48" t="n">
        <f aca="false">IF($U30&gt;=STRUCT_S,MIN(INDEX($H$5:$H30,27-STRUCT_S):$H30),"")</f>
        <v>5571</v>
      </c>
      <c r="AK30" s="48" t="str">
        <f aca="false">IF($U30&gt;=STRUCT_L,MAX(INDEX($G$5:$G30,27-STRUCT_L):$G30),"")</f>
        <v/>
      </c>
      <c r="AL30" s="48" t="str">
        <f aca="false">IF($U30&gt;=STRUCT_L,MIN(INDEX($H$5:$H30,27-STRUCT_L):$H30),"")</f>
        <v/>
      </c>
      <c r="AM30" s="46" t="n">
        <f aca="false">IF($A30&lt;&gt;$A31,1,0)</f>
        <v>0</v>
      </c>
      <c r="AN30" s="47" t="str">
        <f aca="false">IF($AM30=1,$A30,"")</f>
        <v/>
      </c>
    </row>
    <row r="31" customFormat="false" ht="15" hidden="false" customHeight="false" outlineLevel="0" collapsed="false">
      <c r="A31" s="43" t="s">
        <v>130</v>
      </c>
      <c r="B31" s="44" t="s">
        <v>132</v>
      </c>
      <c r="C31" s="45" t="n">
        <v>45942</v>
      </c>
      <c r="D31" s="46" t="n">
        <v>20251012</v>
      </c>
      <c r="E31" s="47" t="s">
        <v>314</v>
      </c>
      <c r="F31" s="48" t="n">
        <v>6087</v>
      </c>
      <c r="G31" s="48" t="n">
        <v>6204</v>
      </c>
      <c r="H31" s="48" t="n">
        <v>5983</v>
      </c>
      <c r="I31" s="48" t="n">
        <v>6184</v>
      </c>
      <c r="J31" s="48" t="n">
        <v>6182</v>
      </c>
      <c r="K31" s="48" t="n">
        <v>6002</v>
      </c>
      <c r="L31" s="48" t="n">
        <v>62301889</v>
      </c>
      <c r="M31" s="48" t="n">
        <v>385274881576</v>
      </c>
      <c r="N31" s="48" t="n">
        <v>2143</v>
      </c>
      <c r="O31" s="48" t="n">
        <v>43265292</v>
      </c>
      <c r="P31" s="48" t="n">
        <v>20694030</v>
      </c>
      <c r="Q31" s="48" t="n">
        <v>507</v>
      </c>
      <c r="R31" s="48" t="n">
        <v>956</v>
      </c>
      <c r="S31" s="48" t="n">
        <v>19036597</v>
      </c>
      <c r="T31" s="48" t="n">
        <v>41607859</v>
      </c>
      <c r="U31" s="46" t="n">
        <f aca="false">IF($A31=$A30,$U30+1,1)</f>
        <v>27</v>
      </c>
      <c r="V31" s="48" t="n">
        <f aca="false">IF($U31&gt;=MA_SHORT,AVERAGE(INDEX($I$5:$I31,28-MA_SHORT):$I31),"")</f>
        <v>6005.1</v>
      </c>
      <c r="W31" s="48" t="str">
        <f aca="false">IF($U31&gt;=MA_MED,AVERAGE(INDEX($I$5:$I31,28-MA_MED):$I31),"")</f>
        <v/>
      </c>
      <c r="X31" s="48" t="str">
        <f aca="false">IF($U31&gt;=MA_LONG1,AVERAGE(INDEX($I$5:$I31,28-MA_LONG1):$I31),"")</f>
        <v/>
      </c>
      <c r="Y31" s="48" t="str">
        <f aca="false">IF($U31&gt;=MA_LONG2,AVERAGE(INDEX($I$5:$I31,28-MA_LONG2):$I31),"")</f>
        <v/>
      </c>
      <c r="Z31" s="48" t="n">
        <f aca="false">IF($U31&gt;=MA_SHORT,AVERAGE(INDEX($L$5:$L31,28-MA_SHORT):$L31),"")</f>
        <v>64059105.45</v>
      </c>
      <c r="AA31" s="48" t="n">
        <f aca="false">IF($U31=1,$G31-$H31,MAX($G31-$H31,ABS($G31-$I30),ABS($H31-$I30)))</f>
        <v>221</v>
      </c>
      <c r="AB31" s="48" t="n">
        <f aca="false">IF($U31&gt;=ATR_PER,AVERAGE(INDEX($AA$5:$AA31,28-ATR_PER):$AA31),"")</f>
        <v>182.285714285714</v>
      </c>
      <c r="AC31" s="48" t="n">
        <f aca="false">$O31-$P31</f>
        <v>22571262</v>
      </c>
      <c r="AD31" s="48" t="n">
        <f aca="false">$AC31*$I31</f>
        <v>139580684208</v>
      </c>
      <c r="AE31" s="49" t="n">
        <f aca="false">IF($Q31&gt;0,$O31*$I31/$Q31/1000000,"")</f>
        <v>527.717092165681</v>
      </c>
      <c r="AF31" s="49" t="n">
        <f aca="false">IF($R31&gt;0,$P31*$I31/$R31/1000000,"")</f>
        <v>133.861800753138</v>
      </c>
      <c r="AG31" s="50" t="n">
        <f aca="false">IF(AND(ISNUMBER($AE31),ISNUMBER($AF31),$AF31&gt;0),$AE31/$AF31,"")</f>
        <v>3.94225304901488</v>
      </c>
      <c r="AH31" s="48" t="n">
        <f aca="false">IF($U31&gt;=5,SUM(INDEX($AD$5:$AD31,28-5):$AD31),"")</f>
        <v>453628469646</v>
      </c>
      <c r="AI31" s="48" t="n">
        <f aca="false">IF($U31&gt;=STRUCT_S,MAX(INDEX($G$5:$G31,28-STRUCT_S):$G31),"")</f>
        <v>6204</v>
      </c>
      <c r="AJ31" s="48" t="n">
        <f aca="false">IF($U31&gt;=STRUCT_S,MIN(INDEX($H$5:$H31,28-STRUCT_S):$H31),"")</f>
        <v>5790</v>
      </c>
      <c r="AK31" s="48" t="str">
        <f aca="false">IF($U31&gt;=STRUCT_L,MAX(INDEX($G$5:$G31,28-STRUCT_L):$G31),"")</f>
        <v/>
      </c>
      <c r="AL31" s="48" t="str">
        <f aca="false">IF($U31&gt;=STRUCT_L,MIN(INDEX($H$5:$H31,28-STRUCT_L):$H31),"")</f>
        <v/>
      </c>
      <c r="AM31" s="46" t="n">
        <f aca="false">IF($A31&lt;&gt;$A32,1,0)</f>
        <v>0</v>
      </c>
      <c r="AN31" s="47" t="str">
        <f aca="false">IF($AM31=1,$A31,"")</f>
        <v/>
      </c>
    </row>
    <row r="32" customFormat="false" ht="15" hidden="false" customHeight="false" outlineLevel="0" collapsed="false">
      <c r="A32" s="43" t="s">
        <v>130</v>
      </c>
      <c r="B32" s="44" t="s">
        <v>132</v>
      </c>
      <c r="C32" s="45" t="n">
        <v>45943</v>
      </c>
      <c r="D32" s="46" t="n">
        <v>20251013</v>
      </c>
      <c r="E32" s="47" t="s">
        <v>315</v>
      </c>
      <c r="F32" s="48" t="n">
        <v>6145</v>
      </c>
      <c r="G32" s="48" t="n">
        <v>6286</v>
      </c>
      <c r="H32" s="48" t="n">
        <v>6140</v>
      </c>
      <c r="I32" s="48" t="n">
        <v>6241</v>
      </c>
      <c r="J32" s="48" t="n">
        <v>6226</v>
      </c>
      <c r="K32" s="48" t="n">
        <v>6184</v>
      </c>
      <c r="L32" s="48" t="n">
        <v>62089540</v>
      </c>
      <c r="M32" s="48" t="n">
        <v>387500819140</v>
      </c>
      <c r="N32" s="48" t="n">
        <v>2238</v>
      </c>
      <c r="O32" s="48" t="n">
        <v>43262511</v>
      </c>
      <c r="P32" s="48" t="n">
        <v>21165962</v>
      </c>
      <c r="Q32" s="48" t="n">
        <v>558</v>
      </c>
      <c r="R32" s="48" t="n">
        <v>1582</v>
      </c>
      <c r="S32" s="48" t="n">
        <v>18827029</v>
      </c>
      <c r="T32" s="48" t="n">
        <v>40923578</v>
      </c>
      <c r="U32" s="46" t="n">
        <f aca="false">IF($A32=$A31,$U31+1,1)</f>
        <v>28</v>
      </c>
      <c r="V32" s="48" t="n">
        <f aca="false">IF($U32&gt;=MA_SHORT,AVERAGE(INDEX($I$5:$I32,29-MA_SHORT):$I32),"")</f>
        <v>6022.95</v>
      </c>
      <c r="W32" s="48" t="str">
        <f aca="false">IF($U32&gt;=MA_MED,AVERAGE(INDEX($I$5:$I32,29-MA_MED):$I32),"")</f>
        <v/>
      </c>
      <c r="X32" s="48" t="str">
        <f aca="false">IF($U32&gt;=MA_LONG1,AVERAGE(INDEX($I$5:$I32,29-MA_LONG1):$I32),"")</f>
        <v/>
      </c>
      <c r="Y32" s="48" t="str">
        <f aca="false">IF($U32&gt;=MA_LONG2,AVERAGE(INDEX($I$5:$I32,29-MA_LONG2):$I32),"")</f>
        <v/>
      </c>
      <c r="Z32" s="48" t="n">
        <f aca="false">IF($U32&gt;=MA_SHORT,AVERAGE(INDEX($L$5:$L32,29-MA_SHORT):$L32),"")</f>
        <v>64339150</v>
      </c>
      <c r="AA32" s="48" t="n">
        <f aca="false">IF($U32=1,$G32-$H32,MAX($G32-$H32,ABS($G32-$I31),ABS($H32-$I31)))</f>
        <v>146</v>
      </c>
      <c r="AB32" s="48" t="n">
        <f aca="false">IF($U32&gt;=ATR_PER,AVERAGE(INDEX($AA$5:$AA32,29-ATR_PER):$AA32),"")</f>
        <v>184.428571428571</v>
      </c>
      <c r="AC32" s="48" t="n">
        <f aca="false">$O32-$P32</f>
        <v>22096549</v>
      </c>
      <c r="AD32" s="48" t="n">
        <f aca="false">$AC32*$I32</f>
        <v>137904562309</v>
      </c>
      <c r="AE32" s="49" t="n">
        <f aca="false">IF($Q32&gt;0,$O32*$I32/$Q32/1000000,"")</f>
        <v>483.873353317204</v>
      </c>
      <c r="AF32" s="49" t="n">
        <f aca="false">IF($R32&gt;0,$P32*$I32/$R32/1000000,"")</f>
        <v>83.4998538824273</v>
      </c>
      <c r="AG32" s="50" t="n">
        <f aca="false">IF(AND(ISNUMBER($AE32),ISNUMBER($AF32),$AF32&gt;0),$AE32/$AF32,"")</f>
        <v>5.79490059944927</v>
      </c>
      <c r="AH32" s="48" t="n">
        <f aca="false">IF($U32&gt;=5,SUM(INDEX($AD$5:$AD32,29-5):$AD32),"")</f>
        <v>538419317455</v>
      </c>
      <c r="AI32" s="48" t="n">
        <f aca="false">IF($U32&gt;=STRUCT_S,MAX(INDEX($G$5:$G32,29-STRUCT_S):$G32),"")</f>
        <v>6286</v>
      </c>
      <c r="AJ32" s="48" t="n">
        <f aca="false">IF($U32&gt;=STRUCT_S,MIN(INDEX($H$5:$H32,29-STRUCT_S):$H32),"")</f>
        <v>5807</v>
      </c>
      <c r="AK32" s="48" t="str">
        <f aca="false">IF($U32&gt;=STRUCT_L,MAX(INDEX($G$5:$G32,29-STRUCT_L):$G32),"")</f>
        <v/>
      </c>
      <c r="AL32" s="48" t="str">
        <f aca="false">IF($U32&gt;=STRUCT_L,MIN(INDEX($H$5:$H32,29-STRUCT_L):$H32),"")</f>
        <v/>
      </c>
      <c r="AM32" s="46" t="n">
        <f aca="false">IF($A32&lt;&gt;$A33,1,0)</f>
        <v>0</v>
      </c>
      <c r="AN32" s="47" t="str">
        <f aca="false">IF($AM32=1,$A32,"")</f>
        <v/>
      </c>
    </row>
    <row r="33" customFormat="false" ht="15" hidden="false" customHeight="false" outlineLevel="0" collapsed="false">
      <c r="A33" s="43" t="s">
        <v>130</v>
      </c>
      <c r="B33" s="44" t="s">
        <v>132</v>
      </c>
      <c r="C33" s="45" t="n">
        <v>45944</v>
      </c>
      <c r="D33" s="46" t="n">
        <v>20251014</v>
      </c>
      <c r="E33" s="47" t="s">
        <v>316</v>
      </c>
      <c r="F33" s="48" t="n">
        <v>6343</v>
      </c>
      <c r="G33" s="48" t="n">
        <v>6493</v>
      </c>
      <c r="H33" s="48" t="n">
        <v>6129</v>
      </c>
      <c r="I33" s="48" t="n">
        <v>6378</v>
      </c>
      <c r="J33" s="48" t="n">
        <v>6237</v>
      </c>
      <c r="K33" s="48" t="n">
        <v>6241</v>
      </c>
      <c r="L33" s="48" t="n">
        <v>48563982</v>
      </c>
      <c r="M33" s="48" t="n">
        <v>309741077196</v>
      </c>
      <c r="N33" s="48" t="n">
        <v>1169</v>
      </c>
      <c r="O33" s="48" t="n">
        <v>36036148</v>
      </c>
      <c r="P33" s="48" t="n">
        <v>9770115</v>
      </c>
      <c r="Q33" s="48" t="n">
        <v>327</v>
      </c>
      <c r="R33" s="48" t="n">
        <v>735</v>
      </c>
      <c r="S33" s="48" t="n">
        <v>12527834</v>
      </c>
      <c r="T33" s="48" t="n">
        <v>38793867</v>
      </c>
      <c r="U33" s="46" t="n">
        <f aca="false">IF($A33=$A32,$U32+1,1)</f>
        <v>29</v>
      </c>
      <c r="V33" s="48" t="n">
        <f aca="false">IF($U33&gt;=MA_SHORT,AVERAGE(INDEX($I$5:$I33,30-MA_SHORT):$I33),"")</f>
        <v>6045.35</v>
      </c>
      <c r="W33" s="48" t="str">
        <f aca="false">IF($U33&gt;=MA_MED,AVERAGE(INDEX($I$5:$I33,30-MA_MED):$I33),"")</f>
        <v/>
      </c>
      <c r="X33" s="48" t="str">
        <f aca="false">IF($U33&gt;=MA_LONG1,AVERAGE(INDEX($I$5:$I33,30-MA_LONG1):$I33),"")</f>
        <v/>
      </c>
      <c r="Y33" s="48" t="str">
        <f aca="false">IF($U33&gt;=MA_LONG2,AVERAGE(INDEX($I$5:$I33,30-MA_LONG2):$I33),"")</f>
        <v/>
      </c>
      <c r="Z33" s="48" t="n">
        <f aca="false">IF($U33&gt;=MA_SHORT,AVERAGE(INDEX($L$5:$L33,30-MA_SHORT):$L33),"")</f>
        <v>63797133.4</v>
      </c>
      <c r="AA33" s="48" t="n">
        <f aca="false">IF($U33=1,$G33-$H33,MAX($G33-$H33,ABS($G33-$I32),ABS($H33-$I32)))</f>
        <v>364</v>
      </c>
      <c r="AB33" s="48" t="n">
        <f aca="false">IF($U33&gt;=ATR_PER,AVERAGE(INDEX($AA$5:$AA33,30-ATR_PER):$AA33),"")</f>
        <v>189.714285714286</v>
      </c>
      <c r="AC33" s="48" t="n">
        <f aca="false">$O33-$P33</f>
        <v>26266033</v>
      </c>
      <c r="AD33" s="48" t="n">
        <f aca="false">$AC33*$I33</f>
        <v>167524758474</v>
      </c>
      <c r="AE33" s="49" t="n">
        <f aca="false">IF($Q33&gt;0,$O33*$I33/$Q33/1000000,"")</f>
        <v>702.870189431193</v>
      </c>
      <c r="AF33" s="49" t="n">
        <f aca="false">IF($R33&gt;0,$P33*$I33/$R33/1000000,"")</f>
        <v>84.7806713877551</v>
      </c>
      <c r="AG33" s="50" t="n">
        <f aca="false">IF(AND(ISNUMBER($AE33),ISNUMBER($AF33),$AF33&gt;0),$AE33/$AF33,"")</f>
        <v>8.29045321210689</v>
      </c>
      <c r="AH33" s="48" t="n">
        <f aca="false">IF($U33&gt;=5,SUM(INDEX($AD$5:$AD33,30-5):$AD33),"")</f>
        <v>677959010193</v>
      </c>
      <c r="AI33" s="48" t="n">
        <f aca="false">IF($U33&gt;=STRUCT_S,MAX(INDEX($G$5:$G33,30-STRUCT_S):$G33),"")</f>
        <v>6493</v>
      </c>
      <c r="AJ33" s="48" t="n">
        <f aca="false">IF($U33&gt;=STRUCT_S,MIN(INDEX($H$5:$H33,30-STRUCT_S):$H33),"")</f>
        <v>5807</v>
      </c>
      <c r="AK33" s="48" t="str">
        <f aca="false">IF($U33&gt;=STRUCT_L,MAX(INDEX($G$5:$G33,30-STRUCT_L):$G33),"")</f>
        <v/>
      </c>
      <c r="AL33" s="48" t="str">
        <f aca="false">IF($U33&gt;=STRUCT_L,MIN(INDEX($H$5:$H33,30-STRUCT_L):$H33),"")</f>
        <v/>
      </c>
      <c r="AM33" s="46" t="n">
        <f aca="false">IF($A33&lt;&gt;$A34,1,0)</f>
        <v>0</v>
      </c>
      <c r="AN33" s="47" t="str">
        <f aca="false">IF($AM33=1,$A33,"")</f>
        <v/>
      </c>
    </row>
    <row r="34" customFormat="false" ht="15" hidden="false" customHeight="false" outlineLevel="0" collapsed="false">
      <c r="A34" s="43" t="s">
        <v>130</v>
      </c>
      <c r="B34" s="44" t="s">
        <v>132</v>
      </c>
      <c r="C34" s="45" t="n">
        <v>45945</v>
      </c>
      <c r="D34" s="46" t="n">
        <v>20251015</v>
      </c>
      <c r="E34" s="47" t="s">
        <v>317</v>
      </c>
      <c r="F34" s="48" t="n">
        <v>6184</v>
      </c>
      <c r="G34" s="48" t="n">
        <v>6419</v>
      </c>
      <c r="H34" s="48" t="n">
        <v>6177</v>
      </c>
      <c r="I34" s="48" t="n">
        <v>6217</v>
      </c>
      <c r="J34" s="48" t="n">
        <v>6377</v>
      </c>
      <c r="K34" s="48" t="n">
        <v>6378</v>
      </c>
      <c r="L34" s="48" t="n">
        <v>49411430</v>
      </c>
      <c r="M34" s="48" t="n">
        <v>307190860310</v>
      </c>
      <c r="N34" s="48" t="n">
        <v>1714</v>
      </c>
      <c r="O34" s="48" t="n">
        <v>23195301</v>
      </c>
      <c r="P34" s="48" t="n">
        <v>27889584</v>
      </c>
      <c r="Q34" s="48" t="n">
        <v>873</v>
      </c>
      <c r="R34" s="48" t="n">
        <v>626</v>
      </c>
      <c r="S34" s="48" t="n">
        <v>26216129</v>
      </c>
      <c r="T34" s="48" t="n">
        <v>21521846</v>
      </c>
      <c r="U34" s="46" t="n">
        <f aca="false">IF($A34=$A33,$U33+1,1)</f>
        <v>30</v>
      </c>
      <c r="V34" s="48" t="n">
        <f aca="false">IF($U34&gt;=MA_SHORT,AVERAGE(INDEX($I$5:$I34,31-MA_SHORT):$I34),"")</f>
        <v>6060.65</v>
      </c>
      <c r="W34" s="48" t="str">
        <f aca="false">IF($U34&gt;=MA_MED,AVERAGE(INDEX($I$5:$I34,31-MA_MED):$I34),"")</f>
        <v/>
      </c>
      <c r="X34" s="48" t="str">
        <f aca="false">IF($U34&gt;=MA_LONG1,AVERAGE(INDEX($I$5:$I34,31-MA_LONG1):$I34),"")</f>
        <v/>
      </c>
      <c r="Y34" s="48" t="str">
        <f aca="false">IF($U34&gt;=MA_LONG2,AVERAGE(INDEX($I$5:$I34,31-MA_LONG2):$I34),"")</f>
        <v/>
      </c>
      <c r="Z34" s="48" t="n">
        <f aca="false">IF($U34&gt;=MA_SHORT,AVERAGE(INDEX($L$5:$L34,31-MA_SHORT):$L34),"")</f>
        <v>62901332.8</v>
      </c>
      <c r="AA34" s="48" t="n">
        <f aca="false">IF($U34=1,$G34-$H34,MAX($G34-$H34,ABS($G34-$I33),ABS($H34-$I33)))</f>
        <v>242</v>
      </c>
      <c r="AB34" s="48" t="n">
        <f aca="false">IF($U34&gt;=ATR_PER,AVERAGE(INDEX($AA$5:$AA34,31-ATR_PER):$AA34),"")</f>
        <v>189.357142857143</v>
      </c>
      <c r="AC34" s="48" t="n">
        <f aca="false">$O34-$P34</f>
        <v>-4694283</v>
      </c>
      <c r="AD34" s="48" t="n">
        <f aca="false">$AC34*$I34</f>
        <v>-29184357411</v>
      </c>
      <c r="AE34" s="49" t="n">
        <f aca="false">IF($Q34&gt;0,$O34*$I34/$Q34/1000000,"")</f>
        <v>165.1834894811</v>
      </c>
      <c r="AF34" s="49" t="n">
        <f aca="false">IF($R34&gt;0,$P34*$I34/$R34/1000000,"")</f>
        <v>276.980101801917</v>
      </c>
      <c r="AG34" s="50" t="n">
        <f aca="false">IF(AND(ISNUMBER($AE34),ISNUMBER($AF34),$AF34&gt;0),$AE34/$AF34,"")</f>
        <v>0.59637312719031</v>
      </c>
      <c r="AH34" s="48" t="n">
        <f aca="false">IF($U34&gt;=5,SUM(INDEX($AD$5:$AD34,31-5):$AD34),"")</f>
        <v>436452156792</v>
      </c>
      <c r="AI34" s="48" t="n">
        <f aca="false">IF($U34&gt;=STRUCT_S,MAX(INDEX($G$5:$G34,31-STRUCT_S):$G34),"")</f>
        <v>6493</v>
      </c>
      <c r="AJ34" s="48" t="n">
        <f aca="false">IF($U34&gt;=STRUCT_S,MIN(INDEX($H$5:$H34,31-STRUCT_S):$H34),"")</f>
        <v>5807</v>
      </c>
      <c r="AK34" s="48" t="str">
        <f aca="false">IF($U34&gt;=STRUCT_L,MAX(INDEX($G$5:$G34,31-STRUCT_L):$G34),"")</f>
        <v/>
      </c>
      <c r="AL34" s="48" t="str">
        <f aca="false">IF($U34&gt;=STRUCT_L,MIN(INDEX($H$5:$H34,31-STRUCT_L):$H34),"")</f>
        <v/>
      </c>
      <c r="AM34" s="46" t="n">
        <f aca="false">IF($A34&lt;&gt;$A35,1,0)</f>
        <v>0</v>
      </c>
      <c r="AN34" s="47" t="str">
        <f aca="false">IF($AM34=1,$A34,"")</f>
        <v/>
      </c>
    </row>
    <row r="35" customFormat="false" ht="15" hidden="false" customHeight="false" outlineLevel="0" collapsed="false">
      <c r="A35" s="43" t="s">
        <v>130</v>
      </c>
      <c r="B35" s="44" t="s">
        <v>132</v>
      </c>
      <c r="C35" s="45" t="n">
        <v>45948</v>
      </c>
      <c r="D35" s="46" t="n">
        <v>20251018</v>
      </c>
      <c r="E35" s="47" t="s">
        <v>318</v>
      </c>
      <c r="F35" s="48" t="n">
        <v>6233</v>
      </c>
      <c r="G35" s="48" t="n">
        <v>6245</v>
      </c>
      <c r="H35" s="48" t="n">
        <v>6164</v>
      </c>
      <c r="I35" s="48" t="n">
        <v>6191</v>
      </c>
      <c r="J35" s="48" t="n">
        <v>6238</v>
      </c>
      <c r="K35" s="48" t="n">
        <v>6217</v>
      </c>
      <c r="L35" s="48" t="n">
        <v>43988821</v>
      </c>
      <c r="M35" s="48" t="n">
        <v>272334790811</v>
      </c>
      <c r="N35" s="48" t="n">
        <v>1662</v>
      </c>
      <c r="O35" s="48" t="n">
        <v>27237052</v>
      </c>
      <c r="P35" s="48" t="n">
        <v>15668569</v>
      </c>
      <c r="Q35" s="48" t="n">
        <v>735</v>
      </c>
      <c r="R35" s="48" t="n">
        <v>499</v>
      </c>
      <c r="S35" s="48" t="n">
        <v>16751769</v>
      </c>
      <c r="T35" s="48" t="n">
        <v>28320252</v>
      </c>
      <c r="U35" s="46" t="n">
        <f aca="false">IF($A35=$A34,$U34+1,1)</f>
        <v>31</v>
      </c>
      <c r="V35" s="48" t="n">
        <f aca="false">IF($U35&gt;=MA_SHORT,AVERAGE(INDEX($I$5:$I35,32-MA_SHORT):$I35),"")</f>
        <v>6075.5</v>
      </c>
      <c r="W35" s="48" t="str">
        <f aca="false">IF($U35&gt;=MA_MED,AVERAGE(INDEX($I$5:$I35,32-MA_MED):$I35),"")</f>
        <v/>
      </c>
      <c r="X35" s="48" t="str">
        <f aca="false">IF($U35&gt;=MA_LONG1,AVERAGE(INDEX($I$5:$I35,32-MA_LONG1):$I35),"")</f>
        <v/>
      </c>
      <c r="Y35" s="48" t="str">
        <f aca="false">IF($U35&gt;=MA_LONG2,AVERAGE(INDEX($I$5:$I35,32-MA_LONG2):$I35),"")</f>
        <v/>
      </c>
      <c r="Z35" s="48" t="n">
        <f aca="false">IF($U35&gt;=MA_SHORT,AVERAGE(INDEX($L$5:$L35,32-MA_SHORT):$L35),"")</f>
        <v>61502455.7</v>
      </c>
      <c r="AA35" s="48" t="n">
        <f aca="false">IF($U35=1,$G35-$H35,MAX($G35-$H35,ABS($G35-$I34),ABS($H35-$I34)))</f>
        <v>81</v>
      </c>
      <c r="AB35" s="48" t="n">
        <f aca="false">IF($U35&gt;=ATR_PER,AVERAGE(INDEX($AA$5:$AA35,32-ATR_PER):$AA35),"")</f>
        <v>178.214285714286</v>
      </c>
      <c r="AC35" s="48" t="n">
        <f aca="false">$O35-$P35</f>
        <v>11568483</v>
      </c>
      <c r="AD35" s="48" t="n">
        <f aca="false">$AC35*$I35</f>
        <v>71620478253</v>
      </c>
      <c r="AE35" s="49" t="n">
        <f aca="false">IF($Q35&gt;0,$O35*$I35/$Q35/1000000,"")</f>
        <v>229.421209431293</v>
      </c>
      <c r="AF35" s="49" t="n">
        <f aca="false">IF($R35&gt;0,$P35*$I35/$R35/1000000,"")</f>
        <v>194.397015388778</v>
      </c>
      <c r="AG35" s="50" t="n">
        <f aca="false">IF(AND(ISNUMBER($AE35),ISNUMBER($AF35),$AF35&gt;0),$AE35/$AF35,"")</f>
        <v>1.18016837332852</v>
      </c>
      <c r="AH35" s="48" t="n">
        <f aca="false">IF($U35&gt;=5,SUM(INDEX($AD$5:$AD35,32-5):$AD35),"")</f>
        <v>487446125833</v>
      </c>
      <c r="AI35" s="48" t="n">
        <f aca="false">IF($U35&gt;=STRUCT_S,MAX(INDEX($G$5:$G35,32-STRUCT_S):$G35),"")</f>
        <v>6493</v>
      </c>
      <c r="AJ35" s="48" t="n">
        <f aca="false">IF($U35&gt;=STRUCT_S,MIN(INDEX($H$5:$H35,32-STRUCT_S):$H35),"")</f>
        <v>5807</v>
      </c>
      <c r="AK35" s="48" t="str">
        <f aca="false">IF($U35&gt;=STRUCT_L,MAX(INDEX($G$5:$G35,32-STRUCT_L):$G35),"")</f>
        <v/>
      </c>
      <c r="AL35" s="48" t="str">
        <f aca="false">IF($U35&gt;=STRUCT_L,MIN(INDEX($H$5:$H35,32-STRUCT_L):$H35),"")</f>
        <v/>
      </c>
      <c r="AM35" s="46" t="n">
        <f aca="false">IF($A35&lt;&gt;$A36,1,0)</f>
        <v>0</v>
      </c>
      <c r="AN35" s="47" t="str">
        <f aca="false">IF($AM35=1,$A35,"")</f>
        <v/>
      </c>
    </row>
    <row r="36" customFormat="false" ht="15" hidden="false" customHeight="false" outlineLevel="0" collapsed="false">
      <c r="A36" s="43" t="s">
        <v>130</v>
      </c>
      <c r="B36" s="44" t="s">
        <v>132</v>
      </c>
      <c r="C36" s="45" t="n">
        <v>45949</v>
      </c>
      <c r="D36" s="46" t="n">
        <v>20251019</v>
      </c>
      <c r="E36" s="47" t="s">
        <v>319</v>
      </c>
      <c r="F36" s="48" t="n">
        <v>6424</v>
      </c>
      <c r="G36" s="48" t="n">
        <v>6432</v>
      </c>
      <c r="H36" s="48" t="n">
        <v>6084</v>
      </c>
      <c r="I36" s="48" t="n">
        <v>6323</v>
      </c>
      <c r="J36" s="48" t="n">
        <v>6210</v>
      </c>
      <c r="K36" s="48" t="n">
        <v>6191</v>
      </c>
      <c r="L36" s="48" t="n">
        <v>54301578</v>
      </c>
      <c r="M36" s="48" t="n">
        <v>343348877694</v>
      </c>
      <c r="N36" s="48" t="n">
        <v>1227</v>
      </c>
      <c r="O36" s="48" t="n">
        <v>36815546</v>
      </c>
      <c r="P36" s="48" t="n">
        <v>17299862</v>
      </c>
      <c r="Q36" s="48" t="n">
        <v>390</v>
      </c>
      <c r="R36" s="48" t="n">
        <v>918</v>
      </c>
      <c r="S36" s="48" t="n">
        <v>17486032</v>
      </c>
      <c r="T36" s="48" t="n">
        <v>37001716</v>
      </c>
      <c r="U36" s="46" t="n">
        <f aca="false">IF($A36=$A35,$U35+1,1)</f>
        <v>32</v>
      </c>
      <c r="V36" s="48" t="n">
        <f aca="false">IF($U36&gt;=MA_SHORT,AVERAGE(INDEX($I$5:$I36,33-MA_SHORT):$I36),"")</f>
        <v>6091.2</v>
      </c>
      <c r="W36" s="48" t="str">
        <f aca="false">IF($U36&gt;=MA_MED,AVERAGE(INDEX($I$5:$I36,33-MA_MED):$I36),"")</f>
        <v/>
      </c>
      <c r="X36" s="48" t="str">
        <f aca="false">IF($U36&gt;=MA_LONG1,AVERAGE(INDEX($I$5:$I36,33-MA_LONG1):$I36),"")</f>
        <v/>
      </c>
      <c r="Y36" s="48" t="str">
        <f aca="false">IF($U36&gt;=MA_LONG2,AVERAGE(INDEX($I$5:$I36,33-MA_LONG2):$I36),"")</f>
        <v/>
      </c>
      <c r="Z36" s="48" t="n">
        <f aca="false">IF($U36&gt;=MA_SHORT,AVERAGE(INDEX($L$5:$L36,33-MA_SHORT):$L36),"")</f>
        <v>61820750.25</v>
      </c>
      <c r="AA36" s="48" t="n">
        <f aca="false">IF($U36=1,$G36-$H36,MAX($G36-$H36,ABS($G36-$I35),ABS($H36-$I35)))</f>
        <v>348</v>
      </c>
      <c r="AB36" s="48" t="n">
        <f aca="false">IF($U36&gt;=ATR_PER,AVERAGE(INDEX($AA$5:$AA36,33-ATR_PER):$AA36),"")</f>
        <v>196</v>
      </c>
      <c r="AC36" s="48" t="n">
        <f aca="false">$O36-$P36</f>
        <v>19515684</v>
      </c>
      <c r="AD36" s="48" t="n">
        <f aca="false">$AC36*$I36</f>
        <v>123397669932</v>
      </c>
      <c r="AE36" s="49" t="n">
        <f aca="false">IF($Q36&gt;0,$O36*$I36/$Q36/1000000,"")</f>
        <v>596.883839379487</v>
      </c>
      <c r="AF36" s="49" t="n">
        <f aca="false">IF($R36&gt;0,$P36*$I36/$R36/1000000,"")</f>
        <v>119.157981945534</v>
      </c>
      <c r="AG36" s="50" t="n">
        <f aca="false">IF(AND(ISNUMBER($AE36),ISNUMBER($AF36),$AF36&gt;0),$AE36/$AF36,"")</f>
        <v>5.00918049830953</v>
      </c>
      <c r="AH36" s="48" t="n">
        <f aca="false">IF($U36&gt;=5,SUM(INDEX($AD$6:$AD36,32-5):$AD36),"")</f>
        <v>471263111557</v>
      </c>
      <c r="AI36" s="48" t="n">
        <f aca="false">IF($U36&gt;=STRUCT_S,MAX(INDEX($G$5:$G36,33-STRUCT_S):$G36),"")</f>
        <v>6493</v>
      </c>
      <c r="AJ36" s="48" t="n">
        <f aca="false">IF($U36&gt;=STRUCT_S,MIN(INDEX($H$5:$H36,33-STRUCT_S):$H36),"")</f>
        <v>5807</v>
      </c>
      <c r="AK36" s="48" t="str">
        <f aca="false">IF($U36&gt;=STRUCT_L,MAX(INDEX($G$5:$G36,33-STRUCT_L):$G36),"")</f>
        <v/>
      </c>
      <c r="AL36" s="48" t="str">
        <f aca="false">IF($U36&gt;=STRUCT_L,MIN(INDEX($H$5:$H36,33-STRUCT_L):$H36),"")</f>
        <v/>
      </c>
      <c r="AM36" s="46" t="n">
        <f aca="false">IF($A36&lt;&gt;$A37,1,0)</f>
        <v>0</v>
      </c>
      <c r="AN36" s="47" t="str">
        <f aca="false">IF($AM36=1,$A36,"")</f>
        <v/>
      </c>
    </row>
    <row r="37" customFormat="false" ht="15" hidden="false" customHeight="false" outlineLevel="0" collapsed="false">
      <c r="A37" s="43" t="s">
        <v>130</v>
      </c>
      <c r="B37" s="44" t="s">
        <v>132</v>
      </c>
      <c r="C37" s="45" t="n">
        <v>45950</v>
      </c>
      <c r="D37" s="46" t="n">
        <v>20251020</v>
      </c>
      <c r="E37" s="47" t="s">
        <v>320</v>
      </c>
      <c r="F37" s="48" t="n">
        <v>6340</v>
      </c>
      <c r="G37" s="48" t="n">
        <v>6442</v>
      </c>
      <c r="H37" s="48" t="n">
        <v>6284</v>
      </c>
      <c r="I37" s="48" t="n">
        <v>6402</v>
      </c>
      <c r="J37" s="48" t="n">
        <v>6353</v>
      </c>
      <c r="K37" s="48" t="n">
        <v>6323</v>
      </c>
      <c r="L37" s="48" t="n">
        <v>51803774</v>
      </c>
      <c r="M37" s="48" t="n">
        <v>331647761148</v>
      </c>
      <c r="N37" s="48" t="n">
        <v>1694</v>
      </c>
      <c r="O37" s="48" t="n">
        <v>32412413</v>
      </c>
      <c r="P37" s="48" t="n">
        <v>20048069</v>
      </c>
      <c r="Q37" s="48" t="n">
        <v>625</v>
      </c>
      <c r="R37" s="48" t="n">
        <v>842</v>
      </c>
      <c r="S37" s="48" t="n">
        <v>19391361</v>
      </c>
      <c r="T37" s="48" t="n">
        <v>31755705</v>
      </c>
      <c r="U37" s="46" t="n">
        <f aca="false">IF($A37=$A36,$U36+1,1)</f>
        <v>33</v>
      </c>
      <c r="V37" s="48" t="n">
        <f aca="false">IF($U37&gt;=MA_SHORT,AVERAGE(INDEX($I$5:$I37,34-MA_SHORT):$I37),"")</f>
        <v>6112.05</v>
      </c>
      <c r="W37" s="48" t="str">
        <f aca="false">IF($U37&gt;=MA_MED,AVERAGE(INDEX($I$5:$I37,34-MA_MED):$I37),"")</f>
        <v/>
      </c>
      <c r="X37" s="48" t="str">
        <f aca="false">IF($U37&gt;=MA_LONG1,AVERAGE(INDEX($I$5:$I37,34-MA_LONG1):$I37),"")</f>
        <v/>
      </c>
      <c r="Y37" s="48" t="str">
        <f aca="false">IF($U37&gt;=MA_LONG2,AVERAGE(INDEX($I$5:$I37,34-MA_LONG2):$I37),"")</f>
        <v/>
      </c>
      <c r="Z37" s="48" t="n">
        <f aca="false">IF($U37&gt;=MA_SHORT,AVERAGE(INDEX($L$5:$L37,34-MA_SHORT):$L37),"")</f>
        <v>57555631.05</v>
      </c>
      <c r="AA37" s="48" t="n">
        <f aca="false">IF($U37=1,$G37-$H37,MAX($G37-$H37,ABS($G37-$I36),ABS($H37-$I36)))</f>
        <v>158</v>
      </c>
      <c r="AB37" s="48" t="n">
        <f aca="false">IF($U37&gt;=ATR_PER,AVERAGE(INDEX($AA$5:$AA37,34-ATR_PER):$AA37),"")</f>
        <v>192.285714285714</v>
      </c>
      <c r="AC37" s="48" t="n">
        <f aca="false">$O37-$P37</f>
        <v>12364344</v>
      </c>
      <c r="AD37" s="48" t="n">
        <f aca="false">$AC37*$I37</f>
        <v>79156530288</v>
      </c>
      <c r="AE37" s="49" t="n">
        <f aca="false">IF($Q37&gt;0,$O37*$I37/$Q37/1000000,"")</f>
        <v>332.0068288416</v>
      </c>
      <c r="AF37" s="49" t="n">
        <f aca="false">IF($R37&gt;0,$P37*$I37/$R37/1000000,"")</f>
        <v>152.431992562945</v>
      </c>
      <c r="AG37" s="50" t="n">
        <f aca="false">IF(AND(ISNUMBER($AE37),ISNUMBER($AF37),$AF37&gt;0),$AE37/$AF37,"")</f>
        <v>2.17806526870992</v>
      </c>
      <c r="AH37" s="48" t="n">
        <f aca="false">IF($U37&gt;=5,SUM(INDEX($AD$7:$AD37,32-5):$AD37),"")</f>
        <v>412515079536</v>
      </c>
      <c r="AI37" s="48" t="n">
        <f aca="false">IF($U37&gt;=STRUCT_S,MAX(INDEX($G$5:$G37,34-STRUCT_S):$G37),"")</f>
        <v>6493</v>
      </c>
      <c r="AJ37" s="48" t="n">
        <f aca="false">IF($U37&gt;=STRUCT_S,MIN(INDEX($H$5:$H37,34-STRUCT_S):$H37),"")</f>
        <v>5807</v>
      </c>
      <c r="AK37" s="48" t="str">
        <f aca="false">IF($U37&gt;=STRUCT_L,MAX(INDEX($G$5:$G37,34-STRUCT_L):$G37),"")</f>
        <v/>
      </c>
      <c r="AL37" s="48" t="str">
        <f aca="false">IF($U37&gt;=STRUCT_L,MIN(INDEX($H$5:$H37,34-STRUCT_L):$H37),"")</f>
        <v/>
      </c>
      <c r="AM37" s="46" t="n">
        <f aca="false">IF($A37&lt;&gt;$A38,1,0)</f>
        <v>0</v>
      </c>
      <c r="AN37" s="47" t="str">
        <f aca="false">IF($AM37=1,$A37,"")</f>
        <v/>
      </c>
    </row>
    <row r="38" customFormat="false" ht="15" hidden="false" customHeight="false" outlineLevel="0" collapsed="false">
      <c r="A38" s="43" t="s">
        <v>130</v>
      </c>
      <c r="B38" s="44" t="s">
        <v>132</v>
      </c>
      <c r="C38" s="45" t="n">
        <v>45951</v>
      </c>
      <c r="D38" s="46" t="n">
        <v>20251021</v>
      </c>
      <c r="E38" s="47" t="s">
        <v>321</v>
      </c>
      <c r="F38" s="48" t="n">
        <v>6411</v>
      </c>
      <c r="G38" s="48" t="n">
        <v>6501</v>
      </c>
      <c r="H38" s="48" t="n">
        <v>6358</v>
      </c>
      <c r="I38" s="48" t="n">
        <v>6457</v>
      </c>
      <c r="J38" s="48" t="n">
        <v>6361</v>
      </c>
      <c r="K38" s="48" t="n">
        <v>6402</v>
      </c>
      <c r="L38" s="48" t="n">
        <v>45124012</v>
      </c>
      <c r="M38" s="48" t="n">
        <v>291365745484</v>
      </c>
      <c r="N38" s="48" t="n">
        <v>2141</v>
      </c>
      <c r="O38" s="48" t="n">
        <v>27189697</v>
      </c>
      <c r="P38" s="48" t="n">
        <v>16635322</v>
      </c>
      <c r="Q38" s="48" t="n">
        <v>630</v>
      </c>
      <c r="R38" s="48" t="n">
        <v>1614</v>
      </c>
      <c r="S38" s="48" t="n">
        <v>17934315</v>
      </c>
      <c r="T38" s="48" t="n">
        <v>28488690</v>
      </c>
      <c r="U38" s="46" t="n">
        <f aca="false">IF($A38=$A37,$U37+1,1)</f>
        <v>34</v>
      </c>
      <c r="V38" s="48" t="n">
        <f aca="false">IF($U38&gt;=MA_SHORT,AVERAGE(INDEX($I$5:$I38,35-MA_SHORT):$I38),"")</f>
        <v>6135</v>
      </c>
      <c r="W38" s="48" t="str">
        <f aca="false">IF($U38&gt;=MA_MED,AVERAGE(INDEX($I$5:$I38,35-MA_MED):$I38),"")</f>
        <v/>
      </c>
      <c r="X38" s="48" t="str">
        <f aca="false">IF($U38&gt;=MA_LONG1,AVERAGE(INDEX($I$5:$I38,35-MA_LONG1):$I38),"")</f>
        <v/>
      </c>
      <c r="Y38" s="48" t="str">
        <f aca="false">IF($U38&gt;=MA_LONG2,AVERAGE(INDEX($I$5:$I38,35-MA_LONG2):$I38),"")</f>
        <v/>
      </c>
      <c r="Z38" s="48" t="n">
        <f aca="false">IF($U38&gt;=MA_SHORT,AVERAGE(INDEX($L$5:$L38,35-MA_SHORT):$L38),"")</f>
        <v>56537691.7</v>
      </c>
      <c r="AA38" s="48" t="n">
        <f aca="false">IF($U38=1,$G38-$H38,MAX($G38-$H38,ABS($G38-$I37),ABS($H38-$I37)))</f>
        <v>143</v>
      </c>
      <c r="AB38" s="48" t="n">
        <f aca="false">IF($U38&gt;=ATR_PER,AVERAGE(INDEX($AA$5:$AA38,35-ATR_PER):$AA38),"")</f>
        <v>184.642857142857</v>
      </c>
      <c r="AC38" s="48" t="n">
        <f aca="false">$O38-$P38</f>
        <v>10554375</v>
      </c>
      <c r="AD38" s="48" t="n">
        <f aca="false">$AC38*$I38</f>
        <v>68149599375</v>
      </c>
      <c r="AE38" s="49" t="n">
        <f aca="false">IF($Q38&gt;0,$O38*$I38/$Q38/1000000,"")</f>
        <v>278.672815125397</v>
      </c>
      <c r="AF38" s="49" t="n">
        <f aca="false">IF($R38&gt;0,$P38*$I38/$R38/1000000,"")</f>
        <v>66.5515948909542</v>
      </c>
      <c r="AG38" s="50" t="n">
        <f aca="false">IF(AND(ISNUMBER($AE38),ISNUMBER($AF38),$AF38&gt;0),$AE38/$AF38,"")</f>
        <v>4.18731986186066</v>
      </c>
      <c r="AH38" s="48" t="n">
        <f aca="false">IF($U38&gt;=5,SUM(INDEX($AD$8:$AD38,32-5):$AD38),"")</f>
        <v>313139920437</v>
      </c>
      <c r="AI38" s="48" t="n">
        <f aca="false">IF($U38&gt;=STRUCT_S,MAX(INDEX($G$5:$G38,35-STRUCT_S):$G38),"")</f>
        <v>6501</v>
      </c>
      <c r="AJ38" s="48" t="n">
        <f aca="false">IF($U38&gt;=STRUCT_S,MIN(INDEX($H$5:$H38,35-STRUCT_S):$H38),"")</f>
        <v>5807</v>
      </c>
      <c r="AK38" s="48" t="str">
        <f aca="false">IF($U38&gt;=STRUCT_L,MAX(INDEX($G$5:$G38,35-STRUCT_L):$G38),"")</f>
        <v/>
      </c>
      <c r="AL38" s="48" t="str">
        <f aca="false">IF($U38&gt;=STRUCT_L,MIN(INDEX($H$5:$H38,35-STRUCT_L):$H38),"")</f>
        <v/>
      </c>
      <c r="AM38" s="46" t="n">
        <f aca="false">IF($A38&lt;&gt;$A39,1,0)</f>
        <v>0</v>
      </c>
      <c r="AN38" s="47" t="str">
        <f aca="false">IF($AM38=1,$A38,"")</f>
        <v/>
      </c>
    </row>
    <row r="39" customFormat="false" ht="15" hidden="false" customHeight="false" outlineLevel="0" collapsed="false">
      <c r="A39" s="43" t="s">
        <v>130</v>
      </c>
      <c r="B39" s="44" t="s">
        <v>132</v>
      </c>
      <c r="C39" s="45" t="n">
        <v>45952</v>
      </c>
      <c r="D39" s="46" t="n">
        <v>20251022</v>
      </c>
      <c r="E39" s="47" t="s">
        <v>322</v>
      </c>
      <c r="F39" s="48" t="n">
        <v>6499</v>
      </c>
      <c r="G39" s="48" t="n">
        <v>6546</v>
      </c>
      <c r="H39" s="48" t="n">
        <v>6370</v>
      </c>
      <c r="I39" s="48" t="n">
        <v>6459</v>
      </c>
      <c r="J39" s="48" t="n">
        <v>6539</v>
      </c>
      <c r="K39" s="48" t="n">
        <v>6457</v>
      </c>
      <c r="L39" s="48" t="n">
        <v>42991800</v>
      </c>
      <c r="M39" s="48" t="n">
        <v>277684036200</v>
      </c>
      <c r="N39" s="48" t="n">
        <v>2996</v>
      </c>
      <c r="O39" s="48" t="n">
        <v>27450871</v>
      </c>
      <c r="P39" s="48" t="n">
        <v>18175789</v>
      </c>
      <c r="Q39" s="48" t="n">
        <v>862</v>
      </c>
      <c r="R39" s="48" t="n">
        <v>1352</v>
      </c>
      <c r="S39" s="48" t="n">
        <v>15540929</v>
      </c>
      <c r="T39" s="48" t="n">
        <v>24816011</v>
      </c>
      <c r="U39" s="46" t="n">
        <f aca="false">IF($A39=$A38,$U38+1,1)</f>
        <v>35</v>
      </c>
      <c r="V39" s="48" t="n">
        <f aca="false">IF($U39&gt;=MA_SHORT,AVERAGE(INDEX($I$5:$I39,36-MA_SHORT):$I39),"")</f>
        <v>6162.7</v>
      </c>
      <c r="W39" s="48" t="str">
        <f aca="false">IF($U39&gt;=MA_MED,AVERAGE(INDEX($I$5:$I39,36-MA_MED):$I39),"")</f>
        <v/>
      </c>
      <c r="X39" s="48" t="str">
        <f aca="false">IF($U39&gt;=MA_LONG1,AVERAGE(INDEX($I$5:$I39,36-MA_LONG1):$I39),"")</f>
        <v/>
      </c>
      <c r="Y39" s="48" t="str">
        <f aca="false">IF($U39&gt;=MA_LONG2,AVERAGE(INDEX($I$5:$I39,36-MA_LONG2):$I39),"")</f>
        <v/>
      </c>
      <c r="Z39" s="48" t="n">
        <f aca="false">IF($U39&gt;=MA_SHORT,AVERAGE(INDEX($L$5:$L39,36-MA_SHORT):$L39),"")</f>
        <v>55427391.05</v>
      </c>
      <c r="AA39" s="48" t="n">
        <f aca="false">IF($U39=1,$G39-$H39,MAX($G39-$H39,ABS($G39-$I38),ABS($H39-$I38)))</f>
        <v>176</v>
      </c>
      <c r="AB39" s="48" t="n">
        <f aca="false">IF($U39&gt;=ATR_PER,AVERAGE(INDEX($AA$5:$AA39,36-ATR_PER):$AA39),"")</f>
        <v>186.928571428571</v>
      </c>
      <c r="AC39" s="48" t="n">
        <f aca="false">$O39-$P39</f>
        <v>9275082</v>
      </c>
      <c r="AD39" s="48" t="n">
        <f aca="false">$AC39*$I39</f>
        <v>59907754638</v>
      </c>
      <c r="AE39" s="49" t="n">
        <f aca="false">IF($Q39&gt;0,$O39*$I39/$Q39/1000000,"")</f>
        <v>205.690459151972</v>
      </c>
      <c r="AF39" s="49" t="n">
        <f aca="false">IF($R39&gt;0,$P39*$I39/$R39/1000000,"")</f>
        <v>86.8324120939349</v>
      </c>
      <c r="AG39" s="50" t="n">
        <f aca="false">IF(AND(ISNUMBER($AE39),ISNUMBER($AF39),$AF39&gt;0),$AE39/$AF39,"")</f>
        <v>2.36882120618113</v>
      </c>
      <c r="AH39" s="48" t="n">
        <f aca="false">IF($U39&gt;=5,SUM(INDEX($AD$9:$AD39,32-5):$AD39),"")</f>
        <v>402232032486</v>
      </c>
      <c r="AI39" s="48" t="n">
        <f aca="false">IF($U39&gt;=STRUCT_S,MAX(INDEX($G$5:$G39,36-STRUCT_S):$G39),"")</f>
        <v>6546</v>
      </c>
      <c r="AJ39" s="48" t="n">
        <f aca="false">IF($U39&gt;=STRUCT_S,MIN(INDEX($H$5:$H39,36-STRUCT_S):$H39),"")</f>
        <v>5828</v>
      </c>
      <c r="AK39" s="48" t="str">
        <f aca="false">IF($U39&gt;=STRUCT_L,MAX(INDEX($G$5:$G39,36-STRUCT_L):$G39),"")</f>
        <v/>
      </c>
      <c r="AL39" s="48" t="str">
        <f aca="false">IF($U39&gt;=STRUCT_L,MIN(INDEX($H$5:$H39,36-STRUCT_L):$H39),"")</f>
        <v/>
      </c>
      <c r="AM39" s="46" t="n">
        <f aca="false">IF($A39&lt;&gt;$A40,1,0)</f>
        <v>0</v>
      </c>
      <c r="AN39" s="47" t="str">
        <f aca="false">IF($AM39=1,$A39,"")</f>
        <v/>
      </c>
    </row>
    <row r="40" customFormat="false" ht="15" hidden="false" customHeight="false" outlineLevel="0" collapsed="false">
      <c r="A40" s="43" t="s">
        <v>130</v>
      </c>
      <c r="B40" s="44" t="s">
        <v>132</v>
      </c>
      <c r="C40" s="45" t="n">
        <v>45955</v>
      </c>
      <c r="D40" s="46" t="n">
        <v>20251025</v>
      </c>
      <c r="E40" s="47" t="s">
        <v>323</v>
      </c>
      <c r="F40" s="48" t="n">
        <v>6395</v>
      </c>
      <c r="G40" s="48" t="n">
        <v>6554</v>
      </c>
      <c r="H40" s="48" t="n">
        <v>6361</v>
      </c>
      <c r="I40" s="48" t="n">
        <v>6456</v>
      </c>
      <c r="J40" s="48" t="n">
        <v>6372</v>
      </c>
      <c r="K40" s="48" t="n">
        <v>6459</v>
      </c>
      <c r="L40" s="48" t="n">
        <v>43031638</v>
      </c>
      <c r="M40" s="48" t="n">
        <v>277812254928</v>
      </c>
      <c r="N40" s="48" t="n">
        <v>981</v>
      </c>
      <c r="O40" s="48" t="n">
        <v>28269610</v>
      </c>
      <c r="P40" s="48" t="n">
        <v>10816370</v>
      </c>
      <c r="Q40" s="48" t="n">
        <v>657</v>
      </c>
      <c r="R40" s="48" t="n">
        <v>395</v>
      </c>
      <c r="S40" s="48" t="n">
        <v>14762028</v>
      </c>
      <c r="T40" s="48" t="n">
        <v>32215268</v>
      </c>
      <c r="U40" s="46" t="n">
        <f aca="false">IF($A40=$A39,$U39+1,1)</f>
        <v>36</v>
      </c>
      <c r="V40" s="48" t="n">
        <f aca="false">IF($U40&gt;=MA_SHORT,AVERAGE(INDEX($I$5:$I40,37-MA_SHORT):$I40),"")</f>
        <v>6185.65</v>
      </c>
      <c r="W40" s="48" t="str">
        <f aca="false">IF($U40&gt;=MA_MED,AVERAGE(INDEX($I$5:$I40,37-MA_MED):$I40),"")</f>
        <v/>
      </c>
      <c r="X40" s="48" t="str">
        <f aca="false">IF($U40&gt;=MA_LONG1,AVERAGE(INDEX($I$5:$I40,37-MA_LONG1):$I40),"")</f>
        <v/>
      </c>
      <c r="Y40" s="48" t="str">
        <f aca="false">IF($U40&gt;=MA_LONG2,AVERAGE(INDEX($I$5:$I40,37-MA_LONG2):$I40),"")</f>
        <v/>
      </c>
      <c r="Z40" s="48" t="n">
        <f aca="false">IF($U40&gt;=MA_SHORT,AVERAGE(INDEX($L$5:$L40,37-MA_SHORT):$L40),"")</f>
        <v>55049096.75</v>
      </c>
      <c r="AA40" s="48" t="n">
        <f aca="false">IF($U40=1,$G40-$H40,MAX($G40-$H40,ABS($G40-$I39),ABS($H40-$I39)))</f>
        <v>193</v>
      </c>
      <c r="AB40" s="48" t="n">
        <f aca="false">IF($U40&gt;=ATR_PER,AVERAGE(INDEX($AA$5:$AA40,37-ATR_PER):$AA40),"")</f>
        <v>184.928571428571</v>
      </c>
      <c r="AC40" s="48" t="n">
        <f aca="false">$O40-$P40</f>
        <v>17453240</v>
      </c>
      <c r="AD40" s="48" t="n">
        <f aca="false">$AC40*$I40</f>
        <v>112678117440</v>
      </c>
      <c r="AE40" s="49" t="n">
        <f aca="false">IF($Q40&gt;0,$O40*$I40/$Q40/1000000,"")</f>
        <v>277.79087086758</v>
      </c>
      <c r="AF40" s="49" t="n">
        <f aca="false">IF($R40&gt;0,$P40*$I40/$R40/1000000,"")</f>
        <v>176.786037265823</v>
      </c>
      <c r="AG40" s="50" t="n">
        <f aca="false">IF(AND(ISNUMBER($AE40),ISNUMBER($AF40),$AF40&gt;0),$AE40/$AF40,"")</f>
        <v>1.57133942908558</v>
      </c>
      <c r="AH40" s="48" t="n">
        <f aca="false">IF($U40&gt;=5,SUM(INDEX($AD$10:$AD40,32-5):$AD40),"")</f>
        <v>443289671673</v>
      </c>
      <c r="AI40" s="48" t="n">
        <f aca="false">IF($U40&gt;=STRUCT_S,MAX(INDEX($G$5:$G40,37-STRUCT_S):$G40),"")</f>
        <v>6554</v>
      </c>
      <c r="AJ40" s="48" t="n">
        <f aca="false">IF($U40&gt;=STRUCT_S,MIN(INDEX($H$5:$H40,37-STRUCT_S):$H40),"")</f>
        <v>5875</v>
      </c>
      <c r="AK40" s="48" t="str">
        <f aca="false">IF($U40&gt;=STRUCT_L,MAX(INDEX($G$5:$G40,37-STRUCT_L):$G40),"")</f>
        <v/>
      </c>
      <c r="AL40" s="48" t="str">
        <f aca="false">IF($U40&gt;=STRUCT_L,MIN(INDEX($H$5:$H40,37-STRUCT_L):$H40),"")</f>
        <v/>
      </c>
      <c r="AM40" s="46" t="n">
        <f aca="false">IF($A40&lt;&gt;$A41,1,0)</f>
        <v>0</v>
      </c>
      <c r="AN40" s="47" t="str">
        <f aca="false">IF($AM40=1,$A40,"")</f>
        <v/>
      </c>
    </row>
    <row r="41" customFormat="false" ht="15" hidden="false" customHeight="false" outlineLevel="0" collapsed="false">
      <c r="A41" s="43" t="s">
        <v>130</v>
      </c>
      <c r="B41" s="44" t="s">
        <v>132</v>
      </c>
      <c r="C41" s="45" t="n">
        <v>45956</v>
      </c>
      <c r="D41" s="46" t="n">
        <v>20251026</v>
      </c>
      <c r="E41" s="47" t="s">
        <v>324</v>
      </c>
      <c r="F41" s="48" t="n">
        <v>6285</v>
      </c>
      <c r="G41" s="48" t="n">
        <v>6579</v>
      </c>
      <c r="H41" s="48" t="n">
        <v>6275</v>
      </c>
      <c r="I41" s="48" t="n">
        <v>6397</v>
      </c>
      <c r="J41" s="48" t="n">
        <v>6543</v>
      </c>
      <c r="K41" s="48" t="n">
        <v>6456</v>
      </c>
      <c r="L41" s="48" t="n">
        <v>47715252</v>
      </c>
      <c r="M41" s="48" t="n">
        <v>305234467044</v>
      </c>
      <c r="N41" s="48" t="n">
        <v>3978</v>
      </c>
      <c r="O41" s="48" t="n">
        <v>27700647</v>
      </c>
      <c r="P41" s="48" t="n">
        <v>18135985</v>
      </c>
      <c r="Q41" s="48" t="n">
        <v>1831</v>
      </c>
      <c r="R41" s="48" t="n">
        <v>1503</v>
      </c>
      <c r="S41" s="48" t="n">
        <v>20014605</v>
      </c>
      <c r="T41" s="48" t="n">
        <v>29579267</v>
      </c>
      <c r="U41" s="46" t="n">
        <f aca="false">IF($A41=$A40,$U40+1,1)</f>
        <v>37</v>
      </c>
      <c r="V41" s="48" t="n">
        <f aca="false">IF($U41&gt;=MA_SHORT,AVERAGE(INDEX($I$5:$I41,38-MA_SHORT):$I41),"")</f>
        <v>6199.65</v>
      </c>
      <c r="W41" s="48" t="str">
        <f aca="false">IF($U41&gt;=MA_MED,AVERAGE(INDEX($I$5:$I41,38-MA_MED):$I41),"")</f>
        <v/>
      </c>
      <c r="X41" s="48" t="str">
        <f aca="false">IF($U41&gt;=MA_LONG1,AVERAGE(INDEX($I$5:$I41,38-MA_LONG1):$I41),"")</f>
        <v/>
      </c>
      <c r="Y41" s="48" t="str">
        <f aca="false">IF($U41&gt;=MA_LONG2,AVERAGE(INDEX($I$5:$I41,38-MA_LONG2):$I41),"")</f>
        <v/>
      </c>
      <c r="Z41" s="48" t="n">
        <f aca="false">IF($U41&gt;=MA_SHORT,AVERAGE(INDEX($L$5:$L41,38-MA_SHORT):$L41),"")</f>
        <v>53941351.95</v>
      </c>
      <c r="AA41" s="48" t="n">
        <f aca="false">IF($U41=1,$G41-$H41,MAX($G41-$H41,ABS($G41-$I40),ABS($H41-$I40)))</f>
        <v>304</v>
      </c>
      <c r="AB41" s="48" t="n">
        <f aca="false">IF($U41&gt;=ATR_PER,AVERAGE(INDEX($AA$5:$AA41,38-ATR_PER):$AA41),"")</f>
        <v>198.142857142857</v>
      </c>
      <c r="AC41" s="48" t="n">
        <f aca="false">$O41-$P41</f>
        <v>9564662</v>
      </c>
      <c r="AD41" s="48" t="n">
        <f aca="false">$AC41*$I41</f>
        <v>61185142814</v>
      </c>
      <c r="AE41" s="49" t="n">
        <f aca="false">IF($Q41&gt;0,$O41*$I41/$Q41/1000000,"")</f>
        <v>96.7782844669579</v>
      </c>
      <c r="AF41" s="49" t="n">
        <f aca="false">IF($R41&gt;0,$P41*$I41/$R41/1000000,"")</f>
        <v>77.1895515934797</v>
      </c>
      <c r="AG41" s="50" t="n">
        <f aca="false">IF(AND(ISNUMBER($AE41),ISNUMBER($AF41),$AF41&gt;0),$AE41/$AF41,"")</f>
        <v>1.25377440947763</v>
      </c>
      <c r="AH41" s="48" t="n">
        <f aca="false">IF($U41&gt;=5,SUM(INDEX($AD$11:$AD41,32-5):$AD41),"")</f>
        <v>381077144555</v>
      </c>
      <c r="AI41" s="48" t="n">
        <f aca="false">IF($U41&gt;=STRUCT_S,MAX(INDEX($G$5:$G41,38-STRUCT_S):$G41),"")</f>
        <v>6579</v>
      </c>
      <c r="AJ41" s="48" t="n">
        <f aca="false">IF($U41&gt;=STRUCT_S,MIN(INDEX($H$5:$H41,38-STRUCT_S):$H41),"")</f>
        <v>5875</v>
      </c>
      <c r="AK41" s="48" t="str">
        <f aca="false">IF($U41&gt;=STRUCT_L,MAX(INDEX($G$5:$G41,38-STRUCT_L):$G41),"")</f>
        <v/>
      </c>
      <c r="AL41" s="48" t="str">
        <f aca="false">IF($U41&gt;=STRUCT_L,MIN(INDEX($H$5:$H41,38-STRUCT_L):$H41),"")</f>
        <v/>
      </c>
      <c r="AM41" s="46" t="n">
        <f aca="false">IF($A41&lt;&gt;$A42,1,0)</f>
        <v>0</v>
      </c>
      <c r="AN41" s="47" t="str">
        <f aca="false">IF($AM41=1,$A41,"")</f>
        <v/>
      </c>
    </row>
    <row r="42" customFormat="false" ht="15" hidden="false" customHeight="false" outlineLevel="0" collapsed="false">
      <c r="A42" s="43" t="s">
        <v>130</v>
      </c>
      <c r="B42" s="44" t="s">
        <v>132</v>
      </c>
      <c r="C42" s="45" t="n">
        <v>45957</v>
      </c>
      <c r="D42" s="46" t="n">
        <v>20251027</v>
      </c>
      <c r="E42" s="47" t="s">
        <v>325</v>
      </c>
      <c r="F42" s="48" t="n">
        <v>6379</v>
      </c>
      <c r="G42" s="48" t="n">
        <v>6464</v>
      </c>
      <c r="H42" s="48" t="n">
        <v>6301</v>
      </c>
      <c r="I42" s="48" t="n">
        <v>6368</v>
      </c>
      <c r="J42" s="48" t="n">
        <v>6462</v>
      </c>
      <c r="K42" s="48" t="n">
        <v>6397</v>
      </c>
      <c r="L42" s="48" t="n">
        <v>44079269</v>
      </c>
      <c r="M42" s="48" t="n">
        <v>280696784992</v>
      </c>
      <c r="N42" s="48" t="n">
        <v>1961</v>
      </c>
      <c r="O42" s="48" t="n">
        <v>26679086</v>
      </c>
      <c r="P42" s="48" t="n">
        <v>19149102</v>
      </c>
      <c r="Q42" s="48" t="n">
        <v>773</v>
      </c>
      <c r="R42" s="48" t="n">
        <v>622</v>
      </c>
      <c r="S42" s="48" t="n">
        <v>17400183</v>
      </c>
      <c r="T42" s="48" t="n">
        <v>24930167</v>
      </c>
      <c r="U42" s="46" t="n">
        <f aca="false">IF($A42=$A41,$U41+1,1)</f>
        <v>38</v>
      </c>
      <c r="V42" s="48" t="n">
        <f aca="false">IF($U42&gt;=MA_SHORT,AVERAGE(INDEX($I$5:$I42,39-MA_SHORT):$I42),"")</f>
        <v>6214.75</v>
      </c>
      <c r="W42" s="48" t="str">
        <f aca="false">IF($U42&gt;=MA_MED,AVERAGE(INDEX($I$5:$I42,39-MA_MED):$I42),"")</f>
        <v/>
      </c>
      <c r="X42" s="48" t="str">
        <f aca="false">IF($U42&gt;=MA_LONG1,AVERAGE(INDEX($I$5:$I42,39-MA_LONG1):$I42),"")</f>
        <v/>
      </c>
      <c r="Y42" s="48" t="str">
        <f aca="false">IF($U42&gt;=MA_LONG2,AVERAGE(INDEX($I$5:$I42,39-MA_LONG2):$I42),"")</f>
        <v/>
      </c>
      <c r="Z42" s="48" t="n">
        <f aca="false">IF($U42&gt;=MA_SHORT,AVERAGE(INDEX($L$5:$L42,39-MA_SHORT):$L42),"")</f>
        <v>53625684.7</v>
      </c>
      <c r="AA42" s="48" t="n">
        <f aca="false">IF($U42=1,$G42-$H42,MAX($G42-$H42,ABS($G42-$I41),ABS($H42-$I41)))</f>
        <v>163</v>
      </c>
      <c r="AB42" s="48" t="n">
        <f aca="false">IF($U42&gt;=ATR_PER,AVERAGE(INDEX($AA$5:$AA42,39-ATR_PER):$AA42),"")</f>
        <v>193.785714285714</v>
      </c>
      <c r="AC42" s="48" t="n">
        <f aca="false">$O42-$P42</f>
        <v>7529984</v>
      </c>
      <c r="AD42" s="48" t="n">
        <f aca="false">$AC42*$I42</f>
        <v>47950938112</v>
      </c>
      <c r="AE42" s="49" t="n">
        <f aca="false">IF($Q42&gt;0,$O42*$I42/$Q42/1000000,"")</f>
        <v>219.783207824062</v>
      </c>
      <c r="AF42" s="49" t="n">
        <f aca="false">IF($R42&gt;0,$P42*$I42/$R42/1000000,"")</f>
        <v>196.047397967846</v>
      </c>
      <c r="AG42" s="50" t="n">
        <f aca="false">IF(AND(ISNUMBER($AE42),ISNUMBER($AF42),$AF42&gt;0),$AE42/$AF42,"")</f>
        <v>1.12107179234335</v>
      </c>
      <c r="AH42" s="48" t="n">
        <f aca="false">IF($U42&gt;=5,SUM(INDEX($AD$12:$AD42,32-5):$AD42),"")</f>
        <v>349871552379</v>
      </c>
      <c r="AI42" s="48" t="n">
        <f aca="false">IF($U42&gt;=STRUCT_S,MAX(INDEX($G$5:$G42,39-STRUCT_S):$G42),"")</f>
        <v>6579</v>
      </c>
      <c r="AJ42" s="48" t="n">
        <f aca="false">IF($U42&gt;=STRUCT_S,MIN(INDEX($H$5:$H42,39-STRUCT_S):$H42),"")</f>
        <v>5875</v>
      </c>
      <c r="AK42" s="48" t="str">
        <f aca="false">IF($U42&gt;=STRUCT_L,MAX(INDEX($G$5:$G42,39-STRUCT_L):$G42),"")</f>
        <v/>
      </c>
      <c r="AL42" s="48" t="str">
        <f aca="false">IF($U42&gt;=STRUCT_L,MIN(INDEX($H$5:$H42,39-STRUCT_L):$H42),"")</f>
        <v/>
      </c>
      <c r="AM42" s="46" t="n">
        <f aca="false">IF($A42&lt;&gt;$A43,1,0)</f>
        <v>0</v>
      </c>
      <c r="AN42" s="47" t="str">
        <f aca="false">IF($AM42=1,$A42,"")</f>
        <v/>
      </c>
    </row>
    <row r="43" customFormat="false" ht="15" hidden="false" customHeight="false" outlineLevel="0" collapsed="false">
      <c r="A43" s="43" t="s">
        <v>130</v>
      </c>
      <c r="B43" s="44" t="s">
        <v>132</v>
      </c>
      <c r="C43" s="45" t="n">
        <v>45958</v>
      </c>
      <c r="D43" s="46" t="n">
        <v>20251028</v>
      </c>
      <c r="E43" s="47" t="s">
        <v>326</v>
      </c>
      <c r="F43" s="48" t="n">
        <v>6435</v>
      </c>
      <c r="G43" s="48" t="n">
        <v>6532</v>
      </c>
      <c r="H43" s="48" t="n">
        <v>6228</v>
      </c>
      <c r="I43" s="48" t="n">
        <v>6391</v>
      </c>
      <c r="J43" s="48" t="n">
        <v>6355</v>
      </c>
      <c r="K43" s="48" t="n">
        <v>6368</v>
      </c>
      <c r="L43" s="48" t="n">
        <v>43841991</v>
      </c>
      <c r="M43" s="48" t="n">
        <v>280194164481</v>
      </c>
      <c r="N43" s="48" t="n">
        <v>1079</v>
      </c>
      <c r="O43" s="48" t="n">
        <v>26814903</v>
      </c>
      <c r="P43" s="48" t="n">
        <v>18286411</v>
      </c>
      <c r="Q43" s="48" t="n">
        <v>273</v>
      </c>
      <c r="R43" s="48" t="n">
        <v>527</v>
      </c>
      <c r="S43" s="48" t="n">
        <v>17027088</v>
      </c>
      <c r="T43" s="48" t="n">
        <v>25555580</v>
      </c>
      <c r="U43" s="46" t="n">
        <f aca="false">IF($A43=$A42,$U42+1,1)</f>
        <v>39</v>
      </c>
      <c r="V43" s="48" t="n">
        <f aca="false">IF($U43&gt;=MA_SHORT,AVERAGE(INDEX($I$5:$I43,40-MA_SHORT):$I43),"")</f>
        <v>6229.1</v>
      </c>
      <c r="W43" s="48" t="str">
        <f aca="false">IF($U43&gt;=MA_MED,AVERAGE(INDEX($I$5:$I43,40-MA_MED):$I43),"")</f>
        <v/>
      </c>
      <c r="X43" s="48" t="str">
        <f aca="false">IF($U43&gt;=MA_LONG1,AVERAGE(INDEX($I$5:$I43,40-MA_LONG1):$I43),"")</f>
        <v/>
      </c>
      <c r="Y43" s="48" t="str">
        <f aca="false">IF($U43&gt;=MA_LONG2,AVERAGE(INDEX($I$5:$I43,40-MA_LONG2):$I43),"")</f>
        <v/>
      </c>
      <c r="Z43" s="48" t="n">
        <f aca="false">IF($U43&gt;=MA_SHORT,AVERAGE(INDEX($L$5:$L43,40-MA_SHORT):$L43),"")</f>
        <v>53591535.9</v>
      </c>
      <c r="AA43" s="48" t="n">
        <f aca="false">IF($U43=1,$G43-$H43,MAX($G43-$H43,ABS($G43-$I42),ABS($H43-$I42)))</f>
        <v>304</v>
      </c>
      <c r="AB43" s="48" t="n">
        <f aca="false">IF($U43&gt;=ATR_PER,AVERAGE(INDEX($AA$5:$AA43,40-ATR_PER):$AA43),"")</f>
        <v>210.5</v>
      </c>
      <c r="AC43" s="48" t="n">
        <f aca="false">$O43-$P43</f>
        <v>8528492</v>
      </c>
      <c r="AD43" s="48" t="n">
        <f aca="false">$AC43*$I43</f>
        <v>54505592372</v>
      </c>
      <c r="AE43" s="49" t="n">
        <f aca="false">IF($Q43&gt;0,$O43*$I43/$Q43/1000000,"")</f>
        <v>627.743754846154</v>
      </c>
      <c r="AF43" s="49" t="n">
        <f aca="false">IF($R43&gt;0,$P43*$I43/$R43/1000000,"")</f>
        <v>221.76176983112</v>
      </c>
      <c r="AG43" s="50" t="n">
        <f aca="false">IF(AND(ISNUMBER($AE43),ISNUMBER($AF43),$AF43&gt;0),$AE43/$AF43,"")</f>
        <v>2.83071223378225</v>
      </c>
      <c r="AH43" s="48" t="n">
        <f aca="false">IF($U43&gt;=5,SUM(INDEX($AD$13:$AD43,32-5):$AD43),"")</f>
        <v>336227545376</v>
      </c>
      <c r="AI43" s="48" t="n">
        <f aca="false">IF($U43&gt;=STRUCT_S,MAX(INDEX($G$5:$G43,40-STRUCT_S):$G43),"")</f>
        <v>6579</v>
      </c>
      <c r="AJ43" s="48" t="n">
        <f aca="false">IF($U43&gt;=STRUCT_S,MIN(INDEX($H$5:$H43,40-STRUCT_S):$H43),"")</f>
        <v>5875</v>
      </c>
      <c r="AK43" s="48" t="str">
        <f aca="false">IF($U43&gt;=STRUCT_L,MAX(INDEX($G$5:$G43,40-STRUCT_L):$G43),"")</f>
        <v/>
      </c>
      <c r="AL43" s="48" t="str">
        <f aca="false">IF($U43&gt;=STRUCT_L,MIN(INDEX($H$5:$H43,40-STRUCT_L):$H43),"")</f>
        <v/>
      </c>
      <c r="AM43" s="46" t="n">
        <f aca="false">IF($A43&lt;&gt;$A44,1,0)</f>
        <v>0</v>
      </c>
      <c r="AN43" s="47" t="str">
        <f aca="false">IF($AM43=1,$A43,"")</f>
        <v/>
      </c>
    </row>
    <row r="44" customFormat="false" ht="15" hidden="false" customHeight="false" outlineLevel="0" collapsed="false">
      <c r="A44" s="43" t="s">
        <v>130</v>
      </c>
      <c r="B44" s="44" t="s">
        <v>132</v>
      </c>
      <c r="C44" s="45" t="n">
        <v>45959</v>
      </c>
      <c r="D44" s="46" t="n">
        <v>20251029</v>
      </c>
      <c r="E44" s="47" t="s">
        <v>327</v>
      </c>
      <c r="F44" s="48" t="n">
        <v>6449</v>
      </c>
      <c r="G44" s="48" t="n">
        <v>6527</v>
      </c>
      <c r="H44" s="48" t="n">
        <v>6273</v>
      </c>
      <c r="I44" s="48" t="n">
        <v>6408</v>
      </c>
      <c r="J44" s="48" t="n">
        <v>6489</v>
      </c>
      <c r="K44" s="48" t="n">
        <v>6391</v>
      </c>
      <c r="L44" s="48" t="n">
        <v>43596925</v>
      </c>
      <c r="M44" s="48" t="n">
        <v>279369095400</v>
      </c>
      <c r="N44" s="48" t="n">
        <v>1190</v>
      </c>
      <c r="O44" s="48" t="n">
        <v>25900521</v>
      </c>
      <c r="P44" s="48" t="n">
        <v>17394312</v>
      </c>
      <c r="Q44" s="48" t="n">
        <v>386</v>
      </c>
      <c r="R44" s="48" t="n">
        <v>873</v>
      </c>
      <c r="S44" s="48" t="n">
        <v>17696404</v>
      </c>
      <c r="T44" s="48" t="n">
        <v>26202613</v>
      </c>
      <c r="U44" s="46" t="n">
        <f aca="false">IF($A44=$A43,$U43+1,1)</f>
        <v>40</v>
      </c>
      <c r="V44" s="48" t="n">
        <f aca="false">IF($U44&gt;=MA_SHORT,AVERAGE(INDEX($I$5:$I44,41-MA_SHORT):$I44),"")</f>
        <v>6253.45</v>
      </c>
      <c r="W44" s="48" t="str">
        <f aca="false">IF($U44&gt;=MA_MED,AVERAGE(INDEX($I$5:$I44,41-MA_MED):$I44),"")</f>
        <v/>
      </c>
      <c r="X44" s="48" t="str">
        <f aca="false">IF($U44&gt;=MA_LONG1,AVERAGE(INDEX($I$5:$I44,41-MA_LONG1):$I44),"")</f>
        <v/>
      </c>
      <c r="Y44" s="48" t="str">
        <f aca="false">IF($U44&gt;=MA_LONG2,AVERAGE(INDEX($I$5:$I44,41-MA_LONG2):$I44),"")</f>
        <v/>
      </c>
      <c r="Z44" s="48" t="n">
        <f aca="false">IF($U44&gt;=MA_SHORT,AVERAGE(INDEX($L$5:$L44,41-MA_SHORT):$L44),"")</f>
        <v>53239824.25</v>
      </c>
      <c r="AA44" s="48" t="n">
        <f aca="false">IF($U44=1,$G44-$H44,MAX($G44-$H44,ABS($G44-$I43),ABS($H44-$I43)))</f>
        <v>254</v>
      </c>
      <c r="AB44" s="48" t="n">
        <f aca="false">IF($U44&gt;=ATR_PER,AVERAGE(INDEX($AA$5:$AA44,41-ATR_PER):$AA44),"")</f>
        <v>221.214285714286</v>
      </c>
      <c r="AC44" s="48" t="n">
        <f aca="false">$O44-$P44</f>
        <v>8506209</v>
      </c>
      <c r="AD44" s="48" t="n">
        <f aca="false">$AC44*$I44</f>
        <v>54507787272</v>
      </c>
      <c r="AE44" s="49" t="n">
        <f aca="false">IF($Q44&gt;0,$O44*$I44/$Q44/1000000,"")</f>
        <v>429.975488518135</v>
      </c>
      <c r="AF44" s="49" t="n">
        <f aca="false">IF($R44&gt;0,$P44*$I44/$R44/1000000,"")</f>
        <v>127.677836536082</v>
      </c>
      <c r="AG44" s="50" t="n">
        <f aca="false">IF(AND(ISNUMBER($AE44),ISNUMBER($AF44),$AF44&gt;0),$AE44/$AF44,"")</f>
        <v>3.36765957337177</v>
      </c>
      <c r="AH44" s="48" t="n">
        <f aca="false">IF($U44&gt;=5,SUM(INDEX($AD$14:$AD44,32-5):$AD44),"")</f>
        <v>330827578010</v>
      </c>
      <c r="AI44" s="48" t="n">
        <f aca="false">IF($U44&gt;=STRUCT_S,MAX(INDEX($G$5:$G44,41-STRUCT_S):$G44),"")</f>
        <v>6579</v>
      </c>
      <c r="AJ44" s="48" t="n">
        <f aca="false">IF($U44&gt;=STRUCT_S,MIN(INDEX($H$5:$H44,41-STRUCT_S):$H44),"")</f>
        <v>5875</v>
      </c>
      <c r="AK44" s="48" t="str">
        <f aca="false">IF($U44&gt;=STRUCT_L,MAX(INDEX($G$5:$G44,41-STRUCT_L):$G44),"")</f>
        <v/>
      </c>
      <c r="AL44" s="48" t="str">
        <f aca="false">IF($U44&gt;=STRUCT_L,MIN(INDEX($H$5:$H44,41-STRUCT_L):$H44),"")</f>
        <v/>
      </c>
      <c r="AM44" s="46" t="n">
        <f aca="false">IF($A44&lt;&gt;$A45,1,0)</f>
        <v>0</v>
      </c>
      <c r="AN44" s="47" t="str">
        <f aca="false">IF($AM44=1,$A44,"")</f>
        <v/>
      </c>
    </row>
    <row r="45" customFormat="false" ht="15" hidden="false" customHeight="false" outlineLevel="0" collapsed="false">
      <c r="A45" s="43" t="s">
        <v>130</v>
      </c>
      <c r="B45" s="44" t="s">
        <v>132</v>
      </c>
      <c r="C45" s="45" t="n">
        <v>45962</v>
      </c>
      <c r="D45" s="46" t="n">
        <v>20251101</v>
      </c>
      <c r="E45" s="47" t="s">
        <v>328</v>
      </c>
      <c r="F45" s="48" t="n">
        <v>6372</v>
      </c>
      <c r="G45" s="48" t="n">
        <v>6516</v>
      </c>
      <c r="H45" s="48" t="n">
        <v>6246</v>
      </c>
      <c r="I45" s="48" t="n">
        <v>6353</v>
      </c>
      <c r="J45" s="48" t="n">
        <v>6364</v>
      </c>
      <c r="K45" s="48" t="n">
        <v>6408</v>
      </c>
      <c r="L45" s="48" t="n">
        <v>55443635</v>
      </c>
      <c r="M45" s="48" t="n">
        <v>352233413155</v>
      </c>
      <c r="N45" s="48" t="n">
        <v>1658</v>
      </c>
      <c r="O45" s="48" t="n">
        <v>25327117</v>
      </c>
      <c r="P45" s="48" t="n">
        <v>30432649</v>
      </c>
      <c r="Q45" s="48" t="n">
        <v>702</v>
      </c>
      <c r="R45" s="48" t="n">
        <v>465</v>
      </c>
      <c r="S45" s="48" t="n">
        <v>30116518</v>
      </c>
      <c r="T45" s="48" t="n">
        <v>25010986</v>
      </c>
      <c r="U45" s="46" t="n">
        <f aca="false">IF($A45=$A44,$U44+1,1)</f>
        <v>41</v>
      </c>
      <c r="V45" s="48" t="n">
        <f aca="false">IF($U45&gt;=MA_SHORT,AVERAGE(INDEX($I$5:$I45,42-MA_SHORT):$I45),"")</f>
        <v>6272.5</v>
      </c>
      <c r="W45" s="48" t="str">
        <f aca="false">IF($U45&gt;=MA_MED,AVERAGE(INDEX($I$5:$I45,42-MA_MED):$I45),"")</f>
        <v/>
      </c>
      <c r="X45" s="48" t="str">
        <f aca="false">IF($U45&gt;=MA_LONG1,AVERAGE(INDEX($I$5:$I45,42-MA_LONG1):$I45),"")</f>
        <v/>
      </c>
      <c r="Y45" s="48" t="str">
        <f aca="false">IF($U45&gt;=MA_LONG2,AVERAGE(INDEX($I$5:$I45,42-MA_LONG2):$I45),"")</f>
        <v/>
      </c>
      <c r="Z45" s="48" t="n">
        <f aca="false">IF($U45&gt;=MA_SHORT,AVERAGE(INDEX($L$5:$L45,42-MA_SHORT):$L45),"")</f>
        <v>53755517.75</v>
      </c>
      <c r="AA45" s="48" t="n">
        <f aca="false">IF($U45=1,$G45-$H45,MAX($G45-$H45,ABS($G45-$I44),ABS($H45-$I44)))</f>
        <v>270</v>
      </c>
      <c r="AB45" s="48" t="n">
        <f aca="false">IF($U45&gt;=ATR_PER,AVERAGE(INDEX($AA$5:$AA45,42-ATR_PER):$AA45),"")</f>
        <v>224.714285714286</v>
      </c>
      <c r="AC45" s="48" t="n">
        <f aca="false">$O45-$P45</f>
        <v>-5105532</v>
      </c>
      <c r="AD45" s="48" t="n">
        <f aca="false">$AC45*$I45</f>
        <v>-32435444796</v>
      </c>
      <c r="AE45" s="49" t="n">
        <f aca="false">IF($Q45&gt;0,$O45*$I45/$Q45/1000000,"")</f>
        <v>229.206800998576</v>
      </c>
      <c r="AF45" s="49" t="n">
        <f aca="false">IF($R45&gt;0,$P45*$I45/$R45/1000000,"")</f>
        <v>415.781976552688</v>
      </c>
      <c r="AG45" s="50" t="n">
        <f aca="false">IF(AND(ISNUMBER($AE45),ISNUMBER($AF45),$AF45&gt;0),$AE45/$AF45,"")</f>
        <v>0.551266803094651</v>
      </c>
      <c r="AH45" s="48" t="n">
        <f aca="false">IF($U45&gt;=5,SUM(INDEX($AD$15:$AD45,32-5):$AD45),"")</f>
        <v>185714015774</v>
      </c>
      <c r="AI45" s="48" t="n">
        <f aca="false">IF($U45&gt;=STRUCT_S,MAX(INDEX($G$5:$G45,42-STRUCT_S):$G45),"")</f>
        <v>6579</v>
      </c>
      <c r="AJ45" s="48" t="n">
        <f aca="false">IF($U45&gt;=STRUCT_S,MIN(INDEX($H$5:$H45,42-STRUCT_S):$H45),"")</f>
        <v>5921</v>
      </c>
      <c r="AK45" s="48" t="str">
        <f aca="false">IF($U45&gt;=STRUCT_L,MAX(INDEX($G$5:$G45,42-STRUCT_L):$G45),"")</f>
        <v/>
      </c>
      <c r="AL45" s="48" t="str">
        <f aca="false">IF($U45&gt;=STRUCT_L,MIN(INDEX($H$5:$H45,42-STRUCT_L):$H45),"")</f>
        <v/>
      </c>
      <c r="AM45" s="46" t="n">
        <f aca="false">IF($A45&lt;&gt;$A46,1,0)</f>
        <v>0</v>
      </c>
      <c r="AN45" s="47" t="str">
        <f aca="false">IF($AM45=1,$A45,"")</f>
        <v/>
      </c>
    </row>
    <row r="46" customFormat="false" ht="15" hidden="false" customHeight="false" outlineLevel="0" collapsed="false">
      <c r="A46" s="43" t="s">
        <v>130</v>
      </c>
      <c r="B46" s="44" t="s">
        <v>132</v>
      </c>
      <c r="C46" s="45" t="n">
        <v>45963</v>
      </c>
      <c r="D46" s="46" t="n">
        <v>20251102</v>
      </c>
      <c r="E46" s="47" t="s">
        <v>329</v>
      </c>
      <c r="F46" s="48" t="n">
        <v>6396</v>
      </c>
      <c r="G46" s="48" t="n">
        <v>6507</v>
      </c>
      <c r="H46" s="48" t="n">
        <v>6332</v>
      </c>
      <c r="I46" s="48" t="n">
        <v>6485</v>
      </c>
      <c r="J46" s="48" t="n">
        <v>6426</v>
      </c>
      <c r="K46" s="48" t="n">
        <v>6353</v>
      </c>
      <c r="L46" s="48" t="n">
        <v>70223335</v>
      </c>
      <c r="M46" s="48" t="n">
        <v>455398327475</v>
      </c>
      <c r="N46" s="48" t="n">
        <v>1813</v>
      </c>
      <c r="O46" s="48" t="n">
        <v>48207660</v>
      </c>
      <c r="P46" s="48" t="n">
        <v>17110569</v>
      </c>
      <c r="Q46" s="48" t="n">
        <v>405</v>
      </c>
      <c r="R46" s="48" t="n">
        <v>799</v>
      </c>
      <c r="S46" s="48" t="n">
        <v>22015675</v>
      </c>
      <c r="T46" s="48" t="n">
        <v>53112766</v>
      </c>
      <c r="U46" s="46" t="n">
        <f aca="false">IF($A46=$A45,$U45+1,1)</f>
        <v>42</v>
      </c>
      <c r="V46" s="48" t="n">
        <f aca="false">IF($U46&gt;=MA_SHORT,AVERAGE(INDEX($I$5:$I46,43-MA_SHORT):$I46),"")</f>
        <v>6292.25</v>
      </c>
      <c r="W46" s="48" t="str">
        <f aca="false">IF($U46&gt;=MA_MED,AVERAGE(INDEX($I$5:$I46,43-MA_MED):$I46),"")</f>
        <v/>
      </c>
      <c r="X46" s="48" t="str">
        <f aca="false">IF($U46&gt;=MA_LONG1,AVERAGE(INDEX($I$5:$I46,43-MA_LONG1):$I46),"")</f>
        <v/>
      </c>
      <c r="Y46" s="48" t="str">
        <f aca="false">IF($U46&gt;=MA_LONG2,AVERAGE(INDEX($I$5:$I46,43-MA_LONG2):$I46),"")</f>
        <v/>
      </c>
      <c r="Z46" s="48" t="n">
        <f aca="false">IF($U46&gt;=MA_SHORT,AVERAGE(INDEX($L$5:$L46,43-MA_SHORT):$L46),"")</f>
        <v>54866713.8</v>
      </c>
      <c r="AA46" s="48" t="n">
        <f aca="false">IF($U46=1,$G46-$H46,MAX($G46-$H46,ABS($G46-$I45),ABS($H46-$I45)))</f>
        <v>175</v>
      </c>
      <c r="AB46" s="48" t="n">
        <f aca="false">IF($U46&gt;=ATR_PER,AVERAGE(INDEX($AA$5:$AA46,43-ATR_PER):$AA46),"")</f>
        <v>226.785714285714</v>
      </c>
      <c r="AC46" s="48" t="n">
        <f aca="false">$O46-$P46</f>
        <v>31097091</v>
      </c>
      <c r="AD46" s="48" t="n">
        <f aca="false">$AC46*$I46</f>
        <v>201664635135</v>
      </c>
      <c r="AE46" s="49" t="n">
        <f aca="false">IF($Q46&gt;0,$O46*$I46/$Q46/1000000,"")</f>
        <v>771.917716296296</v>
      </c>
      <c r="AF46" s="49" t="n">
        <f aca="false">IF($R46&gt;0,$P46*$I46/$R46/1000000,"")</f>
        <v>138.876145137672</v>
      </c>
      <c r="AG46" s="50" t="n">
        <f aca="false">IF(AND(ISNUMBER($AE46),ISNUMBER($AF46),$AF46&gt;0),$AE46/$AF46,"")</f>
        <v>5.55831756080982</v>
      </c>
      <c r="AH46" s="48" t="n">
        <f aca="false">IF($U46&gt;=5,SUM(INDEX($AD$16:$AD46,32-5):$AD46),"")</f>
        <v>326193508095</v>
      </c>
      <c r="AI46" s="48" t="n">
        <f aca="false">IF($U46&gt;=STRUCT_S,MAX(INDEX($G$5:$G46,43-STRUCT_S):$G46),"")</f>
        <v>6579</v>
      </c>
      <c r="AJ46" s="48" t="n">
        <f aca="false">IF($U46&gt;=STRUCT_S,MIN(INDEX($H$5:$H46,43-STRUCT_S):$H46),"")</f>
        <v>5934</v>
      </c>
      <c r="AK46" s="48" t="str">
        <f aca="false">IF($U46&gt;=STRUCT_L,MAX(INDEX($G$5:$G46,43-STRUCT_L):$G46),"")</f>
        <v/>
      </c>
      <c r="AL46" s="48" t="str">
        <f aca="false">IF($U46&gt;=STRUCT_L,MIN(INDEX($H$5:$H46,43-STRUCT_L):$H46),"")</f>
        <v/>
      </c>
      <c r="AM46" s="46" t="n">
        <f aca="false">IF($A46&lt;&gt;$A47,1,0)</f>
        <v>0</v>
      </c>
      <c r="AN46" s="47" t="str">
        <f aca="false">IF($AM46=1,$A46,"")</f>
        <v/>
      </c>
    </row>
    <row r="47" customFormat="false" ht="15" hidden="false" customHeight="false" outlineLevel="0" collapsed="false">
      <c r="A47" s="43" t="s">
        <v>130</v>
      </c>
      <c r="B47" s="44" t="s">
        <v>132</v>
      </c>
      <c r="C47" s="45" t="n">
        <v>45964</v>
      </c>
      <c r="D47" s="46" t="n">
        <v>20251103</v>
      </c>
      <c r="E47" s="47" t="s">
        <v>330</v>
      </c>
      <c r="F47" s="48" t="n">
        <v>6381</v>
      </c>
      <c r="G47" s="48" t="n">
        <v>6508</v>
      </c>
      <c r="H47" s="48" t="n">
        <v>6295</v>
      </c>
      <c r="I47" s="48" t="n">
        <v>6317</v>
      </c>
      <c r="J47" s="48" t="n">
        <v>6412</v>
      </c>
      <c r="K47" s="48" t="n">
        <v>6485</v>
      </c>
      <c r="L47" s="48" t="n">
        <v>49582112</v>
      </c>
      <c r="M47" s="48" t="n">
        <v>313210201504</v>
      </c>
      <c r="N47" s="48" t="n">
        <v>2343</v>
      </c>
      <c r="O47" s="48" t="n">
        <v>24923196</v>
      </c>
      <c r="P47" s="48" t="n">
        <v>25257121</v>
      </c>
      <c r="Q47" s="48" t="n">
        <v>1493</v>
      </c>
      <c r="R47" s="48" t="n">
        <v>739</v>
      </c>
      <c r="S47" s="48" t="n">
        <v>24658916</v>
      </c>
      <c r="T47" s="48" t="n">
        <v>24324991</v>
      </c>
      <c r="U47" s="46" t="n">
        <f aca="false">IF($A47=$A46,$U46+1,1)</f>
        <v>43</v>
      </c>
      <c r="V47" s="48" t="n">
        <f aca="false">IF($U47&gt;=MA_SHORT,AVERAGE(INDEX($I$5:$I47,44-MA_SHORT):$I47),"")</f>
        <v>6303.95</v>
      </c>
      <c r="W47" s="48" t="str">
        <f aca="false">IF($U47&gt;=MA_MED,AVERAGE(INDEX($I$5:$I47,44-MA_MED):$I47),"")</f>
        <v/>
      </c>
      <c r="X47" s="48" t="str">
        <f aca="false">IF($U47&gt;=MA_LONG1,AVERAGE(INDEX($I$5:$I47,44-MA_LONG1):$I47),"")</f>
        <v/>
      </c>
      <c r="Y47" s="48" t="str">
        <f aca="false">IF($U47&gt;=MA_LONG2,AVERAGE(INDEX($I$5:$I47,44-MA_LONG2):$I47),"")</f>
        <v/>
      </c>
      <c r="Z47" s="48" t="n">
        <f aca="false">IF($U47&gt;=MA_SHORT,AVERAGE(INDEX($L$5:$L47,44-MA_SHORT):$L47),"")</f>
        <v>55185419.6</v>
      </c>
      <c r="AA47" s="48" t="n">
        <f aca="false">IF($U47=1,$G47-$H47,MAX($G47-$H47,ABS($G47-$I46),ABS($H47-$I46)))</f>
        <v>213</v>
      </c>
      <c r="AB47" s="48" t="n">
        <f aca="false">IF($U47&gt;=ATR_PER,AVERAGE(INDEX($AA$5:$AA47,44-ATR_PER):$AA47),"")</f>
        <v>216</v>
      </c>
      <c r="AC47" s="48" t="n">
        <f aca="false">$O47-$P47</f>
        <v>-333925</v>
      </c>
      <c r="AD47" s="48" t="n">
        <f aca="false">$AC47*$I47</f>
        <v>-2109404225</v>
      </c>
      <c r="AE47" s="49" t="n">
        <f aca="false">IF($Q47&gt;0,$O47*$I47/$Q47/1000000,"")</f>
        <v>105.451995399866</v>
      </c>
      <c r="AF47" s="49" t="n">
        <f aca="false">IF($R47&gt;0,$P47*$I47/$R47/1000000,"")</f>
        <v>215.898827276049</v>
      </c>
      <c r="AG47" s="50" t="n">
        <f aca="false">IF(AND(ISNUMBER($AE47),ISNUMBER($AF47),$AF47&gt;0),$AE47/$AF47,"")</f>
        <v>0.488432460381246</v>
      </c>
      <c r="AH47" s="48" t="n">
        <f aca="false">IF($U47&gt;=5,SUM(INDEX($AD$17:$AD47,32-5):$AD47),"")</f>
        <v>276133165758</v>
      </c>
      <c r="AI47" s="48" t="n">
        <f aca="false">IF($U47&gt;=STRUCT_S,MAX(INDEX($G$5:$G47,44-STRUCT_S):$G47),"")</f>
        <v>6579</v>
      </c>
      <c r="AJ47" s="48" t="n">
        <f aca="false">IF($U47&gt;=STRUCT_S,MIN(INDEX($H$5:$H47,44-STRUCT_S):$H47),"")</f>
        <v>5934</v>
      </c>
      <c r="AK47" s="48" t="str">
        <f aca="false">IF($U47&gt;=STRUCT_L,MAX(INDEX($G$5:$G47,44-STRUCT_L):$G47),"")</f>
        <v/>
      </c>
      <c r="AL47" s="48" t="str">
        <f aca="false">IF($U47&gt;=STRUCT_L,MIN(INDEX($H$5:$H47,44-STRUCT_L):$H47),"")</f>
        <v/>
      </c>
      <c r="AM47" s="46" t="n">
        <f aca="false">IF($A47&lt;&gt;$A48,1,0)</f>
        <v>0</v>
      </c>
      <c r="AN47" s="47" t="str">
        <f aca="false">IF($AM47=1,$A47,"")</f>
        <v/>
      </c>
    </row>
    <row r="48" customFormat="false" ht="15" hidden="false" customHeight="false" outlineLevel="0" collapsed="false">
      <c r="A48" s="43" t="s">
        <v>130</v>
      </c>
      <c r="B48" s="44" t="s">
        <v>132</v>
      </c>
      <c r="C48" s="45" t="n">
        <v>45965</v>
      </c>
      <c r="D48" s="46" t="n">
        <v>20251104</v>
      </c>
      <c r="E48" s="47" t="s">
        <v>331</v>
      </c>
      <c r="F48" s="48" t="n">
        <v>6283</v>
      </c>
      <c r="G48" s="48" t="n">
        <v>6431</v>
      </c>
      <c r="H48" s="48" t="n">
        <v>6248</v>
      </c>
      <c r="I48" s="48" t="n">
        <v>6361</v>
      </c>
      <c r="J48" s="48" t="n">
        <v>6277</v>
      </c>
      <c r="K48" s="48" t="n">
        <v>6317</v>
      </c>
      <c r="L48" s="48" t="n">
        <v>51386104</v>
      </c>
      <c r="M48" s="48" t="n">
        <v>326867007544</v>
      </c>
      <c r="N48" s="48" t="n">
        <v>1397</v>
      </c>
      <c r="O48" s="48" t="n">
        <v>31781973</v>
      </c>
      <c r="P48" s="48" t="n">
        <v>17758043</v>
      </c>
      <c r="Q48" s="48" t="n">
        <v>381</v>
      </c>
      <c r="R48" s="48" t="n">
        <v>928</v>
      </c>
      <c r="S48" s="48" t="n">
        <v>19604131</v>
      </c>
      <c r="T48" s="48" t="n">
        <v>33628061</v>
      </c>
      <c r="U48" s="46" t="n">
        <f aca="false">IF($A48=$A47,$U47+1,1)</f>
        <v>44</v>
      </c>
      <c r="V48" s="48" t="n">
        <f aca="false">IF($U48&gt;=MA_SHORT,AVERAGE(INDEX($I$5:$I48,45-MA_SHORT):$I48),"")</f>
        <v>6321.6</v>
      </c>
      <c r="W48" s="48" t="str">
        <f aca="false">IF($U48&gt;=MA_MED,AVERAGE(INDEX($I$5:$I48,45-MA_MED):$I48),"")</f>
        <v/>
      </c>
      <c r="X48" s="48" t="str">
        <f aca="false">IF($U48&gt;=MA_LONG1,AVERAGE(INDEX($I$5:$I48,45-MA_LONG1):$I48),"")</f>
        <v/>
      </c>
      <c r="Y48" s="48" t="str">
        <f aca="false">IF($U48&gt;=MA_LONG2,AVERAGE(INDEX($I$5:$I48,45-MA_LONG2):$I48),"")</f>
        <v/>
      </c>
      <c r="Z48" s="48" t="n">
        <f aca="false">IF($U48&gt;=MA_SHORT,AVERAGE(INDEX($L$5:$L48,45-MA_SHORT):$L48),"")</f>
        <v>55450397.75</v>
      </c>
      <c r="AA48" s="48" t="n">
        <f aca="false">IF($U48=1,$G48-$H48,MAX($G48-$H48,ABS($G48-$I47),ABS($H48-$I47)))</f>
        <v>183</v>
      </c>
      <c r="AB48" s="48" t="n">
        <f aca="false">IF($U48&gt;=ATR_PER,AVERAGE(INDEX($AA$5:$AA48,45-ATR_PER):$AA48),"")</f>
        <v>211.785714285714</v>
      </c>
      <c r="AC48" s="48" t="n">
        <f aca="false">$O48-$P48</f>
        <v>14023930</v>
      </c>
      <c r="AD48" s="48" t="n">
        <f aca="false">$AC48*$I48</f>
        <v>89206218730</v>
      </c>
      <c r="AE48" s="49" t="n">
        <f aca="false">IF($Q48&gt;0,$O48*$I48/$Q48/1000000,"")</f>
        <v>530.617139771654</v>
      </c>
      <c r="AF48" s="49" t="n">
        <f aca="false">IF($R48&gt;0,$P48*$I48/$R48/1000000,"")</f>
        <v>121.722965003233</v>
      </c>
      <c r="AG48" s="50" t="n">
        <f aca="false">IF(AND(ISNUMBER($AE48),ISNUMBER($AF48),$AF48&gt;0),$AE48/$AF48,"")</f>
        <v>4.35921964074373</v>
      </c>
      <c r="AH48" s="48" t="n">
        <f aca="false">IF($U48&gt;=5,SUM(INDEX($AD$18:$AD48,32-5):$AD48),"")</f>
        <v>310833792116</v>
      </c>
      <c r="AI48" s="48" t="n">
        <f aca="false">IF($U48&gt;=STRUCT_S,MAX(INDEX($G$5:$G48,45-STRUCT_S):$G48),"")</f>
        <v>6579</v>
      </c>
      <c r="AJ48" s="48" t="n">
        <f aca="false">IF($U48&gt;=STRUCT_S,MIN(INDEX($H$5:$H48,45-STRUCT_S):$H48),"")</f>
        <v>5970</v>
      </c>
      <c r="AK48" s="48" t="str">
        <f aca="false">IF($U48&gt;=STRUCT_L,MAX(INDEX($G$5:$G48,45-STRUCT_L):$G48),"")</f>
        <v/>
      </c>
      <c r="AL48" s="48" t="str">
        <f aca="false">IF($U48&gt;=STRUCT_L,MIN(INDEX($H$5:$H48,45-STRUCT_L):$H48),"")</f>
        <v/>
      </c>
      <c r="AM48" s="46" t="n">
        <f aca="false">IF($A48&lt;&gt;$A49,1,0)</f>
        <v>0</v>
      </c>
      <c r="AN48" s="47" t="str">
        <f aca="false">IF($AM48=1,$A48,"")</f>
        <v/>
      </c>
    </row>
    <row r="49" customFormat="false" ht="15" hidden="false" customHeight="false" outlineLevel="0" collapsed="false">
      <c r="A49" s="43" t="s">
        <v>130</v>
      </c>
      <c r="B49" s="44" t="s">
        <v>132</v>
      </c>
      <c r="C49" s="45" t="n">
        <v>45966</v>
      </c>
      <c r="D49" s="46" t="n">
        <v>20251105</v>
      </c>
      <c r="E49" s="47" t="s">
        <v>332</v>
      </c>
      <c r="F49" s="48" t="n">
        <v>6241</v>
      </c>
      <c r="G49" s="48" t="n">
        <v>6379</v>
      </c>
      <c r="H49" s="48" t="n">
        <v>6195</v>
      </c>
      <c r="I49" s="48" t="n">
        <v>6212</v>
      </c>
      <c r="J49" s="48" t="n">
        <v>6207</v>
      </c>
      <c r="K49" s="48" t="n">
        <v>6361</v>
      </c>
      <c r="L49" s="48" t="n">
        <v>48943079</v>
      </c>
      <c r="M49" s="48" t="n">
        <v>304034406748</v>
      </c>
      <c r="N49" s="48" t="n">
        <v>1985</v>
      </c>
      <c r="O49" s="48" t="n">
        <v>23781697</v>
      </c>
      <c r="P49" s="48" t="n">
        <v>26760693</v>
      </c>
      <c r="Q49" s="48" t="n">
        <v>1090</v>
      </c>
      <c r="R49" s="48" t="n">
        <v>479</v>
      </c>
      <c r="S49" s="48" t="n">
        <v>25161382</v>
      </c>
      <c r="T49" s="48" t="n">
        <v>22182386</v>
      </c>
      <c r="U49" s="46" t="n">
        <f aca="false">IF($A49=$A48,$U48+1,1)</f>
        <v>45</v>
      </c>
      <c r="V49" s="48" t="n">
        <f aca="false">IF($U49&gt;=MA_SHORT,AVERAGE(INDEX($I$5:$I49,46-MA_SHORT):$I49),"")</f>
        <v>6330.1</v>
      </c>
      <c r="W49" s="48" t="str">
        <f aca="false">IF($U49&gt;=MA_MED,AVERAGE(INDEX($I$5:$I49,46-MA_MED):$I49),"")</f>
        <v/>
      </c>
      <c r="X49" s="48" t="str">
        <f aca="false">IF($U49&gt;=MA_LONG1,AVERAGE(INDEX($I$5:$I49,46-MA_LONG1):$I49),"")</f>
        <v/>
      </c>
      <c r="Y49" s="48" t="str">
        <f aca="false">IF($U49&gt;=MA_LONG2,AVERAGE(INDEX($I$5:$I49,46-MA_LONG2):$I49),"")</f>
        <v/>
      </c>
      <c r="Z49" s="48" t="n">
        <f aca="false">IF($U49&gt;=MA_SHORT,AVERAGE(INDEX($L$5:$L49,46-MA_SHORT):$L49),"")</f>
        <v>51434267.9</v>
      </c>
      <c r="AA49" s="48" t="n">
        <f aca="false">IF($U49=1,$G49-$H49,MAX($G49-$H49,ABS($G49-$I48),ABS($H49-$I48)))</f>
        <v>184</v>
      </c>
      <c r="AB49" s="48" t="n">
        <f aca="false">IF($U49&gt;=ATR_PER,AVERAGE(INDEX($AA$5:$AA49,46-ATR_PER):$AA49),"")</f>
        <v>219.142857142857</v>
      </c>
      <c r="AC49" s="48" t="n">
        <f aca="false">$O49-$P49</f>
        <v>-2978996</v>
      </c>
      <c r="AD49" s="48" t="n">
        <f aca="false">$AC49*$I49</f>
        <v>-18505523152</v>
      </c>
      <c r="AE49" s="49" t="n">
        <f aca="false">IF($Q49&gt;0,$O49*$I49/$Q49/1000000,"")</f>
        <v>135.533854829358</v>
      </c>
      <c r="AF49" s="49" t="n">
        <f aca="false">IF($R49&gt;0,$P49*$I49/$R49/1000000,"")</f>
        <v>347.050991473904</v>
      </c>
      <c r="AG49" s="50" t="n">
        <f aca="false">IF(AND(ISNUMBER($AE49),ISNUMBER($AF49),$AF49&gt;0),$AE49/$AF49,"")</f>
        <v>0.390530089695909</v>
      </c>
      <c r="AH49" s="48" t="n">
        <f aca="false">IF($U49&gt;=5,SUM(INDEX($AD$19:$AD49,32-5):$AD49),"")</f>
        <v>237820481692</v>
      </c>
      <c r="AI49" s="48" t="n">
        <f aca="false">IF($U49&gt;=STRUCT_S,MAX(INDEX($G$5:$G49,46-STRUCT_S):$G49),"")</f>
        <v>6579</v>
      </c>
      <c r="AJ49" s="48" t="n">
        <f aca="false">IF($U49&gt;=STRUCT_S,MIN(INDEX($H$5:$H49,46-STRUCT_S):$H49),"")</f>
        <v>5970</v>
      </c>
      <c r="AK49" s="48" t="str">
        <f aca="false">IF($U49&gt;=STRUCT_L,MAX(INDEX($G$5:$G49,46-STRUCT_L):$G49),"")</f>
        <v/>
      </c>
      <c r="AL49" s="48" t="str">
        <f aca="false">IF($U49&gt;=STRUCT_L,MIN(INDEX($H$5:$H49,46-STRUCT_L):$H49),"")</f>
        <v/>
      </c>
      <c r="AM49" s="46" t="n">
        <f aca="false">IF($A49&lt;&gt;$A50,1,0)</f>
        <v>0</v>
      </c>
      <c r="AN49" s="47" t="str">
        <f aca="false">IF($AM49=1,$A49,"")</f>
        <v/>
      </c>
    </row>
    <row r="50" customFormat="false" ht="15" hidden="false" customHeight="false" outlineLevel="0" collapsed="false">
      <c r="A50" s="43" t="s">
        <v>130</v>
      </c>
      <c r="B50" s="44" t="s">
        <v>132</v>
      </c>
      <c r="C50" s="45" t="n">
        <v>45969</v>
      </c>
      <c r="D50" s="46" t="n">
        <v>20251108</v>
      </c>
      <c r="E50" s="47" t="s">
        <v>333</v>
      </c>
      <c r="F50" s="48" t="n">
        <v>6152</v>
      </c>
      <c r="G50" s="48" t="n">
        <v>6309</v>
      </c>
      <c r="H50" s="48" t="n">
        <v>6076</v>
      </c>
      <c r="I50" s="48" t="n">
        <v>6172</v>
      </c>
      <c r="J50" s="48" t="n">
        <v>6298</v>
      </c>
      <c r="K50" s="48" t="n">
        <v>6212</v>
      </c>
      <c r="L50" s="48" t="n">
        <v>44569953</v>
      </c>
      <c r="M50" s="48" t="n">
        <v>275085749916</v>
      </c>
      <c r="N50" s="48" t="n">
        <v>4133</v>
      </c>
      <c r="O50" s="48" t="n">
        <v>25039556</v>
      </c>
      <c r="P50" s="48" t="n">
        <v>19219735</v>
      </c>
      <c r="Q50" s="48" t="n">
        <v>2888</v>
      </c>
      <c r="R50" s="48" t="n">
        <v>1268</v>
      </c>
      <c r="S50" s="48" t="n">
        <v>19530397</v>
      </c>
      <c r="T50" s="48" t="n">
        <v>25350218</v>
      </c>
      <c r="U50" s="46" t="n">
        <f aca="false">IF($A50=$A49,$U49+1,1)</f>
        <v>46</v>
      </c>
      <c r="V50" s="48" t="n">
        <f aca="false">IF($U50&gt;=MA_SHORT,AVERAGE(INDEX($I$5:$I50,47-MA_SHORT):$I50),"")</f>
        <v>6338.6</v>
      </c>
      <c r="W50" s="48" t="str">
        <f aca="false">IF($U50&gt;=MA_MED,AVERAGE(INDEX($I$5:$I50,47-MA_MED):$I50),"")</f>
        <v/>
      </c>
      <c r="X50" s="48" t="str">
        <f aca="false">IF($U50&gt;=MA_LONG1,AVERAGE(INDEX($I$5:$I50,47-MA_LONG1):$I50),"")</f>
        <v/>
      </c>
      <c r="Y50" s="48" t="str">
        <f aca="false">IF($U50&gt;=MA_LONG2,AVERAGE(INDEX($I$5:$I50,47-MA_LONG2):$I50),"")</f>
        <v/>
      </c>
      <c r="Z50" s="48" t="n">
        <f aca="false">IF($U50&gt;=MA_SHORT,AVERAGE(INDEX($L$5:$L50,47-MA_SHORT):$L50),"")</f>
        <v>50149505.95</v>
      </c>
      <c r="AA50" s="48" t="n">
        <f aca="false">IF($U50=1,$G50-$H50,MAX($G50-$H50,ABS($G50-$I49),ABS($H50-$I49)))</f>
        <v>233</v>
      </c>
      <c r="AB50" s="48" t="n">
        <f aca="false">IF($U50&gt;=ATR_PER,AVERAGE(INDEX($AA$5:$AA50,47-ATR_PER):$AA50),"")</f>
        <v>210.928571428571</v>
      </c>
      <c r="AC50" s="48" t="n">
        <f aca="false">$O50-$P50</f>
        <v>5819821</v>
      </c>
      <c r="AD50" s="48" t="n">
        <f aca="false">$AC50*$I50</f>
        <v>35919935212</v>
      </c>
      <c r="AE50" s="49" t="n">
        <f aca="false">IF($Q50&gt;0,$O50*$I50/$Q50/1000000,"")</f>
        <v>53.5125137229917</v>
      </c>
      <c r="AF50" s="49" t="n">
        <f aca="false">IF($R50&gt;0,$P50*$I50/$R50/1000000,"")</f>
        <v>93.5522116876972</v>
      </c>
      <c r="AG50" s="50" t="n">
        <f aca="false">IF(AND(ISNUMBER($AE50),ISNUMBER($AF50),$AF50&gt;0),$AE50/$AF50,"")</f>
        <v>0.572006933429122</v>
      </c>
      <c r="AH50" s="48" t="n">
        <f aca="false">IF($U50&gt;=5,SUM(INDEX($AD$20:$AD50,32-5):$AD50),"")</f>
        <v>306175861700</v>
      </c>
      <c r="AI50" s="48" t="n">
        <f aca="false">IF($U50&gt;=STRUCT_S,MAX(INDEX($G$5:$G50,47-STRUCT_S):$G50),"")</f>
        <v>6579</v>
      </c>
      <c r="AJ50" s="48" t="n">
        <f aca="false">IF($U50&gt;=STRUCT_S,MIN(INDEX($H$5:$H50,47-STRUCT_S):$H50),"")</f>
        <v>5983</v>
      </c>
      <c r="AK50" s="48" t="str">
        <f aca="false">IF($U50&gt;=STRUCT_L,MAX(INDEX($G$5:$G50,47-STRUCT_L):$G50),"")</f>
        <v/>
      </c>
      <c r="AL50" s="48" t="str">
        <f aca="false">IF($U50&gt;=STRUCT_L,MIN(INDEX($H$5:$H50,47-STRUCT_L):$H50),"")</f>
        <v/>
      </c>
      <c r="AM50" s="46" t="n">
        <f aca="false">IF($A50&lt;&gt;$A51,1,0)</f>
        <v>0</v>
      </c>
      <c r="AN50" s="47" t="str">
        <f aca="false">IF($AM50=1,$A50,"")</f>
        <v/>
      </c>
    </row>
    <row r="51" customFormat="false" ht="15" hidden="false" customHeight="false" outlineLevel="0" collapsed="false">
      <c r="A51" s="43" t="s">
        <v>130</v>
      </c>
      <c r="B51" s="44" t="s">
        <v>132</v>
      </c>
      <c r="C51" s="45" t="n">
        <v>45970</v>
      </c>
      <c r="D51" s="46" t="n">
        <v>20251109</v>
      </c>
      <c r="E51" s="47" t="s">
        <v>334</v>
      </c>
      <c r="F51" s="48" t="n">
        <v>6149</v>
      </c>
      <c r="G51" s="48" t="n">
        <v>6245</v>
      </c>
      <c r="H51" s="48" t="n">
        <v>6066</v>
      </c>
      <c r="I51" s="48" t="n">
        <v>6138</v>
      </c>
      <c r="J51" s="48" t="n">
        <v>6191</v>
      </c>
      <c r="K51" s="48" t="n">
        <v>6172</v>
      </c>
      <c r="L51" s="48" t="n">
        <v>45949724</v>
      </c>
      <c r="M51" s="48" t="n">
        <v>282039405912</v>
      </c>
      <c r="N51" s="48" t="n">
        <v>1748</v>
      </c>
      <c r="O51" s="48" t="n">
        <v>22738232</v>
      </c>
      <c r="P51" s="48" t="n">
        <v>23222793</v>
      </c>
      <c r="Q51" s="48" t="n">
        <v>1126</v>
      </c>
      <c r="R51" s="48" t="n">
        <v>584</v>
      </c>
      <c r="S51" s="48" t="n">
        <v>23211492</v>
      </c>
      <c r="T51" s="48" t="n">
        <v>22726931</v>
      </c>
      <c r="U51" s="46" t="n">
        <f aca="false">IF($A51=$A50,$U50+1,1)</f>
        <v>47</v>
      </c>
      <c r="V51" s="48" t="n">
        <f aca="false">IF($U51&gt;=MA_SHORT,AVERAGE(INDEX($I$5:$I51,48-MA_SHORT):$I51),"")</f>
        <v>6336.3</v>
      </c>
      <c r="W51" s="48" t="str">
        <f aca="false">IF($U51&gt;=MA_MED,AVERAGE(INDEX($I$5:$I51,48-MA_MED):$I51),"")</f>
        <v/>
      </c>
      <c r="X51" s="48" t="str">
        <f aca="false">IF($U51&gt;=MA_LONG1,AVERAGE(INDEX($I$5:$I51,48-MA_LONG1):$I51),"")</f>
        <v/>
      </c>
      <c r="Y51" s="48" t="str">
        <f aca="false">IF($U51&gt;=MA_LONG2,AVERAGE(INDEX($I$5:$I51,48-MA_LONG2):$I51),"")</f>
        <v/>
      </c>
      <c r="Z51" s="48" t="n">
        <f aca="false">IF($U51&gt;=MA_SHORT,AVERAGE(INDEX($L$5:$L51,48-MA_SHORT):$L51),"")</f>
        <v>49331897.7</v>
      </c>
      <c r="AA51" s="48" t="n">
        <f aca="false">IF($U51=1,$G51-$H51,MAX($G51-$H51,ABS($G51-$I50),ABS($H51-$I50)))</f>
        <v>179</v>
      </c>
      <c r="AB51" s="48" t="n">
        <f aca="false">IF($U51&gt;=ATR_PER,AVERAGE(INDEX($AA$5:$AA51,48-ATR_PER):$AA51),"")</f>
        <v>212.428571428571</v>
      </c>
      <c r="AC51" s="48" t="n">
        <f aca="false">$O51-$P51</f>
        <v>-484561</v>
      </c>
      <c r="AD51" s="48" t="n">
        <f aca="false">$AC51*$I51</f>
        <v>-2974235418</v>
      </c>
      <c r="AE51" s="49" t="n">
        <f aca="false">IF($Q51&gt;0,$O51*$I51/$Q51/1000000,"")</f>
        <v>123.94961635524</v>
      </c>
      <c r="AF51" s="49" t="n">
        <f aca="false">IF($R51&gt;0,$P51*$I51/$R51/1000000,"")</f>
        <v>244.077916839041</v>
      </c>
      <c r="AG51" s="50" t="n">
        <f aca="false">IF(AND(ISNUMBER($AE51),ISNUMBER($AF51),$AF51&gt;0),$AE51/$AF51,"")</f>
        <v>0.507828065563913</v>
      </c>
      <c r="AH51" s="48" t="n">
        <f aca="false">IF($U51&gt;=5,SUM(INDEX($AD$21:$AD51,32-5):$AD51),"")</f>
        <v>101536991147</v>
      </c>
      <c r="AI51" s="48" t="n">
        <f aca="false">IF($U51&gt;=STRUCT_S,MAX(INDEX($G$5:$G51,48-STRUCT_S):$G51),"")</f>
        <v>6579</v>
      </c>
      <c r="AJ51" s="48" t="n">
        <f aca="false">IF($U51&gt;=STRUCT_S,MIN(INDEX($H$5:$H51,48-STRUCT_S):$H51),"")</f>
        <v>6066</v>
      </c>
      <c r="AK51" s="48" t="str">
        <f aca="false">IF($U51&gt;=STRUCT_L,MAX(INDEX($G$5:$G51,48-STRUCT_L):$G51),"")</f>
        <v/>
      </c>
      <c r="AL51" s="48" t="str">
        <f aca="false">IF($U51&gt;=STRUCT_L,MIN(INDEX($H$5:$H51,48-STRUCT_L):$H51),"")</f>
        <v/>
      </c>
      <c r="AM51" s="46" t="n">
        <f aca="false">IF($A51&lt;&gt;$A52,1,0)</f>
        <v>0</v>
      </c>
      <c r="AN51" s="47" t="str">
        <f aca="false">IF($AM51=1,$A51,"")</f>
        <v/>
      </c>
    </row>
    <row r="52" customFormat="false" ht="15" hidden="false" customHeight="false" outlineLevel="0" collapsed="false">
      <c r="A52" s="43" t="s">
        <v>130</v>
      </c>
      <c r="B52" s="44" t="s">
        <v>132</v>
      </c>
      <c r="C52" s="45" t="n">
        <v>45971</v>
      </c>
      <c r="D52" s="46" t="n">
        <v>20251110</v>
      </c>
      <c r="E52" s="47" t="s">
        <v>335</v>
      </c>
      <c r="F52" s="48" t="n">
        <v>6189</v>
      </c>
      <c r="G52" s="48" t="n">
        <v>6228</v>
      </c>
      <c r="H52" s="48" t="n">
        <v>6033</v>
      </c>
      <c r="I52" s="48" t="n">
        <v>6123</v>
      </c>
      <c r="J52" s="48" t="n">
        <v>6038</v>
      </c>
      <c r="K52" s="48" t="n">
        <v>6138</v>
      </c>
      <c r="L52" s="48" t="n">
        <v>43541260</v>
      </c>
      <c r="M52" s="48" t="n">
        <v>266603134980</v>
      </c>
      <c r="N52" s="48" t="n">
        <v>1733</v>
      </c>
      <c r="O52" s="48" t="n">
        <v>23588919</v>
      </c>
      <c r="P52" s="48" t="n">
        <v>23391452</v>
      </c>
      <c r="Q52" s="48" t="n">
        <v>1133</v>
      </c>
      <c r="R52" s="48" t="n">
        <v>664</v>
      </c>
      <c r="S52" s="48" t="n">
        <v>19952341</v>
      </c>
      <c r="T52" s="48" t="n">
        <v>20149808</v>
      </c>
      <c r="U52" s="46" t="n">
        <f aca="false">IF($A52=$A51,$U51+1,1)</f>
        <v>48</v>
      </c>
      <c r="V52" s="48" t="n">
        <f aca="false">IF($U52&gt;=MA_SHORT,AVERAGE(INDEX($I$5:$I52,49-MA_SHORT):$I52),"")</f>
        <v>6330.4</v>
      </c>
      <c r="W52" s="48" t="str">
        <f aca="false">IF($U52&gt;=MA_MED,AVERAGE(INDEX($I$5:$I52,49-MA_MED):$I52),"")</f>
        <v/>
      </c>
      <c r="X52" s="48" t="str">
        <f aca="false">IF($U52&gt;=MA_LONG1,AVERAGE(INDEX($I$5:$I52,49-MA_LONG1):$I52),"")</f>
        <v/>
      </c>
      <c r="Y52" s="48" t="str">
        <f aca="false">IF($U52&gt;=MA_LONG2,AVERAGE(INDEX($I$5:$I52,49-MA_LONG2):$I52),"")</f>
        <v/>
      </c>
      <c r="Z52" s="48" t="n">
        <f aca="false">IF($U52&gt;=MA_SHORT,AVERAGE(INDEX($L$5:$L52,49-MA_SHORT):$L52),"")</f>
        <v>48404483.7</v>
      </c>
      <c r="AA52" s="48" t="n">
        <f aca="false">IF($U52=1,$G52-$H52,MAX($G52-$H52,ABS($G52-$I51),ABS($H52-$I51)))</f>
        <v>195</v>
      </c>
      <c r="AB52" s="48" t="n">
        <f aca="false">IF($U52&gt;=ATR_PER,AVERAGE(INDEX($AA$5:$AA52,49-ATR_PER):$AA52),"")</f>
        <v>216.142857142857</v>
      </c>
      <c r="AC52" s="48" t="n">
        <f aca="false">$O52-$P52</f>
        <v>197467</v>
      </c>
      <c r="AD52" s="48" t="n">
        <f aca="false">$AC52*$I52</f>
        <v>1209090441</v>
      </c>
      <c r="AE52" s="49" t="n">
        <f aca="false">IF($Q52&gt;0,$O52*$I52/$Q52/1000000,"")</f>
        <v>127.480098002648</v>
      </c>
      <c r="AF52" s="49" t="n">
        <f aca="false">IF($R52&gt;0,$P52*$I52/$R52/1000000,"")</f>
        <v>215.701597283133</v>
      </c>
      <c r="AG52" s="50" t="n">
        <f aca="false">IF(AND(ISNUMBER($AE52),ISNUMBER($AF52),$AF52&gt;0),$AE52/$AF52,"")</f>
        <v>0.59100210479812</v>
      </c>
      <c r="AH52" s="48" t="n">
        <f aca="false">IF($U52&gt;=5,SUM(INDEX($AD$22:$AD52,32-5):$AD52),"")</f>
        <v>104855485813</v>
      </c>
      <c r="AI52" s="48" t="n">
        <f aca="false">IF($U52&gt;=STRUCT_S,MAX(INDEX($G$5:$G52,49-STRUCT_S):$G52),"")</f>
        <v>6579</v>
      </c>
      <c r="AJ52" s="48" t="n">
        <f aca="false">IF($U52&gt;=STRUCT_S,MIN(INDEX($H$5:$H52,49-STRUCT_S):$H52),"")</f>
        <v>6033</v>
      </c>
      <c r="AK52" s="48" t="str">
        <f aca="false">IF($U52&gt;=STRUCT_L,MAX(INDEX($G$5:$G52,49-STRUCT_L):$G52),"")</f>
        <v/>
      </c>
      <c r="AL52" s="48" t="str">
        <f aca="false">IF($U52&gt;=STRUCT_L,MIN(INDEX($H$5:$H52,49-STRUCT_L):$H52),"")</f>
        <v/>
      </c>
      <c r="AM52" s="46" t="n">
        <f aca="false">IF($A52&lt;&gt;$A53,1,0)</f>
        <v>0</v>
      </c>
      <c r="AN52" s="47" t="str">
        <f aca="false">IF($AM52=1,$A52,"")</f>
        <v/>
      </c>
    </row>
    <row r="53" customFormat="false" ht="15" hidden="false" customHeight="false" outlineLevel="0" collapsed="false">
      <c r="A53" s="43" t="s">
        <v>130</v>
      </c>
      <c r="B53" s="44" t="s">
        <v>132</v>
      </c>
      <c r="C53" s="45" t="n">
        <v>45972</v>
      </c>
      <c r="D53" s="46" t="n">
        <v>20251111</v>
      </c>
      <c r="E53" s="47" t="s">
        <v>336</v>
      </c>
      <c r="F53" s="48" t="n">
        <v>5982</v>
      </c>
      <c r="G53" s="48" t="n">
        <v>6242</v>
      </c>
      <c r="H53" s="48" t="n">
        <v>5924</v>
      </c>
      <c r="I53" s="48" t="n">
        <v>6041</v>
      </c>
      <c r="J53" s="48" t="n">
        <v>6015</v>
      </c>
      <c r="K53" s="48" t="n">
        <v>6123</v>
      </c>
      <c r="L53" s="48" t="n">
        <v>70117414</v>
      </c>
      <c r="M53" s="48" t="n">
        <v>423579297974</v>
      </c>
      <c r="N53" s="48" t="n">
        <v>2754</v>
      </c>
      <c r="O53" s="48" t="n">
        <v>33670330</v>
      </c>
      <c r="P53" s="48" t="n">
        <v>36711296</v>
      </c>
      <c r="Q53" s="48" t="n">
        <v>1848</v>
      </c>
      <c r="R53" s="48" t="n">
        <v>933</v>
      </c>
      <c r="S53" s="48" t="n">
        <v>36447084</v>
      </c>
      <c r="T53" s="48" t="n">
        <v>33406118</v>
      </c>
      <c r="U53" s="46" t="n">
        <f aca="false">IF($A53=$A52,$U52+1,1)</f>
        <v>49</v>
      </c>
      <c r="V53" s="48" t="n">
        <f aca="false">IF($U53&gt;=MA_SHORT,AVERAGE(INDEX($I$5:$I53,50-MA_SHORT):$I53),"")</f>
        <v>6313.55</v>
      </c>
      <c r="W53" s="48" t="str">
        <f aca="false">IF($U53&gt;=MA_MED,AVERAGE(INDEX($I$5:$I53,50-MA_MED):$I53),"")</f>
        <v/>
      </c>
      <c r="X53" s="48" t="str">
        <f aca="false">IF($U53&gt;=MA_LONG1,AVERAGE(INDEX($I$5:$I53,50-MA_LONG1):$I53),"")</f>
        <v/>
      </c>
      <c r="Y53" s="48" t="str">
        <f aca="false">IF($U53&gt;=MA_LONG2,AVERAGE(INDEX($I$5:$I53,50-MA_LONG2):$I53),"")</f>
        <v/>
      </c>
      <c r="Z53" s="48" t="n">
        <f aca="false">IF($U53&gt;=MA_SHORT,AVERAGE(INDEX($L$5:$L53,50-MA_SHORT):$L53),"")</f>
        <v>49482155.3</v>
      </c>
      <c r="AA53" s="48" t="n">
        <f aca="false">IF($U53=1,$G53-$H53,MAX($G53-$H53,ABS($G53-$I52),ABS($H53-$I52)))</f>
        <v>318</v>
      </c>
      <c r="AB53" s="48" t="n">
        <f aca="false">IF($U53&gt;=ATR_PER,AVERAGE(INDEX($AA$5:$AA53,50-ATR_PER):$AA53),"")</f>
        <v>226.285714285714</v>
      </c>
      <c r="AC53" s="48" t="n">
        <f aca="false">$O53-$P53</f>
        <v>-3040966</v>
      </c>
      <c r="AD53" s="48" t="n">
        <f aca="false">$AC53*$I53</f>
        <v>-18370475606</v>
      </c>
      <c r="AE53" s="49" t="n">
        <f aca="false">IF($Q53&gt;0,$O53*$I53/$Q53/1000000,"")</f>
        <v>110.066268143939</v>
      </c>
      <c r="AF53" s="49" t="n">
        <f aca="false">IF($R53&gt;0,$P53*$I53/$R53/1000000,"")</f>
        <v>237.698755772776</v>
      </c>
      <c r="AG53" s="50" t="n">
        <f aca="false">IF(AND(ISNUMBER($AE53),ISNUMBER($AF53),$AF53&gt;0),$AE53/$AF53,"")</f>
        <v>0.463049408004287</v>
      </c>
      <c r="AH53" s="48" t="n">
        <f aca="false">IF($U53&gt;=5,SUM(INDEX($AD$23:$AD53,32-5):$AD53),"")</f>
        <v>-2721208523</v>
      </c>
      <c r="AI53" s="48" t="n">
        <f aca="false">IF($U53&gt;=STRUCT_S,MAX(INDEX($G$5:$G53,50-STRUCT_S):$G53),"")</f>
        <v>6579</v>
      </c>
      <c r="AJ53" s="48" t="n">
        <f aca="false">IF($U53&gt;=STRUCT_S,MIN(INDEX($H$5:$H53,50-STRUCT_S):$H53),"")</f>
        <v>5924</v>
      </c>
      <c r="AK53" s="48" t="str">
        <f aca="false">IF($U53&gt;=STRUCT_L,MAX(INDEX($G$5:$G53,50-STRUCT_L):$G53),"")</f>
        <v/>
      </c>
      <c r="AL53" s="48" t="str">
        <f aca="false">IF($U53&gt;=STRUCT_L,MIN(INDEX($H$5:$H53,50-STRUCT_L):$H53),"")</f>
        <v/>
      </c>
      <c r="AM53" s="46" t="n">
        <f aca="false">IF($A53&lt;&gt;$A54,1,0)</f>
        <v>0</v>
      </c>
      <c r="AN53" s="47" t="str">
        <f aca="false">IF($AM53=1,$A53,"")</f>
        <v/>
      </c>
    </row>
    <row r="54" customFormat="false" ht="15" hidden="false" customHeight="false" outlineLevel="0" collapsed="false">
      <c r="A54" s="43" t="s">
        <v>130</v>
      </c>
      <c r="B54" s="44" t="s">
        <v>132</v>
      </c>
      <c r="C54" s="45" t="n">
        <v>45973</v>
      </c>
      <c r="D54" s="46" t="n">
        <v>20251112</v>
      </c>
      <c r="E54" s="47" t="s">
        <v>337</v>
      </c>
      <c r="F54" s="48" t="n">
        <v>6064</v>
      </c>
      <c r="G54" s="48" t="n">
        <v>6131</v>
      </c>
      <c r="H54" s="48" t="n">
        <v>5879</v>
      </c>
      <c r="I54" s="48" t="n">
        <v>5968</v>
      </c>
      <c r="J54" s="48" t="n">
        <v>6034</v>
      </c>
      <c r="K54" s="48" t="n">
        <v>6041</v>
      </c>
      <c r="L54" s="48" t="n">
        <v>46023370</v>
      </c>
      <c r="M54" s="48" t="n">
        <v>274667472160</v>
      </c>
      <c r="N54" s="48" t="n">
        <v>1244</v>
      </c>
      <c r="O54" s="48" t="n">
        <v>20497476</v>
      </c>
      <c r="P54" s="48" t="n">
        <v>28365995</v>
      </c>
      <c r="Q54" s="48" t="n">
        <v>558</v>
      </c>
      <c r="R54" s="48" t="n">
        <v>448</v>
      </c>
      <c r="S54" s="48" t="n">
        <v>25525894</v>
      </c>
      <c r="T54" s="48" t="n">
        <v>17657375</v>
      </c>
      <c r="U54" s="46" t="n">
        <f aca="false">IF($A54=$A53,$U53+1,1)</f>
        <v>50</v>
      </c>
      <c r="V54" s="48" t="n">
        <f aca="false">IF($U54&gt;=MA_SHORT,AVERAGE(INDEX($I$5:$I54,51-MA_SHORT):$I54),"")</f>
        <v>6301.1</v>
      </c>
      <c r="W54" s="48" t="n">
        <f aca="false">IF($U54&gt;=MA_MED,AVERAGE(INDEX($I$5:$I54,51-MA_MED):$I54),"")</f>
        <v>6107.9</v>
      </c>
      <c r="X54" s="48" t="str">
        <f aca="false">IF($U54&gt;=MA_LONG1,AVERAGE(INDEX($I$5:$I54,51-MA_LONG1):$I54),"")</f>
        <v/>
      </c>
      <c r="Y54" s="48" t="str">
        <f aca="false">IF($U54&gt;=MA_LONG2,AVERAGE(INDEX($I$5:$I54,51-MA_LONG2):$I54),"")</f>
        <v/>
      </c>
      <c r="Z54" s="48" t="n">
        <f aca="false">IF($U54&gt;=MA_SHORT,AVERAGE(INDEX($L$5:$L54,51-MA_SHORT):$L54),"")</f>
        <v>49312752.3</v>
      </c>
      <c r="AA54" s="48" t="n">
        <f aca="false">IF($U54=1,$G54-$H54,MAX($G54-$H54,ABS($G54-$I53),ABS($H54-$I53)))</f>
        <v>252</v>
      </c>
      <c r="AB54" s="48" t="n">
        <f aca="false">IF($U54&gt;=ATR_PER,AVERAGE(INDEX($AA$5:$AA54,51-ATR_PER):$AA54),"")</f>
        <v>230.5</v>
      </c>
      <c r="AC54" s="48" t="n">
        <f aca="false">$O54-$P54</f>
        <v>-7868519</v>
      </c>
      <c r="AD54" s="48" t="n">
        <f aca="false">$AC54*$I54</f>
        <v>-46959321392</v>
      </c>
      <c r="AE54" s="49" t="n">
        <f aca="false">IF($Q54&gt;0,$O54*$I54/$Q54/1000000,"")</f>
        <v>219.227485247312</v>
      </c>
      <c r="AF54" s="49" t="n">
        <f aca="false">IF($R54&gt;0,$P54*$I54/$R54/1000000,"")</f>
        <v>377.87557625</v>
      </c>
      <c r="AG54" s="50" t="n">
        <f aca="false">IF(AND(ISNUMBER($AE54),ISNUMBER($AF54),$AF54&gt;0),$AE54/$AF54,"")</f>
        <v>0.580157858898698</v>
      </c>
      <c r="AH54" s="48" t="n">
        <f aca="false">IF($U54&gt;=5,SUM(INDEX($AD$24:$AD54,32-5):$AD54),"")</f>
        <v>-31175006763</v>
      </c>
      <c r="AI54" s="48" t="n">
        <f aca="false">IF($U54&gt;=STRUCT_S,MAX(INDEX($G$5:$G54,51-STRUCT_S):$G54),"")</f>
        <v>6579</v>
      </c>
      <c r="AJ54" s="48" t="n">
        <f aca="false">IF($U54&gt;=STRUCT_S,MIN(INDEX($H$5:$H54,51-STRUCT_S):$H54),"")</f>
        <v>5879</v>
      </c>
      <c r="AK54" s="48" t="str">
        <f aca="false">IF($U54&gt;=STRUCT_L,MAX(INDEX($G$5:$G54,51-STRUCT_L):$G54),"")</f>
        <v/>
      </c>
      <c r="AL54" s="48" t="str">
        <f aca="false">IF($U54&gt;=STRUCT_L,MIN(INDEX($H$5:$H54,51-STRUCT_L):$H54),"")</f>
        <v/>
      </c>
      <c r="AM54" s="46" t="n">
        <f aca="false">IF($A54&lt;&gt;$A55,1,0)</f>
        <v>0</v>
      </c>
      <c r="AN54" s="47" t="str">
        <f aca="false">IF($AM54=1,$A54,"")</f>
        <v/>
      </c>
    </row>
    <row r="55" customFormat="false" ht="15" hidden="false" customHeight="false" outlineLevel="0" collapsed="false">
      <c r="A55" s="43" t="s">
        <v>130</v>
      </c>
      <c r="B55" s="44" t="s">
        <v>132</v>
      </c>
      <c r="C55" s="45" t="n">
        <v>45976</v>
      </c>
      <c r="D55" s="46" t="n">
        <v>20251115</v>
      </c>
      <c r="E55" s="47" t="s">
        <v>338</v>
      </c>
      <c r="F55" s="48" t="n">
        <v>5958</v>
      </c>
      <c r="G55" s="48" t="n">
        <v>5984</v>
      </c>
      <c r="H55" s="48" t="n">
        <v>5879</v>
      </c>
      <c r="I55" s="48" t="n">
        <v>5894</v>
      </c>
      <c r="J55" s="48" t="n">
        <v>5918</v>
      </c>
      <c r="K55" s="48" t="n">
        <v>5968</v>
      </c>
      <c r="L55" s="48" t="n">
        <v>75928405</v>
      </c>
      <c r="M55" s="48" t="n">
        <v>447522019070</v>
      </c>
      <c r="N55" s="48" t="n">
        <v>7546</v>
      </c>
      <c r="O55" s="48" t="n">
        <v>33502030</v>
      </c>
      <c r="P55" s="48" t="n">
        <v>41487491</v>
      </c>
      <c r="Q55" s="48" t="n">
        <v>3489</v>
      </c>
      <c r="R55" s="48" t="n">
        <v>2351</v>
      </c>
      <c r="S55" s="48" t="n">
        <v>42426375</v>
      </c>
      <c r="T55" s="48" t="n">
        <v>34440914</v>
      </c>
      <c r="U55" s="46" t="n">
        <f aca="false">IF($A55=$A54,$U54+1,1)</f>
        <v>51</v>
      </c>
      <c r="V55" s="48" t="n">
        <f aca="false">IF($U55&gt;=MA_SHORT,AVERAGE(INDEX($I$5:$I55,52-MA_SHORT):$I55),"")</f>
        <v>6286.25</v>
      </c>
      <c r="W55" s="48" t="n">
        <f aca="false">IF($U55&gt;=MA_MED,AVERAGE(INDEX($I$5:$I55,52-MA_MED):$I55),"")</f>
        <v>6108.66</v>
      </c>
      <c r="X55" s="48" t="str">
        <f aca="false">IF($U55&gt;=MA_LONG1,AVERAGE(INDEX($I$5:$I55,52-MA_LONG1):$I55),"")</f>
        <v/>
      </c>
      <c r="Y55" s="48" t="str">
        <f aca="false">IF($U55&gt;=MA_LONG2,AVERAGE(INDEX($I$5:$I55,52-MA_LONG2):$I55),"")</f>
        <v/>
      </c>
      <c r="Z55" s="48" t="n">
        <f aca="false">IF($U55&gt;=MA_SHORT,AVERAGE(INDEX($L$5:$L55,52-MA_SHORT):$L55),"")</f>
        <v>50909731.5</v>
      </c>
      <c r="AA55" s="48" t="n">
        <f aca="false">IF($U55=1,$G55-$H55,MAX($G55-$H55,ABS($G55-$I54),ABS($H55-$I54)))</f>
        <v>105</v>
      </c>
      <c r="AB55" s="48" t="n">
        <f aca="false">IF($U55&gt;=ATR_PER,AVERAGE(INDEX($AA$5:$AA55,52-ATR_PER):$AA55),"")</f>
        <v>216.285714285714</v>
      </c>
      <c r="AC55" s="48" t="n">
        <f aca="false">$O55-$P55</f>
        <v>-7985461</v>
      </c>
      <c r="AD55" s="48" t="n">
        <f aca="false">$AC55*$I55</f>
        <v>-47066307134</v>
      </c>
      <c r="AE55" s="49" t="n">
        <f aca="false">IF($Q55&gt;0,$O55*$I55/$Q55/1000000,"")</f>
        <v>56.595289429636</v>
      </c>
      <c r="AF55" s="49" t="n">
        <f aca="false">IF($R55&gt;0,$P55*$I55/$R55/1000000,"")</f>
        <v>104.009898746916</v>
      </c>
      <c r="AG55" s="50" t="n">
        <f aca="false">IF(AND(ISNUMBER($AE55),ISNUMBER($AF55),$AF55&gt;0),$AE55/$AF55,"")</f>
        <v>0.544133684500044</v>
      </c>
      <c r="AH55" s="48" t="n">
        <f aca="false">IF($U55&gt;=5,SUM(INDEX($AD$25:$AD55,32-5):$AD55),"")</f>
        <v>-114161249109</v>
      </c>
      <c r="AI55" s="48" t="n">
        <f aca="false">IF($U55&gt;=STRUCT_S,MAX(INDEX($G$5:$G55,52-STRUCT_S):$G55),"")</f>
        <v>6579</v>
      </c>
      <c r="AJ55" s="48" t="n">
        <f aca="false">IF($U55&gt;=STRUCT_S,MIN(INDEX($H$5:$H55,52-STRUCT_S):$H55),"")</f>
        <v>5879</v>
      </c>
      <c r="AK55" s="48" t="str">
        <f aca="false">IF($U55&gt;=STRUCT_L,MAX(INDEX($G$5:$G55,52-STRUCT_L):$G55),"")</f>
        <v/>
      </c>
      <c r="AL55" s="48" t="str">
        <f aca="false">IF($U55&gt;=STRUCT_L,MIN(INDEX($H$5:$H55,52-STRUCT_L):$H55),"")</f>
        <v/>
      </c>
      <c r="AM55" s="46" t="n">
        <f aca="false">IF($A55&lt;&gt;$A56,1,0)</f>
        <v>0</v>
      </c>
      <c r="AN55" s="47" t="str">
        <f aca="false">IF($AM55=1,$A55,"")</f>
        <v/>
      </c>
    </row>
    <row r="56" customFormat="false" ht="15" hidden="false" customHeight="false" outlineLevel="0" collapsed="false">
      <c r="A56" s="43" t="s">
        <v>130</v>
      </c>
      <c r="B56" s="44" t="s">
        <v>132</v>
      </c>
      <c r="C56" s="45" t="n">
        <v>45977</v>
      </c>
      <c r="D56" s="46" t="n">
        <v>20251116</v>
      </c>
      <c r="E56" s="47" t="s">
        <v>339</v>
      </c>
      <c r="F56" s="48" t="n">
        <v>5869</v>
      </c>
      <c r="G56" s="48" t="n">
        <v>5958</v>
      </c>
      <c r="H56" s="48" t="n">
        <v>5766</v>
      </c>
      <c r="I56" s="48" t="n">
        <v>5829</v>
      </c>
      <c r="J56" s="48" t="n">
        <v>5926</v>
      </c>
      <c r="K56" s="48" t="n">
        <v>5894</v>
      </c>
      <c r="L56" s="48" t="n">
        <v>45751498</v>
      </c>
      <c r="M56" s="48" t="n">
        <v>266685481842</v>
      </c>
      <c r="N56" s="48" t="n">
        <v>1072</v>
      </c>
      <c r="O56" s="48" t="n">
        <v>27103417</v>
      </c>
      <c r="P56" s="48" t="n">
        <v>17177340</v>
      </c>
      <c r="Q56" s="48" t="n">
        <v>697</v>
      </c>
      <c r="R56" s="48" t="n">
        <v>294</v>
      </c>
      <c r="S56" s="48" t="n">
        <v>18648081</v>
      </c>
      <c r="T56" s="48" t="n">
        <v>28574158</v>
      </c>
      <c r="U56" s="46" t="n">
        <f aca="false">IF($A56=$A55,$U55+1,1)</f>
        <v>52</v>
      </c>
      <c r="V56" s="48" t="n">
        <f aca="false">IF($U56&gt;=MA_SHORT,AVERAGE(INDEX($I$5:$I56,53-MA_SHORT):$I56),"")</f>
        <v>6261.55</v>
      </c>
      <c r="W56" s="48" t="n">
        <f aca="false">IF($U56&gt;=MA_MED,AVERAGE(INDEX($I$5:$I56,53-MA_MED):$I56),"")</f>
        <v>6106.54</v>
      </c>
      <c r="X56" s="48" t="str">
        <f aca="false">IF($U56&gt;=MA_LONG1,AVERAGE(INDEX($I$5:$I56,53-MA_LONG1):$I56),"")</f>
        <v/>
      </c>
      <c r="Y56" s="48" t="str">
        <f aca="false">IF($U56&gt;=MA_LONG2,AVERAGE(INDEX($I$5:$I56,53-MA_LONG2):$I56),"")</f>
        <v/>
      </c>
      <c r="Z56" s="48" t="n">
        <f aca="false">IF($U56&gt;=MA_SHORT,AVERAGE(INDEX($L$5:$L56,53-MA_SHORT):$L56),"")</f>
        <v>50482227.5</v>
      </c>
      <c r="AA56" s="48" t="n">
        <f aca="false">IF($U56=1,$G56-$H56,MAX($G56-$H56,ABS($G56-$I55),ABS($H56-$I55)))</f>
        <v>192</v>
      </c>
      <c r="AB56" s="48" t="n">
        <f aca="false">IF($U56&gt;=ATR_PER,AVERAGE(INDEX($AA$5:$AA56,53-ATR_PER):$AA56),"")</f>
        <v>218.357142857143</v>
      </c>
      <c r="AC56" s="48" t="n">
        <f aca="false">$O56-$P56</f>
        <v>9926077</v>
      </c>
      <c r="AD56" s="48" t="n">
        <f aca="false">$AC56*$I56</f>
        <v>57859102833</v>
      </c>
      <c r="AE56" s="49" t="n">
        <f aca="false">IF($Q56&gt;0,$O56*$I56/$Q56/1000000,"")</f>
        <v>226.665448626973</v>
      </c>
      <c r="AF56" s="49" t="n">
        <f aca="false">IF($R56&gt;0,$P56*$I56/$R56/1000000,"")</f>
        <v>340.567057346939</v>
      </c>
      <c r="AG56" s="50" t="n">
        <f aca="false">IF(AND(ISNUMBER($AE56),ISNUMBER($AF56),$AF56&gt;0),$AE56/$AF56,"")</f>
        <v>0.665553064329609</v>
      </c>
      <c r="AH56" s="48" t="n">
        <f aca="false">IF($U56&gt;=5,SUM(INDEX($AD$26:$AD56,32-5):$AD56),"")</f>
        <v>-53327910858</v>
      </c>
      <c r="AI56" s="48" t="n">
        <f aca="false">IF($U56&gt;=STRUCT_S,MAX(INDEX($G$5:$G56,53-STRUCT_S):$G56),"")</f>
        <v>6579</v>
      </c>
      <c r="AJ56" s="48" t="n">
        <f aca="false">IF($U56&gt;=STRUCT_S,MIN(INDEX($H$5:$H56,53-STRUCT_S):$H56),"")</f>
        <v>5766</v>
      </c>
      <c r="AK56" s="48" t="str">
        <f aca="false">IF($U56&gt;=STRUCT_L,MAX(INDEX($G$5:$G56,53-STRUCT_L):$G56),"")</f>
        <v/>
      </c>
      <c r="AL56" s="48" t="str">
        <f aca="false">IF($U56&gt;=STRUCT_L,MIN(INDEX($H$5:$H56,53-STRUCT_L):$H56),"")</f>
        <v/>
      </c>
      <c r="AM56" s="46" t="n">
        <f aca="false">IF($A56&lt;&gt;$A57,1,0)</f>
        <v>0</v>
      </c>
      <c r="AN56" s="47" t="str">
        <f aca="false">IF($AM56=1,$A56,"")</f>
        <v/>
      </c>
    </row>
    <row r="57" customFormat="false" ht="15" hidden="false" customHeight="false" outlineLevel="0" collapsed="false">
      <c r="A57" s="43" t="s">
        <v>130</v>
      </c>
      <c r="B57" s="44" t="s">
        <v>132</v>
      </c>
      <c r="C57" s="45" t="n">
        <v>45978</v>
      </c>
      <c r="D57" s="46" t="n">
        <v>20251117</v>
      </c>
      <c r="E57" s="47" t="s">
        <v>340</v>
      </c>
      <c r="F57" s="48" t="n">
        <v>5733</v>
      </c>
      <c r="G57" s="48" t="n">
        <v>5921</v>
      </c>
      <c r="H57" s="48" t="n">
        <v>5664</v>
      </c>
      <c r="I57" s="48" t="n">
        <v>5755</v>
      </c>
      <c r="J57" s="48" t="n">
        <v>5902</v>
      </c>
      <c r="K57" s="48" t="n">
        <v>5829</v>
      </c>
      <c r="L57" s="48" t="n">
        <v>46180699</v>
      </c>
      <c r="M57" s="48" t="n">
        <v>265769922745</v>
      </c>
      <c r="N57" s="48" t="n">
        <v>1769</v>
      </c>
      <c r="O57" s="48" t="n">
        <v>28900498</v>
      </c>
      <c r="P57" s="48" t="n">
        <v>15967994</v>
      </c>
      <c r="Q57" s="48" t="n">
        <v>960</v>
      </c>
      <c r="R57" s="48" t="n">
        <v>709</v>
      </c>
      <c r="S57" s="48" t="n">
        <v>17280201</v>
      </c>
      <c r="T57" s="48" t="n">
        <v>30212705</v>
      </c>
      <c r="U57" s="46" t="n">
        <f aca="false">IF($A57=$A56,$U56+1,1)</f>
        <v>53</v>
      </c>
      <c r="V57" s="48" t="n">
        <f aca="false">IF($U57&gt;=MA_SHORT,AVERAGE(INDEX($I$5:$I57,54-MA_SHORT):$I57),"")</f>
        <v>6229.2</v>
      </c>
      <c r="W57" s="48" t="n">
        <f aca="false">IF($U57&gt;=MA_MED,AVERAGE(INDEX($I$5:$I57,54-MA_MED):$I57),"")</f>
        <v>6105.68</v>
      </c>
      <c r="X57" s="48" t="str">
        <f aca="false">IF($U57&gt;=MA_LONG1,AVERAGE(INDEX($I$5:$I57,54-MA_LONG1):$I57),"")</f>
        <v/>
      </c>
      <c r="Y57" s="48" t="str">
        <f aca="false">IF($U57&gt;=MA_LONG2,AVERAGE(INDEX($I$5:$I57,54-MA_LONG2):$I57),"")</f>
        <v/>
      </c>
      <c r="Z57" s="48" t="n">
        <f aca="false">IF($U57&gt;=MA_SHORT,AVERAGE(INDEX($L$5:$L57,54-MA_SHORT):$L57),"")</f>
        <v>50201073.75</v>
      </c>
      <c r="AA57" s="48" t="n">
        <f aca="false">IF($U57=1,$G57-$H57,MAX($G57-$H57,ABS($G57-$I56),ABS($H57-$I56)))</f>
        <v>257</v>
      </c>
      <c r="AB57" s="48" t="n">
        <f aca="false">IF($U57&gt;=ATR_PER,AVERAGE(INDEX($AA$5:$AA57,54-ATR_PER):$AA57),"")</f>
        <v>215</v>
      </c>
      <c r="AC57" s="48" t="n">
        <f aca="false">$O57-$P57</f>
        <v>12932504</v>
      </c>
      <c r="AD57" s="48" t="n">
        <f aca="false">$AC57*$I57</f>
        <v>74426560520</v>
      </c>
      <c r="AE57" s="49" t="n">
        <f aca="false">IF($Q57&gt;0,$O57*$I57/$Q57/1000000,"")</f>
        <v>173.252464572917</v>
      </c>
      <c r="AF57" s="49" t="n">
        <f aca="false">IF($R57&gt;0,$P57*$I57/$R57/1000000,"")</f>
        <v>129.613265825106</v>
      </c>
      <c r="AG57" s="50" t="n">
        <f aca="false">IF(AND(ISNUMBER($AE57),ISNUMBER($AF57),$AF57&gt;0),$AE57/$AF57,"")</f>
        <v>1.33668774928251</v>
      </c>
      <c r="AH57" s="48" t="n">
        <f aca="false">IF($U57&gt;=5,SUM(INDEX($AD$27:$AD57,32-5):$AD57),"")</f>
        <v>19889559221</v>
      </c>
      <c r="AI57" s="48" t="n">
        <f aca="false">IF($U57&gt;=STRUCT_S,MAX(INDEX($G$5:$G57,54-STRUCT_S):$G57),"")</f>
        <v>6579</v>
      </c>
      <c r="AJ57" s="48" t="n">
        <f aca="false">IF($U57&gt;=STRUCT_S,MIN(INDEX($H$5:$H57,54-STRUCT_S):$H57),"")</f>
        <v>5664</v>
      </c>
      <c r="AK57" s="48" t="str">
        <f aca="false">IF($U57&gt;=STRUCT_L,MAX(INDEX($G$5:$G57,54-STRUCT_L):$G57),"")</f>
        <v/>
      </c>
      <c r="AL57" s="48" t="str">
        <f aca="false">IF($U57&gt;=STRUCT_L,MIN(INDEX($H$5:$H57,54-STRUCT_L):$H57),"")</f>
        <v/>
      </c>
      <c r="AM57" s="46" t="n">
        <f aca="false">IF($A57&lt;&gt;$A58,1,0)</f>
        <v>0</v>
      </c>
      <c r="AN57" s="47" t="str">
        <f aca="false">IF($AM57=1,$A57,"")</f>
        <v/>
      </c>
    </row>
    <row r="58" customFormat="false" ht="15" hidden="false" customHeight="false" outlineLevel="0" collapsed="false">
      <c r="A58" s="43" t="s">
        <v>130</v>
      </c>
      <c r="B58" s="44" t="s">
        <v>132</v>
      </c>
      <c r="C58" s="45" t="n">
        <v>45979</v>
      </c>
      <c r="D58" s="46" t="n">
        <v>20251118</v>
      </c>
      <c r="E58" s="47" t="s">
        <v>341</v>
      </c>
      <c r="F58" s="48" t="n">
        <v>5786</v>
      </c>
      <c r="G58" s="48" t="n">
        <v>5803</v>
      </c>
      <c r="H58" s="48" t="n">
        <v>5741</v>
      </c>
      <c r="I58" s="48" t="n">
        <v>5789</v>
      </c>
      <c r="J58" s="48" t="n">
        <v>5767</v>
      </c>
      <c r="K58" s="48" t="n">
        <v>5755</v>
      </c>
      <c r="L58" s="48" t="n">
        <v>44433173</v>
      </c>
      <c r="M58" s="48" t="n">
        <v>257223638497</v>
      </c>
      <c r="N58" s="48" t="n">
        <v>3599</v>
      </c>
      <c r="O58" s="48" t="n">
        <v>28571607</v>
      </c>
      <c r="P58" s="48" t="n">
        <v>15437775</v>
      </c>
      <c r="Q58" s="48" t="n">
        <v>1369</v>
      </c>
      <c r="R58" s="48" t="n">
        <v>2428</v>
      </c>
      <c r="S58" s="48" t="n">
        <v>15861566</v>
      </c>
      <c r="T58" s="48" t="n">
        <v>28995398</v>
      </c>
      <c r="U58" s="46" t="n">
        <f aca="false">IF($A58=$A57,$U57+1,1)</f>
        <v>54</v>
      </c>
      <c r="V58" s="48" t="n">
        <f aca="false">IF($U58&gt;=MA_SHORT,AVERAGE(INDEX($I$5:$I58,55-MA_SHORT):$I58),"")</f>
        <v>6195.8</v>
      </c>
      <c r="W58" s="48" t="n">
        <f aca="false">IF($U58&gt;=MA_MED,AVERAGE(INDEX($I$5:$I58,55-MA_MED):$I58),"")</f>
        <v>6107.92</v>
      </c>
      <c r="X58" s="48" t="str">
        <f aca="false">IF($U58&gt;=MA_LONG1,AVERAGE(INDEX($I$5:$I58,55-MA_LONG1):$I58),"")</f>
        <v/>
      </c>
      <c r="Y58" s="48" t="str">
        <f aca="false">IF($U58&gt;=MA_LONG2,AVERAGE(INDEX($I$5:$I58,55-MA_LONG2):$I58),"")</f>
        <v/>
      </c>
      <c r="Z58" s="48" t="n">
        <f aca="false">IF($U58&gt;=MA_SHORT,AVERAGE(INDEX($L$5:$L58,55-MA_SHORT):$L58),"")</f>
        <v>50166531.8</v>
      </c>
      <c r="AA58" s="48" t="n">
        <f aca="false">IF($U58=1,$G58-$H58,MAX($G58-$H58,ABS($G58-$I57),ABS($H58-$I57)))</f>
        <v>62</v>
      </c>
      <c r="AB58" s="48" t="n">
        <f aca="false">IF($U58&gt;=ATR_PER,AVERAGE(INDEX($AA$5:$AA58,55-ATR_PER):$AA58),"")</f>
        <v>201.285714285714</v>
      </c>
      <c r="AC58" s="48" t="n">
        <f aca="false">$O58-$P58</f>
        <v>13133832</v>
      </c>
      <c r="AD58" s="48" t="n">
        <f aca="false">$AC58*$I58</f>
        <v>76031753448</v>
      </c>
      <c r="AE58" s="49" t="n">
        <f aca="false">IF($Q58&gt;0,$O58*$I58/$Q58/1000000,"")</f>
        <v>120.818869921841</v>
      </c>
      <c r="AF58" s="49" t="n">
        <f aca="false">IF($R58&gt;0,$P58*$I58/$R58/1000000,"")</f>
        <v>36.8077757310544</v>
      </c>
      <c r="AG58" s="50" t="n">
        <f aca="false">IF(AND(ISNUMBER($AE58),ISNUMBER($AF58),$AF58&gt;0),$AE58/$AF58,"")</f>
        <v>3.28242789797013</v>
      </c>
      <c r="AH58" s="48" t="n">
        <f aca="false">IF($U58&gt;=5,SUM(INDEX($AD$28:$AD58,32-5):$AD58),"")</f>
        <v>114291788275</v>
      </c>
      <c r="AI58" s="48" t="n">
        <f aca="false">IF($U58&gt;=STRUCT_S,MAX(INDEX($G$5:$G58,55-STRUCT_S):$G58),"")</f>
        <v>6579</v>
      </c>
      <c r="AJ58" s="48" t="n">
        <f aca="false">IF($U58&gt;=STRUCT_S,MIN(INDEX($H$5:$H58,55-STRUCT_S):$H58),"")</f>
        <v>5664</v>
      </c>
      <c r="AK58" s="48" t="str">
        <f aca="false">IF($U58&gt;=STRUCT_L,MAX(INDEX($G$5:$G58,55-STRUCT_L):$G58),"")</f>
        <v/>
      </c>
      <c r="AL58" s="48" t="str">
        <f aca="false">IF($U58&gt;=STRUCT_L,MIN(INDEX($H$5:$H58,55-STRUCT_L):$H58),"")</f>
        <v/>
      </c>
      <c r="AM58" s="46" t="n">
        <f aca="false">IF($A58&lt;&gt;$A59,1,0)</f>
        <v>0</v>
      </c>
      <c r="AN58" s="47" t="str">
        <f aca="false">IF($AM58=1,$A58,"")</f>
        <v/>
      </c>
    </row>
    <row r="59" customFormat="false" ht="15" hidden="false" customHeight="false" outlineLevel="0" collapsed="false">
      <c r="A59" s="43" t="s">
        <v>130</v>
      </c>
      <c r="B59" s="44" t="s">
        <v>132</v>
      </c>
      <c r="C59" s="45" t="n">
        <v>45980</v>
      </c>
      <c r="D59" s="46" t="n">
        <v>20251119</v>
      </c>
      <c r="E59" s="47" t="s">
        <v>342</v>
      </c>
      <c r="F59" s="48" t="n">
        <v>5799</v>
      </c>
      <c r="G59" s="48" t="n">
        <v>6050</v>
      </c>
      <c r="H59" s="48" t="n">
        <v>5659</v>
      </c>
      <c r="I59" s="48" t="n">
        <v>5917</v>
      </c>
      <c r="J59" s="48" t="n">
        <v>5803</v>
      </c>
      <c r="K59" s="48" t="n">
        <v>5789</v>
      </c>
      <c r="L59" s="48" t="n">
        <v>48604995</v>
      </c>
      <c r="M59" s="48" t="n">
        <v>287595755415</v>
      </c>
      <c r="N59" s="48" t="n">
        <v>2038</v>
      </c>
      <c r="O59" s="48" t="n">
        <v>30077124</v>
      </c>
      <c r="P59" s="48" t="n">
        <v>13798151</v>
      </c>
      <c r="Q59" s="48" t="n">
        <v>714</v>
      </c>
      <c r="R59" s="48" t="n">
        <v>1300</v>
      </c>
      <c r="S59" s="48" t="n">
        <v>18527871</v>
      </c>
      <c r="T59" s="48" t="n">
        <v>34806844</v>
      </c>
      <c r="U59" s="46" t="n">
        <f aca="false">IF($A59=$A58,$U58+1,1)</f>
        <v>55</v>
      </c>
      <c r="V59" s="48" t="n">
        <f aca="false">IF($U59&gt;=MA_SHORT,AVERAGE(INDEX($I$5:$I59,56-MA_SHORT):$I59),"")</f>
        <v>6168.7</v>
      </c>
      <c r="W59" s="48" t="n">
        <f aca="false">IF($U59&gt;=MA_MED,AVERAGE(INDEX($I$5:$I59,56-MA_MED):$I59),"")</f>
        <v>6112.22</v>
      </c>
      <c r="X59" s="48" t="str">
        <f aca="false">IF($U59&gt;=MA_LONG1,AVERAGE(INDEX($I$5:$I59,56-MA_LONG1):$I59),"")</f>
        <v/>
      </c>
      <c r="Y59" s="48" t="str">
        <f aca="false">IF($U59&gt;=MA_LONG2,AVERAGE(INDEX($I$5:$I59,56-MA_LONG2):$I59),"")</f>
        <v/>
      </c>
      <c r="Z59" s="48" t="n">
        <f aca="false">IF($U59&gt;=MA_SHORT,AVERAGE(INDEX($L$5:$L59,56-MA_SHORT):$L59),"")</f>
        <v>50447191.55</v>
      </c>
      <c r="AA59" s="48" t="n">
        <f aca="false">IF($U59=1,$G59-$H59,MAX($G59-$H59,ABS($G59-$I58),ABS($H59-$I58)))</f>
        <v>391</v>
      </c>
      <c r="AB59" s="48" t="n">
        <f aca="false">IF($U59&gt;=ATR_PER,AVERAGE(INDEX($AA$5:$AA59,56-ATR_PER):$AA59),"")</f>
        <v>209.928571428571</v>
      </c>
      <c r="AC59" s="48" t="n">
        <f aca="false">$O59-$P59</f>
        <v>16278973</v>
      </c>
      <c r="AD59" s="48" t="n">
        <f aca="false">$AC59*$I59</f>
        <v>96322683241</v>
      </c>
      <c r="AE59" s="49" t="n">
        <f aca="false">IF($Q59&gt;0,$O59*$I59/$Q59/1000000,"")</f>
        <v>249.252580823529</v>
      </c>
      <c r="AF59" s="49" t="n">
        <f aca="false">IF($R59&gt;0,$P59*$I59/$R59/1000000,"")</f>
        <v>62.8028149746154</v>
      </c>
      <c r="AG59" s="50" t="n">
        <f aca="false">IF(AND(ISNUMBER($AE59),ISNUMBER($AF59),$AF59&gt;0),$AE59/$AF59,"")</f>
        <v>3.96881224072959</v>
      </c>
      <c r="AH59" s="48" t="n">
        <f aca="false">IF($U59&gt;=5,SUM(INDEX($AD$29:$AD59,32-5):$AD59),"")</f>
        <v>257573792908</v>
      </c>
      <c r="AI59" s="48" t="n">
        <f aca="false">IF($U59&gt;=STRUCT_S,MAX(INDEX($G$5:$G59,56-STRUCT_S):$G59),"")</f>
        <v>6579</v>
      </c>
      <c r="AJ59" s="48" t="n">
        <f aca="false">IF($U59&gt;=STRUCT_S,MIN(INDEX($H$5:$H59,56-STRUCT_S):$H59),"")</f>
        <v>5659</v>
      </c>
      <c r="AK59" s="48" t="str">
        <f aca="false">IF($U59&gt;=STRUCT_L,MAX(INDEX($G$5:$G59,56-STRUCT_L):$G59),"")</f>
        <v/>
      </c>
      <c r="AL59" s="48" t="str">
        <f aca="false">IF($U59&gt;=STRUCT_L,MIN(INDEX($H$5:$H59,56-STRUCT_L):$H59),"")</f>
        <v/>
      </c>
      <c r="AM59" s="46" t="n">
        <f aca="false">IF($A59&lt;&gt;$A60,1,0)</f>
        <v>0</v>
      </c>
      <c r="AN59" s="47" t="str">
        <f aca="false">IF($AM59=1,$A59,"")</f>
        <v/>
      </c>
    </row>
    <row r="60" customFormat="false" ht="15" hidden="false" customHeight="false" outlineLevel="0" collapsed="false">
      <c r="A60" s="43" t="s">
        <v>130</v>
      </c>
      <c r="B60" s="44" t="s">
        <v>132</v>
      </c>
      <c r="C60" s="45" t="n">
        <v>45983</v>
      </c>
      <c r="D60" s="46" t="n">
        <v>20251122</v>
      </c>
      <c r="E60" s="47" t="s">
        <v>343</v>
      </c>
      <c r="F60" s="48" t="n">
        <v>5980</v>
      </c>
      <c r="G60" s="48" t="n">
        <v>6040</v>
      </c>
      <c r="H60" s="48" t="n">
        <v>5842</v>
      </c>
      <c r="I60" s="48" t="n">
        <v>5965</v>
      </c>
      <c r="J60" s="48" t="n">
        <v>6009</v>
      </c>
      <c r="K60" s="48" t="n">
        <v>5917</v>
      </c>
      <c r="L60" s="48" t="n">
        <v>149483857</v>
      </c>
      <c r="M60" s="48" t="n">
        <v>891671207005</v>
      </c>
      <c r="N60" s="48" t="n">
        <v>11677</v>
      </c>
      <c r="O60" s="48" t="n">
        <v>79473966</v>
      </c>
      <c r="P60" s="48" t="n">
        <v>70282160</v>
      </c>
      <c r="Q60" s="48" t="n">
        <v>4289</v>
      </c>
      <c r="R60" s="48" t="n">
        <v>8980</v>
      </c>
      <c r="S60" s="48" t="n">
        <v>70009891</v>
      </c>
      <c r="T60" s="48" t="n">
        <v>79201697</v>
      </c>
      <c r="U60" s="46" t="n">
        <f aca="false">IF($A60=$A59,$U59+1,1)</f>
        <v>56</v>
      </c>
      <c r="V60" s="48" t="n">
        <f aca="false">IF($U60&gt;=MA_SHORT,AVERAGE(INDEX($I$5:$I60,57-MA_SHORT):$I60),"")</f>
        <v>6144.15</v>
      </c>
      <c r="W60" s="48" t="n">
        <f aca="false">IF($U60&gt;=MA_MED,AVERAGE(INDEX($I$5:$I60,57-MA_MED):$I60),"")</f>
        <v>6118.42</v>
      </c>
      <c r="X60" s="48" t="str">
        <f aca="false">IF($U60&gt;=MA_LONG1,AVERAGE(INDEX($I$5:$I60,57-MA_LONG1):$I60),"")</f>
        <v/>
      </c>
      <c r="Y60" s="48" t="str">
        <f aca="false">IF($U60&gt;=MA_LONG2,AVERAGE(INDEX($I$5:$I60,57-MA_LONG2):$I60),"")</f>
        <v/>
      </c>
      <c r="Z60" s="48" t="n">
        <f aca="false">IF($U60&gt;=MA_SHORT,AVERAGE(INDEX($L$5:$L60,57-MA_SHORT):$L60),"")</f>
        <v>55769802.5</v>
      </c>
      <c r="AA60" s="48" t="n">
        <f aca="false">IF($U60=1,$G60-$H60,MAX($G60-$H60,ABS($G60-$I59),ABS($H60-$I59)))</f>
        <v>198</v>
      </c>
      <c r="AB60" s="48" t="n">
        <f aca="false">IF($U60&gt;=ATR_PER,AVERAGE(INDEX($AA$5:$AA60,57-ATR_PER):$AA60),"")</f>
        <v>211.571428571429</v>
      </c>
      <c r="AC60" s="48" t="n">
        <f aca="false">$O60-$P60</f>
        <v>9191806</v>
      </c>
      <c r="AD60" s="48" t="n">
        <f aca="false">$AC60*$I60</f>
        <v>54829122790</v>
      </c>
      <c r="AE60" s="49" t="n">
        <f aca="false">IF($Q60&gt;0,$O60*$I60/$Q60/1000000,"")</f>
        <v>110.529775516437</v>
      </c>
      <c r="AF60" s="49" t="n">
        <f aca="false">IF($R60&gt;0,$P60*$I60/$R60/1000000,"")</f>
        <v>46.6851987082405</v>
      </c>
      <c r="AG60" s="50" t="n">
        <f aca="false">IF(AND(ISNUMBER($AE60),ISNUMBER($AF60),$AF60&gt;0),$AE60/$AF60,"")</f>
        <v>2.367554997617</v>
      </c>
      <c r="AH60" s="48" t="n">
        <f aca="false">IF($U60&gt;=5,SUM(INDEX($AD$30:$AD60,32-5):$AD60),"")</f>
        <v>359469222832</v>
      </c>
      <c r="AI60" s="48" t="n">
        <f aca="false">IF($U60&gt;=STRUCT_S,MAX(INDEX($G$5:$G60,57-STRUCT_S):$G60),"")</f>
        <v>6579</v>
      </c>
      <c r="AJ60" s="48" t="n">
        <f aca="false">IF($U60&gt;=STRUCT_S,MIN(INDEX($H$5:$H60,57-STRUCT_S):$H60),"")</f>
        <v>5659</v>
      </c>
      <c r="AK60" s="48" t="str">
        <f aca="false">IF($U60&gt;=STRUCT_L,MAX(INDEX($G$5:$G60,57-STRUCT_L):$G60),"")</f>
        <v/>
      </c>
      <c r="AL60" s="48" t="str">
        <f aca="false">IF($U60&gt;=STRUCT_L,MIN(INDEX($H$5:$H60,57-STRUCT_L):$H60),"")</f>
        <v/>
      </c>
      <c r="AM60" s="46" t="n">
        <f aca="false">IF($A60&lt;&gt;$A61,1,0)</f>
        <v>0</v>
      </c>
      <c r="AN60" s="47" t="str">
        <f aca="false">IF($AM60=1,$A60,"")</f>
        <v/>
      </c>
    </row>
    <row r="61" customFormat="false" ht="15" hidden="false" customHeight="false" outlineLevel="0" collapsed="false">
      <c r="A61" s="43" t="s">
        <v>130</v>
      </c>
      <c r="B61" s="44" t="s">
        <v>132</v>
      </c>
      <c r="C61" s="45" t="n">
        <v>45984</v>
      </c>
      <c r="D61" s="46" t="n">
        <v>20251123</v>
      </c>
      <c r="E61" s="47" t="s">
        <v>344</v>
      </c>
      <c r="F61" s="48" t="n">
        <v>5974</v>
      </c>
      <c r="G61" s="48" t="n">
        <v>6000</v>
      </c>
      <c r="H61" s="48" t="n">
        <v>5863</v>
      </c>
      <c r="I61" s="48" t="n">
        <v>5897</v>
      </c>
      <c r="J61" s="48" t="n">
        <v>5908</v>
      </c>
      <c r="K61" s="48" t="n">
        <v>5965</v>
      </c>
      <c r="L61" s="48" t="n">
        <v>55216579</v>
      </c>
      <c r="M61" s="48" t="n">
        <v>325612166363</v>
      </c>
      <c r="N61" s="48" t="n">
        <v>1258</v>
      </c>
      <c r="O61" s="48" t="n">
        <v>27192101</v>
      </c>
      <c r="P61" s="48" t="n">
        <v>25459088</v>
      </c>
      <c r="Q61" s="48" t="n">
        <v>671</v>
      </c>
      <c r="R61" s="48" t="n">
        <v>376</v>
      </c>
      <c r="S61" s="48" t="n">
        <v>28024478</v>
      </c>
      <c r="T61" s="48" t="n">
        <v>29757491</v>
      </c>
      <c r="U61" s="46" t="n">
        <f aca="false">IF($A61=$A60,$U60+1,1)</f>
        <v>57</v>
      </c>
      <c r="V61" s="48" t="n">
        <f aca="false">IF($U61&gt;=MA_SHORT,AVERAGE(INDEX($I$5:$I61,58-MA_SHORT):$I61),"")</f>
        <v>6119.15</v>
      </c>
      <c r="W61" s="48" t="n">
        <f aca="false">IF($U61&gt;=MA_MED,AVERAGE(INDEX($I$5:$I61,58-MA_MED):$I61),"")</f>
        <v>6120.12</v>
      </c>
      <c r="X61" s="48" t="str">
        <f aca="false">IF($U61&gt;=MA_LONG1,AVERAGE(INDEX($I$5:$I61,58-MA_LONG1):$I61),"")</f>
        <v/>
      </c>
      <c r="Y61" s="48" t="str">
        <f aca="false">IF($U61&gt;=MA_LONG2,AVERAGE(INDEX($I$5:$I61,58-MA_LONG2):$I61),"")</f>
        <v/>
      </c>
      <c r="Z61" s="48" t="n">
        <f aca="false">IF($U61&gt;=MA_SHORT,AVERAGE(INDEX($L$5:$L61,58-MA_SHORT):$L61),"")</f>
        <v>56144868.85</v>
      </c>
      <c r="AA61" s="48" t="n">
        <f aca="false">IF($U61=1,$G61-$H61,MAX($G61-$H61,ABS($G61-$I60),ABS($H61-$I60)))</f>
        <v>137</v>
      </c>
      <c r="AB61" s="48" t="n">
        <f aca="false">IF($U61&gt;=ATR_PER,AVERAGE(INDEX($AA$5:$AA61,58-ATR_PER):$AA61),"")</f>
        <v>206.142857142857</v>
      </c>
      <c r="AC61" s="48" t="n">
        <f aca="false">$O61-$P61</f>
        <v>1733013</v>
      </c>
      <c r="AD61" s="48" t="n">
        <f aca="false">$AC61*$I61</f>
        <v>10219577661</v>
      </c>
      <c r="AE61" s="49" t="n">
        <f aca="false">IF($Q61&gt;0,$O61*$I61/$Q61/1000000,"")</f>
        <v>238.974395822653</v>
      </c>
      <c r="AF61" s="49" t="n">
        <f aca="false">IF($R61&gt;0,$P61*$I61/$R61/1000000,"")</f>
        <v>399.287877489362</v>
      </c>
      <c r="AG61" s="50" t="n">
        <f aca="false">IF(AND(ISNUMBER($AE61),ISNUMBER($AF61),$AF61&gt;0),$AE61/$AF61,"")</f>
        <v>0.598501505543503</v>
      </c>
      <c r="AH61" s="48" t="n">
        <f aca="false">IF($U61&gt;=5,SUM(INDEX($AD$31:$AD61,32-5):$AD61),"")</f>
        <v>311829697660</v>
      </c>
      <c r="AI61" s="48" t="n">
        <f aca="false">IF($U61&gt;=STRUCT_S,MAX(INDEX($G$5:$G61,58-STRUCT_S):$G61),"")</f>
        <v>6532</v>
      </c>
      <c r="AJ61" s="48" t="n">
        <f aca="false">IF($U61&gt;=STRUCT_S,MIN(INDEX($H$5:$H61,58-STRUCT_S):$H61),"")</f>
        <v>5659</v>
      </c>
      <c r="AK61" s="48" t="str">
        <f aca="false">IF($U61&gt;=STRUCT_L,MAX(INDEX($G$5:$G61,58-STRUCT_L):$G61),"")</f>
        <v/>
      </c>
      <c r="AL61" s="48" t="str">
        <f aca="false">IF($U61&gt;=STRUCT_L,MIN(INDEX($H$5:$H61,58-STRUCT_L):$H61),"")</f>
        <v/>
      </c>
      <c r="AM61" s="46" t="n">
        <f aca="false">IF($A61&lt;&gt;$A62,1,0)</f>
        <v>0</v>
      </c>
      <c r="AN61" s="47" t="str">
        <f aca="false">IF($AM61=1,$A61,"")</f>
        <v/>
      </c>
    </row>
    <row r="62" customFormat="false" ht="15" hidden="false" customHeight="false" outlineLevel="0" collapsed="false">
      <c r="A62" s="43" t="s">
        <v>130</v>
      </c>
      <c r="B62" s="44" t="s">
        <v>132</v>
      </c>
      <c r="C62" s="45" t="n">
        <v>45985</v>
      </c>
      <c r="D62" s="46" t="n">
        <v>20251124</v>
      </c>
      <c r="E62" s="47" t="s">
        <v>345</v>
      </c>
      <c r="F62" s="48" t="n">
        <v>5967</v>
      </c>
      <c r="G62" s="48" t="n">
        <v>6100</v>
      </c>
      <c r="H62" s="48" t="n">
        <v>5870</v>
      </c>
      <c r="I62" s="48" t="n">
        <v>6072</v>
      </c>
      <c r="J62" s="48" t="n">
        <v>6075</v>
      </c>
      <c r="K62" s="48" t="n">
        <v>5897</v>
      </c>
      <c r="L62" s="48" t="n">
        <v>76404781</v>
      </c>
      <c r="M62" s="48" t="n">
        <v>463929830232</v>
      </c>
      <c r="N62" s="48" t="n">
        <v>3877</v>
      </c>
      <c r="O62" s="48" t="n">
        <v>42750253</v>
      </c>
      <c r="P62" s="48" t="n">
        <v>34068938</v>
      </c>
      <c r="Q62" s="48" t="n">
        <v>1147</v>
      </c>
      <c r="R62" s="48" t="n">
        <v>2103</v>
      </c>
      <c r="S62" s="48" t="n">
        <v>33654528</v>
      </c>
      <c r="T62" s="48" t="n">
        <v>42335843</v>
      </c>
      <c r="U62" s="46" t="n">
        <f aca="false">IF($A62=$A61,$U61+1,1)</f>
        <v>58</v>
      </c>
      <c r="V62" s="48" t="n">
        <f aca="false">IF($U62&gt;=MA_SHORT,AVERAGE(INDEX($I$5:$I62,59-MA_SHORT):$I62),"")</f>
        <v>6104.35</v>
      </c>
      <c r="W62" s="48" t="n">
        <f aca="false">IF($U62&gt;=MA_MED,AVERAGE(INDEX($I$5:$I62,59-MA_MED):$I62),"")</f>
        <v>6123.88</v>
      </c>
      <c r="X62" s="48" t="str">
        <f aca="false">IF($U62&gt;=MA_LONG1,AVERAGE(INDEX($I$5:$I62,59-MA_LONG1):$I62),"")</f>
        <v/>
      </c>
      <c r="Y62" s="48" t="str">
        <f aca="false">IF($U62&gt;=MA_LONG2,AVERAGE(INDEX($I$5:$I62,59-MA_LONG2):$I62),"")</f>
        <v/>
      </c>
      <c r="Z62" s="48" t="n">
        <f aca="false">IF($U62&gt;=MA_SHORT,AVERAGE(INDEX($L$5:$L62,59-MA_SHORT):$L62),"")</f>
        <v>57761144.45</v>
      </c>
      <c r="AA62" s="48" t="n">
        <f aca="false">IF($U62=1,$G62-$H62,MAX($G62-$H62,ABS($G62-$I61),ABS($H62-$I61)))</f>
        <v>230</v>
      </c>
      <c r="AB62" s="48" t="n">
        <f aca="false">IF($U62&gt;=ATR_PER,AVERAGE(INDEX($AA$5:$AA62,59-ATR_PER):$AA62),"")</f>
        <v>209.5</v>
      </c>
      <c r="AC62" s="48" t="n">
        <f aca="false">$O62-$P62</f>
        <v>8681315</v>
      </c>
      <c r="AD62" s="48" t="n">
        <f aca="false">$AC62*$I62</f>
        <v>52712944680</v>
      </c>
      <c r="AE62" s="49" t="n">
        <f aca="false">IF($Q62&gt;0,$O62*$I62/$Q62/1000000,"")</f>
        <v>226.311714224935</v>
      </c>
      <c r="AF62" s="49" t="n">
        <f aca="false">IF($R62&gt;0,$P62*$I62/$R62/1000000,"")</f>
        <v>98.3673759087019</v>
      </c>
      <c r="AG62" s="50" t="n">
        <f aca="false">IF(AND(ISNUMBER($AE62),ISNUMBER($AF62),$AF62&gt;0),$AE62/$AF62,"")</f>
        <v>2.30067857492694</v>
      </c>
      <c r="AH62" s="48" t="n">
        <f aca="false">IF($U62&gt;=5,SUM(INDEX($AD$32:$AD62,32-5):$AD62),"")</f>
        <v>290116081820</v>
      </c>
      <c r="AI62" s="48" t="n">
        <f aca="false">IF($U62&gt;=STRUCT_S,MAX(INDEX($G$5:$G62,59-STRUCT_S):$G62),"")</f>
        <v>6532</v>
      </c>
      <c r="AJ62" s="48" t="n">
        <f aca="false">IF($U62&gt;=STRUCT_S,MIN(INDEX($H$5:$H62,59-STRUCT_S):$H62),"")</f>
        <v>5659</v>
      </c>
      <c r="AK62" s="48" t="str">
        <f aca="false">IF($U62&gt;=STRUCT_L,MAX(INDEX($G$5:$G62,59-STRUCT_L):$G62),"")</f>
        <v/>
      </c>
      <c r="AL62" s="48" t="str">
        <f aca="false">IF($U62&gt;=STRUCT_L,MIN(INDEX($H$5:$H62,59-STRUCT_L):$H62),"")</f>
        <v/>
      </c>
      <c r="AM62" s="46" t="n">
        <f aca="false">IF($A62&lt;&gt;$A63,1,0)</f>
        <v>0</v>
      </c>
      <c r="AN62" s="47" t="str">
        <f aca="false">IF($AM62=1,$A62,"")</f>
        <v/>
      </c>
    </row>
    <row r="63" customFormat="false" ht="15" hidden="false" customHeight="false" outlineLevel="0" collapsed="false">
      <c r="A63" s="43" t="s">
        <v>130</v>
      </c>
      <c r="B63" s="44" t="s">
        <v>132</v>
      </c>
      <c r="C63" s="45" t="n">
        <v>45986</v>
      </c>
      <c r="D63" s="46" t="n">
        <v>20251125</v>
      </c>
      <c r="E63" s="47" t="s">
        <v>346</v>
      </c>
      <c r="F63" s="48" t="n">
        <v>6001</v>
      </c>
      <c r="G63" s="48" t="n">
        <v>6204</v>
      </c>
      <c r="H63" s="48" t="n">
        <v>5998</v>
      </c>
      <c r="I63" s="48" t="n">
        <v>6129</v>
      </c>
      <c r="J63" s="48" t="n">
        <v>6095</v>
      </c>
      <c r="K63" s="48" t="n">
        <v>6072</v>
      </c>
      <c r="L63" s="48" t="n">
        <v>45329034</v>
      </c>
      <c r="M63" s="48" t="n">
        <v>277821649386</v>
      </c>
      <c r="N63" s="48" t="n">
        <v>2313</v>
      </c>
      <c r="O63" s="48" t="n">
        <v>25239892</v>
      </c>
      <c r="P63" s="48" t="n">
        <v>20685159</v>
      </c>
      <c r="Q63" s="48" t="n">
        <v>842</v>
      </c>
      <c r="R63" s="48" t="n">
        <v>1730</v>
      </c>
      <c r="S63" s="48" t="n">
        <v>20089142</v>
      </c>
      <c r="T63" s="48" t="n">
        <v>24643875</v>
      </c>
      <c r="U63" s="46" t="n">
        <f aca="false">IF($A63=$A62,$U62+1,1)</f>
        <v>59</v>
      </c>
      <c r="V63" s="48" t="n">
        <f aca="false">IF($U63&gt;=MA_SHORT,AVERAGE(INDEX($I$5:$I63,60-MA_SHORT):$I63),"")</f>
        <v>6091.25</v>
      </c>
      <c r="W63" s="48" t="n">
        <f aca="false">IF($U63&gt;=MA_MED,AVERAGE(INDEX($I$5:$I63,60-MA_MED):$I63),"")</f>
        <v>6127.86</v>
      </c>
      <c r="X63" s="48" t="str">
        <f aca="false">IF($U63&gt;=MA_LONG1,AVERAGE(INDEX($I$5:$I63,60-MA_LONG1):$I63),"")</f>
        <v/>
      </c>
      <c r="Y63" s="48" t="str">
        <f aca="false">IF($U63&gt;=MA_LONG2,AVERAGE(INDEX($I$5:$I63,60-MA_LONG2):$I63),"")</f>
        <v/>
      </c>
      <c r="Z63" s="48" t="n">
        <f aca="false">IF($U63&gt;=MA_SHORT,AVERAGE(INDEX($L$5:$L63,60-MA_SHORT):$L63),"")</f>
        <v>57835496.6</v>
      </c>
      <c r="AA63" s="48" t="n">
        <f aca="false">IF($U63=1,$G63-$H63,MAX($G63-$H63,ABS($G63-$I62),ABS($H63-$I62)))</f>
        <v>206</v>
      </c>
      <c r="AB63" s="48" t="n">
        <f aca="false">IF($U63&gt;=ATR_PER,AVERAGE(INDEX($AA$5:$AA63,60-ATR_PER):$AA63),"")</f>
        <v>211.071428571429</v>
      </c>
      <c r="AC63" s="48" t="n">
        <f aca="false">$O63-$P63</f>
        <v>4554733</v>
      </c>
      <c r="AD63" s="48" t="n">
        <f aca="false">$AC63*$I63</f>
        <v>27915958557</v>
      </c>
      <c r="AE63" s="49" t="n">
        <f aca="false">IF($Q63&gt;0,$O63*$I63/$Q63/1000000,"")</f>
        <v>183.723631909739</v>
      </c>
      <c r="AF63" s="49" t="n">
        <f aca="false">IF($R63&gt;0,$P63*$I63/$R63/1000000,"")</f>
        <v>73.2828552086705</v>
      </c>
      <c r="AG63" s="50" t="n">
        <f aca="false">IF(AND(ISNUMBER($AE63),ISNUMBER($AF63),$AF63&gt;0),$AE63/$AF63,"")</f>
        <v>2.50704794984573</v>
      </c>
      <c r="AH63" s="48" t="n">
        <f aca="false">IF($U63&gt;=5,SUM(INDEX($AD$33:$AD63,32-5):$AD63),"")</f>
        <v>242000286929</v>
      </c>
      <c r="AI63" s="48" t="n">
        <f aca="false">IF($U63&gt;=STRUCT_S,MAX(INDEX($G$5:$G63,60-STRUCT_S):$G63),"")</f>
        <v>6527</v>
      </c>
      <c r="AJ63" s="48" t="n">
        <f aca="false">IF($U63&gt;=STRUCT_S,MIN(INDEX($H$5:$H63,60-STRUCT_S):$H63),"")</f>
        <v>5659</v>
      </c>
      <c r="AK63" s="48" t="str">
        <f aca="false">IF($U63&gt;=STRUCT_L,MAX(INDEX($G$5:$G63,60-STRUCT_L):$G63),"")</f>
        <v/>
      </c>
      <c r="AL63" s="48" t="str">
        <f aca="false">IF($U63&gt;=STRUCT_L,MIN(INDEX($H$5:$H63,60-STRUCT_L):$H63),"")</f>
        <v/>
      </c>
      <c r="AM63" s="46" t="n">
        <f aca="false">IF($A63&lt;&gt;$A64,1,0)</f>
        <v>0</v>
      </c>
      <c r="AN63" s="47" t="str">
        <f aca="false">IF($AM63=1,$A63,"")</f>
        <v/>
      </c>
    </row>
    <row r="64" customFormat="false" ht="15" hidden="false" customHeight="false" outlineLevel="0" collapsed="false">
      <c r="A64" s="43" t="s">
        <v>130</v>
      </c>
      <c r="B64" s="44" t="s">
        <v>132</v>
      </c>
      <c r="C64" s="45" t="n">
        <v>45987</v>
      </c>
      <c r="D64" s="46" t="n">
        <v>20251126</v>
      </c>
      <c r="E64" s="47" t="s">
        <v>347</v>
      </c>
      <c r="F64" s="48" t="n">
        <v>6040</v>
      </c>
      <c r="G64" s="48" t="n">
        <v>6357</v>
      </c>
      <c r="H64" s="48" t="n">
        <v>6012</v>
      </c>
      <c r="I64" s="48" t="n">
        <v>6238</v>
      </c>
      <c r="J64" s="48" t="n">
        <v>6179</v>
      </c>
      <c r="K64" s="48" t="n">
        <v>6129</v>
      </c>
      <c r="L64" s="48" t="n">
        <v>58730904</v>
      </c>
      <c r="M64" s="48" t="n">
        <v>366363379152</v>
      </c>
      <c r="N64" s="48" t="n">
        <v>1462</v>
      </c>
      <c r="O64" s="48" t="n">
        <v>42106505</v>
      </c>
      <c r="P64" s="48" t="n">
        <v>19518140</v>
      </c>
      <c r="Q64" s="48" t="n">
        <v>505</v>
      </c>
      <c r="R64" s="48" t="n">
        <v>1040</v>
      </c>
      <c r="S64" s="48" t="n">
        <v>16624399</v>
      </c>
      <c r="T64" s="48" t="n">
        <v>39212764</v>
      </c>
      <c r="U64" s="46" t="n">
        <f aca="false">IF($A64=$A63,$U63+1,1)</f>
        <v>60</v>
      </c>
      <c r="V64" s="48" t="n">
        <f aca="false">IF($U64&gt;=MA_SHORT,AVERAGE(INDEX($I$5:$I64,61-MA_SHORT):$I64),"")</f>
        <v>6082.75</v>
      </c>
      <c r="W64" s="48" t="n">
        <f aca="false">IF($U64&gt;=MA_MED,AVERAGE(INDEX($I$5:$I64,61-MA_MED):$I64),"")</f>
        <v>6134.4</v>
      </c>
      <c r="X64" s="48" t="str">
        <f aca="false">IF($U64&gt;=MA_LONG1,AVERAGE(INDEX($I$5:$I64,61-MA_LONG1):$I64),"")</f>
        <v/>
      </c>
      <c r="Y64" s="48" t="str">
        <f aca="false">IF($U64&gt;=MA_LONG2,AVERAGE(INDEX($I$5:$I64,61-MA_LONG2):$I64),"")</f>
        <v/>
      </c>
      <c r="Z64" s="48" t="n">
        <f aca="false">IF($U64&gt;=MA_SHORT,AVERAGE(INDEX($L$5:$L64,61-MA_SHORT):$L64),"")</f>
        <v>58592195.55</v>
      </c>
      <c r="AA64" s="48" t="n">
        <f aca="false">IF($U64=1,$G64-$H64,MAX($G64-$H64,ABS($G64-$I63),ABS($H64-$I63)))</f>
        <v>345</v>
      </c>
      <c r="AB64" s="48" t="n">
        <f aca="false">IF($U64&gt;=ATR_PER,AVERAGE(INDEX($AA$5:$AA64,61-ATR_PER):$AA64),"")</f>
        <v>219.071428571429</v>
      </c>
      <c r="AC64" s="48" t="n">
        <f aca="false">$O64-$P64</f>
        <v>22588365</v>
      </c>
      <c r="AD64" s="48" t="n">
        <f aca="false">$AC64*$I64</f>
        <v>140906220870</v>
      </c>
      <c r="AE64" s="49" t="n">
        <f aca="false">IF($Q64&gt;0,$O64*$I64/$Q64/1000000,"")</f>
        <v>520.119560772277</v>
      </c>
      <c r="AF64" s="49" t="n">
        <f aca="false">IF($R64&gt;0,$P64*$I64/$R64/1000000,"")</f>
        <v>117.071305115385</v>
      </c>
      <c r="AG64" s="50" t="n">
        <f aca="false">IF(AND(ISNUMBER($AE64),ISNUMBER($AF64),$AF64&gt;0),$AE64/$AF64,"")</f>
        <v>4.44275871239029</v>
      </c>
      <c r="AH64" s="48" t="n">
        <f aca="false">IF($U64&gt;=5,SUM(INDEX($AD$34:$AD64,32-5):$AD64),"")</f>
        <v>286583824558</v>
      </c>
      <c r="AI64" s="48" t="n">
        <f aca="false">IF($U64&gt;=STRUCT_S,MAX(INDEX($G$5:$G64,61-STRUCT_S):$G64),"")</f>
        <v>6516</v>
      </c>
      <c r="AJ64" s="48" t="n">
        <f aca="false">IF($U64&gt;=STRUCT_S,MIN(INDEX($H$5:$H64,61-STRUCT_S):$H64),"")</f>
        <v>5659</v>
      </c>
      <c r="AK64" s="48" t="n">
        <f aca="false">IF($U64&gt;=STRUCT_L,MAX(INDEX($G$5:$G64,61-STRUCT_L):$G64),"")</f>
        <v>6579</v>
      </c>
      <c r="AL64" s="48" t="n">
        <f aca="false">IF($U64&gt;=STRUCT_L,MIN(INDEX($H$5:$H64,61-STRUCT_L):$H64),"")</f>
        <v>5571</v>
      </c>
      <c r="AM64" s="46" t="n">
        <f aca="false">IF($A64&lt;&gt;$A65,1,0)</f>
        <v>0</v>
      </c>
      <c r="AN64" s="47" t="str">
        <f aca="false">IF($AM64=1,$A64,"")</f>
        <v/>
      </c>
    </row>
    <row r="65" customFormat="false" ht="15" hidden="false" customHeight="false" outlineLevel="0" collapsed="false">
      <c r="A65" s="43" t="s">
        <v>130</v>
      </c>
      <c r="B65" s="44" t="s">
        <v>132</v>
      </c>
      <c r="C65" s="45" t="n">
        <v>45990</v>
      </c>
      <c r="D65" s="46" t="n">
        <v>20251129</v>
      </c>
      <c r="E65" s="47" t="s">
        <v>348</v>
      </c>
      <c r="F65" s="48" t="n">
        <v>6205</v>
      </c>
      <c r="G65" s="48" t="n">
        <v>6279</v>
      </c>
      <c r="H65" s="48" t="n">
        <v>6094</v>
      </c>
      <c r="I65" s="48" t="n">
        <v>6134</v>
      </c>
      <c r="J65" s="48" t="n">
        <v>6222</v>
      </c>
      <c r="K65" s="48" t="n">
        <v>6238</v>
      </c>
      <c r="L65" s="48" t="n">
        <v>49408999</v>
      </c>
      <c r="M65" s="48" t="n">
        <v>303074799866</v>
      </c>
      <c r="N65" s="48" t="n">
        <v>1927</v>
      </c>
      <c r="O65" s="48" t="n">
        <v>28431706</v>
      </c>
      <c r="P65" s="48" t="n">
        <v>19422797</v>
      </c>
      <c r="Q65" s="48" t="n">
        <v>1272</v>
      </c>
      <c r="R65" s="48" t="n">
        <v>723</v>
      </c>
      <c r="S65" s="48" t="n">
        <v>20977293</v>
      </c>
      <c r="T65" s="48" t="n">
        <v>29986202</v>
      </c>
      <c r="U65" s="46" t="n">
        <f aca="false">IF($A65=$A64,$U64+1,1)</f>
        <v>61</v>
      </c>
      <c r="V65" s="48" t="n">
        <f aca="false">IF($U65&gt;=MA_SHORT,AVERAGE(INDEX($I$5:$I65,62-MA_SHORT):$I65),"")</f>
        <v>6071.8</v>
      </c>
      <c r="W65" s="48" t="n">
        <f aca="false">IF($U65&gt;=MA_MED,AVERAGE(INDEX($I$5:$I65,62-MA_MED):$I65),"")</f>
        <v>6139.2</v>
      </c>
      <c r="X65" s="48" t="str">
        <f aca="false">IF($U65&gt;=MA_LONG1,AVERAGE(INDEX($I$5:$I65,62-MA_LONG1):$I65),"")</f>
        <v/>
      </c>
      <c r="Y65" s="48" t="str">
        <f aca="false">IF($U65&gt;=MA_LONG2,AVERAGE(INDEX($I$5:$I65,62-MA_LONG2):$I65),"")</f>
        <v/>
      </c>
      <c r="Z65" s="48" t="n">
        <f aca="false">IF($U65&gt;=MA_SHORT,AVERAGE(INDEX($L$5:$L65,62-MA_SHORT):$L65),"")</f>
        <v>58290463.75</v>
      </c>
      <c r="AA65" s="48" t="n">
        <f aca="false">IF($U65=1,$G65-$H65,MAX($G65-$H65,ABS($G65-$I64),ABS($H65-$I64)))</f>
        <v>185</v>
      </c>
      <c r="AB65" s="48" t="n">
        <f aca="false">IF($U65&gt;=ATR_PER,AVERAGE(INDEX($AA$5:$AA65,62-ATR_PER):$AA65),"")</f>
        <v>219.5</v>
      </c>
      <c r="AC65" s="48" t="n">
        <f aca="false">$O65-$P65</f>
        <v>9008909</v>
      </c>
      <c r="AD65" s="48" t="n">
        <f aca="false">$AC65*$I65</f>
        <v>55260647806</v>
      </c>
      <c r="AE65" s="49" t="n">
        <f aca="false">IF($Q65&gt;0,$O65*$I65/$Q65/1000000,"")</f>
        <v>137.106984751572</v>
      </c>
      <c r="AF65" s="49" t="n">
        <f aca="false">IF($R65&gt;0,$P65*$I65/$R65/1000000,"")</f>
        <v>164.784836511757</v>
      </c>
      <c r="AG65" s="50" t="n">
        <f aca="false">IF(AND(ISNUMBER($AE65),ISNUMBER($AF65),$AF65&gt;0),$AE65/$AF65,"")</f>
        <v>0.832036415812995</v>
      </c>
      <c r="AH65" s="48" t="n">
        <f aca="false">IF($U65&gt;=5,SUM(INDEX($AD$35:$AD65,32-5):$AD65),"")</f>
        <v>287015349574</v>
      </c>
      <c r="AI65" s="48" t="n">
        <f aca="false">IF($U65&gt;=STRUCT_S,MAX(INDEX($G$5:$G65,62-STRUCT_S):$G65),"")</f>
        <v>6508</v>
      </c>
      <c r="AJ65" s="48" t="n">
        <f aca="false">IF($U65&gt;=STRUCT_S,MIN(INDEX($H$5:$H65,62-STRUCT_S):$H65),"")</f>
        <v>5659</v>
      </c>
      <c r="AK65" s="48" t="n">
        <f aca="false">IF($U65&gt;=STRUCT_L,MAX(INDEX($G$5:$G65,62-STRUCT_L):$G65),"")</f>
        <v>6579</v>
      </c>
      <c r="AL65" s="48" t="n">
        <f aca="false">IF($U65&gt;=STRUCT_L,MIN(INDEX($H$5:$H65,62-STRUCT_L):$H65),"")</f>
        <v>5571</v>
      </c>
      <c r="AM65" s="46" t="n">
        <f aca="false">IF($A65&lt;&gt;$A66,1,0)</f>
        <v>0</v>
      </c>
      <c r="AN65" s="47" t="str">
        <f aca="false">IF($AM65=1,$A65,"")</f>
        <v/>
      </c>
    </row>
    <row r="66" customFormat="false" ht="15" hidden="false" customHeight="false" outlineLevel="0" collapsed="false">
      <c r="A66" s="43" t="s">
        <v>130</v>
      </c>
      <c r="B66" s="44" t="s">
        <v>132</v>
      </c>
      <c r="C66" s="45" t="n">
        <v>45991</v>
      </c>
      <c r="D66" s="46" t="n">
        <v>20251130</v>
      </c>
      <c r="E66" s="47" t="s">
        <v>349</v>
      </c>
      <c r="F66" s="48" t="n">
        <v>6122</v>
      </c>
      <c r="G66" s="48" t="n">
        <v>6200</v>
      </c>
      <c r="H66" s="48" t="n">
        <v>6051</v>
      </c>
      <c r="I66" s="48" t="n">
        <v>6117</v>
      </c>
      <c r="J66" s="48" t="n">
        <v>6061</v>
      </c>
      <c r="K66" s="48" t="n">
        <v>6134</v>
      </c>
      <c r="L66" s="48" t="n">
        <v>43625619</v>
      </c>
      <c r="M66" s="48" t="n">
        <v>266857911423</v>
      </c>
      <c r="N66" s="48" t="n">
        <v>1260</v>
      </c>
      <c r="O66" s="48" t="n">
        <v>28030925</v>
      </c>
      <c r="P66" s="48" t="n">
        <v>15561459</v>
      </c>
      <c r="Q66" s="48" t="n">
        <v>775</v>
      </c>
      <c r="R66" s="48" t="n">
        <v>481</v>
      </c>
      <c r="S66" s="48" t="n">
        <v>15594694</v>
      </c>
      <c r="T66" s="48" t="n">
        <v>28064160</v>
      </c>
      <c r="U66" s="46" t="n">
        <f aca="false">IF($A66=$A65,$U65+1,1)</f>
        <v>62</v>
      </c>
      <c r="V66" s="48" t="n">
        <f aca="false">IF($U66&gt;=MA_SHORT,AVERAGE(INDEX($I$5:$I66,63-MA_SHORT):$I66),"")</f>
        <v>6053.4</v>
      </c>
      <c r="W66" s="48" t="n">
        <f aca="false">IF($U66&gt;=MA_MED,AVERAGE(INDEX($I$5:$I66,63-MA_MED):$I66),"")</f>
        <v>6141.36</v>
      </c>
      <c r="X66" s="48" t="str">
        <f aca="false">IF($U66&gt;=MA_LONG1,AVERAGE(INDEX($I$5:$I66,63-MA_LONG1):$I66),"")</f>
        <v/>
      </c>
      <c r="Y66" s="48" t="str">
        <f aca="false">IF($U66&gt;=MA_LONG2,AVERAGE(INDEX($I$5:$I66,63-MA_LONG2):$I66),"")</f>
        <v/>
      </c>
      <c r="Z66" s="48" t="n">
        <f aca="false">IF($U66&gt;=MA_SHORT,AVERAGE(INDEX($L$5:$L66,63-MA_SHORT):$L66),"")</f>
        <v>56960577.95</v>
      </c>
      <c r="AA66" s="48" t="n">
        <f aca="false">IF($U66=1,$G66-$H66,MAX($G66-$H66,ABS($G66-$I65),ABS($H66-$I65)))</f>
        <v>149</v>
      </c>
      <c r="AB66" s="48" t="n">
        <f aca="false">IF($U66&gt;=ATR_PER,AVERAGE(INDEX($AA$5:$AA66,63-ATR_PER):$AA66),"")</f>
        <v>216.214285714286</v>
      </c>
      <c r="AC66" s="48" t="n">
        <f aca="false">$O66-$P66</f>
        <v>12469466</v>
      </c>
      <c r="AD66" s="48" t="n">
        <f aca="false">$AC66*$I66</f>
        <v>76275723522</v>
      </c>
      <c r="AE66" s="49" t="n">
        <f aca="false">IF($Q66&gt;0,$O66*$I66/$Q66/1000000,"")</f>
        <v>221.245378354839</v>
      </c>
      <c r="AF66" s="49" t="n">
        <f aca="false">IF($R66&gt;0,$P66*$I66/$R66/1000000,"")</f>
        <v>197.89905343659</v>
      </c>
      <c r="AG66" s="50" t="n">
        <f aca="false">IF(AND(ISNUMBER($AE66),ISNUMBER($AF66),$AF66&gt;0),$AE66/$AF66,"")</f>
        <v>1.11797087713575</v>
      </c>
      <c r="AH66" s="48" t="n">
        <f aca="false">IF($U66&gt;=5,SUM(INDEX($AD$36:$AD66,32-5):$AD66),"")</f>
        <v>353071495435</v>
      </c>
      <c r="AI66" s="48" t="n">
        <f aca="false">IF($U66&gt;=STRUCT_S,MAX(INDEX($G$5:$G66,63-STRUCT_S):$G66),"")</f>
        <v>6508</v>
      </c>
      <c r="AJ66" s="48" t="n">
        <f aca="false">IF($U66&gt;=STRUCT_S,MIN(INDEX($H$5:$H66,63-STRUCT_S):$H66),"")</f>
        <v>5659</v>
      </c>
      <c r="AK66" s="48" t="n">
        <f aca="false">IF($U66&gt;=STRUCT_L,MAX(INDEX($G$5:$G66,63-STRUCT_L):$G66),"")</f>
        <v>6579</v>
      </c>
      <c r="AL66" s="48" t="n">
        <f aca="false">IF($U66&gt;=STRUCT_L,MIN(INDEX($H$5:$H66,63-STRUCT_L):$H66),"")</f>
        <v>5571</v>
      </c>
      <c r="AM66" s="46" t="n">
        <f aca="false">IF($A66&lt;&gt;$A67,1,0)</f>
        <v>0</v>
      </c>
      <c r="AN66" s="47" t="str">
        <f aca="false">IF($AM66=1,$A66,"")</f>
        <v/>
      </c>
    </row>
    <row r="67" customFormat="false" ht="15" hidden="false" customHeight="false" outlineLevel="0" collapsed="false">
      <c r="A67" s="43" t="s">
        <v>130</v>
      </c>
      <c r="B67" s="44" t="s">
        <v>132</v>
      </c>
      <c r="C67" s="45" t="n">
        <v>45992</v>
      </c>
      <c r="D67" s="46" t="n">
        <v>20251201</v>
      </c>
      <c r="E67" s="47" t="s">
        <v>350</v>
      </c>
      <c r="F67" s="48" t="n">
        <v>6133</v>
      </c>
      <c r="G67" s="48" t="n">
        <v>6180</v>
      </c>
      <c r="H67" s="48" t="n">
        <v>6081</v>
      </c>
      <c r="I67" s="48" t="n">
        <v>6144</v>
      </c>
      <c r="J67" s="48" t="n">
        <v>6114</v>
      </c>
      <c r="K67" s="48" t="n">
        <v>6117</v>
      </c>
      <c r="L67" s="48" t="n">
        <v>44048515</v>
      </c>
      <c r="M67" s="48" t="n">
        <v>270634076160</v>
      </c>
      <c r="N67" s="48" t="n">
        <v>1095</v>
      </c>
      <c r="O67" s="48" t="n">
        <v>30972865</v>
      </c>
      <c r="P67" s="48" t="n">
        <v>16510426</v>
      </c>
      <c r="Q67" s="48" t="n">
        <v>233</v>
      </c>
      <c r="R67" s="48" t="n">
        <v>737</v>
      </c>
      <c r="S67" s="48" t="n">
        <v>13075650</v>
      </c>
      <c r="T67" s="48" t="n">
        <v>27538089</v>
      </c>
      <c r="U67" s="46" t="n">
        <f aca="false">IF($A67=$A66,$U66+1,1)</f>
        <v>63</v>
      </c>
      <c r="V67" s="48" t="n">
        <f aca="false">IF($U67&gt;=MA_SHORT,AVERAGE(INDEX($I$5:$I67,64-MA_SHORT):$I67),"")</f>
        <v>6044.75</v>
      </c>
      <c r="W67" s="48" t="n">
        <f aca="false">IF($U67&gt;=MA_MED,AVERAGE(INDEX($I$5:$I67,64-MA_MED):$I67),"")</f>
        <v>6144.54</v>
      </c>
      <c r="X67" s="48" t="str">
        <f aca="false">IF($U67&gt;=MA_LONG1,AVERAGE(INDEX($I$5:$I67,64-MA_LONG1):$I67),"")</f>
        <v/>
      </c>
      <c r="Y67" s="48" t="str">
        <f aca="false">IF($U67&gt;=MA_LONG2,AVERAGE(INDEX($I$5:$I67,64-MA_LONG2):$I67),"")</f>
        <v/>
      </c>
      <c r="Z67" s="48" t="n">
        <f aca="false">IF($U67&gt;=MA_SHORT,AVERAGE(INDEX($L$5:$L67,64-MA_SHORT):$L67),"")</f>
        <v>56683898.1</v>
      </c>
      <c r="AA67" s="48" t="n">
        <f aca="false">IF($U67=1,$G67-$H67,MAX($G67-$H67,ABS($G67-$I66),ABS($H67-$I66)))</f>
        <v>99</v>
      </c>
      <c r="AB67" s="48" t="n">
        <f aca="false">IF($U67&gt;=ATR_PER,AVERAGE(INDEX($AA$5:$AA67,64-ATR_PER):$AA67),"")</f>
        <v>200.571428571429</v>
      </c>
      <c r="AC67" s="48" t="n">
        <f aca="false">$O67-$P67</f>
        <v>14462439</v>
      </c>
      <c r="AD67" s="48" t="n">
        <f aca="false">$AC67*$I67</f>
        <v>88857225216</v>
      </c>
      <c r="AE67" s="49" t="n">
        <f aca="false">IF($Q67&gt;0,$O67*$I67/$Q67/1000000,"")</f>
        <v>816.726534592275</v>
      </c>
      <c r="AF67" s="49" t="n">
        <f aca="false">IF($R67&gt;0,$P67*$I67/$R67/1000000,"")</f>
        <v>137.639155147897</v>
      </c>
      <c r="AG67" s="50" t="n">
        <f aca="false">IF(AND(ISNUMBER($AE67),ISNUMBER($AF67),$AF67&gt;0),$AE67/$AF67,"")</f>
        <v>5.93382409035191</v>
      </c>
      <c r="AH67" s="48" t="n">
        <f aca="false">IF($U67&gt;=5,SUM(INDEX($AD$37:$AD67,32-5):$AD67),"")</f>
        <v>389215775971</v>
      </c>
      <c r="AI67" s="48" t="n">
        <f aca="false">IF($U67&gt;=STRUCT_S,MAX(INDEX($G$5:$G67,64-STRUCT_S):$G67),"")</f>
        <v>6431</v>
      </c>
      <c r="AJ67" s="48" t="n">
        <f aca="false">IF($U67&gt;=STRUCT_S,MIN(INDEX($H$5:$H67,64-STRUCT_S):$H67),"")</f>
        <v>5659</v>
      </c>
      <c r="AK67" s="48" t="n">
        <f aca="false">IF($U67&gt;=STRUCT_L,MAX(INDEX($G$5:$G67,64-STRUCT_L):$G67),"")</f>
        <v>6579</v>
      </c>
      <c r="AL67" s="48" t="n">
        <f aca="false">IF($U67&gt;=STRUCT_L,MIN(INDEX($H$5:$H67,64-STRUCT_L):$H67),"")</f>
        <v>5571</v>
      </c>
      <c r="AM67" s="46" t="n">
        <f aca="false">IF($A67&lt;&gt;$A68,1,0)</f>
        <v>0</v>
      </c>
      <c r="AN67" s="47" t="str">
        <f aca="false">IF($AM67=1,$A67,"")</f>
        <v/>
      </c>
    </row>
    <row r="68" customFormat="false" ht="15" hidden="false" customHeight="false" outlineLevel="0" collapsed="false">
      <c r="A68" s="43" t="s">
        <v>130</v>
      </c>
      <c r="B68" s="44" t="s">
        <v>132</v>
      </c>
      <c r="C68" s="45" t="n">
        <v>45993</v>
      </c>
      <c r="D68" s="46" t="n">
        <v>20251202</v>
      </c>
      <c r="E68" s="47" t="s">
        <v>351</v>
      </c>
      <c r="F68" s="48" t="n">
        <v>6154</v>
      </c>
      <c r="G68" s="48" t="n">
        <v>6191</v>
      </c>
      <c r="H68" s="48" t="n">
        <v>6124</v>
      </c>
      <c r="I68" s="48" t="n">
        <v>6171</v>
      </c>
      <c r="J68" s="48" t="n">
        <v>6181</v>
      </c>
      <c r="K68" s="48" t="n">
        <v>6144</v>
      </c>
      <c r="L68" s="48" t="n">
        <v>44043521</v>
      </c>
      <c r="M68" s="48" t="n">
        <v>271792568091</v>
      </c>
      <c r="N68" s="48" t="n">
        <v>4296</v>
      </c>
      <c r="O68" s="48" t="n">
        <v>26272085</v>
      </c>
      <c r="P68" s="48" t="n">
        <v>17256729</v>
      </c>
      <c r="Q68" s="48" t="n">
        <v>1481</v>
      </c>
      <c r="R68" s="48" t="n">
        <v>3255</v>
      </c>
      <c r="S68" s="48" t="n">
        <v>17771436</v>
      </c>
      <c r="T68" s="48" t="n">
        <v>26786792</v>
      </c>
      <c r="U68" s="46" t="n">
        <f aca="false">IF($A68=$A67,$U67+1,1)</f>
        <v>64</v>
      </c>
      <c r="V68" s="48" t="n">
        <f aca="false">IF($U68&gt;=MA_SHORT,AVERAGE(INDEX($I$5:$I68,65-MA_SHORT):$I68),"")</f>
        <v>6035.25</v>
      </c>
      <c r="W68" s="48" t="n">
        <f aca="false">IF($U68&gt;=MA_MED,AVERAGE(INDEX($I$5:$I68,65-MA_MED):$I68),"")</f>
        <v>6148</v>
      </c>
      <c r="X68" s="48" t="str">
        <f aca="false">IF($U68&gt;=MA_LONG1,AVERAGE(INDEX($I$5:$I68,65-MA_LONG1):$I68),"")</f>
        <v/>
      </c>
      <c r="Y68" s="48" t="str">
        <f aca="false">IF($U68&gt;=MA_LONG2,AVERAGE(INDEX($I$5:$I68,65-MA_LONG2):$I68),"")</f>
        <v/>
      </c>
      <c r="Z68" s="48" t="n">
        <f aca="false">IF($U68&gt;=MA_SHORT,AVERAGE(INDEX($L$5:$L68,65-MA_SHORT):$L68),"")</f>
        <v>56316768.95</v>
      </c>
      <c r="AA68" s="48" t="n">
        <f aca="false">IF($U68=1,$G68-$H68,MAX($G68-$H68,ABS($G68-$I67),ABS($H68-$I67)))</f>
        <v>67</v>
      </c>
      <c r="AB68" s="48" t="n">
        <f aca="false">IF($U68&gt;=ATR_PER,AVERAGE(INDEX($AA$5:$AA68,65-ATR_PER):$AA68),"")</f>
        <v>187.357142857143</v>
      </c>
      <c r="AC68" s="48" t="n">
        <f aca="false">$O68-$P68</f>
        <v>9015356</v>
      </c>
      <c r="AD68" s="48" t="n">
        <f aca="false">$AC68*$I68</f>
        <v>55633761876</v>
      </c>
      <c r="AE68" s="49" t="n">
        <f aca="false">IF($Q68&gt;0,$O68*$I68/$Q68/1000000,"")</f>
        <v>109.469977403781</v>
      </c>
      <c r="AF68" s="49" t="n">
        <f aca="false">IF($R68&gt;0,$P68*$I68/$R68/1000000,"")</f>
        <v>32.7162134129032</v>
      </c>
      <c r="AG68" s="50" t="n">
        <f aca="false">IF(AND(ISNUMBER($AE68),ISNUMBER($AF68),$AF68&gt;0),$AE68/$AF68,"")</f>
        <v>3.34604668401528</v>
      </c>
      <c r="AH68" s="48" t="n">
        <f aca="false">IF($U68&gt;=5,SUM(INDEX($AD$38:$AD68,32-5):$AD68),"")</f>
        <v>416933579290</v>
      </c>
      <c r="AI68" s="48" t="n">
        <f aca="false">IF($U68&gt;=STRUCT_S,MAX(INDEX($G$5:$G68,65-STRUCT_S):$G68),"")</f>
        <v>6379</v>
      </c>
      <c r="AJ68" s="48" t="n">
        <f aca="false">IF($U68&gt;=STRUCT_S,MIN(INDEX($H$5:$H68,65-STRUCT_S):$H68),"")</f>
        <v>5659</v>
      </c>
      <c r="AK68" s="48" t="n">
        <f aca="false">IF($U68&gt;=STRUCT_L,MAX(INDEX($G$5:$G68,65-STRUCT_L):$G68),"")</f>
        <v>6579</v>
      </c>
      <c r="AL68" s="48" t="n">
        <f aca="false">IF($U68&gt;=STRUCT_L,MIN(INDEX($H$5:$H68,65-STRUCT_L):$H68),"")</f>
        <v>5571</v>
      </c>
      <c r="AM68" s="46" t="n">
        <f aca="false">IF($A68&lt;&gt;$A69,1,0)</f>
        <v>0</v>
      </c>
      <c r="AN68" s="47" t="str">
        <f aca="false">IF($AM68=1,$A68,"")</f>
        <v/>
      </c>
    </row>
    <row r="69" customFormat="false" ht="15" hidden="false" customHeight="false" outlineLevel="0" collapsed="false">
      <c r="A69" s="43" t="s">
        <v>130</v>
      </c>
      <c r="B69" s="44" t="s">
        <v>132</v>
      </c>
      <c r="C69" s="45" t="n">
        <v>45994</v>
      </c>
      <c r="D69" s="46" t="n">
        <v>20251203</v>
      </c>
      <c r="E69" s="47" t="s">
        <v>352</v>
      </c>
      <c r="F69" s="48" t="n">
        <v>6206</v>
      </c>
      <c r="G69" s="48" t="n">
        <v>6309</v>
      </c>
      <c r="H69" s="48" t="n">
        <v>6122</v>
      </c>
      <c r="I69" s="48" t="n">
        <v>6259</v>
      </c>
      <c r="J69" s="48" t="n">
        <v>6188</v>
      </c>
      <c r="K69" s="48" t="n">
        <v>6171</v>
      </c>
      <c r="L69" s="48" t="n">
        <v>46583670</v>
      </c>
      <c r="M69" s="48" t="n">
        <v>291567190530</v>
      </c>
      <c r="N69" s="48" t="n">
        <v>1838</v>
      </c>
      <c r="O69" s="48" t="n">
        <v>25812422</v>
      </c>
      <c r="P69" s="48" t="n">
        <v>19650018</v>
      </c>
      <c r="Q69" s="48" t="n">
        <v>398</v>
      </c>
      <c r="R69" s="48" t="n">
        <v>914</v>
      </c>
      <c r="S69" s="48" t="n">
        <v>20771248</v>
      </c>
      <c r="T69" s="48" t="n">
        <v>26933652</v>
      </c>
      <c r="U69" s="46" t="n">
        <f aca="false">IF($A69=$A68,$U68+1,1)</f>
        <v>65</v>
      </c>
      <c r="V69" s="48" t="n">
        <f aca="false">IF($U69&gt;=MA_SHORT,AVERAGE(INDEX($I$5:$I69,66-MA_SHORT):$I69),"")</f>
        <v>6037.6</v>
      </c>
      <c r="W69" s="48" t="n">
        <f aca="false">IF($U69&gt;=MA_MED,AVERAGE(INDEX($I$5:$I69,66-MA_MED):$I69),"")</f>
        <v>6155.08</v>
      </c>
      <c r="X69" s="48" t="str">
        <f aca="false">IF($U69&gt;=MA_LONG1,AVERAGE(INDEX($I$5:$I69,66-MA_LONG1):$I69),"")</f>
        <v/>
      </c>
      <c r="Y69" s="48" t="str">
        <f aca="false">IF($U69&gt;=MA_LONG2,AVERAGE(INDEX($I$5:$I69,66-MA_LONG2):$I69),"")</f>
        <v/>
      </c>
      <c r="Z69" s="48" t="n">
        <f aca="false">IF($U69&gt;=MA_SHORT,AVERAGE(INDEX($L$5:$L69,66-MA_SHORT):$L69),"")</f>
        <v>56198798.5</v>
      </c>
      <c r="AA69" s="48" t="n">
        <f aca="false">IF($U69=1,$G69-$H69,MAX($G69-$H69,ABS($G69-$I68),ABS($H69-$I68)))</f>
        <v>187</v>
      </c>
      <c r="AB69" s="48" t="n">
        <f aca="false">IF($U69&gt;=ATR_PER,AVERAGE(INDEX($AA$5:$AA69,66-ATR_PER):$AA69),"")</f>
        <v>193.214285714286</v>
      </c>
      <c r="AC69" s="48" t="n">
        <f aca="false">$O69-$P69</f>
        <v>6162404</v>
      </c>
      <c r="AD69" s="48" t="n">
        <f aca="false">$AC69*$I69</f>
        <v>38570486636</v>
      </c>
      <c r="AE69" s="49" t="n">
        <f aca="false">IF($Q69&gt;0,$O69*$I69/$Q69/1000000,"")</f>
        <v>405.929520849246</v>
      </c>
      <c r="AF69" s="49" t="n">
        <f aca="false">IF($R69&gt;0,$P69*$I69/$R69/1000000,"")</f>
        <v>134.561775341357</v>
      </c>
      <c r="AG69" s="50" t="n">
        <f aca="false">IF(AND(ISNUMBER($AE69),ISNUMBER($AF69),$AF69&gt;0),$AE69/$AF69,"")</f>
        <v>3.01667780333221</v>
      </c>
      <c r="AH69" s="48" t="n">
        <f aca="false">IF($U69&gt;=5,SUM(INDEX($AD$39:$AD69,32-5):$AD69),"")</f>
        <v>314597845056</v>
      </c>
      <c r="AI69" s="48" t="n">
        <f aca="false">IF($U69&gt;=STRUCT_S,MAX(INDEX($G$5:$G69,66-STRUCT_S):$G69),"")</f>
        <v>6357</v>
      </c>
      <c r="AJ69" s="48" t="n">
        <f aca="false">IF($U69&gt;=STRUCT_S,MIN(INDEX($H$5:$H69,66-STRUCT_S):$H69),"")</f>
        <v>5659</v>
      </c>
      <c r="AK69" s="48" t="n">
        <f aca="false">IF($U69&gt;=STRUCT_L,MAX(INDEX($G$5:$G69,66-STRUCT_L):$G69),"")</f>
        <v>6579</v>
      </c>
      <c r="AL69" s="48" t="n">
        <f aca="false">IF($U69&gt;=STRUCT_L,MIN(INDEX($H$5:$H69,66-STRUCT_L):$H69),"")</f>
        <v>5571</v>
      </c>
      <c r="AM69" s="46" t="n">
        <f aca="false">IF($A69&lt;&gt;$A70,1,0)</f>
        <v>0</v>
      </c>
      <c r="AN69" s="47" t="str">
        <f aca="false">IF($AM69=1,$A69,"")</f>
        <v/>
      </c>
    </row>
    <row r="70" customFormat="false" ht="15" hidden="false" customHeight="false" outlineLevel="0" collapsed="false">
      <c r="A70" s="43" t="s">
        <v>130</v>
      </c>
      <c r="B70" s="44" t="s">
        <v>132</v>
      </c>
      <c r="C70" s="45" t="n">
        <v>45997</v>
      </c>
      <c r="D70" s="46" t="n">
        <v>20251206</v>
      </c>
      <c r="E70" s="47" t="s">
        <v>353</v>
      </c>
      <c r="F70" s="48" t="n">
        <v>6260</v>
      </c>
      <c r="G70" s="48" t="n">
        <v>6342</v>
      </c>
      <c r="H70" s="48" t="n">
        <v>6155</v>
      </c>
      <c r="I70" s="48" t="n">
        <v>6238</v>
      </c>
      <c r="J70" s="48" t="n">
        <v>6189</v>
      </c>
      <c r="K70" s="48" t="n">
        <v>6259</v>
      </c>
      <c r="L70" s="48" t="n">
        <v>43775914</v>
      </c>
      <c r="M70" s="48" t="n">
        <v>273074151532</v>
      </c>
      <c r="N70" s="48" t="n">
        <v>1745</v>
      </c>
      <c r="O70" s="48" t="n">
        <v>20220942</v>
      </c>
      <c r="P70" s="48" t="n">
        <v>22518275</v>
      </c>
      <c r="Q70" s="48" t="n">
        <v>1134</v>
      </c>
      <c r="R70" s="48" t="n">
        <v>597</v>
      </c>
      <c r="S70" s="48" t="n">
        <v>23554972</v>
      </c>
      <c r="T70" s="48" t="n">
        <v>21257639</v>
      </c>
      <c r="U70" s="46" t="n">
        <f aca="false">IF($A70=$A69,$U69+1,1)</f>
        <v>66</v>
      </c>
      <c r="V70" s="48" t="n">
        <f aca="false">IF($U70&gt;=MA_SHORT,AVERAGE(INDEX($I$5:$I70,67-MA_SHORT):$I70),"")</f>
        <v>6040.9</v>
      </c>
      <c r="W70" s="48" t="n">
        <f aca="false">IF($U70&gt;=MA_MED,AVERAGE(INDEX($I$5:$I70,67-MA_MED):$I70),"")</f>
        <v>6159.9</v>
      </c>
      <c r="X70" s="48" t="str">
        <f aca="false">IF($U70&gt;=MA_LONG1,AVERAGE(INDEX($I$5:$I70,67-MA_LONG1):$I70),"")</f>
        <v/>
      </c>
      <c r="Y70" s="48" t="str">
        <f aca="false">IF($U70&gt;=MA_LONG2,AVERAGE(INDEX($I$5:$I70,67-MA_LONG2):$I70),"")</f>
        <v/>
      </c>
      <c r="Z70" s="48" t="n">
        <f aca="false">IF($U70&gt;=MA_SHORT,AVERAGE(INDEX($L$5:$L70,67-MA_SHORT):$L70),"")</f>
        <v>56159096.55</v>
      </c>
      <c r="AA70" s="48" t="n">
        <f aca="false">IF($U70=1,$G70-$H70,MAX($G70-$H70,ABS($G70-$I69),ABS($H70-$I69)))</f>
        <v>187</v>
      </c>
      <c r="AB70" s="48" t="n">
        <f aca="false">IF($U70&gt;=ATR_PER,AVERAGE(INDEX($AA$5:$AA70,67-ATR_PER):$AA70),"")</f>
        <v>192.857142857143</v>
      </c>
      <c r="AC70" s="48" t="n">
        <f aca="false">$O70-$P70</f>
        <v>-2297333</v>
      </c>
      <c r="AD70" s="48" t="n">
        <f aca="false">$AC70*$I70</f>
        <v>-14330763254</v>
      </c>
      <c r="AE70" s="49" t="n">
        <f aca="false">IF($Q70&gt;0,$O70*$I70/$Q70/1000000,"")</f>
        <v>111.233012518519</v>
      </c>
      <c r="AF70" s="49" t="n">
        <f aca="false">IF($R70&gt;0,$P70*$I70/$R70/1000000,"")</f>
        <v>235.291456365159</v>
      </c>
      <c r="AG70" s="50" t="n">
        <f aca="false">IF(AND(ISNUMBER($AE70),ISNUMBER($AF70),$AF70&gt;0),$AE70/$AF70,"")</f>
        <v>0.472745650168832</v>
      </c>
      <c r="AH70" s="48" t="n">
        <f aca="false">IF($U70&gt;=5,SUM(INDEX($AD$40:$AD70,32-5):$AD70),"")</f>
        <v>245006433996</v>
      </c>
      <c r="AI70" s="48" t="n">
        <f aca="false">IF($U70&gt;=STRUCT_S,MAX(INDEX($G$5:$G70,67-STRUCT_S):$G70),"")</f>
        <v>6357</v>
      </c>
      <c r="AJ70" s="48" t="n">
        <f aca="false">IF($U70&gt;=STRUCT_S,MIN(INDEX($H$5:$H70,67-STRUCT_S):$H70),"")</f>
        <v>5659</v>
      </c>
      <c r="AK70" s="48" t="n">
        <f aca="false">IF($U70&gt;=STRUCT_L,MAX(INDEX($G$5:$G70,67-STRUCT_L):$G70),"")</f>
        <v>6579</v>
      </c>
      <c r="AL70" s="48" t="n">
        <f aca="false">IF($U70&gt;=STRUCT_L,MIN(INDEX($H$5:$H70,67-STRUCT_L):$H70),"")</f>
        <v>5571</v>
      </c>
      <c r="AM70" s="46" t="n">
        <f aca="false">IF($A70&lt;&gt;$A71,1,0)</f>
        <v>0</v>
      </c>
      <c r="AN70" s="47" t="str">
        <f aca="false">IF($AM70=1,$A70,"")</f>
        <v/>
      </c>
    </row>
    <row r="71" customFormat="false" ht="15" hidden="false" customHeight="false" outlineLevel="0" collapsed="false">
      <c r="A71" s="43" t="s">
        <v>130</v>
      </c>
      <c r="B71" s="44" t="s">
        <v>132</v>
      </c>
      <c r="C71" s="45" t="n">
        <v>45998</v>
      </c>
      <c r="D71" s="46" t="n">
        <v>20251207</v>
      </c>
      <c r="E71" s="47" t="s">
        <v>354</v>
      </c>
      <c r="F71" s="48" t="n">
        <v>6393</v>
      </c>
      <c r="G71" s="48" t="n">
        <v>6423</v>
      </c>
      <c r="H71" s="48" t="n">
        <v>6152</v>
      </c>
      <c r="I71" s="48" t="n">
        <v>6335</v>
      </c>
      <c r="J71" s="48" t="n">
        <v>6336</v>
      </c>
      <c r="K71" s="48" t="n">
        <v>6238</v>
      </c>
      <c r="L71" s="48" t="n">
        <v>55520436</v>
      </c>
      <c r="M71" s="48" t="n">
        <v>351721962060</v>
      </c>
      <c r="N71" s="48" t="n">
        <v>2200</v>
      </c>
      <c r="O71" s="48" t="n">
        <v>39799942</v>
      </c>
      <c r="P71" s="48" t="n">
        <v>16767036</v>
      </c>
      <c r="Q71" s="48" t="n">
        <v>557</v>
      </c>
      <c r="R71" s="48" t="n">
        <v>1184</v>
      </c>
      <c r="S71" s="48" t="n">
        <v>15720494</v>
      </c>
      <c r="T71" s="48" t="n">
        <v>38753400</v>
      </c>
      <c r="U71" s="46" t="n">
        <f aca="false">IF($A71=$A70,$U70+1,1)</f>
        <v>67</v>
      </c>
      <c r="V71" s="48" t="n">
        <f aca="false">IF($U71&gt;=MA_SHORT,AVERAGE(INDEX($I$5:$I71,68-MA_SHORT):$I71),"")</f>
        <v>6050.75</v>
      </c>
      <c r="W71" s="48" t="n">
        <f aca="false">IF($U71&gt;=MA_MED,AVERAGE(INDEX($I$5:$I71,68-MA_MED):$I71),"")</f>
        <v>6164.26</v>
      </c>
      <c r="X71" s="48" t="str">
        <f aca="false">IF($U71&gt;=MA_LONG1,AVERAGE(INDEX($I$5:$I71,68-MA_LONG1):$I71),"")</f>
        <v/>
      </c>
      <c r="Y71" s="48" t="str">
        <f aca="false">IF($U71&gt;=MA_LONG2,AVERAGE(INDEX($I$5:$I71,68-MA_LONG2):$I71),"")</f>
        <v/>
      </c>
      <c r="Z71" s="48" t="n">
        <f aca="false">IF($U71&gt;=MA_SHORT,AVERAGE(INDEX($L$5:$L71,68-MA_SHORT):$L71),"")</f>
        <v>56637632.15</v>
      </c>
      <c r="AA71" s="48" t="n">
        <f aca="false">IF($U71=1,$G71-$H71,MAX($G71-$H71,ABS($G71-$I70),ABS($H71-$I70)))</f>
        <v>271</v>
      </c>
      <c r="AB71" s="48" t="n">
        <f aca="false">IF($U71&gt;=ATR_PER,AVERAGE(INDEX($AA$5:$AA71,68-ATR_PER):$AA71),"")</f>
        <v>193.857142857143</v>
      </c>
      <c r="AC71" s="48" t="n">
        <f aca="false">$O71-$P71</f>
        <v>23032906</v>
      </c>
      <c r="AD71" s="48" t="n">
        <f aca="false">$AC71*$I71</f>
        <v>145913459510</v>
      </c>
      <c r="AE71" s="49" t="n">
        <f aca="false">IF($Q71&gt;0,$O71*$I71/$Q71/1000000,"")</f>
        <v>452.661817899461</v>
      </c>
      <c r="AF71" s="49" t="n">
        <f aca="false">IF($R71&gt;0,$P71*$I71/$R71/1000000,"")</f>
        <v>89.7121394087838</v>
      </c>
      <c r="AG71" s="50" t="n">
        <f aca="false">IF(AND(ISNUMBER($AE71),ISNUMBER($AF71),$AF71&gt;0),$AE71/$AF71,"")</f>
        <v>5.04571422421279</v>
      </c>
      <c r="AH71" s="48" t="n">
        <f aca="false">IF($U71&gt;=5,SUM(INDEX($AD$41:$AD71,32-5):$AD71),"")</f>
        <v>314644169984</v>
      </c>
      <c r="AI71" s="48" t="n">
        <f aca="false">IF($U71&gt;=STRUCT_S,MAX(INDEX($G$5:$G71,68-STRUCT_S):$G71),"")</f>
        <v>6423</v>
      </c>
      <c r="AJ71" s="48" t="n">
        <f aca="false">IF($U71&gt;=STRUCT_S,MIN(INDEX($H$5:$H71,68-STRUCT_S):$H71),"")</f>
        <v>5659</v>
      </c>
      <c r="AK71" s="48" t="n">
        <f aca="false">IF($U71&gt;=STRUCT_L,MAX(INDEX($G$5:$G71,68-STRUCT_L):$G71),"")</f>
        <v>6579</v>
      </c>
      <c r="AL71" s="48" t="n">
        <f aca="false">IF($U71&gt;=STRUCT_L,MIN(INDEX($H$5:$H71,68-STRUCT_L):$H71),"")</f>
        <v>5659</v>
      </c>
      <c r="AM71" s="46" t="n">
        <f aca="false">IF($A71&lt;&gt;$A72,1,0)</f>
        <v>0</v>
      </c>
      <c r="AN71" s="47" t="str">
        <f aca="false">IF($AM71=1,$A71,"")</f>
        <v/>
      </c>
    </row>
    <row r="72" customFormat="false" ht="15" hidden="false" customHeight="false" outlineLevel="0" collapsed="false">
      <c r="A72" s="43" t="s">
        <v>130</v>
      </c>
      <c r="B72" s="44" t="s">
        <v>132</v>
      </c>
      <c r="C72" s="45" t="n">
        <v>45999</v>
      </c>
      <c r="D72" s="46" t="n">
        <v>20251208</v>
      </c>
      <c r="E72" s="47" t="s">
        <v>355</v>
      </c>
      <c r="F72" s="48" t="n">
        <v>6320</v>
      </c>
      <c r="G72" s="48" t="n">
        <v>6355</v>
      </c>
      <c r="H72" s="48" t="n">
        <v>6256</v>
      </c>
      <c r="I72" s="48" t="n">
        <v>6276</v>
      </c>
      <c r="J72" s="48" t="n">
        <v>6354</v>
      </c>
      <c r="K72" s="48" t="n">
        <v>6335</v>
      </c>
      <c r="L72" s="48" t="n">
        <v>53392081</v>
      </c>
      <c r="M72" s="48" t="n">
        <v>335088700356</v>
      </c>
      <c r="N72" s="48" t="n">
        <v>1408</v>
      </c>
      <c r="O72" s="48" t="n">
        <v>34526874</v>
      </c>
      <c r="P72" s="48" t="n">
        <v>14543705</v>
      </c>
      <c r="Q72" s="48" t="n">
        <v>672</v>
      </c>
      <c r="R72" s="48" t="n">
        <v>488</v>
      </c>
      <c r="S72" s="48" t="n">
        <v>18865207</v>
      </c>
      <c r="T72" s="48" t="n">
        <v>38848376</v>
      </c>
      <c r="U72" s="46" t="n">
        <f aca="false">IF($A72=$A71,$U71+1,1)</f>
        <v>68</v>
      </c>
      <c r="V72" s="48" t="n">
        <f aca="false">IF($U72&gt;=MA_SHORT,AVERAGE(INDEX($I$5:$I72,69-MA_SHORT):$I72),"")</f>
        <v>6058.4</v>
      </c>
      <c r="W72" s="48" t="n">
        <f aca="false">IF($U72&gt;=MA_MED,AVERAGE(INDEX($I$5:$I72,69-MA_MED):$I72),"")</f>
        <v>6168.46</v>
      </c>
      <c r="X72" s="48" t="str">
        <f aca="false">IF($U72&gt;=MA_LONG1,AVERAGE(INDEX($I$5:$I72,69-MA_LONG1):$I72),"")</f>
        <v/>
      </c>
      <c r="Y72" s="48" t="str">
        <f aca="false">IF($U72&gt;=MA_LONG2,AVERAGE(INDEX($I$5:$I72,69-MA_LONG2):$I72),"")</f>
        <v/>
      </c>
      <c r="Z72" s="48" t="n">
        <f aca="false">IF($U72&gt;=MA_SHORT,AVERAGE(INDEX($L$5:$L72,69-MA_SHORT):$L72),"")</f>
        <v>57130173.2</v>
      </c>
      <c r="AA72" s="48" t="n">
        <f aca="false">IF($U72=1,$G72-$H72,MAX($G72-$H72,ABS($G72-$I71),ABS($H72-$I71)))</f>
        <v>99</v>
      </c>
      <c r="AB72" s="48" t="n">
        <f aca="false">IF($U72&gt;=ATR_PER,AVERAGE(INDEX($AA$5:$AA72,69-ATR_PER):$AA72),"")</f>
        <v>196.5</v>
      </c>
      <c r="AC72" s="48" t="n">
        <f aca="false">$O72-$P72</f>
        <v>19983169</v>
      </c>
      <c r="AD72" s="48" t="n">
        <f aca="false">$AC72*$I72</f>
        <v>125414368644</v>
      </c>
      <c r="AE72" s="49" t="n">
        <f aca="false">IF($Q72&gt;0,$O72*$I72/$Q72/1000000,"")</f>
        <v>322.456341107143</v>
      </c>
      <c r="AF72" s="49" t="n">
        <f aca="false">IF($R72&gt;0,$P72*$I72/$R72/1000000,"")</f>
        <v>187.041583155738</v>
      </c>
      <c r="AG72" s="50" t="n">
        <f aca="false">IF(AND(ISNUMBER($AE72),ISNUMBER($AF72),$AF72&gt;0),$AE72/$AF72,"")</f>
        <v>1.72398209888255</v>
      </c>
      <c r="AH72" s="48" t="n">
        <f aca="false">IF($U72&gt;=5,SUM(INDEX($AD$42:$AD72,32-5):$AD72),"")</f>
        <v>351201313412</v>
      </c>
      <c r="AI72" s="48" t="n">
        <f aca="false">IF($U72&gt;=STRUCT_S,MAX(INDEX($G$5:$G72,69-STRUCT_S):$G72),"")</f>
        <v>6423</v>
      </c>
      <c r="AJ72" s="48" t="n">
        <f aca="false">IF($U72&gt;=STRUCT_S,MIN(INDEX($H$5:$H72,69-STRUCT_S):$H72),"")</f>
        <v>5659</v>
      </c>
      <c r="AK72" s="48" t="n">
        <f aca="false">IF($U72&gt;=STRUCT_L,MAX(INDEX($G$5:$G72,69-STRUCT_L):$G72),"")</f>
        <v>6579</v>
      </c>
      <c r="AL72" s="48" t="n">
        <f aca="false">IF($U72&gt;=STRUCT_L,MIN(INDEX($H$5:$H72,69-STRUCT_L):$H72),"")</f>
        <v>5659</v>
      </c>
      <c r="AM72" s="46" t="n">
        <f aca="false">IF($A72&lt;&gt;$A73,1,0)</f>
        <v>0</v>
      </c>
      <c r="AN72" s="47" t="str">
        <f aca="false">IF($AM72=1,$A72,"")</f>
        <v/>
      </c>
    </row>
    <row r="73" customFormat="false" ht="15" hidden="false" customHeight="false" outlineLevel="0" collapsed="false">
      <c r="A73" s="43" t="s">
        <v>130</v>
      </c>
      <c r="B73" s="44" t="s">
        <v>132</v>
      </c>
      <c r="C73" s="45" t="n">
        <v>46000</v>
      </c>
      <c r="D73" s="46" t="n">
        <v>20251209</v>
      </c>
      <c r="E73" s="47" t="s">
        <v>356</v>
      </c>
      <c r="F73" s="48" t="n">
        <v>6082</v>
      </c>
      <c r="G73" s="48" t="n">
        <v>6303</v>
      </c>
      <c r="H73" s="48" t="n">
        <v>6054</v>
      </c>
      <c r="I73" s="48" t="n">
        <v>6080</v>
      </c>
      <c r="J73" s="48" t="n">
        <v>6233</v>
      </c>
      <c r="K73" s="48" t="n">
        <v>6276</v>
      </c>
      <c r="L73" s="48" t="n">
        <v>56793044</v>
      </c>
      <c r="M73" s="48" t="n">
        <v>345301707520</v>
      </c>
      <c r="N73" s="48" t="n">
        <v>4525</v>
      </c>
      <c r="O73" s="48" t="n">
        <v>26876507</v>
      </c>
      <c r="P73" s="48" t="n">
        <v>29041169</v>
      </c>
      <c r="Q73" s="48" t="n">
        <v>3199</v>
      </c>
      <c r="R73" s="48" t="n">
        <v>1228</v>
      </c>
      <c r="S73" s="48" t="n">
        <v>29916537</v>
      </c>
      <c r="T73" s="48" t="n">
        <v>27751875</v>
      </c>
      <c r="U73" s="46" t="n">
        <f aca="false">IF($A73=$A72,$U72+1,1)</f>
        <v>69</v>
      </c>
      <c r="V73" s="48" t="n">
        <f aca="false">IF($U73&gt;=MA_SHORT,AVERAGE(INDEX($I$5:$I73,70-MA_SHORT):$I73),"")</f>
        <v>6060.35</v>
      </c>
      <c r="W73" s="48" t="n">
        <f aca="false">IF($U73&gt;=MA_MED,AVERAGE(INDEX($I$5:$I73,70-MA_MED):$I73),"")</f>
        <v>6167.98</v>
      </c>
      <c r="X73" s="48" t="str">
        <f aca="false">IF($U73&gt;=MA_LONG1,AVERAGE(INDEX($I$5:$I73,70-MA_LONG1):$I73),"")</f>
        <v/>
      </c>
      <c r="Y73" s="48" t="str">
        <f aca="false">IF($U73&gt;=MA_LONG2,AVERAGE(INDEX($I$5:$I73,70-MA_LONG2):$I73),"")</f>
        <v/>
      </c>
      <c r="Z73" s="48" t="n">
        <f aca="false">IF($U73&gt;=MA_SHORT,AVERAGE(INDEX($L$5:$L73,70-MA_SHORT):$L73),"")</f>
        <v>56463954.7</v>
      </c>
      <c r="AA73" s="48" t="n">
        <f aca="false">IF($U73=1,$G73-$H73,MAX($G73-$H73,ABS($G73-$I72),ABS($H73-$I72)))</f>
        <v>249</v>
      </c>
      <c r="AB73" s="48" t="n">
        <f aca="false">IF($U73&gt;=ATR_PER,AVERAGE(INDEX($AA$5:$AA73,70-ATR_PER):$AA73),"")</f>
        <v>186.357142857143</v>
      </c>
      <c r="AC73" s="48" t="n">
        <f aca="false">$O73-$P73</f>
        <v>-2164662</v>
      </c>
      <c r="AD73" s="48" t="n">
        <f aca="false">$AC73*$I73</f>
        <v>-13161144960</v>
      </c>
      <c r="AE73" s="49" t="n">
        <f aca="false">IF($Q73&gt;0,$O73*$I73/$Q73/1000000,"")</f>
        <v>51.081326214442</v>
      </c>
      <c r="AF73" s="49" t="n">
        <f aca="false">IF($R73&gt;0,$P73*$I73/$R73/1000000,"")</f>
        <v>143.786895374593</v>
      </c>
      <c r="AG73" s="50" t="n">
        <f aca="false">IF(AND(ISNUMBER($AE73),ISNUMBER($AF73),$AF73&gt;0),$AE73/$AF73,"")</f>
        <v>0.355257174733241</v>
      </c>
      <c r="AH73" s="48" t="n">
        <f aca="false">IF($U73&gt;=5,SUM(INDEX($AD$43:$AD73,32-5):$AD73),"")</f>
        <v>282406406576</v>
      </c>
      <c r="AI73" s="48" t="n">
        <f aca="false">IF($U73&gt;=STRUCT_S,MAX(INDEX($G$5:$G73,70-STRUCT_S):$G73),"")</f>
        <v>6423</v>
      </c>
      <c r="AJ73" s="48" t="n">
        <f aca="false">IF($U73&gt;=STRUCT_S,MIN(INDEX($H$5:$H73,70-STRUCT_S):$H73),"")</f>
        <v>5659</v>
      </c>
      <c r="AK73" s="48" t="n">
        <f aca="false">IF($U73&gt;=STRUCT_L,MAX(INDEX($G$5:$G73,70-STRUCT_L):$G73),"")</f>
        <v>6579</v>
      </c>
      <c r="AL73" s="48" t="n">
        <f aca="false">IF($U73&gt;=STRUCT_L,MIN(INDEX($H$5:$H73,70-STRUCT_L):$H73),"")</f>
        <v>5659</v>
      </c>
      <c r="AM73" s="46" t="n">
        <f aca="false">IF($A73&lt;&gt;$A74,1,0)</f>
        <v>0</v>
      </c>
      <c r="AN73" s="47" t="str">
        <f aca="false">IF($AM73=1,$A73,"")</f>
        <v/>
      </c>
    </row>
    <row r="74" customFormat="false" ht="15" hidden="false" customHeight="false" outlineLevel="0" collapsed="false">
      <c r="A74" s="43" t="s">
        <v>130</v>
      </c>
      <c r="B74" s="44" t="s">
        <v>132</v>
      </c>
      <c r="C74" s="45" t="n">
        <v>46001</v>
      </c>
      <c r="D74" s="46" t="n">
        <v>20251210</v>
      </c>
      <c r="E74" s="47" t="s">
        <v>357</v>
      </c>
      <c r="F74" s="48" t="n">
        <v>6081</v>
      </c>
      <c r="G74" s="48" t="n">
        <v>6139</v>
      </c>
      <c r="H74" s="48" t="n">
        <v>6030</v>
      </c>
      <c r="I74" s="48" t="n">
        <v>6089</v>
      </c>
      <c r="J74" s="48" t="n">
        <v>6047</v>
      </c>
      <c r="K74" s="48" t="n">
        <v>6080</v>
      </c>
      <c r="L74" s="48" t="n">
        <v>43293177</v>
      </c>
      <c r="M74" s="48" t="n">
        <v>263612154753</v>
      </c>
      <c r="N74" s="48" t="n">
        <v>2679</v>
      </c>
      <c r="O74" s="48" t="n">
        <v>26547158</v>
      </c>
      <c r="P74" s="48" t="n">
        <v>16860632</v>
      </c>
      <c r="Q74" s="48" t="n">
        <v>801</v>
      </c>
      <c r="R74" s="48" t="n">
        <v>1504</v>
      </c>
      <c r="S74" s="48" t="n">
        <v>16746019</v>
      </c>
      <c r="T74" s="48" t="n">
        <v>26432545</v>
      </c>
      <c r="U74" s="46" t="n">
        <f aca="false">IF($A74=$A73,$U73+1,1)</f>
        <v>70</v>
      </c>
      <c r="V74" s="48" t="n">
        <f aca="false">IF($U74&gt;=MA_SHORT,AVERAGE(INDEX($I$5:$I74,71-MA_SHORT):$I74),"")</f>
        <v>6066.4</v>
      </c>
      <c r="W74" s="48" t="n">
        <f aca="false">IF($U74&gt;=MA_MED,AVERAGE(INDEX($I$5:$I74,71-MA_MED):$I74),"")</f>
        <v>6171.34</v>
      </c>
      <c r="X74" s="48" t="str">
        <f aca="false">IF($U74&gt;=MA_LONG1,AVERAGE(INDEX($I$5:$I74,71-MA_LONG1):$I74),"")</f>
        <v/>
      </c>
      <c r="Y74" s="48" t="str">
        <f aca="false">IF($U74&gt;=MA_LONG2,AVERAGE(INDEX($I$5:$I74,71-MA_LONG2):$I74),"")</f>
        <v/>
      </c>
      <c r="Z74" s="48" t="n">
        <f aca="false">IF($U74&gt;=MA_SHORT,AVERAGE(INDEX($L$5:$L74,71-MA_SHORT):$L74),"")</f>
        <v>56327445.05</v>
      </c>
      <c r="AA74" s="48" t="n">
        <f aca="false">IF($U74=1,$G74-$H74,MAX($G74-$H74,ABS($G74-$I73),ABS($H74-$I73)))</f>
        <v>109</v>
      </c>
      <c r="AB74" s="48" t="n">
        <f aca="false">IF($U74&gt;=ATR_PER,AVERAGE(INDEX($AA$5:$AA74,71-ATR_PER):$AA74),"")</f>
        <v>180</v>
      </c>
      <c r="AC74" s="48" t="n">
        <f aca="false">$O74-$P74</f>
        <v>9686526</v>
      </c>
      <c r="AD74" s="48" t="n">
        <f aca="false">$AC74*$I74</f>
        <v>58981256814</v>
      </c>
      <c r="AE74" s="49" t="n">
        <f aca="false">IF($Q74&gt;0,$O74*$I74/$Q74/1000000,"")</f>
        <v>201.804800327091</v>
      </c>
      <c r="AF74" s="49" t="n">
        <f aca="false">IF($R74&gt;0,$P74*$I74/$R74/1000000,"")</f>
        <v>68.2608964414894</v>
      </c>
      <c r="AG74" s="50" t="n">
        <f aca="false">IF(AND(ISNUMBER($AE74),ISNUMBER($AF74),$AF74&gt;0),$AE74/$AF74,"")</f>
        <v>2.95637489173718</v>
      </c>
      <c r="AH74" s="48" t="n">
        <f aca="false">IF($U74&gt;=5,SUM(INDEX($AD$44:$AD74,32-5):$AD74),"")</f>
        <v>302817176754</v>
      </c>
      <c r="AI74" s="48" t="n">
        <f aca="false">IF($U74&gt;=STRUCT_S,MAX(INDEX($G$5:$G74,71-STRUCT_S):$G74),"")</f>
        <v>6423</v>
      </c>
      <c r="AJ74" s="48" t="n">
        <f aca="false">IF($U74&gt;=STRUCT_S,MIN(INDEX($H$5:$H74,71-STRUCT_S):$H74),"")</f>
        <v>5659</v>
      </c>
      <c r="AK74" s="48" t="n">
        <f aca="false">IF($U74&gt;=STRUCT_L,MAX(INDEX($G$5:$G74,71-STRUCT_L):$G74),"")</f>
        <v>6579</v>
      </c>
      <c r="AL74" s="48" t="n">
        <f aca="false">IF($U74&gt;=STRUCT_L,MIN(INDEX($H$5:$H74,71-STRUCT_L):$H74),"")</f>
        <v>5659</v>
      </c>
      <c r="AM74" s="46" t="n">
        <f aca="false">IF($A74&lt;&gt;$A75,1,0)</f>
        <v>0</v>
      </c>
      <c r="AN74" s="47" t="str">
        <f aca="false">IF($AM74=1,$A74,"")</f>
        <v/>
      </c>
    </row>
    <row r="75" customFormat="false" ht="15" hidden="false" customHeight="false" outlineLevel="0" collapsed="false">
      <c r="A75" s="43" t="s">
        <v>130</v>
      </c>
      <c r="B75" s="44" t="s">
        <v>132</v>
      </c>
      <c r="C75" s="45" t="n">
        <v>46004</v>
      </c>
      <c r="D75" s="46" t="n">
        <v>20251213</v>
      </c>
      <c r="E75" s="47" t="s">
        <v>358</v>
      </c>
      <c r="F75" s="48" t="n">
        <v>6183</v>
      </c>
      <c r="G75" s="48" t="n">
        <v>6275</v>
      </c>
      <c r="H75" s="48" t="n">
        <v>6000</v>
      </c>
      <c r="I75" s="48" t="n">
        <v>6184</v>
      </c>
      <c r="J75" s="48" t="n">
        <v>6225</v>
      </c>
      <c r="K75" s="48" t="n">
        <v>6089</v>
      </c>
      <c r="L75" s="48" t="n">
        <v>55601337</v>
      </c>
      <c r="M75" s="48" t="n">
        <v>343838668008</v>
      </c>
      <c r="N75" s="48" t="n">
        <v>4924</v>
      </c>
      <c r="O75" s="48" t="n">
        <v>36183998</v>
      </c>
      <c r="P75" s="48" t="n">
        <v>21786632</v>
      </c>
      <c r="Q75" s="48" t="n">
        <v>1749</v>
      </c>
      <c r="R75" s="48" t="n">
        <v>3447</v>
      </c>
      <c r="S75" s="48" t="n">
        <v>19417339</v>
      </c>
      <c r="T75" s="48" t="n">
        <v>33814705</v>
      </c>
      <c r="U75" s="46" t="n">
        <f aca="false">IF($A75=$A74,$U74+1,1)</f>
        <v>71</v>
      </c>
      <c r="V75" s="48" t="n">
        <f aca="false">IF($U75&gt;=MA_SHORT,AVERAGE(INDEX($I$5:$I75,72-MA_SHORT):$I75),"")</f>
        <v>6080.9</v>
      </c>
      <c r="W75" s="48" t="n">
        <f aca="false">IF($U75&gt;=MA_MED,AVERAGE(INDEX($I$5:$I75,72-MA_MED):$I75),"")</f>
        <v>6175.58</v>
      </c>
      <c r="X75" s="48" t="str">
        <f aca="false">IF($U75&gt;=MA_LONG1,AVERAGE(INDEX($I$5:$I75,72-MA_LONG1):$I75),"")</f>
        <v/>
      </c>
      <c r="Y75" s="48" t="str">
        <f aca="false">IF($U75&gt;=MA_LONG2,AVERAGE(INDEX($I$5:$I75,72-MA_LONG2):$I75),"")</f>
        <v/>
      </c>
      <c r="Z75" s="48" t="n">
        <f aca="false">IF($U75&gt;=MA_SHORT,AVERAGE(INDEX($L$5:$L75,72-MA_SHORT):$L75),"")</f>
        <v>55311091.65</v>
      </c>
      <c r="AA75" s="48" t="n">
        <f aca="false">IF($U75=1,$G75-$H75,MAX($G75-$H75,ABS($G75-$I74),ABS($H75-$I74)))</f>
        <v>275</v>
      </c>
      <c r="AB75" s="48" t="n">
        <f aca="false">IF($U75&gt;=ATR_PER,AVERAGE(INDEX($AA$5:$AA75,72-ATR_PER):$AA75),"")</f>
        <v>189.857142857143</v>
      </c>
      <c r="AC75" s="48" t="n">
        <f aca="false">$O75-$P75</f>
        <v>14397366</v>
      </c>
      <c r="AD75" s="48" t="n">
        <f aca="false">$AC75*$I75</f>
        <v>89033311344</v>
      </c>
      <c r="AE75" s="49" t="n">
        <f aca="false">IF($Q75&gt;0,$O75*$I75/$Q75/1000000,"")</f>
        <v>127.937017514008</v>
      </c>
      <c r="AF75" s="49" t="n">
        <f aca="false">IF($R75&gt;0,$P75*$I75/$R75/1000000,"")</f>
        <v>39.0857360858718</v>
      </c>
      <c r="AG75" s="50" t="n">
        <f aca="false">IF(AND(ISNUMBER($AE75),ISNUMBER($AF75),$AF75&gt;0),$AE75/$AF75,"")</f>
        <v>3.2732405814983</v>
      </c>
      <c r="AH75" s="48" t="n">
        <f aca="false">IF($U75&gt;=5,SUM(INDEX($AD$45:$AD75,32-5):$AD75),"")</f>
        <v>406181251352</v>
      </c>
      <c r="AI75" s="48" t="n">
        <f aca="false">IF($U75&gt;=STRUCT_S,MAX(INDEX($G$5:$G75,72-STRUCT_S):$G75),"")</f>
        <v>6423</v>
      </c>
      <c r="AJ75" s="48" t="n">
        <f aca="false">IF($U75&gt;=STRUCT_S,MIN(INDEX($H$5:$H75,72-STRUCT_S):$H75),"")</f>
        <v>5659</v>
      </c>
      <c r="AK75" s="48" t="n">
        <f aca="false">IF($U75&gt;=STRUCT_L,MAX(INDEX($G$5:$G75,72-STRUCT_L):$G75),"")</f>
        <v>6579</v>
      </c>
      <c r="AL75" s="48" t="n">
        <f aca="false">IF($U75&gt;=STRUCT_L,MIN(INDEX($H$5:$H75,72-STRUCT_L):$H75),"")</f>
        <v>5659</v>
      </c>
      <c r="AM75" s="46" t="n">
        <f aca="false">IF($A75&lt;&gt;$A76,1,0)</f>
        <v>0</v>
      </c>
      <c r="AN75" s="47" t="str">
        <f aca="false">IF($AM75=1,$A75,"")</f>
        <v/>
      </c>
    </row>
    <row r="76" customFormat="false" ht="15" hidden="false" customHeight="false" outlineLevel="0" collapsed="false">
      <c r="A76" s="43" t="s">
        <v>130</v>
      </c>
      <c r="B76" s="44" t="s">
        <v>132</v>
      </c>
      <c r="C76" s="45" t="n">
        <v>46005</v>
      </c>
      <c r="D76" s="46" t="n">
        <v>20251214</v>
      </c>
      <c r="E76" s="47" t="s">
        <v>359</v>
      </c>
      <c r="F76" s="48" t="n">
        <v>6303</v>
      </c>
      <c r="G76" s="48" t="n">
        <v>6440</v>
      </c>
      <c r="H76" s="48" t="n">
        <v>6017</v>
      </c>
      <c r="I76" s="48" t="n">
        <v>6270</v>
      </c>
      <c r="J76" s="48" t="n">
        <v>6159</v>
      </c>
      <c r="K76" s="48" t="n">
        <v>6184</v>
      </c>
      <c r="L76" s="48" t="n">
        <v>154960940</v>
      </c>
      <c r="M76" s="48" t="n">
        <v>971605093800</v>
      </c>
      <c r="N76" s="48" t="n">
        <v>5929</v>
      </c>
      <c r="O76" s="48" t="n">
        <v>107963452</v>
      </c>
      <c r="P76" s="48" t="n">
        <v>43075940</v>
      </c>
      <c r="Q76" s="48" t="n">
        <v>2288</v>
      </c>
      <c r="R76" s="48" t="n">
        <v>3576</v>
      </c>
      <c r="S76" s="48" t="n">
        <v>46997488</v>
      </c>
      <c r="T76" s="48" t="n">
        <v>111885000</v>
      </c>
      <c r="U76" s="46" t="n">
        <f aca="false">IF($A76=$A75,$U75+1,1)</f>
        <v>72</v>
      </c>
      <c r="V76" s="48" t="n">
        <f aca="false">IF($U76&gt;=MA_SHORT,AVERAGE(INDEX($I$5:$I76,73-MA_SHORT):$I76),"")</f>
        <v>6102.95</v>
      </c>
      <c r="W76" s="48" t="n">
        <f aca="false">IF($U76&gt;=MA_MED,AVERAGE(INDEX($I$5:$I76,73-MA_MED):$I76),"")</f>
        <v>6179.18</v>
      </c>
      <c r="X76" s="48" t="str">
        <f aca="false">IF($U76&gt;=MA_LONG1,AVERAGE(INDEX($I$5:$I76,73-MA_LONG1):$I76),"")</f>
        <v/>
      </c>
      <c r="Y76" s="48" t="str">
        <f aca="false">IF($U76&gt;=MA_LONG2,AVERAGE(INDEX($I$5:$I76,73-MA_LONG2):$I76),"")</f>
        <v/>
      </c>
      <c r="Z76" s="48" t="n">
        <f aca="false">IF($U76&gt;=MA_SHORT,AVERAGE(INDEX($L$5:$L76,73-MA_SHORT):$L76),"")</f>
        <v>60771563.75</v>
      </c>
      <c r="AA76" s="48" t="n">
        <f aca="false">IF($U76=1,$G76-$H76,MAX($G76-$H76,ABS($G76-$I75),ABS($H76-$I75)))</f>
        <v>423</v>
      </c>
      <c r="AB76" s="48" t="n">
        <f aca="false">IF($U76&gt;=ATR_PER,AVERAGE(INDEX($AA$5:$AA76,73-ATR_PER):$AA76),"")</f>
        <v>203.642857142857</v>
      </c>
      <c r="AC76" s="48" t="n">
        <f aca="false">$O76-$P76</f>
        <v>64887512</v>
      </c>
      <c r="AD76" s="48" t="n">
        <f aca="false">$AC76*$I76</f>
        <v>406844700240</v>
      </c>
      <c r="AE76" s="49" t="n">
        <f aca="false">IF($Q76&gt;0,$O76*$I76/$Q76/1000000,"")</f>
        <v>295.861382884615</v>
      </c>
      <c r="AF76" s="49" t="n">
        <f aca="false">IF($R76&gt;0,$P76*$I76/$R76/1000000,"")</f>
        <v>75.5274451342282</v>
      </c>
      <c r="AG76" s="50" t="n">
        <f aca="false">IF(AND(ISNUMBER($AE76),ISNUMBER($AF76),$AF76&gt;0),$AE76/$AF76,"")</f>
        <v>3.91726983957696</v>
      </c>
      <c r="AH76" s="48" t="n">
        <f aca="false">IF($U76&gt;=5,SUM(INDEX($AD$46:$AD76,32-5):$AD76),"")</f>
        <v>667112492082</v>
      </c>
      <c r="AI76" s="48" t="n">
        <f aca="false">IF($U76&gt;=STRUCT_S,MAX(INDEX($G$5:$G76,73-STRUCT_S):$G76),"")</f>
        <v>6440</v>
      </c>
      <c r="AJ76" s="48" t="n">
        <f aca="false">IF($U76&gt;=STRUCT_S,MIN(INDEX($H$5:$H76,73-STRUCT_S):$H76),"")</f>
        <v>5659</v>
      </c>
      <c r="AK76" s="48" t="n">
        <f aca="false">IF($U76&gt;=STRUCT_L,MAX(INDEX($G$5:$G76,73-STRUCT_L):$G76),"")</f>
        <v>6579</v>
      </c>
      <c r="AL76" s="48" t="n">
        <f aca="false">IF($U76&gt;=STRUCT_L,MIN(INDEX($H$5:$H76,73-STRUCT_L):$H76),"")</f>
        <v>5659</v>
      </c>
      <c r="AM76" s="46" t="n">
        <f aca="false">IF($A76&lt;&gt;$A77,1,0)</f>
        <v>0</v>
      </c>
      <c r="AN76" s="47" t="str">
        <f aca="false">IF($AM76=1,$A76,"")</f>
        <v/>
      </c>
    </row>
    <row r="77" customFormat="false" ht="15" hidden="false" customHeight="false" outlineLevel="0" collapsed="false">
      <c r="A77" s="43" t="s">
        <v>130</v>
      </c>
      <c r="B77" s="44" t="s">
        <v>132</v>
      </c>
      <c r="C77" s="45" t="n">
        <v>46006</v>
      </c>
      <c r="D77" s="46" t="n">
        <v>20251215</v>
      </c>
      <c r="E77" s="47" t="s">
        <v>360</v>
      </c>
      <c r="F77" s="48" t="n">
        <v>6294</v>
      </c>
      <c r="G77" s="48" t="n">
        <v>6390</v>
      </c>
      <c r="H77" s="48" t="n">
        <v>6202</v>
      </c>
      <c r="I77" s="48" t="n">
        <v>6322</v>
      </c>
      <c r="J77" s="48" t="n">
        <v>6245</v>
      </c>
      <c r="K77" s="48" t="n">
        <v>6270</v>
      </c>
      <c r="L77" s="48" t="n">
        <v>45047387</v>
      </c>
      <c r="M77" s="48" t="n">
        <v>284789580614</v>
      </c>
      <c r="N77" s="48" t="n">
        <v>1054</v>
      </c>
      <c r="O77" s="48" t="n">
        <v>29560798</v>
      </c>
      <c r="P77" s="48" t="n">
        <v>13516577</v>
      </c>
      <c r="Q77" s="48" t="n">
        <v>392</v>
      </c>
      <c r="R77" s="48" t="n">
        <v>503</v>
      </c>
      <c r="S77" s="48" t="n">
        <v>15486589</v>
      </c>
      <c r="T77" s="48" t="n">
        <v>31530810</v>
      </c>
      <c r="U77" s="46" t="n">
        <f aca="false">IF($A77=$A76,$U76+1,1)</f>
        <v>73</v>
      </c>
      <c r="V77" s="48" t="n">
        <f aca="false">IF($U77&gt;=MA_SHORT,AVERAGE(INDEX($I$5:$I77,74-MA_SHORT):$I77),"")</f>
        <v>6131.3</v>
      </c>
      <c r="W77" s="48" t="n">
        <f aca="false">IF($U77&gt;=MA_MED,AVERAGE(INDEX($I$5:$I77,74-MA_MED):$I77),"")</f>
        <v>6183.96</v>
      </c>
      <c r="X77" s="48" t="str">
        <f aca="false">IF($U77&gt;=MA_LONG1,AVERAGE(INDEX($I$5:$I77,74-MA_LONG1):$I77),"")</f>
        <v/>
      </c>
      <c r="Y77" s="48" t="str">
        <f aca="false">IF($U77&gt;=MA_LONG2,AVERAGE(INDEX($I$5:$I77,74-MA_LONG2):$I77),"")</f>
        <v/>
      </c>
      <c r="Z77" s="48" t="n">
        <f aca="false">IF($U77&gt;=MA_SHORT,AVERAGE(INDEX($L$5:$L77,74-MA_SHORT):$L77),"")</f>
        <v>60714898.15</v>
      </c>
      <c r="AA77" s="48" t="n">
        <f aca="false">IF($U77=1,$G77-$H77,MAX($G77-$H77,ABS($G77-$I76),ABS($H77-$I76)))</f>
        <v>188</v>
      </c>
      <c r="AB77" s="48" t="n">
        <f aca="false">IF($U77&gt;=ATR_PER,AVERAGE(INDEX($AA$5:$AA77,74-ATR_PER):$AA77),"")</f>
        <v>202.357142857143</v>
      </c>
      <c r="AC77" s="48" t="n">
        <f aca="false">$O77-$P77</f>
        <v>16044221</v>
      </c>
      <c r="AD77" s="48" t="n">
        <f aca="false">$AC77*$I77</f>
        <v>101431565162</v>
      </c>
      <c r="AE77" s="49" t="n">
        <f aca="false">IF($Q77&gt;0,$O77*$I77/$Q77/1000000,"")</f>
        <v>476.74327794898</v>
      </c>
      <c r="AF77" s="49" t="n">
        <f aca="false">IF($R77&gt;0,$P77*$I77/$R77/1000000,"")</f>
        <v>169.88429382505</v>
      </c>
      <c r="AG77" s="50" t="n">
        <f aca="false">IF(AND(ISNUMBER($AE77),ISNUMBER($AF77),$AF77&gt;0),$AE77/$AF77,"")</f>
        <v>2.80628224784535</v>
      </c>
      <c r="AH77" s="48" t="n">
        <f aca="false">IF($U77&gt;=5,SUM(INDEX($AD$47:$AD77,32-5):$AD77),"")</f>
        <v>643129688600</v>
      </c>
      <c r="AI77" s="48" t="n">
        <f aca="false">IF($U77&gt;=STRUCT_S,MAX(INDEX($G$5:$G77,74-STRUCT_S):$G77),"")</f>
        <v>6440</v>
      </c>
      <c r="AJ77" s="48" t="n">
        <f aca="false">IF($U77&gt;=STRUCT_S,MIN(INDEX($H$5:$H77,74-STRUCT_S):$H77),"")</f>
        <v>5659</v>
      </c>
      <c r="AK77" s="48" t="n">
        <f aca="false">IF($U77&gt;=STRUCT_L,MAX(INDEX($G$5:$G77,74-STRUCT_L):$G77),"")</f>
        <v>6579</v>
      </c>
      <c r="AL77" s="48" t="n">
        <f aca="false">IF($U77&gt;=STRUCT_L,MIN(INDEX($H$5:$H77,74-STRUCT_L):$H77),"")</f>
        <v>5659</v>
      </c>
      <c r="AM77" s="46" t="n">
        <f aca="false">IF($A77&lt;&gt;$A78,1,0)</f>
        <v>0</v>
      </c>
      <c r="AN77" s="47" t="str">
        <f aca="false">IF($AM77=1,$A77,"")</f>
        <v/>
      </c>
    </row>
    <row r="78" customFormat="false" ht="15" hidden="false" customHeight="false" outlineLevel="0" collapsed="false">
      <c r="A78" s="43" t="s">
        <v>130</v>
      </c>
      <c r="B78" s="44" t="s">
        <v>132</v>
      </c>
      <c r="C78" s="45" t="n">
        <v>46007</v>
      </c>
      <c r="D78" s="46" t="n">
        <v>20251216</v>
      </c>
      <c r="E78" s="47" t="s">
        <v>361</v>
      </c>
      <c r="F78" s="48" t="n">
        <v>6454</v>
      </c>
      <c r="G78" s="48" t="n">
        <v>6524</v>
      </c>
      <c r="H78" s="48" t="n">
        <v>6286</v>
      </c>
      <c r="I78" s="48" t="n">
        <v>6487</v>
      </c>
      <c r="J78" s="48" t="n">
        <v>6378</v>
      </c>
      <c r="K78" s="48" t="n">
        <v>6322</v>
      </c>
      <c r="L78" s="48" t="n">
        <v>57036688</v>
      </c>
      <c r="M78" s="48" t="n">
        <v>369996995056</v>
      </c>
      <c r="N78" s="48" t="n">
        <v>5317</v>
      </c>
      <c r="O78" s="48" t="n">
        <v>40515865</v>
      </c>
      <c r="P78" s="48" t="n">
        <v>14735590</v>
      </c>
      <c r="Q78" s="48" t="n">
        <v>1676</v>
      </c>
      <c r="R78" s="48" t="n">
        <v>4030</v>
      </c>
      <c r="S78" s="48" t="n">
        <v>16520823</v>
      </c>
      <c r="T78" s="48" t="n">
        <v>42301098</v>
      </c>
      <c r="U78" s="46" t="n">
        <f aca="false">IF($A78=$A77,$U77+1,1)</f>
        <v>74</v>
      </c>
      <c r="V78" s="48" t="n">
        <f aca="false">IF($U78&gt;=MA_SHORT,AVERAGE(INDEX($I$5:$I78,75-MA_SHORT):$I78),"")</f>
        <v>6166.2</v>
      </c>
      <c r="W78" s="48" t="n">
        <f aca="false">IF($U78&gt;=MA_MED,AVERAGE(INDEX($I$5:$I78,75-MA_MED):$I78),"")</f>
        <v>6193.54</v>
      </c>
      <c r="X78" s="48" t="str">
        <f aca="false">IF($U78&gt;=MA_LONG1,AVERAGE(INDEX($I$5:$I78,75-MA_LONG1):$I78),"")</f>
        <v/>
      </c>
      <c r="Y78" s="48" t="str">
        <f aca="false">IF($U78&gt;=MA_LONG2,AVERAGE(INDEX($I$5:$I78,75-MA_LONG2):$I78),"")</f>
        <v/>
      </c>
      <c r="Z78" s="48" t="n">
        <f aca="false">IF($U78&gt;=MA_SHORT,AVERAGE(INDEX($L$5:$L78,75-MA_SHORT):$L78),"")</f>
        <v>61345073.9</v>
      </c>
      <c r="AA78" s="48" t="n">
        <f aca="false">IF($U78=1,$G78-$H78,MAX($G78-$H78,ABS($G78-$I77),ABS($H78-$I77)))</f>
        <v>238</v>
      </c>
      <c r="AB78" s="48" t="n">
        <f aca="false">IF($U78&gt;=ATR_PER,AVERAGE(INDEX($AA$5:$AA78,75-ATR_PER):$AA78),"")</f>
        <v>194.714285714286</v>
      </c>
      <c r="AC78" s="48" t="n">
        <f aca="false">$O78-$P78</f>
        <v>25780275</v>
      </c>
      <c r="AD78" s="48" t="n">
        <f aca="false">$AC78*$I78</f>
        <v>167236643925</v>
      </c>
      <c r="AE78" s="49" t="n">
        <f aca="false">IF($Q78&gt;0,$O78*$I78/$Q78/1000000,"")</f>
        <v>156.817670796539</v>
      </c>
      <c r="AF78" s="49" t="n">
        <f aca="false">IF($R78&gt;0,$P78*$I78/$R78/1000000,"")</f>
        <v>23.719546483871</v>
      </c>
      <c r="AG78" s="50" t="n">
        <f aca="false">IF(AND(ISNUMBER($AE78),ISNUMBER($AF78),$AF78&gt;0),$AE78/$AF78,"")</f>
        <v>6.61132669223561</v>
      </c>
      <c r="AH78" s="48" t="n">
        <f aca="false">IF($U78&gt;=5,SUM(INDEX($AD$48:$AD78,32-5):$AD78),"")</f>
        <v>823527477485</v>
      </c>
      <c r="AI78" s="48" t="n">
        <f aca="false">IF($U78&gt;=STRUCT_S,MAX(INDEX($G$5:$G78,75-STRUCT_S):$G78),"")</f>
        <v>6524</v>
      </c>
      <c r="AJ78" s="48" t="n">
        <f aca="false">IF($U78&gt;=STRUCT_S,MIN(INDEX($H$5:$H78,75-STRUCT_S):$H78),"")</f>
        <v>5659</v>
      </c>
      <c r="AK78" s="48" t="n">
        <f aca="false">IF($U78&gt;=STRUCT_L,MAX(INDEX($G$5:$G78,75-STRUCT_L):$G78),"")</f>
        <v>6579</v>
      </c>
      <c r="AL78" s="48" t="n">
        <f aca="false">IF($U78&gt;=STRUCT_L,MIN(INDEX($H$5:$H78,75-STRUCT_L):$H78),"")</f>
        <v>5659</v>
      </c>
      <c r="AM78" s="46" t="n">
        <f aca="false">IF($A78&lt;&gt;$A79,1,0)</f>
        <v>0</v>
      </c>
      <c r="AN78" s="47" t="str">
        <f aca="false">IF($AM78=1,$A78,"")</f>
        <v/>
      </c>
    </row>
    <row r="79" customFormat="false" ht="15" hidden="false" customHeight="false" outlineLevel="0" collapsed="false">
      <c r="A79" s="43" t="s">
        <v>130</v>
      </c>
      <c r="B79" s="44" t="s">
        <v>132</v>
      </c>
      <c r="C79" s="45" t="n">
        <v>46008</v>
      </c>
      <c r="D79" s="46" t="n">
        <v>20251217</v>
      </c>
      <c r="E79" s="47" t="s">
        <v>362</v>
      </c>
      <c r="F79" s="48" t="n">
        <v>6278</v>
      </c>
      <c r="G79" s="48" t="n">
        <v>6569</v>
      </c>
      <c r="H79" s="48" t="n">
        <v>6268</v>
      </c>
      <c r="I79" s="48" t="n">
        <v>6348</v>
      </c>
      <c r="J79" s="48" t="n">
        <v>6466</v>
      </c>
      <c r="K79" s="48" t="n">
        <v>6487</v>
      </c>
      <c r="L79" s="48" t="n">
        <v>63525825</v>
      </c>
      <c r="M79" s="48" t="n">
        <v>403261937100</v>
      </c>
      <c r="N79" s="48" t="n">
        <v>3821</v>
      </c>
      <c r="O79" s="48" t="n">
        <v>27221110</v>
      </c>
      <c r="P79" s="48" t="n">
        <v>37625763</v>
      </c>
      <c r="Q79" s="48" t="n">
        <v>2519</v>
      </c>
      <c r="R79" s="48" t="n">
        <v>923</v>
      </c>
      <c r="S79" s="48" t="n">
        <v>36304715</v>
      </c>
      <c r="T79" s="48" t="n">
        <v>25900062</v>
      </c>
      <c r="U79" s="46" t="n">
        <f aca="false">IF($A79=$A78,$U78+1,1)</f>
        <v>75</v>
      </c>
      <c r="V79" s="48" t="n">
        <f aca="false">IF($U79&gt;=MA_SHORT,AVERAGE(INDEX($I$5:$I79,76-MA_SHORT):$I79),"")</f>
        <v>6187.75</v>
      </c>
      <c r="W79" s="48" t="n">
        <f aca="false">IF($U79&gt;=MA_MED,AVERAGE(INDEX($I$5:$I79,76-MA_MED):$I79),"")</f>
        <v>6199.66</v>
      </c>
      <c r="X79" s="48" t="str">
        <f aca="false">IF($U79&gt;=MA_LONG1,AVERAGE(INDEX($I$5:$I79,76-MA_LONG1):$I79),"")</f>
        <v/>
      </c>
      <c r="Y79" s="48" t="str">
        <f aca="false">IF($U79&gt;=MA_LONG2,AVERAGE(INDEX($I$5:$I79,76-MA_LONG2):$I79),"")</f>
        <v/>
      </c>
      <c r="Z79" s="48" t="n">
        <f aca="false">IF($U79&gt;=MA_SHORT,AVERAGE(INDEX($L$5:$L79,76-MA_SHORT):$L79),"")</f>
        <v>62091115.4</v>
      </c>
      <c r="AA79" s="48" t="n">
        <f aca="false">IF($U79=1,$G79-$H79,MAX($G79-$H79,ABS($G79-$I78),ABS($H79-$I78)))</f>
        <v>301</v>
      </c>
      <c r="AB79" s="48" t="n">
        <f aca="false">IF($U79&gt;=ATR_PER,AVERAGE(INDEX($AA$5:$AA79,76-ATR_PER):$AA79),"")</f>
        <v>203</v>
      </c>
      <c r="AC79" s="48" t="n">
        <f aca="false">$O79-$P79</f>
        <v>-10404653</v>
      </c>
      <c r="AD79" s="48" t="n">
        <f aca="false">$AC79*$I79</f>
        <v>-66048737244</v>
      </c>
      <c r="AE79" s="49" t="n">
        <f aca="false">IF($Q79&gt;0,$O79*$I79/$Q79/1000000,"")</f>
        <v>68.5984939579198</v>
      </c>
      <c r="AF79" s="49" t="n">
        <f aca="false">IF($R79&gt;0,$P79*$I79/$R79/1000000,"")</f>
        <v>258.773936645721</v>
      </c>
      <c r="AG79" s="50" t="n">
        <f aca="false">IF(AND(ISNUMBER($AE79),ISNUMBER($AF79),$AF79&gt;0),$AE79/$AF79,"")</f>
        <v>0.265090429303303</v>
      </c>
      <c r="AH79" s="48" t="n">
        <f aca="false">IF($U79&gt;=5,SUM(INDEX($AD$49:$AD79,32-5):$AD79),"")</f>
        <v>698497483427</v>
      </c>
      <c r="AI79" s="48" t="n">
        <f aca="false">IF($U79&gt;=STRUCT_S,MAX(INDEX($G$5:$G79,76-STRUCT_S):$G79),"")</f>
        <v>6569</v>
      </c>
      <c r="AJ79" s="48" t="n">
        <f aca="false">IF($U79&gt;=STRUCT_S,MIN(INDEX($H$5:$H79,76-STRUCT_S):$H79),"")</f>
        <v>5842</v>
      </c>
      <c r="AK79" s="48" t="n">
        <f aca="false">IF($U79&gt;=STRUCT_L,MAX(INDEX($G$5:$G79,76-STRUCT_L):$G79),"")</f>
        <v>6579</v>
      </c>
      <c r="AL79" s="48" t="n">
        <f aca="false">IF($U79&gt;=STRUCT_L,MIN(INDEX($H$5:$H79,76-STRUCT_L):$H79),"")</f>
        <v>5659</v>
      </c>
      <c r="AM79" s="46" t="n">
        <f aca="false">IF($A79&lt;&gt;$A80,1,0)</f>
        <v>0</v>
      </c>
      <c r="AN79" s="47" t="str">
        <f aca="false">IF($AM79=1,$A79,"")</f>
        <v/>
      </c>
    </row>
    <row r="80" customFormat="false" ht="15" hidden="false" customHeight="false" outlineLevel="0" collapsed="false">
      <c r="A80" s="43" t="s">
        <v>130</v>
      </c>
      <c r="B80" s="44" t="s">
        <v>132</v>
      </c>
      <c r="C80" s="45" t="n">
        <v>46011</v>
      </c>
      <c r="D80" s="46" t="n">
        <v>20251220</v>
      </c>
      <c r="E80" s="47" t="s">
        <v>363</v>
      </c>
      <c r="F80" s="48" t="n">
        <v>6359</v>
      </c>
      <c r="G80" s="48" t="n">
        <v>6462</v>
      </c>
      <c r="H80" s="48" t="n">
        <v>6322</v>
      </c>
      <c r="I80" s="48" t="n">
        <v>6436</v>
      </c>
      <c r="J80" s="48" t="n">
        <v>6347</v>
      </c>
      <c r="K80" s="48" t="n">
        <v>6348</v>
      </c>
      <c r="L80" s="48" t="n">
        <v>75980268</v>
      </c>
      <c r="M80" s="48" t="n">
        <v>489009004848</v>
      </c>
      <c r="N80" s="48" t="n">
        <v>3477</v>
      </c>
      <c r="O80" s="48" t="n">
        <v>54880181</v>
      </c>
      <c r="P80" s="48" t="n">
        <v>27059400</v>
      </c>
      <c r="Q80" s="48" t="n">
        <v>743</v>
      </c>
      <c r="R80" s="48" t="n">
        <v>2291</v>
      </c>
      <c r="S80" s="48" t="n">
        <v>21100087</v>
      </c>
      <c r="T80" s="48" t="n">
        <v>48920868</v>
      </c>
      <c r="U80" s="46" t="n">
        <f aca="false">IF($A80=$A79,$U79+1,1)</f>
        <v>76</v>
      </c>
      <c r="V80" s="48" t="n">
        <f aca="false">IF($U80&gt;=MA_SHORT,AVERAGE(INDEX($I$5:$I80,77-MA_SHORT):$I80),"")</f>
        <v>6211.3</v>
      </c>
      <c r="W80" s="48" t="n">
        <f aca="false">IF($U80&gt;=MA_MED,AVERAGE(INDEX($I$5:$I80,77-MA_MED):$I80),"")</f>
        <v>6208.34</v>
      </c>
      <c r="X80" s="48" t="str">
        <f aca="false">IF($U80&gt;=MA_LONG1,AVERAGE(INDEX($I$5:$I80,77-MA_LONG1):$I80),"")</f>
        <v/>
      </c>
      <c r="Y80" s="48" t="str">
        <f aca="false">IF($U80&gt;=MA_LONG2,AVERAGE(INDEX($I$5:$I80,77-MA_LONG2):$I80),"")</f>
        <v/>
      </c>
      <c r="Z80" s="48" t="n">
        <f aca="false">IF($U80&gt;=MA_SHORT,AVERAGE(INDEX($L$5:$L80,77-MA_SHORT):$L80),"")</f>
        <v>58415935.95</v>
      </c>
      <c r="AA80" s="48" t="n">
        <f aca="false">IF($U80=1,$G80-$H80,MAX($G80-$H80,ABS($G80-$I79),ABS($H80-$I79)))</f>
        <v>140</v>
      </c>
      <c r="AB80" s="48" t="n">
        <f aca="false">IF($U80&gt;=ATR_PER,AVERAGE(INDEX($AA$5:$AA80,77-ATR_PER):$AA80),"")</f>
        <v>202.357142857143</v>
      </c>
      <c r="AC80" s="48" t="n">
        <f aca="false">$O80-$P80</f>
        <v>27820781</v>
      </c>
      <c r="AD80" s="48" t="n">
        <f aca="false">$AC80*$I80</f>
        <v>179054546516</v>
      </c>
      <c r="AE80" s="49" t="n">
        <f aca="false">IF($Q80&gt;0,$O80*$I80/$Q80/1000000,"")</f>
        <v>475.38202545895</v>
      </c>
      <c r="AF80" s="49" t="n">
        <f aca="false">IF($R80&gt;0,$P80*$I80/$R80/1000000,"")</f>
        <v>76.0167168921868</v>
      </c>
      <c r="AG80" s="50" t="n">
        <f aca="false">IF(AND(ISNUMBER($AE80),ISNUMBER($AF80),$AF80&gt;0),$AE80/$AF80,"")</f>
        <v>6.25365110325899</v>
      </c>
      <c r="AH80" s="48" t="n">
        <f aca="false">IF($U80&gt;=5,SUM(INDEX($AD$50:$AD80,32-5):$AD80),"")</f>
        <v>788518718599</v>
      </c>
      <c r="AI80" s="48" t="n">
        <f aca="false">IF($U80&gt;=STRUCT_S,MAX(INDEX($G$5:$G80,77-STRUCT_S):$G80),"")</f>
        <v>6569</v>
      </c>
      <c r="AJ80" s="48" t="n">
        <f aca="false">IF($U80&gt;=STRUCT_S,MIN(INDEX($H$5:$H80,77-STRUCT_S):$H80),"")</f>
        <v>5863</v>
      </c>
      <c r="AK80" s="48" t="n">
        <f aca="false">IF($U80&gt;=STRUCT_L,MAX(INDEX($G$5:$G80,77-STRUCT_L):$G80),"")</f>
        <v>6579</v>
      </c>
      <c r="AL80" s="48" t="n">
        <f aca="false">IF($U80&gt;=STRUCT_L,MIN(INDEX($H$5:$H80,77-STRUCT_L):$H80),"")</f>
        <v>5659</v>
      </c>
      <c r="AM80" s="46" t="n">
        <f aca="false">IF($A80&lt;&gt;$A81,1,0)</f>
        <v>0</v>
      </c>
      <c r="AN80" s="47" t="str">
        <f aca="false">IF($AM80=1,$A80,"")</f>
        <v/>
      </c>
    </row>
    <row r="81" customFormat="false" ht="15" hidden="false" customHeight="false" outlineLevel="0" collapsed="false">
      <c r="A81" s="43" t="s">
        <v>130</v>
      </c>
      <c r="B81" s="44" t="s">
        <v>132</v>
      </c>
      <c r="C81" s="45" t="n">
        <v>46012</v>
      </c>
      <c r="D81" s="46" t="n">
        <v>20251221</v>
      </c>
      <c r="E81" s="47" t="s">
        <v>364</v>
      </c>
      <c r="F81" s="48" t="n">
        <v>6535</v>
      </c>
      <c r="G81" s="48" t="n">
        <v>6623</v>
      </c>
      <c r="H81" s="48" t="n">
        <v>6322</v>
      </c>
      <c r="I81" s="48" t="n">
        <v>6508</v>
      </c>
      <c r="J81" s="48" t="n">
        <v>6382</v>
      </c>
      <c r="K81" s="48" t="n">
        <v>6436</v>
      </c>
      <c r="L81" s="48" t="n">
        <v>45792412</v>
      </c>
      <c r="M81" s="48" t="n">
        <v>298017017296</v>
      </c>
      <c r="N81" s="48" t="n">
        <v>2305</v>
      </c>
      <c r="O81" s="48" t="n">
        <v>28657884</v>
      </c>
      <c r="P81" s="48" t="n">
        <v>14837944</v>
      </c>
      <c r="Q81" s="48" t="n">
        <v>703</v>
      </c>
      <c r="R81" s="48" t="n">
        <v>1045</v>
      </c>
      <c r="S81" s="48" t="n">
        <v>17134528</v>
      </c>
      <c r="T81" s="48" t="n">
        <v>30954468</v>
      </c>
      <c r="U81" s="46" t="n">
        <f aca="false">IF($A81=$A80,$U80+1,1)</f>
        <v>77</v>
      </c>
      <c r="V81" s="48" t="n">
        <f aca="false">IF($U81&gt;=MA_SHORT,AVERAGE(INDEX($I$5:$I81,78-MA_SHORT):$I81),"")</f>
        <v>6241.85</v>
      </c>
      <c r="W81" s="48" t="n">
        <f aca="false">IF($U81&gt;=MA_MED,AVERAGE(INDEX($I$5:$I81,78-MA_MED):$I81),"")</f>
        <v>6214.82</v>
      </c>
      <c r="X81" s="48" t="str">
        <f aca="false">IF($U81&gt;=MA_LONG1,AVERAGE(INDEX($I$5:$I81,78-MA_LONG1):$I81),"")</f>
        <v/>
      </c>
      <c r="Y81" s="48" t="str">
        <f aca="false">IF($U81&gt;=MA_LONG2,AVERAGE(INDEX($I$5:$I81,78-MA_LONG2):$I81),"")</f>
        <v/>
      </c>
      <c r="Z81" s="48" t="n">
        <f aca="false">IF($U81&gt;=MA_SHORT,AVERAGE(INDEX($L$5:$L81,78-MA_SHORT):$L81),"")</f>
        <v>57944727.6</v>
      </c>
      <c r="AA81" s="48" t="n">
        <f aca="false">IF($U81=1,$G81-$H81,MAX($G81-$H81,ABS($G81-$I80),ABS($H81-$I80)))</f>
        <v>301</v>
      </c>
      <c r="AB81" s="48" t="n">
        <f aca="false">IF($U81&gt;=ATR_PER,AVERAGE(INDEX($AA$5:$AA81,78-ATR_PER):$AA81),"")</f>
        <v>216.785714285714</v>
      </c>
      <c r="AC81" s="48" t="n">
        <f aca="false">$O81-$P81</f>
        <v>13819940</v>
      </c>
      <c r="AD81" s="48" t="n">
        <f aca="false">$AC81*$I81</f>
        <v>89940169520</v>
      </c>
      <c r="AE81" s="49" t="n">
        <f aca="false">IF($Q81&gt;0,$O81*$I81/$Q81/1000000,"")</f>
        <v>265.299443914652</v>
      </c>
      <c r="AF81" s="49" t="n">
        <f aca="false">IF($R81&gt;0,$P81*$I81/$R81/1000000,"")</f>
        <v>92.4070234947368</v>
      </c>
      <c r="AG81" s="50" t="n">
        <f aca="false">IF(AND(ISNUMBER($AE81),ISNUMBER($AF81),$AF81&gt;0),$AE81/$AF81,"")</f>
        <v>2.87098787387911</v>
      </c>
      <c r="AH81" s="48" t="n">
        <f aca="false">IF($U81&gt;=5,SUM(INDEX($AD$51:$AD81,32-5):$AD81),"")</f>
        <v>471614187879</v>
      </c>
      <c r="AI81" s="48" t="n">
        <f aca="false">IF($U81&gt;=STRUCT_S,MAX(INDEX($G$5:$G81,78-STRUCT_S):$G81),"")</f>
        <v>6623</v>
      </c>
      <c r="AJ81" s="48" t="n">
        <f aca="false">IF($U81&gt;=STRUCT_S,MIN(INDEX($H$5:$H81,78-STRUCT_S):$H81),"")</f>
        <v>5870</v>
      </c>
      <c r="AK81" s="48" t="n">
        <f aca="false">IF($U81&gt;=STRUCT_L,MAX(INDEX($G$5:$G81,78-STRUCT_L):$G81),"")</f>
        <v>6623</v>
      </c>
      <c r="AL81" s="48" t="n">
        <f aca="false">IF($U81&gt;=STRUCT_L,MIN(INDEX($H$5:$H81,78-STRUCT_L):$H81),"")</f>
        <v>5659</v>
      </c>
      <c r="AM81" s="46" t="n">
        <f aca="false">IF($A81&lt;&gt;$A82,1,0)</f>
        <v>0</v>
      </c>
      <c r="AN81" s="47" t="str">
        <f aca="false">IF($AM81=1,$A81,"")</f>
        <v/>
      </c>
    </row>
    <row r="82" customFormat="false" ht="15" hidden="false" customHeight="false" outlineLevel="0" collapsed="false">
      <c r="A82" s="43" t="s">
        <v>130</v>
      </c>
      <c r="B82" s="44" t="s">
        <v>132</v>
      </c>
      <c r="C82" s="45" t="n">
        <v>46013</v>
      </c>
      <c r="D82" s="46" t="n">
        <v>20251222</v>
      </c>
      <c r="E82" s="47" t="s">
        <v>365</v>
      </c>
      <c r="F82" s="48" t="n">
        <v>6408</v>
      </c>
      <c r="G82" s="48" t="n">
        <v>6555</v>
      </c>
      <c r="H82" s="48" t="n">
        <v>6399</v>
      </c>
      <c r="I82" s="48" t="n">
        <v>6445</v>
      </c>
      <c r="J82" s="48" t="n">
        <v>6407</v>
      </c>
      <c r="K82" s="48" t="n">
        <v>6508</v>
      </c>
      <c r="L82" s="48" t="n">
        <v>45404484</v>
      </c>
      <c r="M82" s="48" t="n">
        <v>292631899380</v>
      </c>
      <c r="N82" s="48" t="n">
        <v>1865</v>
      </c>
      <c r="O82" s="48" t="n">
        <v>24523755</v>
      </c>
      <c r="P82" s="48" t="n">
        <v>20510736</v>
      </c>
      <c r="Q82" s="48" t="n">
        <v>1159</v>
      </c>
      <c r="R82" s="48" t="n">
        <v>459</v>
      </c>
      <c r="S82" s="48" t="n">
        <v>20880729</v>
      </c>
      <c r="T82" s="48" t="n">
        <v>24893748</v>
      </c>
      <c r="U82" s="46" t="n">
        <f aca="false">IF($A82=$A81,$U81+1,1)</f>
        <v>78</v>
      </c>
      <c r="V82" s="48" t="n">
        <f aca="false">IF($U82&gt;=MA_SHORT,AVERAGE(INDEX($I$5:$I82,79-MA_SHORT):$I82),"")</f>
        <v>6260.5</v>
      </c>
      <c r="W82" s="48" t="n">
        <f aca="false">IF($U82&gt;=MA_MED,AVERAGE(INDEX($I$5:$I82,79-MA_MED):$I82),"")</f>
        <v>6218.9</v>
      </c>
      <c r="X82" s="48" t="str">
        <f aca="false">IF($U82&gt;=MA_LONG1,AVERAGE(INDEX($I$5:$I82,79-MA_LONG1):$I82),"")</f>
        <v/>
      </c>
      <c r="Y82" s="48" t="str">
        <f aca="false">IF($U82&gt;=MA_LONG2,AVERAGE(INDEX($I$5:$I82,79-MA_LONG2):$I82),"")</f>
        <v/>
      </c>
      <c r="Z82" s="48" t="n">
        <f aca="false">IF($U82&gt;=MA_SHORT,AVERAGE(INDEX($L$5:$L82,79-MA_SHORT):$L82),"")</f>
        <v>56394712.75</v>
      </c>
      <c r="AA82" s="48" t="n">
        <f aca="false">IF($U82=1,$G82-$H82,MAX($G82-$H82,ABS($G82-$I81),ABS($H82-$I81)))</f>
        <v>156</v>
      </c>
      <c r="AB82" s="48" t="n">
        <f aca="false">IF($U82&gt;=ATR_PER,AVERAGE(INDEX($AA$5:$AA82,79-ATR_PER):$AA82),"")</f>
        <v>223.142857142857</v>
      </c>
      <c r="AC82" s="48" t="n">
        <f aca="false">$O82-$P82</f>
        <v>4013019</v>
      </c>
      <c r="AD82" s="48" t="n">
        <f aca="false">$AC82*$I82</f>
        <v>25863907455</v>
      </c>
      <c r="AE82" s="49" t="n">
        <f aca="false">IF($Q82&gt;0,$O82*$I82/$Q82/1000000,"")</f>
        <v>136.372390832614</v>
      </c>
      <c r="AF82" s="49" t="n">
        <f aca="false">IF($R82&gt;0,$P82*$I82/$R82/1000000,"")</f>
        <v>287.999332287582</v>
      </c>
      <c r="AG82" s="50" t="n">
        <f aca="false">IF(AND(ISNUMBER($AE82),ISNUMBER($AF82),$AF82&gt;0),$AE82/$AF82,"")</f>
        <v>0.473516343768602</v>
      </c>
      <c r="AH82" s="48" t="n">
        <f aca="false">IF($U82&gt;=5,SUM(INDEX($AD$52:$AD82,32-5):$AD82),"")</f>
        <v>396046530172</v>
      </c>
      <c r="AI82" s="48" t="n">
        <f aca="false">IF($U82&gt;=STRUCT_S,MAX(INDEX($G$5:$G82,79-STRUCT_S):$G82),"")</f>
        <v>6623</v>
      </c>
      <c r="AJ82" s="48" t="n">
        <f aca="false">IF($U82&gt;=STRUCT_S,MIN(INDEX($H$5:$H82,79-STRUCT_S):$H82),"")</f>
        <v>5998</v>
      </c>
      <c r="AK82" s="48" t="n">
        <f aca="false">IF($U82&gt;=STRUCT_L,MAX(INDEX($G$5:$G82,79-STRUCT_L):$G82),"")</f>
        <v>6623</v>
      </c>
      <c r="AL82" s="48" t="n">
        <f aca="false">IF($U82&gt;=STRUCT_L,MIN(INDEX($H$5:$H82,79-STRUCT_L):$H82),"")</f>
        <v>5659</v>
      </c>
      <c r="AM82" s="46" t="n">
        <f aca="false">IF($A82&lt;&gt;$A83,1,0)</f>
        <v>0</v>
      </c>
      <c r="AN82" s="47" t="str">
        <f aca="false">IF($AM82=1,$A82,"")</f>
        <v/>
      </c>
    </row>
    <row r="83" customFormat="false" ht="15" hidden="false" customHeight="false" outlineLevel="0" collapsed="false">
      <c r="A83" s="43" t="s">
        <v>130</v>
      </c>
      <c r="B83" s="44" t="s">
        <v>132</v>
      </c>
      <c r="C83" s="45" t="n">
        <v>46014</v>
      </c>
      <c r="D83" s="46" t="n">
        <v>20251223</v>
      </c>
      <c r="E83" s="47" t="s">
        <v>366</v>
      </c>
      <c r="F83" s="48" t="n">
        <v>6394</v>
      </c>
      <c r="G83" s="48" t="n">
        <v>6698</v>
      </c>
      <c r="H83" s="48" t="n">
        <v>6258</v>
      </c>
      <c r="I83" s="48" t="n">
        <v>6509</v>
      </c>
      <c r="J83" s="48" t="n">
        <v>6259</v>
      </c>
      <c r="K83" s="48" t="n">
        <v>6445</v>
      </c>
      <c r="L83" s="48" t="n">
        <v>53607243</v>
      </c>
      <c r="M83" s="48" t="n">
        <v>348929544687</v>
      </c>
      <c r="N83" s="48" t="n">
        <v>1859</v>
      </c>
      <c r="O83" s="48" t="n">
        <v>33842007</v>
      </c>
      <c r="P83" s="48" t="n">
        <v>18467024</v>
      </c>
      <c r="Q83" s="48" t="n">
        <v>647</v>
      </c>
      <c r="R83" s="48" t="n">
        <v>840</v>
      </c>
      <c r="S83" s="48" t="n">
        <v>19765236</v>
      </c>
      <c r="T83" s="48" t="n">
        <v>35140219</v>
      </c>
      <c r="U83" s="46" t="n">
        <f aca="false">IF($A83=$A82,$U82+1,1)</f>
        <v>79</v>
      </c>
      <c r="V83" s="48" t="n">
        <f aca="false">IF($U83&gt;=MA_SHORT,AVERAGE(INDEX($I$5:$I83,80-MA_SHORT):$I83),"")</f>
        <v>6279.5</v>
      </c>
      <c r="W83" s="48" t="n">
        <f aca="false">IF($U83&gt;=MA_MED,AVERAGE(INDEX($I$5:$I83,80-MA_MED):$I83),"")</f>
        <v>6221.52</v>
      </c>
      <c r="X83" s="48" t="str">
        <f aca="false">IF($U83&gt;=MA_LONG1,AVERAGE(INDEX($I$5:$I83,80-MA_LONG1):$I83),"")</f>
        <v/>
      </c>
      <c r="Y83" s="48" t="str">
        <f aca="false">IF($U83&gt;=MA_LONG2,AVERAGE(INDEX($I$5:$I83,80-MA_LONG2):$I83),"")</f>
        <v/>
      </c>
      <c r="Z83" s="48" t="n">
        <f aca="false">IF($U83&gt;=MA_SHORT,AVERAGE(INDEX($L$5:$L83,80-MA_SHORT):$L83),"")</f>
        <v>56808623.2</v>
      </c>
      <c r="AA83" s="48" t="n">
        <f aca="false">IF($U83=1,$G83-$H83,MAX($G83-$H83,ABS($G83-$I82),ABS($H83-$I82)))</f>
        <v>440</v>
      </c>
      <c r="AB83" s="48" t="n">
        <f aca="false">IF($U83&gt;=ATR_PER,AVERAGE(INDEX($AA$5:$AA83,80-ATR_PER):$AA83),"")</f>
        <v>241.214285714286</v>
      </c>
      <c r="AC83" s="48" t="n">
        <f aca="false">$O83-$P83</f>
        <v>15374983</v>
      </c>
      <c r="AD83" s="48" t="n">
        <f aca="false">$AC83*$I83</f>
        <v>100075764347</v>
      </c>
      <c r="AE83" s="49" t="n">
        <f aca="false">IF($Q83&gt;0,$O83*$I83/$Q83/1000000,"")</f>
        <v>340.460005506955</v>
      </c>
      <c r="AF83" s="49" t="n">
        <f aca="false">IF($R83&gt;0,$P83*$I83/$R83/1000000,"")</f>
        <v>143.097451447619</v>
      </c>
      <c r="AG83" s="50" t="n">
        <f aca="false">IF(AND(ISNUMBER($AE83),ISNUMBER($AF83),$AF83&gt;0),$AE83/$AF83,"")</f>
        <v>2.37921781319481</v>
      </c>
      <c r="AH83" s="48" t="n">
        <f aca="false">IF($U83&gt;=5,SUM(INDEX($AD$53:$AD83,32-5):$AD83),"")</f>
        <v>328885650594</v>
      </c>
      <c r="AI83" s="48" t="n">
        <f aca="false">IF($U83&gt;=STRUCT_S,MAX(INDEX($G$5:$G83,80-STRUCT_S):$G83),"")</f>
        <v>6698</v>
      </c>
      <c r="AJ83" s="48" t="n">
        <f aca="false">IF($U83&gt;=STRUCT_S,MIN(INDEX($H$5:$H83,80-STRUCT_S):$H83),"")</f>
        <v>6000</v>
      </c>
      <c r="AK83" s="48" t="n">
        <f aca="false">IF($U83&gt;=STRUCT_L,MAX(INDEX($G$5:$G83,80-STRUCT_L):$G83),"")</f>
        <v>6698</v>
      </c>
      <c r="AL83" s="48" t="n">
        <f aca="false">IF($U83&gt;=STRUCT_L,MIN(INDEX($H$5:$H83,80-STRUCT_L):$H83),"")</f>
        <v>5659</v>
      </c>
      <c r="AM83" s="46" t="n">
        <f aca="false">IF($A83&lt;&gt;$A84,1,0)</f>
        <v>0</v>
      </c>
      <c r="AN83" s="47" t="str">
        <f aca="false">IF($AM83=1,$A83,"")</f>
        <v/>
      </c>
    </row>
    <row r="84" customFormat="false" ht="15" hidden="false" customHeight="false" outlineLevel="0" collapsed="false">
      <c r="A84" s="43" t="s">
        <v>130</v>
      </c>
      <c r="B84" s="44" t="s">
        <v>132</v>
      </c>
      <c r="C84" s="45" t="n">
        <v>46015</v>
      </c>
      <c r="D84" s="46" t="n">
        <v>20251224</v>
      </c>
      <c r="E84" s="47" t="s">
        <v>367</v>
      </c>
      <c r="F84" s="48" t="n">
        <v>6583</v>
      </c>
      <c r="G84" s="48" t="n">
        <v>6589</v>
      </c>
      <c r="H84" s="48" t="n">
        <v>6482</v>
      </c>
      <c r="I84" s="48" t="n">
        <v>6561</v>
      </c>
      <c r="J84" s="48" t="n">
        <v>6554</v>
      </c>
      <c r="K84" s="48" t="n">
        <v>6509</v>
      </c>
      <c r="L84" s="48" t="n">
        <v>44968981</v>
      </c>
      <c r="M84" s="48" t="n">
        <v>295041484341</v>
      </c>
      <c r="N84" s="48" t="n">
        <v>1452</v>
      </c>
      <c r="O84" s="48" t="n">
        <v>25479741</v>
      </c>
      <c r="P84" s="48" t="n">
        <v>19819095</v>
      </c>
      <c r="Q84" s="48" t="n">
        <v>475</v>
      </c>
      <c r="R84" s="48" t="n">
        <v>860</v>
      </c>
      <c r="S84" s="48" t="n">
        <v>19489240</v>
      </c>
      <c r="T84" s="48" t="n">
        <v>25149886</v>
      </c>
      <c r="U84" s="46" t="n">
        <f aca="false">IF($A84=$A83,$U83+1,1)</f>
        <v>80</v>
      </c>
      <c r="V84" s="48" t="n">
        <f aca="false">IF($U84&gt;=MA_SHORT,AVERAGE(INDEX($I$5:$I84,81-MA_SHORT):$I84),"")</f>
        <v>6295.65</v>
      </c>
      <c r="W84" s="48" t="n">
        <f aca="false">IF($U84&gt;=MA_MED,AVERAGE(INDEX($I$5:$I84,81-MA_MED):$I84),"")</f>
        <v>6228.4</v>
      </c>
      <c r="X84" s="48" t="str">
        <f aca="false">IF($U84&gt;=MA_LONG1,AVERAGE(INDEX($I$5:$I84,81-MA_LONG1):$I84),"")</f>
        <v/>
      </c>
      <c r="Y84" s="48" t="str">
        <f aca="false">IF($U84&gt;=MA_LONG2,AVERAGE(INDEX($I$5:$I84,81-MA_LONG2):$I84),"")</f>
        <v/>
      </c>
      <c r="Z84" s="48" t="n">
        <f aca="false">IF($U84&gt;=MA_SHORT,AVERAGE(INDEX($L$5:$L84,81-MA_SHORT):$L84),"")</f>
        <v>56120527.05</v>
      </c>
      <c r="AA84" s="48" t="n">
        <f aca="false">IF($U84=1,$G84-$H84,MAX($G84-$H84,ABS($G84-$I83),ABS($H84-$I83)))</f>
        <v>107</v>
      </c>
      <c r="AB84" s="48" t="n">
        <f aca="false">IF($U84&gt;=ATR_PER,AVERAGE(INDEX($AA$5:$AA84,81-ATR_PER):$AA84),"")</f>
        <v>235.5</v>
      </c>
      <c r="AC84" s="48" t="n">
        <f aca="false">$O84-$P84</f>
        <v>5660646</v>
      </c>
      <c r="AD84" s="48" t="n">
        <f aca="false">$AC84*$I84</f>
        <v>37139498406</v>
      </c>
      <c r="AE84" s="49" t="n">
        <f aca="false">IF($Q84&gt;0,$O84*$I84/$Q84/1000000,"")</f>
        <v>351.94227516</v>
      </c>
      <c r="AF84" s="49" t="n">
        <f aca="false">IF($R84&gt;0,$P84*$I84/$R84/1000000,"")</f>
        <v>151.201258482558</v>
      </c>
      <c r="AG84" s="50" t="n">
        <f aca="false">IF(AND(ISNUMBER($AE84),ISNUMBER($AF84),$AF84&gt;0),$AE84/$AF84,"")</f>
        <v>2.32764117635038</v>
      </c>
      <c r="AH84" s="48" t="n">
        <f aca="false">IF($U84&gt;=5,SUM(INDEX($AD$54:$AD84,32-5):$AD84),"")</f>
        <v>432073886244</v>
      </c>
      <c r="AI84" s="48" t="n">
        <f aca="false">IF($U84&gt;=STRUCT_S,MAX(INDEX($G$5:$G84,81-STRUCT_S):$G84),"")</f>
        <v>6698</v>
      </c>
      <c r="AJ84" s="48" t="n">
        <f aca="false">IF($U84&gt;=STRUCT_S,MIN(INDEX($H$5:$H84,81-STRUCT_S):$H84),"")</f>
        <v>6000</v>
      </c>
      <c r="AK84" s="48" t="n">
        <f aca="false">IF($U84&gt;=STRUCT_L,MAX(INDEX($G$5:$G84,81-STRUCT_L):$G84),"")</f>
        <v>6698</v>
      </c>
      <c r="AL84" s="48" t="n">
        <f aca="false">IF($U84&gt;=STRUCT_L,MIN(INDEX($H$5:$H84,81-STRUCT_L):$H84),"")</f>
        <v>5659</v>
      </c>
      <c r="AM84" s="46" t="n">
        <f aca="false">IF($A84&lt;&gt;$A85,1,0)</f>
        <v>0</v>
      </c>
      <c r="AN84" s="47" t="str">
        <f aca="false">IF($AM84=1,$A84,"")</f>
        <v/>
      </c>
    </row>
    <row r="85" customFormat="false" ht="15" hidden="false" customHeight="false" outlineLevel="0" collapsed="false">
      <c r="A85" s="43" t="s">
        <v>130</v>
      </c>
      <c r="B85" s="44" t="s">
        <v>132</v>
      </c>
      <c r="C85" s="45" t="n">
        <v>46018</v>
      </c>
      <c r="D85" s="46" t="n">
        <v>20251227</v>
      </c>
      <c r="E85" s="47" t="s">
        <v>368</v>
      </c>
      <c r="F85" s="48" t="n">
        <v>6684</v>
      </c>
      <c r="G85" s="48" t="n">
        <v>6747</v>
      </c>
      <c r="H85" s="48" t="n">
        <v>6498</v>
      </c>
      <c r="I85" s="48" t="n">
        <v>6683</v>
      </c>
      <c r="J85" s="48" t="n">
        <v>6614</v>
      </c>
      <c r="K85" s="48" t="n">
        <v>6561</v>
      </c>
      <c r="L85" s="48" t="n">
        <v>66753921</v>
      </c>
      <c r="M85" s="48" t="n">
        <v>446116454043</v>
      </c>
      <c r="N85" s="48" t="n">
        <v>1533</v>
      </c>
      <c r="O85" s="48" t="n">
        <v>42729148</v>
      </c>
      <c r="P85" s="48" t="n">
        <v>28376510</v>
      </c>
      <c r="Q85" s="48" t="n">
        <v>373</v>
      </c>
      <c r="R85" s="48" t="n">
        <v>836</v>
      </c>
      <c r="S85" s="48" t="n">
        <v>24024773</v>
      </c>
      <c r="T85" s="48" t="n">
        <v>38377411</v>
      </c>
      <c r="U85" s="46" t="n">
        <f aca="false">IF($A85=$A84,$U84+1,1)</f>
        <v>81</v>
      </c>
      <c r="V85" s="48" t="n">
        <f aca="false">IF($U85&gt;=MA_SHORT,AVERAGE(INDEX($I$5:$I85,82-MA_SHORT):$I85),"")</f>
        <v>6323.1</v>
      </c>
      <c r="W85" s="48" t="n">
        <f aca="false">IF($U85&gt;=MA_MED,AVERAGE(INDEX($I$5:$I85,82-MA_MED):$I85),"")</f>
        <v>6238.24</v>
      </c>
      <c r="X85" s="48" t="str">
        <f aca="false">IF($U85&gt;=MA_LONG1,AVERAGE(INDEX($I$5:$I85,82-MA_LONG1):$I85),"")</f>
        <v/>
      </c>
      <c r="Y85" s="48" t="str">
        <f aca="false">IF($U85&gt;=MA_LONG2,AVERAGE(INDEX($I$5:$I85,82-MA_LONG2):$I85),"")</f>
        <v/>
      </c>
      <c r="Z85" s="48" t="n">
        <f aca="false">IF($U85&gt;=MA_SHORT,AVERAGE(INDEX($L$5:$L85,82-MA_SHORT):$L85),"")</f>
        <v>56987773.15</v>
      </c>
      <c r="AA85" s="48" t="n">
        <f aca="false">IF($U85=1,$G85-$H85,MAX($G85-$H85,ABS($G85-$I84),ABS($H85-$I84)))</f>
        <v>249</v>
      </c>
      <c r="AB85" s="48" t="n">
        <f aca="false">IF($U85&gt;=ATR_PER,AVERAGE(INDEX($AA$5:$AA85,82-ATR_PER):$AA85),"")</f>
        <v>233.928571428571</v>
      </c>
      <c r="AC85" s="48" t="n">
        <f aca="false">$O85-$P85</f>
        <v>14352638</v>
      </c>
      <c r="AD85" s="48" t="n">
        <f aca="false">$AC85*$I85</f>
        <v>95918679754</v>
      </c>
      <c r="AE85" s="49" t="n">
        <f aca="false">IF($Q85&gt;0,$O85*$I85/$Q85/1000000,"")</f>
        <v>765.573447946381</v>
      </c>
      <c r="AF85" s="49" t="n">
        <f aca="false">IF($R85&gt;0,$P85*$I85/$R85/1000000,"")</f>
        <v>226.842364031101</v>
      </c>
      <c r="AG85" s="50" t="n">
        <f aca="false">IF(AND(ISNUMBER($AE85),ISNUMBER($AF85),$AF85&gt;0),$AE85/$AF85,"")</f>
        <v>3.37491390206734</v>
      </c>
      <c r="AH85" s="48" t="n">
        <f aca="false">IF($U85&gt;=5,SUM(INDEX($AD$55:$AD85,32-5):$AD85),"")</f>
        <v>348938019482</v>
      </c>
      <c r="AI85" s="48" t="n">
        <f aca="false">IF($U85&gt;=STRUCT_S,MAX(INDEX($G$5:$G85,82-STRUCT_S):$G85),"")</f>
        <v>6747</v>
      </c>
      <c r="AJ85" s="48" t="n">
        <f aca="false">IF($U85&gt;=STRUCT_S,MIN(INDEX($H$5:$H85,82-STRUCT_S):$H85),"")</f>
        <v>6000</v>
      </c>
      <c r="AK85" s="48" t="n">
        <f aca="false">IF($U85&gt;=STRUCT_L,MAX(INDEX($G$5:$G85,82-STRUCT_L):$G85),"")</f>
        <v>6747</v>
      </c>
      <c r="AL85" s="48" t="n">
        <f aca="false">IF($U85&gt;=STRUCT_L,MIN(INDEX($H$5:$H85,82-STRUCT_L):$H85),"")</f>
        <v>5659</v>
      </c>
      <c r="AM85" s="46" t="n">
        <f aca="false">IF($A85&lt;&gt;$A86,1,0)</f>
        <v>0</v>
      </c>
      <c r="AN85" s="47" t="str">
        <f aca="false">IF($AM85=1,$A85,"")</f>
        <v/>
      </c>
    </row>
    <row r="86" customFormat="false" ht="15" hidden="false" customHeight="false" outlineLevel="0" collapsed="false">
      <c r="A86" s="43" t="s">
        <v>130</v>
      </c>
      <c r="B86" s="44" t="s">
        <v>132</v>
      </c>
      <c r="C86" s="45" t="n">
        <v>46019</v>
      </c>
      <c r="D86" s="46" t="n">
        <v>20251228</v>
      </c>
      <c r="E86" s="47" t="s">
        <v>369</v>
      </c>
      <c r="F86" s="48" t="n">
        <v>6791</v>
      </c>
      <c r="G86" s="48" t="n">
        <v>6797</v>
      </c>
      <c r="H86" s="48" t="n">
        <v>6644</v>
      </c>
      <c r="I86" s="48" t="n">
        <v>6757</v>
      </c>
      <c r="J86" s="48" t="n">
        <v>6740</v>
      </c>
      <c r="K86" s="48" t="n">
        <v>6683</v>
      </c>
      <c r="L86" s="48" t="n">
        <v>45763008</v>
      </c>
      <c r="M86" s="48" t="n">
        <v>309220645056</v>
      </c>
      <c r="N86" s="48" t="n">
        <v>1829</v>
      </c>
      <c r="O86" s="48" t="n">
        <v>31142767</v>
      </c>
      <c r="P86" s="48" t="n">
        <v>11730338</v>
      </c>
      <c r="Q86" s="48" t="n">
        <v>603</v>
      </c>
      <c r="R86" s="48" t="n">
        <v>1115</v>
      </c>
      <c r="S86" s="48" t="n">
        <v>14620241</v>
      </c>
      <c r="T86" s="48" t="n">
        <v>34032670</v>
      </c>
      <c r="U86" s="46" t="n">
        <f aca="false">IF($A86=$A85,$U85+1,1)</f>
        <v>82</v>
      </c>
      <c r="V86" s="48" t="n">
        <f aca="false">IF($U86&gt;=MA_SHORT,AVERAGE(INDEX($I$5:$I86,83-MA_SHORT):$I86),"")</f>
        <v>6355.1</v>
      </c>
      <c r="W86" s="48" t="n">
        <f aca="false">IF($U86&gt;=MA_MED,AVERAGE(INDEX($I$5:$I86,83-MA_MED):$I86),"")</f>
        <v>6246.92</v>
      </c>
      <c r="X86" s="48" t="str">
        <f aca="false">IF($U86&gt;=MA_LONG1,AVERAGE(INDEX($I$5:$I86,83-MA_LONG1):$I86),"")</f>
        <v/>
      </c>
      <c r="Y86" s="48" t="str">
        <f aca="false">IF($U86&gt;=MA_LONG2,AVERAGE(INDEX($I$5:$I86,83-MA_LONG2):$I86),"")</f>
        <v/>
      </c>
      <c r="Z86" s="48" t="n">
        <f aca="false">IF($U86&gt;=MA_SHORT,AVERAGE(INDEX($L$5:$L86,83-MA_SHORT):$L86),"")</f>
        <v>57094642.6</v>
      </c>
      <c r="AA86" s="48" t="n">
        <f aca="false">IF($U86=1,$G86-$H86,MAX($G86-$H86,ABS($G86-$I85),ABS($H86-$I85)))</f>
        <v>153</v>
      </c>
      <c r="AB86" s="48" t="n">
        <f aca="false">IF($U86&gt;=ATR_PER,AVERAGE(INDEX($AA$5:$AA86,83-ATR_PER):$AA86),"")</f>
        <v>237.785714285714</v>
      </c>
      <c r="AC86" s="48" t="n">
        <f aca="false">$O86-$P86</f>
        <v>19412429</v>
      </c>
      <c r="AD86" s="48" t="n">
        <f aca="false">$AC86*$I86</f>
        <v>131169782753</v>
      </c>
      <c r="AE86" s="49" t="n">
        <f aca="false">IF($Q86&gt;0,$O86*$I86/$Q86/1000000,"")</f>
        <v>348.974588091211</v>
      </c>
      <c r="AF86" s="49" t="n">
        <f aca="false">IF($R86&gt;0,$P86*$I86/$R86/1000000,"")</f>
        <v>71.0869003282511</v>
      </c>
      <c r="AG86" s="50" t="n">
        <f aca="false">IF(AND(ISNUMBER($AE86),ISNUMBER($AF86),$AF86&gt;0),$AE86/$AF86,"")</f>
        <v>4.90912652654405</v>
      </c>
      <c r="AH86" s="48" t="n">
        <f aca="false">IF($U86&gt;=5,SUM(INDEX($AD$56:$AD86,32-5):$AD86),"")</f>
        <v>390167632715</v>
      </c>
      <c r="AI86" s="48" t="n">
        <f aca="false">IF($U86&gt;=STRUCT_S,MAX(INDEX($G$5:$G86,83-STRUCT_S):$G86),"")</f>
        <v>6797</v>
      </c>
      <c r="AJ86" s="48" t="n">
        <f aca="false">IF($U86&gt;=STRUCT_S,MIN(INDEX($H$5:$H86,83-STRUCT_S):$H86),"")</f>
        <v>6000</v>
      </c>
      <c r="AK86" s="48" t="n">
        <f aca="false">IF($U86&gt;=STRUCT_L,MAX(INDEX($G$5:$G86,83-STRUCT_L):$G86),"")</f>
        <v>6797</v>
      </c>
      <c r="AL86" s="48" t="n">
        <f aca="false">IF($U86&gt;=STRUCT_L,MIN(INDEX($H$5:$H86,83-STRUCT_L):$H86),"")</f>
        <v>5659</v>
      </c>
      <c r="AM86" s="46" t="n">
        <f aca="false">IF($A86&lt;&gt;$A87,1,0)</f>
        <v>0</v>
      </c>
      <c r="AN86" s="47" t="str">
        <f aca="false">IF($AM86=1,$A86,"")</f>
        <v/>
      </c>
    </row>
    <row r="87" customFormat="false" ht="15" hidden="false" customHeight="false" outlineLevel="0" collapsed="false">
      <c r="A87" s="43" t="s">
        <v>130</v>
      </c>
      <c r="B87" s="44" t="s">
        <v>132</v>
      </c>
      <c r="C87" s="45" t="n">
        <v>46020</v>
      </c>
      <c r="D87" s="46" t="n">
        <v>20251229</v>
      </c>
      <c r="E87" s="47" t="s">
        <v>370</v>
      </c>
      <c r="F87" s="48" t="n">
        <v>6698</v>
      </c>
      <c r="G87" s="48" t="n">
        <v>6787</v>
      </c>
      <c r="H87" s="48" t="n">
        <v>6630</v>
      </c>
      <c r="I87" s="48" t="n">
        <v>6660</v>
      </c>
      <c r="J87" s="48" t="n">
        <v>6765</v>
      </c>
      <c r="K87" s="48" t="n">
        <v>6757</v>
      </c>
      <c r="L87" s="48" t="n">
        <v>63474505</v>
      </c>
      <c r="M87" s="48" t="n">
        <v>422740203300</v>
      </c>
      <c r="N87" s="48" t="n">
        <v>1441</v>
      </c>
      <c r="O87" s="48" t="n">
        <v>33645808</v>
      </c>
      <c r="P87" s="48" t="n">
        <v>29816754</v>
      </c>
      <c r="Q87" s="48" t="n">
        <v>750</v>
      </c>
      <c r="R87" s="48" t="n">
        <v>420</v>
      </c>
      <c r="S87" s="48" t="n">
        <v>29828697</v>
      </c>
      <c r="T87" s="48" t="n">
        <v>33657751</v>
      </c>
      <c r="U87" s="46" t="n">
        <f aca="false">IF($A87=$A86,$U86+1,1)</f>
        <v>83</v>
      </c>
      <c r="V87" s="48" t="n">
        <f aca="false">IF($U87&gt;=MA_SHORT,AVERAGE(INDEX($I$5:$I87,84-MA_SHORT):$I87),"")</f>
        <v>6380.9</v>
      </c>
      <c r="W87" s="48" t="n">
        <f aca="false">IF($U87&gt;=MA_MED,AVERAGE(INDEX($I$5:$I87,84-MA_MED):$I87),"")</f>
        <v>6252.08</v>
      </c>
      <c r="X87" s="48" t="str">
        <f aca="false">IF($U87&gt;=MA_LONG1,AVERAGE(INDEX($I$5:$I87,84-MA_LONG1):$I87),"")</f>
        <v/>
      </c>
      <c r="Y87" s="48" t="str">
        <f aca="false">IF($U87&gt;=MA_LONG2,AVERAGE(INDEX($I$5:$I87,84-MA_LONG2):$I87),"")</f>
        <v/>
      </c>
      <c r="Z87" s="48" t="n">
        <f aca="false">IF($U87&gt;=MA_SHORT,AVERAGE(INDEX($L$5:$L87,84-MA_SHORT):$L87),"")</f>
        <v>58065942.1</v>
      </c>
      <c r="AA87" s="48" t="n">
        <f aca="false">IF($U87=1,$G87-$H87,MAX($G87-$H87,ABS($G87-$I86),ABS($H87-$I86)))</f>
        <v>157</v>
      </c>
      <c r="AB87" s="48" t="n">
        <f aca="false">IF($U87&gt;=ATR_PER,AVERAGE(INDEX($AA$5:$AA87,84-ATR_PER):$AA87),"")</f>
        <v>231.214285714286</v>
      </c>
      <c r="AC87" s="48" t="n">
        <f aca="false">$O87-$P87</f>
        <v>3829054</v>
      </c>
      <c r="AD87" s="48" t="n">
        <f aca="false">$AC87*$I87</f>
        <v>25501499640</v>
      </c>
      <c r="AE87" s="49" t="n">
        <f aca="false">IF($Q87&gt;0,$O87*$I87/$Q87/1000000,"")</f>
        <v>298.77477504</v>
      </c>
      <c r="AF87" s="49" t="n">
        <f aca="false">IF($R87&gt;0,$P87*$I87/$R87/1000000,"")</f>
        <v>472.808527714286</v>
      </c>
      <c r="AG87" s="50" t="n">
        <f aca="false">IF(AND(ISNUMBER($AE87),ISNUMBER($AF87),$AF87&gt;0),$AE87/$AF87,"")</f>
        <v>0.631914945536996</v>
      </c>
      <c r="AH87" s="48" t="n">
        <f aca="false">IF($U87&gt;=5,SUM(INDEX($AD$57:$AD87,32-5):$AD87),"")</f>
        <v>389805224900</v>
      </c>
      <c r="AI87" s="48" t="n">
        <f aca="false">IF($U87&gt;=STRUCT_S,MAX(INDEX($G$5:$G87,84-STRUCT_S):$G87),"")</f>
        <v>6797</v>
      </c>
      <c r="AJ87" s="48" t="n">
        <f aca="false">IF($U87&gt;=STRUCT_S,MIN(INDEX($H$5:$H87,84-STRUCT_S):$H87),"")</f>
        <v>6000</v>
      </c>
      <c r="AK87" s="48" t="n">
        <f aca="false">IF($U87&gt;=STRUCT_L,MAX(INDEX($G$5:$G87,84-STRUCT_L):$G87),"")</f>
        <v>6797</v>
      </c>
      <c r="AL87" s="48" t="n">
        <f aca="false">IF($U87&gt;=STRUCT_L,MIN(INDEX($H$5:$H87,84-STRUCT_L):$H87),"")</f>
        <v>5659</v>
      </c>
      <c r="AM87" s="46" t="n">
        <f aca="false">IF($A87&lt;&gt;$A88,1,0)</f>
        <v>0</v>
      </c>
      <c r="AN87" s="47" t="str">
        <f aca="false">IF($AM87=1,$A87,"")</f>
        <v/>
      </c>
    </row>
    <row r="88" customFormat="false" ht="15" hidden="false" customHeight="false" outlineLevel="0" collapsed="false">
      <c r="A88" s="43" t="s">
        <v>130</v>
      </c>
      <c r="B88" s="44" t="s">
        <v>132</v>
      </c>
      <c r="C88" s="45" t="n">
        <v>46021</v>
      </c>
      <c r="D88" s="46" t="n">
        <v>20251230</v>
      </c>
      <c r="E88" s="47" t="s">
        <v>371</v>
      </c>
      <c r="F88" s="48" t="n">
        <v>6613</v>
      </c>
      <c r="G88" s="48" t="n">
        <v>6694</v>
      </c>
      <c r="H88" s="48" t="n">
        <v>6448</v>
      </c>
      <c r="I88" s="48" t="n">
        <v>6481</v>
      </c>
      <c r="J88" s="48" t="n">
        <v>6617</v>
      </c>
      <c r="K88" s="48" t="n">
        <v>6660</v>
      </c>
      <c r="L88" s="48" t="n">
        <v>63403229</v>
      </c>
      <c r="M88" s="48" t="n">
        <v>410916327149</v>
      </c>
      <c r="N88" s="48" t="n">
        <v>2542</v>
      </c>
      <c r="O88" s="48" t="n">
        <v>31036018</v>
      </c>
      <c r="P88" s="48" t="n">
        <v>31004591</v>
      </c>
      <c r="Q88" s="48" t="n">
        <v>1247</v>
      </c>
      <c r="R88" s="48" t="n">
        <v>1051</v>
      </c>
      <c r="S88" s="48" t="n">
        <v>32367211</v>
      </c>
      <c r="T88" s="48" t="n">
        <v>32398638</v>
      </c>
      <c r="U88" s="46" t="n">
        <f aca="false">IF($A88=$A87,$U87+1,1)</f>
        <v>84</v>
      </c>
      <c r="V88" s="48" t="n">
        <f aca="false">IF($U88&gt;=MA_SHORT,AVERAGE(INDEX($I$5:$I88,85-MA_SHORT):$I88),"")</f>
        <v>6396.4</v>
      </c>
      <c r="W88" s="48" t="n">
        <f aca="false">IF($U88&gt;=MA_MED,AVERAGE(INDEX($I$5:$I88,85-MA_MED):$I88),"")</f>
        <v>6252.56</v>
      </c>
      <c r="X88" s="48" t="str">
        <f aca="false">IF($U88&gt;=MA_LONG1,AVERAGE(INDEX($I$5:$I88,85-MA_LONG1):$I88),"")</f>
        <v/>
      </c>
      <c r="Y88" s="48" t="str">
        <f aca="false">IF($U88&gt;=MA_LONG2,AVERAGE(INDEX($I$5:$I88,85-MA_LONG2):$I88),"")</f>
        <v/>
      </c>
      <c r="Z88" s="48" t="n">
        <f aca="false">IF($U88&gt;=MA_SHORT,AVERAGE(INDEX($L$5:$L88,85-MA_SHORT):$L88),"")</f>
        <v>59033927.5</v>
      </c>
      <c r="AA88" s="48" t="n">
        <f aca="false">IF($U88=1,$G88-$H88,MAX($G88-$H88,ABS($G88-$I87),ABS($H88-$I87)))</f>
        <v>246</v>
      </c>
      <c r="AB88" s="48" t="n">
        <f aca="false">IF($U88&gt;=ATR_PER,AVERAGE(INDEX($AA$5:$AA88,85-ATR_PER):$AA88),"")</f>
        <v>241</v>
      </c>
      <c r="AC88" s="48" t="n">
        <f aca="false">$O88-$P88</f>
        <v>31427</v>
      </c>
      <c r="AD88" s="48" t="n">
        <f aca="false">$AC88*$I88</f>
        <v>203678387</v>
      </c>
      <c r="AE88" s="49" t="n">
        <f aca="false">IF($Q88&gt;0,$O88*$I88/$Q88/1000000,"")</f>
        <v>161.302672540497</v>
      </c>
      <c r="AF88" s="49" t="n">
        <f aca="false">IF($R88&gt;0,$P88*$I88/$R88/1000000,"")</f>
        <v>191.190061152236</v>
      </c>
      <c r="AG88" s="50" t="n">
        <f aca="false">IF(AND(ISNUMBER($AE88),ISNUMBER($AF88),$AF88&gt;0),$AE88/$AF88,"")</f>
        <v>0.843677080117984</v>
      </c>
      <c r="AH88" s="48" t="n">
        <f aca="false">IF($U88&gt;=5,SUM(INDEX($AD$58:$AD88,32-5):$AD88),"")</f>
        <v>289933138940</v>
      </c>
      <c r="AI88" s="48" t="n">
        <f aca="false">IF($U88&gt;=STRUCT_S,MAX(INDEX($G$5:$G88,85-STRUCT_S):$G88),"")</f>
        <v>6797</v>
      </c>
      <c r="AJ88" s="48" t="n">
        <f aca="false">IF($U88&gt;=STRUCT_S,MIN(INDEX($H$5:$H88,85-STRUCT_S):$H88),"")</f>
        <v>6000</v>
      </c>
      <c r="AK88" s="48" t="n">
        <f aca="false">IF($U88&gt;=STRUCT_L,MAX(INDEX($G$5:$G88,85-STRUCT_L):$G88),"")</f>
        <v>6797</v>
      </c>
      <c r="AL88" s="48" t="n">
        <f aca="false">IF($U88&gt;=STRUCT_L,MIN(INDEX($H$5:$H88,85-STRUCT_L):$H88),"")</f>
        <v>5659</v>
      </c>
      <c r="AM88" s="46" t="n">
        <f aca="false">IF($A88&lt;&gt;$A89,1,0)</f>
        <v>0</v>
      </c>
      <c r="AN88" s="47" t="str">
        <f aca="false">IF($AM88=1,$A88,"")</f>
        <v/>
      </c>
    </row>
    <row r="89" customFormat="false" ht="15" hidden="false" customHeight="false" outlineLevel="0" collapsed="false">
      <c r="A89" s="43" t="s">
        <v>130</v>
      </c>
      <c r="B89" s="44" t="s">
        <v>132</v>
      </c>
      <c r="C89" s="45" t="n">
        <v>46022</v>
      </c>
      <c r="D89" s="46" t="n">
        <v>20251231</v>
      </c>
      <c r="E89" s="47" t="s">
        <v>372</v>
      </c>
      <c r="F89" s="48" t="n">
        <v>6534</v>
      </c>
      <c r="G89" s="48" t="n">
        <v>6547</v>
      </c>
      <c r="H89" s="48" t="n">
        <v>6465</v>
      </c>
      <c r="I89" s="48" t="n">
        <v>6531</v>
      </c>
      <c r="J89" s="48" t="n">
        <v>6520</v>
      </c>
      <c r="K89" s="48" t="n">
        <v>6481</v>
      </c>
      <c r="L89" s="48" t="n">
        <v>44898413</v>
      </c>
      <c r="M89" s="48" t="n">
        <v>293231535303</v>
      </c>
      <c r="N89" s="48" t="n">
        <v>1474</v>
      </c>
      <c r="O89" s="48" t="n">
        <v>30716357</v>
      </c>
      <c r="P89" s="48" t="n">
        <v>15005264</v>
      </c>
      <c r="Q89" s="48" t="n">
        <v>324</v>
      </c>
      <c r="R89" s="48" t="n">
        <v>963</v>
      </c>
      <c r="S89" s="48" t="n">
        <v>14182056</v>
      </c>
      <c r="T89" s="48" t="n">
        <v>29893149</v>
      </c>
      <c r="U89" s="46" t="n">
        <f aca="false">IF($A89=$A88,$U88+1,1)</f>
        <v>85</v>
      </c>
      <c r="V89" s="48" t="n">
        <f aca="false">IF($U89&gt;=MA_SHORT,AVERAGE(INDEX($I$5:$I89,86-MA_SHORT):$I89),"")</f>
        <v>6410</v>
      </c>
      <c r="W89" s="48" t="n">
        <f aca="false">IF($U89&gt;=MA_MED,AVERAGE(INDEX($I$5:$I89,86-MA_MED):$I89),"")</f>
        <v>6254</v>
      </c>
      <c r="X89" s="48" t="str">
        <f aca="false">IF($U89&gt;=MA_LONG1,AVERAGE(INDEX($I$5:$I89,86-MA_LONG1):$I89),"")</f>
        <v/>
      </c>
      <c r="Y89" s="48" t="str">
        <f aca="false">IF($U89&gt;=MA_LONG2,AVERAGE(INDEX($I$5:$I89,86-MA_LONG2):$I89),"")</f>
        <v/>
      </c>
      <c r="Z89" s="48" t="n">
        <f aca="false">IF($U89&gt;=MA_SHORT,AVERAGE(INDEX($L$5:$L89,86-MA_SHORT):$L89),"")</f>
        <v>58949664.65</v>
      </c>
      <c r="AA89" s="48" t="n">
        <f aca="false">IF($U89=1,$G89-$H89,MAX($G89-$H89,ABS($G89-$I88),ABS($H89-$I88)))</f>
        <v>82</v>
      </c>
      <c r="AB89" s="48" t="n">
        <f aca="false">IF($U89&gt;=ATR_PER,AVERAGE(INDEX($AA$5:$AA89,86-ATR_PER):$AA89),"")</f>
        <v>227.214285714286</v>
      </c>
      <c r="AC89" s="48" t="n">
        <f aca="false">$O89-$P89</f>
        <v>15711093</v>
      </c>
      <c r="AD89" s="48" t="n">
        <f aca="false">$AC89*$I89</f>
        <v>102609148383</v>
      </c>
      <c r="AE89" s="49" t="n">
        <f aca="false">IF($Q89&gt;0,$O89*$I89/$Q89/1000000,"")</f>
        <v>619.16212212037</v>
      </c>
      <c r="AF89" s="49" t="n">
        <f aca="false">IF($R89&gt;0,$P89*$I89/$R89/1000000,"")</f>
        <v>101.764672049844</v>
      </c>
      <c r="AG89" s="50" t="n">
        <f aca="false">IF(AND(ISNUMBER($AE89),ISNUMBER($AF89),$AF89&gt;0),$AE89/$AF89,"")</f>
        <v>6.08425408983881</v>
      </c>
      <c r="AH89" s="48" t="n">
        <f aca="false">IF($U89&gt;=5,SUM(INDEX($AD$59:$AD89,32-5):$AD89),"")</f>
        <v>355402788917</v>
      </c>
      <c r="AI89" s="48" t="n">
        <f aca="false">IF($U89&gt;=STRUCT_S,MAX(INDEX($G$5:$G89,86-STRUCT_S):$G89),"")</f>
        <v>6797</v>
      </c>
      <c r="AJ89" s="48" t="n">
        <f aca="false">IF($U89&gt;=STRUCT_S,MIN(INDEX($H$5:$H89,86-STRUCT_S):$H89),"")</f>
        <v>6000</v>
      </c>
      <c r="AK89" s="48" t="n">
        <f aca="false">IF($U89&gt;=STRUCT_L,MAX(INDEX($G$5:$G89,86-STRUCT_L):$G89),"")</f>
        <v>6797</v>
      </c>
      <c r="AL89" s="48" t="n">
        <f aca="false">IF($U89&gt;=STRUCT_L,MIN(INDEX($H$5:$H89,86-STRUCT_L):$H89),"")</f>
        <v>5659</v>
      </c>
      <c r="AM89" s="46" t="n">
        <f aca="false">IF($A89&lt;&gt;$A90,1,0)</f>
        <v>0</v>
      </c>
      <c r="AN89" s="47" t="str">
        <f aca="false">IF($AM89=1,$A89,"")</f>
        <v/>
      </c>
    </row>
    <row r="90" customFormat="false" ht="15" hidden="false" customHeight="false" outlineLevel="0" collapsed="false">
      <c r="A90" s="43" t="s">
        <v>130</v>
      </c>
      <c r="B90" s="44" t="s">
        <v>132</v>
      </c>
      <c r="C90" s="45" t="n">
        <v>46025</v>
      </c>
      <c r="D90" s="46" t="n">
        <v>20260103</v>
      </c>
      <c r="E90" s="47" t="s">
        <v>373</v>
      </c>
      <c r="F90" s="48" t="n">
        <v>6514</v>
      </c>
      <c r="G90" s="48" t="n">
        <v>6578</v>
      </c>
      <c r="H90" s="48" t="n">
        <v>6456</v>
      </c>
      <c r="I90" s="48" t="n">
        <v>6503</v>
      </c>
      <c r="J90" s="48" t="n">
        <v>6518</v>
      </c>
      <c r="K90" s="48" t="n">
        <v>6531</v>
      </c>
      <c r="L90" s="48" t="n">
        <v>44015898</v>
      </c>
      <c r="M90" s="48" t="n">
        <v>286235384694</v>
      </c>
      <c r="N90" s="48" t="n">
        <v>2736</v>
      </c>
      <c r="O90" s="48" t="n">
        <v>27522841</v>
      </c>
      <c r="P90" s="48" t="n">
        <v>15680127</v>
      </c>
      <c r="Q90" s="48" t="n">
        <v>1103</v>
      </c>
      <c r="R90" s="48" t="n">
        <v>977</v>
      </c>
      <c r="S90" s="48" t="n">
        <v>16493057</v>
      </c>
      <c r="T90" s="48" t="n">
        <v>28335771</v>
      </c>
      <c r="U90" s="46" t="n">
        <f aca="false">IF($A90=$A89,$U89+1,1)</f>
        <v>86</v>
      </c>
      <c r="V90" s="48" t="n">
        <f aca="false">IF($U90&gt;=MA_SHORT,AVERAGE(INDEX($I$5:$I90,87-MA_SHORT):$I90),"")</f>
        <v>6423.25</v>
      </c>
      <c r="W90" s="48" t="n">
        <f aca="false">IF($U90&gt;=MA_MED,AVERAGE(INDEX($I$5:$I90,87-MA_MED):$I90),"")</f>
        <v>6254.94</v>
      </c>
      <c r="X90" s="48" t="str">
        <f aca="false">IF($U90&gt;=MA_LONG1,AVERAGE(INDEX($I$5:$I90,87-MA_LONG1):$I90),"")</f>
        <v/>
      </c>
      <c r="Y90" s="48" t="str">
        <f aca="false">IF($U90&gt;=MA_LONG2,AVERAGE(INDEX($I$5:$I90,87-MA_LONG2):$I90),"")</f>
        <v/>
      </c>
      <c r="Z90" s="48" t="n">
        <f aca="false">IF($U90&gt;=MA_SHORT,AVERAGE(INDEX($L$5:$L90,87-MA_SHORT):$L90),"")</f>
        <v>58961663.85</v>
      </c>
      <c r="AA90" s="48" t="n">
        <f aca="false">IF($U90=1,$G90-$H90,MAX($G90-$H90,ABS($G90-$I89),ABS($H90-$I89)))</f>
        <v>122</v>
      </c>
      <c r="AB90" s="48" t="n">
        <f aca="false">IF($U90&gt;=ATR_PER,AVERAGE(INDEX($AA$5:$AA90,87-ATR_PER):$AA90),"")</f>
        <v>205.714285714286</v>
      </c>
      <c r="AC90" s="48" t="n">
        <f aca="false">$O90-$P90</f>
        <v>11842714</v>
      </c>
      <c r="AD90" s="48" t="n">
        <f aca="false">$AC90*$I90</f>
        <v>77013169142</v>
      </c>
      <c r="AE90" s="49" t="n">
        <f aca="false">IF($Q90&gt;0,$O90*$I90/$Q90/1000000,"")</f>
        <v>162.267484155032</v>
      </c>
      <c r="AF90" s="49" t="n">
        <f aca="false">IF($R90&gt;0,$P90*$I90/$R90/1000000,"")</f>
        <v>104.368337646878</v>
      </c>
      <c r="AG90" s="50" t="n">
        <f aca="false">IF(AND(ISNUMBER($AE90),ISNUMBER($AF90),$AF90&gt;0),$AE90/$AF90,"")</f>
        <v>1.55475777245826</v>
      </c>
      <c r="AH90" s="48" t="n">
        <f aca="false">IF($U90&gt;=5,SUM(INDEX($AD$60:$AD90,32-5):$AD90),"")</f>
        <v>336497278305</v>
      </c>
      <c r="AI90" s="48" t="n">
        <f aca="false">IF($U90&gt;=STRUCT_S,MAX(INDEX($G$5:$G90,87-STRUCT_S):$G90),"")</f>
        <v>6797</v>
      </c>
      <c r="AJ90" s="48" t="n">
        <f aca="false">IF($U90&gt;=STRUCT_S,MIN(INDEX($H$5:$H90,87-STRUCT_S):$H90),"")</f>
        <v>6000</v>
      </c>
      <c r="AK90" s="48" t="n">
        <f aca="false">IF($U90&gt;=STRUCT_L,MAX(INDEX($G$5:$G90,87-STRUCT_L):$G90),"")</f>
        <v>6797</v>
      </c>
      <c r="AL90" s="48" t="n">
        <f aca="false">IF($U90&gt;=STRUCT_L,MIN(INDEX($H$5:$H90,87-STRUCT_L):$H90),"")</f>
        <v>5659</v>
      </c>
      <c r="AM90" s="46" t="n">
        <f aca="false">IF($A90&lt;&gt;$A91,1,0)</f>
        <v>0</v>
      </c>
      <c r="AN90" s="47" t="str">
        <f aca="false">IF($AM90=1,$A90,"")</f>
        <v/>
      </c>
    </row>
    <row r="91" customFormat="false" ht="15" hidden="false" customHeight="false" outlineLevel="0" collapsed="false">
      <c r="A91" s="43" t="s">
        <v>130</v>
      </c>
      <c r="B91" s="44" t="s">
        <v>132</v>
      </c>
      <c r="C91" s="45" t="n">
        <v>46026</v>
      </c>
      <c r="D91" s="46" t="n">
        <v>20260104</v>
      </c>
      <c r="E91" s="47" t="s">
        <v>374</v>
      </c>
      <c r="F91" s="48" t="n">
        <v>6363</v>
      </c>
      <c r="G91" s="48" t="n">
        <v>6599</v>
      </c>
      <c r="H91" s="48" t="n">
        <v>6286</v>
      </c>
      <c r="I91" s="48" t="n">
        <v>6380</v>
      </c>
      <c r="J91" s="48" t="n">
        <v>6590</v>
      </c>
      <c r="K91" s="48" t="n">
        <v>6503</v>
      </c>
      <c r="L91" s="48" t="n">
        <v>47781971</v>
      </c>
      <c r="M91" s="48" t="n">
        <v>304848974980</v>
      </c>
      <c r="N91" s="48" t="n">
        <v>1268</v>
      </c>
      <c r="O91" s="48" t="n">
        <v>21433598</v>
      </c>
      <c r="P91" s="48" t="n">
        <v>26347132</v>
      </c>
      <c r="Q91" s="48" t="n">
        <v>584</v>
      </c>
      <c r="R91" s="48" t="n">
        <v>507</v>
      </c>
      <c r="S91" s="48" t="n">
        <v>26348373</v>
      </c>
      <c r="T91" s="48" t="n">
        <v>21434839</v>
      </c>
      <c r="U91" s="46" t="n">
        <f aca="false">IF($A91=$A90,$U90+1,1)</f>
        <v>87</v>
      </c>
      <c r="V91" s="48" t="n">
        <f aca="false">IF($U91&gt;=MA_SHORT,AVERAGE(INDEX($I$5:$I91,88-MA_SHORT):$I91),"")</f>
        <v>6425.5</v>
      </c>
      <c r="W91" s="48" t="n">
        <f aca="false">IF($U91&gt;=MA_MED,AVERAGE(INDEX($I$5:$I91,88-MA_MED):$I91),"")</f>
        <v>6254.6</v>
      </c>
      <c r="X91" s="48" t="str">
        <f aca="false">IF($U91&gt;=MA_LONG1,AVERAGE(INDEX($I$5:$I91,88-MA_LONG1):$I91),"")</f>
        <v/>
      </c>
      <c r="Y91" s="48" t="str">
        <f aca="false">IF($U91&gt;=MA_LONG2,AVERAGE(INDEX($I$5:$I91,88-MA_LONG2):$I91),"")</f>
        <v/>
      </c>
      <c r="Z91" s="48" t="n">
        <f aca="false">IF($U91&gt;=MA_SHORT,AVERAGE(INDEX($L$5:$L91,88-MA_SHORT):$L91),"")</f>
        <v>58574740.6</v>
      </c>
      <c r="AA91" s="48" t="n">
        <f aca="false">IF($U91=1,$G91-$H91,MAX($G91-$H91,ABS($G91-$I90),ABS($H91-$I90)))</f>
        <v>313</v>
      </c>
      <c r="AB91" s="48" t="n">
        <f aca="false">IF($U91&gt;=ATR_PER,AVERAGE(INDEX($AA$5:$AA91,88-ATR_PER):$AA91),"")</f>
        <v>214.642857142857</v>
      </c>
      <c r="AC91" s="48" t="n">
        <f aca="false">$O91-$P91</f>
        <v>-4913534</v>
      </c>
      <c r="AD91" s="48" t="n">
        <f aca="false">$AC91*$I91</f>
        <v>-31348346920</v>
      </c>
      <c r="AE91" s="49" t="n">
        <f aca="false">IF($Q91&gt;0,$O91*$I91/$Q91/1000000,"")</f>
        <v>234.154717876712</v>
      </c>
      <c r="AF91" s="49" t="n">
        <f aca="false">IF($R91&gt;0,$P91*$I91/$R91/1000000,"")</f>
        <v>331.547736015779</v>
      </c>
      <c r="AG91" s="50" t="n">
        <f aca="false">IF(AND(ISNUMBER($AE91),ISNUMBER($AF91),$AF91&gt;0),$AE91/$AF91,"")</f>
        <v>0.706247373879122</v>
      </c>
      <c r="AH91" s="48" t="n">
        <f aca="false">IF($U91&gt;=5,SUM(INDEX($AD$61:$AD91,32-5):$AD91),"")</f>
        <v>173979148632</v>
      </c>
      <c r="AI91" s="48" t="n">
        <f aca="false">IF($U91&gt;=STRUCT_S,MAX(INDEX($G$5:$G91,88-STRUCT_S):$G91),"")</f>
        <v>6797</v>
      </c>
      <c r="AJ91" s="48" t="n">
        <f aca="false">IF($U91&gt;=STRUCT_S,MIN(INDEX($H$5:$H91,88-STRUCT_S):$H91),"")</f>
        <v>6000</v>
      </c>
      <c r="AK91" s="48" t="n">
        <f aca="false">IF($U91&gt;=STRUCT_L,MAX(INDEX($G$5:$G91,88-STRUCT_L):$G91),"")</f>
        <v>6797</v>
      </c>
      <c r="AL91" s="48" t="n">
        <f aca="false">IF($U91&gt;=STRUCT_L,MIN(INDEX($H$5:$H91,88-STRUCT_L):$H91),"")</f>
        <v>5659</v>
      </c>
      <c r="AM91" s="46" t="n">
        <f aca="false">IF($A91&lt;&gt;$A92,1,0)</f>
        <v>0</v>
      </c>
      <c r="AN91" s="47" t="str">
        <f aca="false">IF($AM91=1,$A91,"")</f>
        <v/>
      </c>
    </row>
    <row r="92" customFormat="false" ht="15" hidden="false" customHeight="false" outlineLevel="0" collapsed="false">
      <c r="A92" s="43" t="s">
        <v>130</v>
      </c>
      <c r="B92" s="44" t="s">
        <v>132</v>
      </c>
      <c r="C92" s="45" t="n">
        <v>46027</v>
      </c>
      <c r="D92" s="46" t="n">
        <v>20260105</v>
      </c>
      <c r="E92" s="47" t="s">
        <v>375</v>
      </c>
      <c r="F92" s="48" t="n">
        <v>6327</v>
      </c>
      <c r="G92" s="48" t="n">
        <v>6424</v>
      </c>
      <c r="H92" s="48" t="n">
        <v>6259</v>
      </c>
      <c r="I92" s="48" t="n">
        <v>6302</v>
      </c>
      <c r="J92" s="48" t="n">
        <v>6318</v>
      </c>
      <c r="K92" s="48" t="n">
        <v>6380</v>
      </c>
      <c r="L92" s="48" t="n">
        <v>67793217</v>
      </c>
      <c r="M92" s="48" t="n">
        <v>427232853534</v>
      </c>
      <c r="N92" s="48" t="n">
        <v>4517</v>
      </c>
      <c r="O92" s="48" t="n">
        <v>40699011</v>
      </c>
      <c r="P92" s="48" t="n">
        <v>26696862</v>
      </c>
      <c r="Q92" s="48" t="n">
        <v>3218</v>
      </c>
      <c r="R92" s="48" t="n">
        <v>1155</v>
      </c>
      <c r="S92" s="48" t="n">
        <v>27094206</v>
      </c>
      <c r="T92" s="48" t="n">
        <v>41096355</v>
      </c>
      <c r="U92" s="46" t="n">
        <f aca="false">IF($A92=$A91,$U91+1,1)</f>
        <v>88</v>
      </c>
      <c r="V92" s="48" t="n">
        <f aca="false">IF($U92&gt;=MA_SHORT,AVERAGE(INDEX($I$5:$I92,89-MA_SHORT):$I92),"")</f>
        <v>6426.8</v>
      </c>
      <c r="W92" s="48" t="n">
        <f aca="false">IF($U92&gt;=MA_MED,AVERAGE(INDEX($I$5:$I92,89-MA_MED):$I92),"")</f>
        <v>6253.28</v>
      </c>
      <c r="X92" s="48" t="str">
        <f aca="false">IF($U92&gt;=MA_LONG1,AVERAGE(INDEX($I$5:$I92,89-MA_LONG1):$I92),"")</f>
        <v/>
      </c>
      <c r="Y92" s="48" t="str">
        <f aca="false">IF($U92&gt;=MA_LONG2,AVERAGE(INDEX($I$5:$I92,89-MA_LONG2):$I92),"")</f>
        <v/>
      </c>
      <c r="Z92" s="48" t="n">
        <f aca="false">IF($U92&gt;=MA_SHORT,AVERAGE(INDEX($L$5:$L92,89-MA_SHORT):$L92),"")</f>
        <v>59294797.4</v>
      </c>
      <c r="AA92" s="48" t="n">
        <f aca="false">IF($U92=1,$G92-$H92,MAX($G92-$H92,ABS($G92-$I91),ABS($H92-$I91)))</f>
        <v>165</v>
      </c>
      <c r="AB92" s="48" t="n">
        <f aca="false">IF($U92&gt;=ATR_PER,AVERAGE(INDEX($AA$5:$AA92,89-ATR_PER):$AA92),"")</f>
        <v>209.428571428571</v>
      </c>
      <c r="AC92" s="48" t="n">
        <f aca="false">$O92-$P92</f>
        <v>14002149</v>
      </c>
      <c r="AD92" s="48" t="n">
        <f aca="false">$AC92*$I92</f>
        <v>88241542998</v>
      </c>
      <c r="AE92" s="49" t="n">
        <f aca="false">IF($Q92&gt;0,$O92*$I92/$Q92/1000000,"")</f>
        <v>79.7032838166563</v>
      </c>
      <c r="AF92" s="49" t="n">
        <f aca="false">IF($R92&gt;0,$P92*$I92/$R92/1000000,"")</f>
        <v>145.665475605195</v>
      </c>
      <c r="AG92" s="50" t="n">
        <f aca="false">IF(AND(ISNUMBER($AE92),ISNUMBER($AF92),$AF92&gt;0),$AE92/$AF92,"")</f>
        <v>0.547166605439717</v>
      </c>
      <c r="AH92" s="48" t="n">
        <f aca="false">IF($U92&gt;=5,SUM(INDEX($AD$62:$AD92,32-5):$AD92),"")</f>
        <v>236719191990</v>
      </c>
      <c r="AI92" s="48" t="n">
        <f aca="false">IF($U92&gt;=STRUCT_S,MAX(INDEX($G$5:$G92,89-STRUCT_S):$G92),"")</f>
        <v>6797</v>
      </c>
      <c r="AJ92" s="48" t="n">
        <f aca="false">IF($U92&gt;=STRUCT_S,MIN(INDEX($H$5:$H92,89-STRUCT_S):$H92),"")</f>
        <v>6000</v>
      </c>
      <c r="AK92" s="48" t="n">
        <f aca="false">IF($U92&gt;=STRUCT_L,MAX(INDEX($G$5:$G92,89-STRUCT_L):$G92),"")</f>
        <v>6797</v>
      </c>
      <c r="AL92" s="48" t="n">
        <f aca="false">IF($U92&gt;=STRUCT_L,MIN(INDEX($H$5:$H92,89-STRUCT_L):$H92),"")</f>
        <v>5659</v>
      </c>
      <c r="AM92" s="46" t="n">
        <f aca="false">IF($A92&lt;&gt;$A93,1,0)</f>
        <v>0</v>
      </c>
      <c r="AN92" s="47" t="str">
        <f aca="false">IF($AM92=1,$A92,"")</f>
        <v/>
      </c>
    </row>
    <row r="93" customFormat="false" ht="15" hidden="false" customHeight="false" outlineLevel="0" collapsed="false">
      <c r="A93" s="43" t="s">
        <v>130</v>
      </c>
      <c r="B93" s="44" t="s">
        <v>132</v>
      </c>
      <c r="C93" s="45" t="n">
        <v>46028</v>
      </c>
      <c r="D93" s="46" t="n">
        <v>20260106</v>
      </c>
      <c r="E93" s="47" t="s">
        <v>376</v>
      </c>
      <c r="F93" s="48" t="n">
        <v>6352</v>
      </c>
      <c r="G93" s="48" t="n">
        <v>6487</v>
      </c>
      <c r="H93" s="48" t="n">
        <v>6213</v>
      </c>
      <c r="I93" s="48" t="n">
        <v>6396</v>
      </c>
      <c r="J93" s="48" t="n">
        <v>6334</v>
      </c>
      <c r="K93" s="48" t="n">
        <v>6302</v>
      </c>
      <c r="L93" s="48" t="n">
        <v>120369762</v>
      </c>
      <c r="M93" s="48" t="n">
        <v>769884997752</v>
      </c>
      <c r="N93" s="48" t="n">
        <v>4792</v>
      </c>
      <c r="O93" s="48" t="n">
        <v>67392069</v>
      </c>
      <c r="P93" s="48" t="n">
        <v>50500646</v>
      </c>
      <c r="Q93" s="48" t="n">
        <v>1517</v>
      </c>
      <c r="R93" s="48" t="n">
        <v>3593</v>
      </c>
      <c r="S93" s="48" t="n">
        <v>52977693</v>
      </c>
      <c r="T93" s="48" t="n">
        <v>69869116</v>
      </c>
      <c r="U93" s="46" t="n">
        <f aca="false">IF($A93=$A92,$U92+1,1)</f>
        <v>89</v>
      </c>
      <c r="V93" s="48" t="n">
        <f aca="false">IF($U93&gt;=MA_SHORT,AVERAGE(INDEX($I$5:$I93,90-MA_SHORT):$I93),"")</f>
        <v>6442.6</v>
      </c>
      <c r="W93" s="48" t="n">
        <f aca="false">IF($U93&gt;=MA_MED,AVERAGE(INDEX($I$5:$I93,90-MA_MED):$I93),"")</f>
        <v>6253.38</v>
      </c>
      <c r="X93" s="48" t="str">
        <f aca="false">IF($U93&gt;=MA_LONG1,AVERAGE(INDEX($I$5:$I93,90-MA_LONG1):$I93),"")</f>
        <v/>
      </c>
      <c r="Y93" s="48" t="str">
        <f aca="false">IF($U93&gt;=MA_LONG2,AVERAGE(INDEX($I$5:$I93,90-MA_LONG2):$I93),"")</f>
        <v/>
      </c>
      <c r="Z93" s="48" t="n">
        <f aca="false">IF($U93&gt;=MA_SHORT,AVERAGE(INDEX($L$5:$L93,90-MA_SHORT):$L93),"")</f>
        <v>62473633.3</v>
      </c>
      <c r="AA93" s="48" t="n">
        <f aca="false">IF($U93=1,$G93-$H93,MAX($G93-$H93,ABS($G93-$I92),ABS($H93-$I92)))</f>
        <v>274</v>
      </c>
      <c r="AB93" s="48" t="n">
        <f aca="false">IF($U93&gt;=ATR_PER,AVERAGE(INDEX($AA$5:$AA93,90-ATR_PER):$AA93),"")</f>
        <v>207.5</v>
      </c>
      <c r="AC93" s="48" t="n">
        <f aca="false">$O93-$P93</f>
        <v>16891423</v>
      </c>
      <c r="AD93" s="48" t="n">
        <f aca="false">$AC93*$I93</f>
        <v>108037541508</v>
      </c>
      <c r="AE93" s="49" t="n">
        <f aca="false">IF($Q93&gt;0,$O93*$I93/$Q93/1000000,"")</f>
        <v>284.139534162162</v>
      </c>
      <c r="AF93" s="49" t="n">
        <f aca="false">IF($R93&gt;0,$P93*$I93/$R93/1000000,"")</f>
        <v>89.8976153119956</v>
      </c>
      <c r="AG93" s="50" t="n">
        <f aca="false">IF(AND(ISNUMBER($AE93),ISNUMBER($AF93),$AF93&gt;0),$AE93/$AF93,"")</f>
        <v>3.16070157340701</v>
      </c>
      <c r="AH93" s="48" t="n">
        <f aca="false">IF($U93&gt;=5,SUM(INDEX($AD$63:$AD93,32-5):$AD93),"")</f>
        <v>344553055111</v>
      </c>
      <c r="AI93" s="48" t="n">
        <f aca="false">IF($U93&gt;=STRUCT_S,MAX(INDEX($G$5:$G93,90-STRUCT_S):$G93),"")</f>
        <v>6797</v>
      </c>
      <c r="AJ93" s="48" t="n">
        <f aca="false">IF($U93&gt;=STRUCT_S,MIN(INDEX($H$5:$H93,90-STRUCT_S):$H93),"")</f>
        <v>6000</v>
      </c>
      <c r="AK93" s="48" t="n">
        <f aca="false">IF($U93&gt;=STRUCT_L,MAX(INDEX($G$5:$G93,90-STRUCT_L):$G93),"")</f>
        <v>6797</v>
      </c>
      <c r="AL93" s="48" t="n">
        <f aca="false">IF($U93&gt;=STRUCT_L,MIN(INDEX($H$5:$H93,90-STRUCT_L):$H93),"")</f>
        <v>5659</v>
      </c>
      <c r="AM93" s="46" t="n">
        <f aca="false">IF($A93&lt;&gt;$A94,1,0)</f>
        <v>0</v>
      </c>
      <c r="AN93" s="47" t="str">
        <f aca="false">IF($AM93=1,$A93,"")</f>
        <v/>
      </c>
    </row>
    <row r="94" customFormat="false" ht="15" hidden="false" customHeight="false" outlineLevel="0" collapsed="false">
      <c r="A94" s="43" t="s">
        <v>130</v>
      </c>
      <c r="B94" s="44" t="s">
        <v>132</v>
      </c>
      <c r="C94" s="45" t="n">
        <v>46029</v>
      </c>
      <c r="D94" s="46" t="n">
        <v>20260107</v>
      </c>
      <c r="E94" s="47" t="s">
        <v>377</v>
      </c>
      <c r="F94" s="48" t="n">
        <v>6616</v>
      </c>
      <c r="G94" s="48" t="n">
        <v>6671</v>
      </c>
      <c r="H94" s="48" t="n">
        <v>6357</v>
      </c>
      <c r="I94" s="48" t="n">
        <v>6630</v>
      </c>
      <c r="J94" s="48" t="n">
        <v>6376</v>
      </c>
      <c r="K94" s="48" t="n">
        <v>6396</v>
      </c>
      <c r="L94" s="48" t="n">
        <v>52331769</v>
      </c>
      <c r="M94" s="48" t="n">
        <v>346959628470</v>
      </c>
      <c r="N94" s="48" t="n">
        <v>1433</v>
      </c>
      <c r="O94" s="48" t="n">
        <v>38660246</v>
      </c>
      <c r="P94" s="48" t="n">
        <v>10466353</v>
      </c>
      <c r="Q94" s="48" t="n">
        <v>505</v>
      </c>
      <c r="R94" s="48" t="n">
        <v>1110</v>
      </c>
      <c r="S94" s="48" t="n">
        <v>13671523</v>
      </c>
      <c r="T94" s="48" t="n">
        <v>41865416</v>
      </c>
      <c r="U94" s="46" t="n">
        <f aca="false">IF($A94=$A93,$U93+1,1)</f>
        <v>90</v>
      </c>
      <c r="V94" s="48" t="n">
        <f aca="false">IF($U94&gt;=MA_SHORT,AVERAGE(INDEX($I$5:$I94,91-MA_SHORT):$I94),"")</f>
        <v>6469.65</v>
      </c>
      <c r="W94" s="48" t="n">
        <f aca="false">IF($U94&gt;=MA_MED,AVERAGE(INDEX($I$5:$I94,91-MA_MED):$I94),"")</f>
        <v>6257.82</v>
      </c>
      <c r="X94" s="48" t="str">
        <f aca="false">IF($U94&gt;=MA_LONG1,AVERAGE(INDEX($I$5:$I94,91-MA_LONG1):$I94),"")</f>
        <v/>
      </c>
      <c r="Y94" s="48" t="str">
        <f aca="false">IF($U94&gt;=MA_LONG2,AVERAGE(INDEX($I$5:$I94,91-MA_LONG2):$I94),"")</f>
        <v/>
      </c>
      <c r="Z94" s="48" t="n">
        <f aca="false">IF($U94&gt;=MA_SHORT,AVERAGE(INDEX($L$5:$L94,91-MA_SHORT):$L94),"")</f>
        <v>62925562.9</v>
      </c>
      <c r="AA94" s="48" t="n">
        <f aca="false">IF($U94=1,$G94-$H94,MAX($G94-$H94,ABS($G94-$I93),ABS($H94-$I93)))</f>
        <v>314</v>
      </c>
      <c r="AB94" s="48" t="n">
        <f aca="false">IF($U94&gt;=ATR_PER,AVERAGE(INDEX($AA$5:$AA94,91-ATR_PER):$AA94),"")</f>
        <v>219.928571428571</v>
      </c>
      <c r="AC94" s="48" t="n">
        <f aca="false">$O94-$P94</f>
        <v>28193893</v>
      </c>
      <c r="AD94" s="48" t="n">
        <f aca="false">$AC94*$I94</f>
        <v>186925510590</v>
      </c>
      <c r="AE94" s="49" t="n">
        <f aca="false">IF($Q94&gt;0,$O94*$I94/$Q94/1000000,"")</f>
        <v>507.559269267327</v>
      </c>
      <c r="AF94" s="49" t="n">
        <f aca="false">IF($R94&gt;0,$P94*$I94/$R94/1000000,"")</f>
        <v>62.5152435945946</v>
      </c>
      <c r="AG94" s="50" t="n">
        <f aca="false">IF(AND(ISNUMBER($AE94),ISNUMBER($AF94),$AF94&gt;0),$AE94/$AF94,"")</f>
        <v>8.11896811214238</v>
      </c>
      <c r="AH94" s="48" t="n">
        <f aca="false">IF($U94&gt;=5,SUM(INDEX($AD$64:$AD94,32-5):$AD94),"")</f>
        <v>428869417318</v>
      </c>
      <c r="AI94" s="48" t="n">
        <f aca="false">IF($U94&gt;=STRUCT_S,MAX(INDEX($G$5:$G94,91-STRUCT_S):$G94),"")</f>
        <v>6797</v>
      </c>
      <c r="AJ94" s="48" t="n">
        <f aca="false">IF($U94&gt;=STRUCT_S,MIN(INDEX($H$5:$H94,91-STRUCT_S):$H94),"")</f>
        <v>6000</v>
      </c>
      <c r="AK94" s="48" t="n">
        <f aca="false">IF($U94&gt;=STRUCT_L,MAX(INDEX($G$5:$G94,91-STRUCT_L):$G94),"")</f>
        <v>6797</v>
      </c>
      <c r="AL94" s="48" t="n">
        <f aca="false">IF($U94&gt;=STRUCT_L,MIN(INDEX($H$5:$H94,91-STRUCT_L):$H94),"")</f>
        <v>5659</v>
      </c>
      <c r="AM94" s="46" t="n">
        <f aca="false">IF($A94&lt;&gt;$A95,1,0)</f>
        <v>0</v>
      </c>
      <c r="AN94" s="47" t="str">
        <f aca="false">IF($AM94=1,$A94,"")</f>
        <v/>
      </c>
    </row>
    <row r="95" customFormat="false" ht="15" hidden="false" customHeight="false" outlineLevel="0" collapsed="false">
      <c r="A95" s="43" t="s">
        <v>130</v>
      </c>
      <c r="B95" s="44" t="s">
        <v>132</v>
      </c>
      <c r="C95" s="45" t="n">
        <v>46032</v>
      </c>
      <c r="D95" s="46" t="n">
        <v>20260110</v>
      </c>
      <c r="E95" s="47" t="s">
        <v>378</v>
      </c>
      <c r="F95" s="48" t="n">
        <v>6630</v>
      </c>
      <c r="G95" s="48" t="n">
        <v>6658</v>
      </c>
      <c r="H95" s="48" t="n">
        <v>6613</v>
      </c>
      <c r="I95" s="48" t="n">
        <v>6641</v>
      </c>
      <c r="J95" s="48" t="n">
        <v>6614</v>
      </c>
      <c r="K95" s="48" t="n">
        <v>6630</v>
      </c>
      <c r="L95" s="48" t="n">
        <v>43339229</v>
      </c>
      <c r="M95" s="48" t="n">
        <v>287815819789</v>
      </c>
      <c r="N95" s="48" t="n">
        <v>1086</v>
      </c>
      <c r="O95" s="48" t="n">
        <v>21429044</v>
      </c>
      <c r="P95" s="48" t="n">
        <v>22869785</v>
      </c>
      <c r="Q95" s="48" t="n">
        <v>244</v>
      </c>
      <c r="R95" s="48" t="n">
        <v>629</v>
      </c>
      <c r="S95" s="48" t="n">
        <v>21910185</v>
      </c>
      <c r="T95" s="48" t="n">
        <v>20469444</v>
      </c>
      <c r="U95" s="46" t="n">
        <f aca="false">IF($A95=$A94,$U94+1,1)</f>
        <v>91</v>
      </c>
      <c r="V95" s="48" t="n">
        <f aca="false">IF($U95&gt;=MA_SHORT,AVERAGE(INDEX($I$5:$I95,92-MA_SHORT):$I95),"")</f>
        <v>6492.5</v>
      </c>
      <c r="W95" s="48" t="n">
        <f aca="false">IF($U95&gt;=MA_MED,AVERAGE(INDEX($I$5:$I95,92-MA_MED):$I95),"")</f>
        <v>6263.58</v>
      </c>
      <c r="X95" s="48" t="str">
        <f aca="false">IF($U95&gt;=MA_LONG1,AVERAGE(INDEX($I$5:$I95,92-MA_LONG1):$I95),"")</f>
        <v/>
      </c>
      <c r="Y95" s="48" t="str">
        <f aca="false">IF($U95&gt;=MA_LONG2,AVERAGE(INDEX($I$5:$I95,92-MA_LONG2):$I95),"")</f>
        <v/>
      </c>
      <c r="Z95" s="48" t="n">
        <f aca="false">IF($U95&gt;=MA_SHORT,AVERAGE(INDEX($L$5:$L95,92-MA_SHORT):$L95),"")</f>
        <v>62312457.5</v>
      </c>
      <c r="AA95" s="48" t="n">
        <f aca="false">IF($U95=1,$G95-$H95,MAX($G95-$H95,ABS($G95-$I94),ABS($H95-$I94)))</f>
        <v>45</v>
      </c>
      <c r="AB95" s="48" t="n">
        <f aca="false">IF($U95&gt;=ATR_PER,AVERAGE(INDEX($AA$5:$AA95,92-ATR_PER):$AA95),"")</f>
        <v>201.642857142857</v>
      </c>
      <c r="AC95" s="48" t="n">
        <f aca="false">$O95-$P95</f>
        <v>-1440741</v>
      </c>
      <c r="AD95" s="48" t="n">
        <f aca="false">$AC95*$I95</f>
        <v>-9567960981</v>
      </c>
      <c r="AE95" s="49" t="n">
        <f aca="false">IF($Q95&gt;0,$O95*$I95/$Q95/1000000,"")</f>
        <v>583.238857393443</v>
      </c>
      <c r="AF95" s="49" t="n">
        <f aca="false">IF($R95&gt;0,$P95*$I95/$R95/1000000,"")</f>
        <v>241.459844491256</v>
      </c>
      <c r="AG95" s="50" t="n">
        <f aca="false">IF(AND(ISNUMBER($AE95),ISNUMBER($AF95),$AF95&gt;0),$AE95/$AF95,"")</f>
        <v>2.41546936560942</v>
      </c>
      <c r="AH95" s="48" t="n">
        <f aca="false">IF($U95&gt;=5,SUM(INDEX($AD$65:$AD95,32-5):$AD95),"")</f>
        <v>342288287195</v>
      </c>
      <c r="AI95" s="48" t="n">
        <f aca="false">IF($U95&gt;=STRUCT_S,MAX(INDEX($G$5:$G95,92-STRUCT_S):$G95),"")</f>
        <v>6797</v>
      </c>
      <c r="AJ95" s="48" t="n">
        <f aca="false">IF($U95&gt;=STRUCT_S,MIN(INDEX($H$5:$H95,92-STRUCT_S):$H95),"")</f>
        <v>6017</v>
      </c>
      <c r="AK95" s="48" t="n">
        <f aca="false">IF($U95&gt;=STRUCT_L,MAX(INDEX($G$5:$G95,92-STRUCT_L):$G95),"")</f>
        <v>6797</v>
      </c>
      <c r="AL95" s="48" t="n">
        <f aca="false">IF($U95&gt;=STRUCT_L,MIN(INDEX($H$5:$H95,92-STRUCT_L):$H95),"")</f>
        <v>5659</v>
      </c>
      <c r="AM95" s="46" t="n">
        <f aca="false">IF($A95&lt;&gt;$A96,1,0)</f>
        <v>0</v>
      </c>
      <c r="AN95" s="47" t="str">
        <f aca="false">IF($AM95=1,$A95,"")</f>
        <v/>
      </c>
    </row>
    <row r="96" customFormat="false" ht="15" hidden="false" customHeight="false" outlineLevel="0" collapsed="false">
      <c r="A96" s="43" t="s">
        <v>130</v>
      </c>
      <c r="B96" s="44" t="s">
        <v>132</v>
      </c>
      <c r="C96" s="45" t="n">
        <v>46033</v>
      </c>
      <c r="D96" s="46" t="n">
        <v>20260111</v>
      </c>
      <c r="E96" s="47" t="s">
        <v>379</v>
      </c>
      <c r="F96" s="48" t="n">
        <v>6698</v>
      </c>
      <c r="G96" s="48" t="n">
        <v>6719</v>
      </c>
      <c r="H96" s="48" t="n">
        <v>6607</v>
      </c>
      <c r="I96" s="48" t="n">
        <v>6685</v>
      </c>
      <c r="J96" s="48" t="n">
        <v>6656</v>
      </c>
      <c r="K96" s="48" t="n">
        <v>6641</v>
      </c>
      <c r="L96" s="48" t="n">
        <v>44617936</v>
      </c>
      <c r="M96" s="48" t="n">
        <v>298270902160</v>
      </c>
      <c r="N96" s="48" t="n">
        <v>1280</v>
      </c>
      <c r="O96" s="48" t="n">
        <v>29156000</v>
      </c>
      <c r="P96" s="48" t="n">
        <v>13956523</v>
      </c>
      <c r="Q96" s="48" t="n">
        <v>378</v>
      </c>
      <c r="R96" s="48" t="n">
        <v>547</v>
      </c>
      <c r="S96" s="48" t="n">
        <v>15461936</v>
      </c>
      <c r="T96" s="48" t="n">
        <v>30661413</v>
      </c>
      <c r="U96" s="46" t="n">
        <f aca="false">IF($A96=$A95,$U95+1,1)</f>
        <v>92</v>
      </c>
      <c r="V96" s="48" t="n">
        <f aca="false">IF($U96&gt;=MA_SHORT,AVERAGE(INDEX($I$5:$I96,93-MA_SHORT):$I96),"")</f>
        <v>6513.25</v>
      </c>
      <c r="W96" s="48" t="n">
        <f aca="false">IF($U96&gt;=MA_MED,AVERAGE(INDEX($I$5:$I96,93-MA_MED):$I96),"")</f>
        <v>6267.58</v>
      </c>
      <c r="X96" s="48" t="str">
        <f aca="false">IF($U96&gt;=MA_LONG1,AVERAGE(INDEX($I$5:$I96,93-MA_LONG1):$I96),"")</f>
        <v/>
      </c>
      <c r="Y96" s="48" t="str">
        <f aca="false">IF($U96&gt;=MA_LONG2,AVERAGE(INDEX($I$5:$I96,93-MA_LONG2):$I96),"")</f>
        <v/>
      </c>
      <c r="Z96" s="48" t="n">
        <f aca="false">IF($U96&gt;=MA_SHORT,AVERAGE(INDEX($L$5:$L96,93-MA_SHORT):$L96),"")</f>
        <v>56795307.3</v>
      </c>
      <c r="AA96" s="48" t="n">
        <f aca="false">IF($U96=1,$G96-$H96,MAX($G96-$H96,ABS($G96-$I95),ABS($H96-$I95)))</f>
        <v>112</v>
      </c>
      <c r="AB96" s="48" t="n">
        <f aca="false">IF($U96&gt;=ATR_PER,AVERAGE(INDEX($AA$5:$AA96,93-ATR_PER):$AA96),"")</f>
        <v>198.5</v>
      </c>
      <c r="AC96" s="48" t="n">
        <f aca="false">$O96-$P96</f>
        <v>15199477</v>
      </c>
      <c r="AD96" s="48" t="n">
        <f aca="false">$AC96*$I96</f>
        <v>101608503745</v>
      </c>
      <c r="AE96" s="49" t="n">
        <f aca="false">IF($Q96&gt;0,$O96*$I96/$Q96/1000000,"")</f>
        <v>515.629259259259</v>
      </c>
      <c r="AF96" s="49" t="n">
        <f aca="false">IF($R96&gt;0,$P96*$I96/$R96/1000000,"")</f>
        <v>170.565550740402</v>
      </c>
      <c r="AG96" s="50" t="n">
        <f aca="false">IF(AND(ISNUMBER($AE96),ISNUMBER($AF96),$AF96&gt;0),$AE96/$AF96,"")</f>
        <v>3.02305627965895</v>
      </c>
      <c r="AH96" s="48" t="n">
        <f aca="false">IF($U96&gt;=5,SUM(INDEX($AD$66:$AD96,32-5):$AD96),"")</f>
        <v>475245137860</v>
      </c>
      <c r="AI96" s="48" t="n">
        <f aca="false">IF($U96&gt;=STRUCT_S,MAX(INDEX($G$5:$G96,93-STRUCT_S):$G96),"")</f>
        <v>6797</v>
      </c>
      <c r="AJ96" s="48" t="n">
        <f aca="false">IF($U96&gt;=STRUCT_S,MIN(INDEX($H$5:$H96,93-STRUCT_S):$H96),"")</f>
        <v>6202</v>
      </c>
      <c r="AK96" s="48" t="n">
        <f aca="false">IF($U96&gt;=STRUCT_L,MAX(INDEX($G$5:$G96,93-STRUCT_L):$G96),"")</f>
        <v>6797</v>
      </c>
      <c r="AL96" s="48" t="n">
        <f aca="false">IF($U96&gt;=STRUCT_L,MIN(INDEX($H$5:$H96,93-STRUCT_L):$H96),"")</f>
        <v>5659</v>
      </c>
      <c r="AM96" s="46" t="n">
        <f aca="false">IF($A96&lt;&gt;$A97,1,0)</f>
        <v>0</v>
      </c>
      <c r="AN96" s="47" t="str">
        <f aca="false">IF($AM96=1,$A96,"")</f>
        <v/>
      </c>
    </row>
    <row r="97" customFormat="false" ht="15" hidden="false" customHeight="false" outlineLevel="0" collapsed="false">
      <c r="A97" s="43" t="s">
        <v>130</v>
      </c>
      <c r="B97" s="44" t="s">
        <v>132</v>
      </c>
      <c r="C97" s="45" t="n">
        <v>46034</v>
      </c>
      <c r="D97" s="46" t="n">
        <v>20260112</v>
      </c>
      <c r="E97" s="47" t="s">
        <v>380</v>
      </c>
      <c r="F97" s="48" t="n">
        <v>6632</v>
      </c>
      <c r="G97" s="48" t="n">
        <v>6824</v>
      </c>
      <c r="H97" s="48" t="n">
        <v>6594</v>
      </c>
      <c r="I97" s="48" t="n">
        <v>6733</v>
      </c>
      <c r="J97" s="48" t="n">
        <v>6721</v>
      </c>
      <c r="K97" s="48" t="n">
        <v>6685</v>
      </c>
      <c r="L97" s="48" t="n">
        <v>147353400</v>
      </c>
      <c r="M97" s="48" t="n">
        <v>992130442200</v>
      </c>
      <c r="N97" s="48" t="n">
        <v>5053</v>
      </c>
      <c r="O97" s="48" t="n">
        <v>89212487</v>
      </c>
      <c r="P97" s="48" t="n">
        <v>57746417</v>
      </c>
      <c r="Q97" s="48" t="n">
        <v>1683</v>
      </c>
      <c r="R97" s="48" t="n">
        <v>3311</v>
      </c>
      <c r="S97" s="48" t="n">
        <v>58140913</v>
      </c>
      <c r="T97" s="48" t="n">
        <v>89606983</v>
      </c>
      <c r="U97" s="46" t="n">
        <f aca="false">IF($A97=$A96,$U96+1,1)</f>
        <v>93</v>
      </c>
      <c r="V97" s="48" t="n">
        <f aca="false">IF($U97&gt;=MA_SHORT,AVERAGE(INDEX($I$5:$I97,94-MA_SHORT):$I97),"")</f>
        <v>6533.8</v>
      </c>
      <c r="W97" s="48" t="n">
        <f aca="false">IF($U97&gt;=MA_MED,AVERAGE(INDEX($I$5:$I97,94-MA_MED):$I97),"")</f>
        <v>6275.9</v>
      </c>
      <c r="X97" s="48" t="str">
        <f aca="false">IF($U97&gt;=MA_LONG1,AVERAGE(INDEX($I$5:$I97,94-MA_LONG1):$I97),"")</f>
        <v/>
      </c>
      <c r="Y97" s="48" t="str">
        <f aca="false">IF($U97&gt;=MA_LONG2,AVERAGE(INDEX($I$5:$I97,94-MA_LONG2):$I97),"")</f>
        <v/>
      </c>
      <c r="Z97" s="48" t="n">
        <f aca="false">IF($U97&gt;=MA_SHORT,AVERAGE(INDEX($L$5:$L97,94-MA_SHORT):$L97),"")</f>
        <v>61910607.95</v>
      </c>
      <c r="AA97" s="48" t="n">
        <f aca="false">IF($U97=1,$G97-$H97,MAX($G97-$H97,ABS($G97-$I96),ABS($H97-$I96)))</f>
        <v>230</v>
      </c>
      <c r="AB97" s="48" t="n">
        <f aca="false">IF($U97&gt;=ATR_PER,AVERAGE(INDEX($AA$5:$AA97,94-ATR_PER):$AA97),"")</f>
        <v>183.5</v>
      </c>
      <c r="AC97" s="48" t="n">
        <f aca="false">$O97-$P97</f>
        <v>31466070</v>
      </c>
      <c r="AD97" s="48" t="n">
        <f aca="false">$AC97*$I97</f>
        <v>211861049310</v>
      </c>
      <c r="AE97" s="49" t="n">
        <f aca="false">IF($Q97&gt;0,$O97*$I97/$Q97/1000000,"")</f>
        <v>356.902956013666</v>
      </c>
      <c r="AF97" s="49" t="n">
        <f aca="false">IF($R97&gt;0,$P97*$I97/$R97/1000000,"")</f>
        <v>117.428760392933</v>
      </c>
      <c r="AG97" s="50" t="n">
        <f aca="false">IF(AND(ISNUMBER($AE97),ISNUMBER($AF97),$AF97&gt;0),$AE97/$AF97,"")</f>
        <v>3.03931468593742</v>
      </c>
      <c r="AH97" s="48" t="n">
        <f aca="false">IF($U97&gt;=5,SUM(INDEX($AD$67:$AD97,32-5):$AD97),"")</f>
        <v>598864644172</v>
      </c>
      <c r="AI97" s="48" t="n">
        <f aca="false">IF($U97&gt;=STRUCT_S,MAX(INDEX($G$5:$G97,94-STRUCT_S):$G97),"")</f>
        <v>6824</v>
      </c>
      <c r="AJ97" s="48" t="n">
        <f aca="false">IF($U97&gt;=STRUCT_S,MIN(INDEX($H$5:$H97,94-STRUCT_S):$H97),"")</f>
        <v>6213</v>
      </c>
      <c r="AK97" s="48" t="n">
        <f aca="false">IF($U97&gt;=STRUCT_L,MAX(INDEX($G$5:$G97,94-STRUCT_L):$G97),"")</f>
        <v>6824</v>
      </c>
      <c r="AL97" s="48" t="n">
        <f aca="false">IF($U97&gt;=STRUCT_L,MIN(INDEX($H$5:$H97,94-STRUCT_L):$H97),"")</f>
        <v>5659</v>
      </c>
      <c r="AM97" s="46" t="n">
        <f aca="false">IF($A97&lt;&gt;$A98,1,0)</f>
        <v>0</v>
      </c>
      <c r="AN97" s="47" t="str">
        <f aca="false">IF($AM97=1,$A97,"")</f>
        <v/>
      </c>
    </row>
    <row r="98" customFormat="false" ht="15" hidden="false" customHeight="false" outlineLevel="0" collapsed="false">
      <c r="A98" s="43" t="s">
        <v>130</v>
      </c>
      <c r="B98" s="44" t="s">
        <v>132</v>
      </c>
      <c r="C98" s="45" t="n">
        <v>46035</v>
      </c>
      <c r="D98" s="46" t="n">
        <v>20260113</v>
      </c>
      <c r="E98" s="47" t="s">
        <v>381</v>
      </c>
      <c r="F98" s="48" t="n">
        <v>6697</v>
      </c>
      <c r="G98" s="48" t="n">
        <v>6823</v>
      </c>
      <c r="H98" s="48" t="n">
        <v>6605</v>
      </c>
      <c r="I98" s="48" t="n">
        <v>6694</v>
      </c>
      <c r="J98" s="48" t="n">
        <v>6634</v>
      </c>
      <c r="K98" s="48" t="n">
        <v>6733</v>
      </c>
      <c r="L98" s="48" t="n">
        <v>119623632</v>
      </c>
      <c r="M98" s="48" t="n">
        <v>800760592608</v>
      </c>
      <c r="N98" s="48" t="n">
        <v>3079</v>
      </c>
      <c r="O98" s="48" t="n">
        <v>61212239</v>
      </c>
      <c r="P98" s="48" t="n">
        <v>66469680</v>
      </c>
      <c r="Q98" s="48" t="n">
        <v>1798</v>
      </c>
      <c r="R98" s="48" t="n">
        <v>880</v>
      </c>
      <c r="S98" s="48" t="n">
        <v>58411393</v>
      </c>
      <c r="T98" s="48" t="n">
        <v>53153952</v>
      </c>
      <c r="U98" s="46" t="n">
        <f aca="false">IF($A98=$A97,$U97+1,1)</f>
        <v>94</v>
      </c>
      <c r="V98" s="48" t="n">
        <f aca="false">IF($U98&gt;=MA_SHORT,AVERAGE(INDEX($I$5:$I98,95-MA_SHORT):$I98),"")</f>
        <v>6544.15</v>
      </c>
      <c r="W98" s="48" t="n">
        <f aca="false">IF($U98&gt;=MA_MED,AVERAGE(INDEX($I$5:$I98,95-MA_MED):$I98),"")</f>
        <v>6282.56</v>
      </c>
      <c r="X98" s="48" t="str">
        <f aca="false">IF($U98&gt;=MA_LONG1,AVERAGE(INDEX($I$5:$I98,95-MA_LONG1):$I98),"")</f>
        <v/>
      </c>
      <c r="Y98" s="48" t="str">
        <f aca="false">IF($U98&gt;=MA_LONG2,AVERAGE(INDEX($I$5:$I98,95-MA_LONG2):$I98),"")</f>
        <v/>
      </c>
      <c r="Z98" s="48" t="n">
        <f aca="false">IF($U98&gt;=MA_SHORT,AVERAGE(INDEX($L$5:$L98,95-MA_SHORT):$L98),"")</f>
        <v>65039955.15</v>
      </c>
      <c r="AA98" s="48" t="n">
        <f aca="false">IF($U98=1,$G98-$H98,MAX($G98-$H98,ABS($G98-$I97),ABS($H98-$I97)))</f>
        <v>218</v>
      </c>
      <c r="AB98" s="48" t="n">
        <f aca="false">IF($U98&gt;=ATR_PER,AVERAGE(INDEX($AA$5:$AA98,95-ATR_PER):$AA98),"")</f>
        <v>191.428571428571</v>
      </c>
      <c r="AC98" s="48" t="n">
        <f aca="false">$O98-$P98</f>
        <v>-5257441</v>
      </c>
      <c r="AD98" s="48" t="n">
        <f aca="false">$AC98*$I98</f>
        <v>-35193310054</v>
      </c>
      <c r="AE98" s="49" t="n">
        <f aca="false">IF($Q98&gt;0,$O98*$I98/$Q98/1000000,"")</f>
        <v>227.894731849833</v>
      </c>
      <c r="AF98" s="49" t="n">
        <f aca="false">IF($R98&gt;0,$P98*$I98/$R98/1000000,"")</f>
        <v>505.622770363636</v>
      </c>
      <c r="AG98" s="50" t="n">
        <f aca="false">IF(AND(ISNUMBER($AE98),ISNUMBER($AF98),$AF98&gt;0),$AE98/$AF98,"")</f>
        <v>0.450720863868403</v>
      </c>
      <c r="AH98" s="48" t="n">
        <f aca="false">IF($U98&gt;=5,SUM(INDEX($AD$68:$AD98,32-5):$AD98),"")</f>
        <v>455633792610</v>
      </c>
      <c r="AI98" s="48" t="n">
        <f aca="false">IF($U98&gt;=STRUCT_S,MAX(INDEX($G$5:$G98,95-STRUCT_S):$G98),"")</f>
        <v>6824</v>
      </c>
      <c r="AJ98" s="48" t="n">
        <f aca="false">IF($U98&gt;=STRUCT_S,MIN(INDEX($H$5:$H98,95-STRUCT_S):$H98),"")</f>
        <v>6213</v>
      </c>
      <c r="AK98" s="48" t="n">
        <f aca="false">IF($U98&gt;=STRUCT_L,MAX(INDEX($G$5:$G98,95-STRUCT_L):$G98),"")</f>
        <v>6824</v>
      </c>
      <c r="AL98" s="48" t="n">
        <f aca="false">IF($U98&gt;=STRUCT_L,MIN(INDEX($H$5:$H98,95-STRUCT_L):$H98),"")</f>
        <v>5659</v>
      </c>
      <c r="AM98" s="46" t="n">
        <f aca="false">IF($A98&lt;&gt;$A99,1,0)</f>
        <v>0</v>
      </c>
      <c r="AN98" s="47" t="str">
        <f aca="false">IF($AM98=1,$A98,"")</f>
        <v/>
      </c>
    </row>
    <row r="99" customFormat="false" ht="15" hidden="false" customHeight="false" outlineLevel="0" collapsed="false">
      <c r="A99" s="43" t="s">
        <v>130</v>
      </c>
      <c r="B99" s="44" t="s">
        <v>132</v>
      </c>
      <c r="C99" s="45" t="n">
        <v>46036</v>
      </c>
      <c r="D99" s="46" t="n">
        <v>20260114</v>
      </c>
      <c r="E99" s="47" t="s">
        <v>382</v>
      </c>
      <c r="F99" s="48" t="n">
        <v>6679</v>
      </c>
      <c r="G99" s="48" t="n">
        <v>6837</v>
      </c>
      <c r="H99" s="48" t="n">
        <v>6654</v>
      </c>
      <c r="I99" s="48" t="n">
        <v>6796</v>
      </c>
      <c r="J99" s="48" t="n">
        <v>6711</v>
      </c>
      <c r="K99" s="48" t="n">
        <v>6694</v>
      </c>
      <c r="L99" s="48" t="n">
        <v>93243193</v>
      </c>
      <c r="M99" s="48" t="n">
        <v>633680739628</v>
      </c>
      <c r="N99" s="48" t="n">
        <v>2254</v>
      </c>
      <c r="O99" s="48" t="n">
        <v>58259909</v>
      </c>
      <c r="P99" s="48" t="n">
        <v>33395278</v>
      </c>
      <c r="Q99" s="48" t="n">
        <v>697</v>
      </c>
      <c r="R99" s="48" t="n">
        <v>1235</v>
      </c>
      <c r="S99" s="48" t="n">
        <v>34983284</v>
      </c>
      <c r="T99" s="48" t="n">
        <v>59847915</v>
      </c>
      <c r="U99" s="46" t="n">
        <f aca="false">IF($A99=$A98,$U98+1,1)</f>
        <v>95</v>
      </c>
      <c r="V99" s="48" t="n">
        <f aca="false">IF($U99&gt;=MA_SHORT,AVERAGE(INDEX($I$5:$I99,96-MA_SHORT):$I99),"")</f>
        <v>6566.55</v>
      </c>
      <c r="W99" s="48" t="n">
        <f aca="false">IF($U99&gt;=MA_MED,AVERAGE(INDEX($I$5:$I99,96-MA_MED):$I99),"")</f>
        <v>6294.24</v>
      </c>
      <c r="X99" s="48" t="str">
        <f aca="false">IF($U99&gt;=MA_LONG1,AVERAGE(INDEX($I$5:$I99,96-MA_LONG1):$I99),"")</f>
        <v/>
      </c>
      <c r="Y99" s="48" t="str">
        <f aca="false">IF($U99&gt;=MA_LONG2,AVERAGE(INDEX($I$5:$I99,96-MA_LONG2):$I99),"")</f>
        <v/>
      </c>
      <c r="Z99" s="48" t="n">
        <f aca="false">IF($U99&gt;=MA_SHORT,AVERAGE(INDEX($L$5:$L99,96-MA_SHORT):$L99),"")</f>
        <v>66525823.55</v>
      </c>
      <c r="AA99" s="48" t="n">
        <f aca="false">IF($U99=1,$G99-$H99,MAX($G99-$H99,ABS($G99-$I98),ABS($H99-$I98)))</f>
        <v>183</v>
      </c>
      <c r="AB99" s="48" t="n">
        <f aca="false">IF($U99&gt;=ATR_PER,AVERAGE(INDEX($AA$5:$AA99,96-ATR_PER):$AA99),"")</f>
        <v>186.714285714286</v>
      </c>
      <c r="AC99" s="48" t="n">
        <f aca="false">$O99-$P99</f>
        <v>24864631</v>
      </c>
      <c r="AD99" s="48" t="n">
        <f aca="false">$AC99*$I99</f>
        <v>168980032276</v>
      </c>
      <c r="AE99" s="49" t="n">
        <f aca="false">IF($Q99&gt;0,$O99*$I99/$Q99/1000000,"")</f>
        <v>568.055009417504</v>
      </c>
      <c r="AF99" s="49" t="n">
        <f aca="false">IF($R99&gt;0,$P99*$I99/$R99/1000000,"")</f>
        <v>183.768671488259</v>
      </c>
      <c r="AG99" s="50" t="n">
        <f aca="false">IF(AND(ISNUMBER($AE99),ISNUMBER($AF99),$AF99&gt;0),$AE99/$AF99,"")</f>
        <v>3.09114173170587</v>
      </c>
      <c r="AH99" s="48" t="n">
        <f aca="false">IF($U99&gt;=5,SUM(INDEX($AD$69:$AD99,32-5):$AD99),"")</f>
        <v>437688314296</v>
      </c>
      <c r="AI99" s="48" t="n">
        <f aca="false">IF($U99&gt;=STRUCT_S,MAX(INDEX($G$5:$G99,96-STRUCT_S):$G99),"")</f>
        <v>6837</v>
      </c>
      <c r="AJ99" s="48" t="n">
        <f aca="false">IF($U99&gt;=STRUCT_S,MIN(INDEX($H$5:$H99,96-STRUCT_S):$H99),"")</f>
        <v>6213</v>
      </c>
      <c r="AK99" s="48" t="n">
        <f aca="false">IF($U99&gt;=STRUCT_L,MAX(INDEX($G$5:$G99,96-STRUCT_L):$G99),"")</f>
        <v>6837</v>
      </c>
      <c r="AL99" s="48" t="n">
        <f aca="false">IF($U99&gt;=STRUCT_L,MIN(INDEX($H$5:$H99,96-STRUCT_L):$H99),"")</f>
        <v>5659</v>
      </c>
      <c r="AM99" s="46" t="n">
        <f aca="false">IF($A99&lt;&gt;$A100,1,0)</f>
        <v>0</v>
      </c>
      <c r="AN99" s="47" t="str">
        <f aca="false">IF($AM99=1,$A99,"")</f>
        <v/>
      </c>
    </row>
    <row r="100" customFormat="false" ht="15" hidden="false" customHeight="false" outlineLevel="0" collapsed="false">
      <c r="A100" s="43" t="s">
        <v>130</v>
      </c>
      <c r="B100" s="44" t="s">
        <v>132</v>
      </c>
      <c r="C100" s="45" t="n">
        <v>46039</v>
      </c>
      <c r="D100" s="46" t="n">
        <v>20260117</v>
      </c>
      <c r="E100" s="47" t="s">
        <v>383</v>
      </c>
      <c r="F100" s="48" t="n">
        <v>6885</v>
      </c>
      <c r="G100" s="48" t="n">
        <v>6904</v>
      </c>
      <c r="H100" s="48" t="n">
        <v>6656</v>
      </c>
      <c r="I100" s="48" t="n">
        <v>6763</v>
      </c>
      <c r="J100" s="48" t="n">
        <v>6735</v>
      </c>
      <c r="K100" s="48" t="n">
        <v>6796</v>
      </c>
      <c r="L100" s="48" t="n">
        <v>57358111</v>
      </c>
      <c r="M100" s="48" t="n">
        <v>387912904693</v>
      </c>
      <c r="N100" s="48" t="n">
        <v>2667</v>
      </c>
      <c r="O100" s="48" t="n">
        <v>33828427</v>
      </c>
      <c r="P100" s="48" t="n">
        <v>23261754</v>
      </c>
      <c r="Q100" s="48" t="n">
        <v>1601</v>
      </c>
      <c r="R100" s="48" t="n">
        <v>831</v>
      </c>
      <c r="S100" s="48" t="n">
        <v>23529684</v>
      </c>
      <c r="T100" s="48" t="n">
        <v>34096357</v>
      </c>
      <c r="U100" s="46" t="n">
        <f aca="false">IF($A100=$A99,$U99+1,1)</f>
        <v>96</v>
      </c>
      <c r="V100" s="48" t="n">
        <f aca="false">IF($U100&gt;=MA_SHORT,AVERAGE(INDEX($I$5:$I100,97-MA_SHORT):$I100),"")</f>
        <v>6582.9</v>
      </c>
      <c r="W100" s="48" t="n">
        <f aca="false">IF($U100&gt;=MA_MED,AVERAGE(INDEX($I$5:$I100,97-MA_MED):$I100),"")</f>
        <v>6306.06</v>
      </c>
      <c r="X100" s="48" t="str">
        <f aca="false">IF($U100&gt;=MA_LONG1,AVERAGE(INDEX($I$5:$I100,97-MA_LONG1):$I100),"")</f>
        <v/>
      </c>
      <c r="Y100" s="48" t="str">
        <f aca="false">IF($U100&gt;=MA_LONG2,AVERAGE(INDEX($I$5:$I100,97-MA_LONG2):$I100),"")</f>
        <v/>
      </c>
      <c r="Z100" s="48" t="n">
        <f aca="false">IF($U100&gt;=MA_SHORT,AVERAGE(INDEX($L$5:$L100,97-MA_SHORT):$L100),"")</f>
        <v>65594715.7</v>
      </c>
      <c r="AA100" s="48" t="n">
        <f aca="false">IF($U100=1,$G100-$H100,MAX($G100-$H100,ABS($G100-$I99),ABS($H100-$I99)))</f>
        <v>248</v>
      </c>
      <c r="AB100" s="48" t="n">
        <f aca="false">IF($U100&gt;=ATR_PER,AVERAGE(INDEX($AA$5:$AA100,97-ATR_PER):$AA100),"")</f>
        <v>193.5</v>
      </c>
      <c r="AC100" s="48" t="n">
        <f aca="false">$O100-$P100</f>
        <v>10566673</v>
      </c>
      <c r="AD100" s="48" t="n">
        <f aca="false">$AC100*$I100</f>
        <v>71462409499</v>
      </c>
      <c r="AE100" s="49" t="n">
        <f aca="false">IF($Q100&gt;0,$O100*$I100/$Q100/1000000,"")</f>
        <v>142.899220362898</v>
      </c>
      <c r="AF100" s="49" t="n">
        <f aca="false">IF($R100&gt;0,$P100*$I100/$R100/1000000,"")</f>
        <v>189.313167631769</v>
      </c>
      <c r="AG100" s="50" t="n">
        <f aca="false">IF(AND(ISNUMBER($AE100),ISNUMBER($AF100),$AF100&gt;0),$AE100/$AF100,"")</f>
        <v>0.75482979948257</v>
      </c>
      <c r="AH100" s="48" t="n">
        <f aca="false">IF($U100&gt;=5,SUM(INDEX($AD$70:$AD100,32-5):$AD100),"")</f>
        <v>518718684776</v>
      </c>
      <c r="AI100" s="48" t="n">
        <f aca="false">IF($U100&gt;=STRUCT_S,MAX(INDEX($G$5:$G100,97-STRUCT_S):$G100),"")</f>
        <v>6904</v>
      </c>
      <c r="AJ100" s="48" t="n">
        <f aca="false">IF($U100&gt;=STRUCT_S,MIN(INDEX($H$5:$H100,97-STRUCT_S):$H100),"")</f>
        <v>6213</v>
      </c>
      <c r="AK100" s="48" t="n">
        <f aca="false">IF($U100&gt;=STRUCT_L,MAX(INDEX($G$5:$G100,97-STRUCT_L):$G100),"")</f>
        <v>6904</v>
      </c>
      <c r="AL100" s="48" t="n">
        <f aca="false">IF($U100&gt;=STRUCT_L,MIN(INDEX($H$5:$H100,97-STRUCT_L):$H100),"")</f>
        <v>5659</v>
      </c>
      <c r="AM100" s="46" t="n">
        <f aca="false">IF($A100&lt;&gt;$A101,1,0)</f>
        <v>0</v>
      </c>
      <c r="AN100" s="47" t="str">
        <f aca="false">IF($AM100=1,$A100,"")</f>
        <v/>
      </c>
    </row>
    <row r="101" customFormat="false" ht="15" hidden="false" customHeight="false" outlineLevel="0" collapsed="false">
      <c r="A101" s="43" t="s">
        <v>130</v>
      </c>
      <c r="B101" s="44" t="s">
        <v>132</v>
      </c>
      <c r="C101" s="45" t="n">
        <v>46040</v>
      </c>
      <c r="D101" s="46" t="n">
        <v>20260118</v>
      </c>
      <c r="E101" s="47" t="s">
        <v>384</v>
      </c>
      <c r="F101" s="48" t="n">
        <v>6846</v>
      </c>
      <c r="G101" s="48" t="n">
        <v>6965</v>
      </c>
      <c r="H101" s="48" t="n">
        <v>6650</v>
      </c>
      <c r="I101" s="48" t="n">
        <v>6851</v>
      </c>
      <c r="J101" s="48" t="n">
        <v>6937</v>
      </c>
      <c r="K101" s="48" t="n">
        <v>6763</v>
      </c>
      <c r="L101" s="48" t="n">
        <v>46262274</v>
      </c>
      <c r="M101" s="48" t="n">
        <v>316942839174</v>
      </c>
      <c r="N101" s="48" t="n">
        <v>1130</v>
      </c>
      <c r="O101" s="48" t="n">
        <v>32737044</v>
      </c>
      <c r="P101" s="48" t="n">
        <v>16391866</v>
      </c>
      <c r="Q101" s="48" t="n">
        <v>389</v>
      </c>
      <c r="R101" s="48" t="n">
        <v>797</v>
      </c>
      <c r="S101" s="48" t="n">
        <v>13525230</v>
      </c>
      <c r="T101" s="48" t="n">
        <v>29870408</v>
      </c>
      <c r="U101" s="46" t="n">
        <f aca="false">IF($A101=$A100,$U100+1,1)</f>
        <v>97</v>
      </c>
      <c r="V101" s="48" t="n">
        <f aca="false">IF($U101&gt;=MA_SHORT,AVERAGE(INDEX($I$5:$I101,98-MA_SHORT):$I101),"")</f>
        <v>6600.05</v>
      </c>
      <c r="W101" s="48" t="n">
        <f aca="false">IF($U101&gt;=MA_MED,AVERAGE(INDEX($I$5:$I101,98-MA_MED):$I101),"")</f>
        <v>6320.32</v>
      </c>
      <c r="X101" s="48" t="str">
        <f aca="false">IF($U101&gt;=MA_LONG1,AVERAGE(INDEX($I$5:$I101,98-MA_LONG1):$I101),"")</f>
        <v/>
      </c>
      <c r="Y101" s="48" t="str">
        <f aca="false">IF($U101&gt;=MA_LONG2,AVERAGE(INDEX($I$5:$I101,98-MA_LONG2):$I101),"")</f>
        <v/>
      </c>
      <c r="Z101" s="48" t="n">
        <f aca="false">IF($U101&gt;=MA_SHORT,AVERAGE(INDEX($L$5:$L101,98-MA_SHORT):$L101),"")</f>
        <v>65618208.8</v>
      </c>
      <c r="AA101" s="48" t="n">
        <f aca="false">IF($U101=1,$G101-$H101,MAX($G101-$H101,ABS($G101-$I100),ABS($H101-$I100)))</f>
        <v>315</v>
      </c>
      <c r="AB101" s="48" t="n">
        <f aca="false">IF($U101&gt;=ATR_PER,AVERAGE(INDEX($AA$5:$AA101,98-ATR_PER):$AA101),"")</f>
        <v>204.785714285714</v>
      </c>
      <c r="AC101" s="48" t="n">
        <f aca="false">$O101-$P101</f>
        <v>16345178</v>
      </c>
      <c r="AD101" s="48" t="n">
        <f aca="false">$AC101*$I101</f>
        <v>111980814478</v>
      </c>
      <c r="AE101" s="49" t="n">
        <f aca="false">IF($Q101&gt;0,$O101*$I101/$Q101/1000000,"")</f>
        <v>576.559096257069</v>
      </c>
      <c r="AF101" s="49" t="n">
        <f aca="false">IF($R101&gt;0,$P101*$I101/$R101/1000000,"")</f>
        <v>140.904233332497</v>
      </c>
      <c r="AG101" s="50" t="n">
        <f aca="false">IF(AND(ISNUMBER($AE101),ISNUMBER($AF101),$AF101&gt;0),$AE101/$AF101,"")</f>
        <v>4.09185077425276</v>
      </c>
      <c r="AH101" s="48" t="n">
        <f aca="false">IF($U101&gt;=5,SUM(INDEX($AD$71:$AD101,32-5):$AD101),"")</f>
        <v>529090995509</v>
      </c>
      <c r="AI101" s="48" t="n">
        <f aca="false">IF($U101&gt;=STRUCT_S,MAX(INDEX($G$5:$G101,98-STRUCT_S):$G101),"")</f>
        <v>6965</v>
      </c>
      <c r="AJ101" s="48" t="n">
        <f aca="false">IF($U101&gt;=STRUCT_S,MIN(INDEX($H$5:$H101,98-STRUCT_S):$H101),"")</f>
        <v>6213</v>
      </c>
      <c r="AK101" s="48" t="n">
        <f aca="false">IF($U101&gt;=STRUCT_L,MAX(INDEX($G$5:$G101,98-STRUCT_L):$G101),"")</f>
        <v>6965</v>
      </c>
      <c r="AL101" s="48" t="n">
        <f aca="false">IF($U101&gt;=STRUCT_L,MIN(INDEX($H$5:$H101,98-STRUCT_L):$H101),"")</f>
        <v>5659</v>
      </c>
      <c r="AM101" s="46" t="n">
        <f aca="false">IF($A101&lt;&gt;$A102,1,0)</f>
        <v>0</v>
      </c>
      <c r="AN101" s="47" t="str">
        <f aca="false">IF($AM101=1,$A101,"")</f>
        <v/>
      </c>
    </row>
    <row r="102" customFormat="false" ht="15" hidden="false" customHeight="false" outlineLevel="0" collapsed="false">
      <c r="A102" s="43" t="s">
        <v>130</v>
      </c>
      <c r="B102" s="44" t="s">
        <v>132</v>
      </c>
      <c r="C102" s="45" t="n">
        <v>46041</v>
      </c>
      <c r="D102" s="46" t="n">
        <v>20260119</v>
      </c>
      <c r="E102" s="47" t="s">
        <v>385</v>
      </c>
      <c r="F102" s="48" t="n">
        <v>6826</v>
      </c>
      <c r="G102" s="48" t="n">
        <v>7226</v>
      </c>
      <c r="H102" s="48" t="n">
        <v>6677</v>
      </c>
      <c r="I102" s="48" t="n">
        <v>7047</v>
      </c>
      <c r="J102" s="48" t="n">
        <v>7221</v>
      </c>
      <c r="K102" s="48" t="n">
        <v>6851</v>
      </c>
      <c r="L102" s="48" t="n">
        <v>62693414</v>
      </c>
      <c r="M102" s="48" t="n">
        <v>441800488458</v>
      </c>
      <c r="N102" s="48" t="n">
        <v>2280</v>
      </c>
      <c r="O102" s="48" t="n">
        <v>42686330</v>
      </c>
      <c r="P102" s="48" t="n">
        <v>19260129</v>
      </c>
      <c r="Q102" s="48" t="n">
        <v>748</v>
      </c>
      <c r="R102" s="48" t="n">
        <v>1124</v>
      </c>
      <c r="S102" s="48" t="n">
        <v>20007084</v>
      </c>
      <c r="T102" s="48" t="n">
        <v>43433285</v>
      </c>
      <c r="U102" s="46" t="n">
        <f aca="false">IF($A102=$A101,$U101+1,1)</f>
        <v>98</v>
      </c>
      <c r="V102" s="48" t="n">
        <f aca="false">IF($U102&gt;=MA_SHORT,AVERAGE(INDEX($I$5:$I102,99-MA_SHORT):$I102),"")</f>
        <v>6630.15</v>
      </c>
      <c r="W102" s="48" t="n">
        <f aca="false">IF($U102&gt;=MA_MED,AVERAGE(INDEX($I$5:$I102,99-MA_MED):$I102),"")</f>
        <v>6338.8</v>
      </c>
      <c r="X102" s="48" t="str">
        <f aca="false">IF($U102&gt;=MA_LONG1,AVERAGE(INDEX($I$5:$I102,99-MA_LONG1):$I102),"")</f>
        <v/>
      </c>
      <c r="Y102" s="48" t="str">
        <f aca="false">IF($U102&gt;=MA_LONG2,AVERAGE(INDEX($I$5:$I102,99-MA_LONG2):$I102),"")</f>
        <v/>
      </c>
      <c r="Z102" s="48" t="n">
        <f aca="false">IF($U102&gt;=MA_SHORT,AVERAGE(INDEX($L$5:$L102,99-MA_SHORT):$L102),"")</f>
        <v>66482655.3</v>
      </c>
      <c r="AA102" s="48" t="n">
        <f aca="false">IF($U102=1,$G102-$H102,MAX($G102-$H102,ABS($G102-$I101),ABS($H102-$I101)))</f>
        <v>549</v>
      </c>
      <c r="AB102" s="48" t="n">
        <f aca="false">IF($U102&gt;=ATR_PER,AVERAGE(INDEX($AA$5:$AA102,99-ATR_PER):$AA102),"")</f>
        <v>226.428571428571</v>
      </c>
      <c r="AC102" s="48" t="n">
        <f aca="false">$O102-$P102</f>
        <v>23426201</v>
      </c>
      <c r="AD102" s="48" t="n">
        <f aca="false">$AC102*$I102</f>
        <v>165084438447</v>
      </c>
      <c r="AE102" s="49" t="n">
        <f aca="false">IF($Q102&gt;0,$O102*$I102/$Q102/1000000,"")</f>
        <v>402.153165120321</v>
      </c>
      <c r="AF102" s="49" t="n">
        <f aca="false">IF($R102&gt;0,$P102*$I102/$R102/1000000,"")</f>
        <v>120.752783863879</v>
      </c>
      <c r="AG102" s="50" t="n">
        <f aca="false">IF(AND(ISNUMBER($AE102),ISNUMBER($AF102),$AF102&gt;0),$AE102/$AF102,"")</f>
        <v>3.33038421353214</v>
      </c>
      <c r="AH102" s="48" t="n">
        <f aca="false">IF($U102&gt;=5,SUM(INDEX($AD$72:$AD102,32-5):$AD102),"")</f>
        <v>482314384646</v>
      </c>
      <c r="AI102" s="48" t="n">
        <f aca="false">IF($U102&gt;=STRUCT_S,MAX(INDEX($G$5:$G102,99-STRUCT_S):$G102),"")</f>
        <v>7226</v>
      </c>
      <c r="AJ102" s="48" t="n">
        <f aca="false">IF($U102&gt;=STRUCT_S,MIN(INDEX($H$5:$H102,99-STRUCT_S):$H102),"")</f>
        <v>6213</v>
      </c>
      <c r="AK102" s="48" t="n">
        <f aca="false">IF($U102&gt;=STRUCT_L,MAX(INDEX($G$5:$G102,99-STRUCT_L):$G102),"")</f>
        <v>7226</v>
      </c>
      <c r="AL102" s="48" t="n">
        <f aca="false">IF($U102&gt;=STRUCT_L,MIN(INDEX($H$5:$H102,99-STRUCT_L):$H102),"")</f>
        <v>5659</v>
      </c>
      <c r="AM102" s="46" t="n">
        <f aca="false">IF($A102&lt;&gt;$A103,1,0)</f>
        <v>0</v>
      </c>
      <c r="AN102" s="47" t="str">
        <f aca="false">IF($AM102=1,$A102,"")</f>
        <v/>
      </c>
    </row>
    <row r="103" customFormat="false" ht="15" hidden="false" customHeight="false" outlineLevel="0" collapsed="false">
      <c r="A103" s="43" t="s">
        <v>130</v>
      </c>
      <c r="B103" s="44" t="s">
        <v>132</v>
      </c>
      <c r="C103" s="45" t="n">
        <v>46042</v>
      </c>
      <c r="D103" s="46" t="n">
        <v>20260120</v>
      </c>
      <c r="E103" s="47" t="s">
        <v>386</v>
      </c>
      <c r="F103" s="48" t="n">
        <v>7084</v>
      </c>
      <c r="G103" s="48" t="n">
        <v>7218</v>
      </c>
      <c r="H103" s="48" t="n">
        <v>6839</v>
      </c>
      <c r="I103" s="48" t="n">
        <v>7009</v>
      </c>
      <c r="J103" s="48" t="n">
        <v>7186</v>
      </c>
      <c r="K103" s="48" t="n">
        <v>7047</v>
      </c>
      <c r="L103" s="48" t="n">
        <v>52043946</v>
      </c>
      <c r="M103" s="48" t="n">
        <v>364776017514</v>
      </c>
      <c r="N103" s="48" t="n">
        <v>1445</v>
      </c>
      <c r="O103" s="48" t="n">
        <v>31754837</v>
      </c>
      <c r="P103" s="48" t="n">
        <v>19599667</v>
      </c>
      <c r="Q103" s="48" t="n">
        <v>892</v>
      </c>
      <c r="R103" s="48" t="n">
        <v>604</v>
      </c>
      <c r="S103" s="48" t="n">
        <v>20289109</v>
      </c>
      <c r="T103" s="48" t="n">
        <v>32444279</v>
      </c>
      <c r="U103" s="46" t="n">
        <f aca="false">IF($A103=$A102,$U102+1,1)</f>
        <v>99</v>
      </c>
      <c r="V103" s="48" t="n">
        <f aca="false">IF($U103&gt;=MA_SHORT,AVERAGE(INDEX($I$5:$I103,100-MA_SHORT):$I103),"")</f>
        <v>6655.15</v>
      </c>
      <c r="W103" s="48" t="n">
        <f aca="false">IF($U103&gt;=MA_MED,AVERAGE(INDEX($I$5:$I103,100-MA_MED):$I103),"")</f>
        <v>6358.16</v>
      </c>
      <c r="X103" s="48" t="str">
        <f aca="false">IF($U103&gt;=MA_LONG1,AVERAGE(INDEX($I$5:$I103,100-MA_LONG1):$I103),"")</f>
        <v/>
      </c>
      <c r="Y103" s="48" t="str">
        <f aca="false">IF($U103&gt;=MA_LONG2,AVERAGE(INDEX($I$5:$I103,100-MA_LONG2):$I103),"")</f>
        <v/>
      </c>
      <c r="Z103" s="48" t="n">
        <f aca="false">IF($U103&gt;=MA_SHORT,AVERAGE(INDEX($L$5:$L103,100-MA_SHORT):$L103),"")</f>
        <v>66404490.45</v>
      </c>
      <c r="AA103" s="48" t="n">
        <f aca="false">IF($U103=1,$G103-$H103,MAX($G103-$H103,ABS($G103-$I102),ABS($H103-$I102)))</f>
        <v>379</v>
      </c>
      <c r="AB103" s="48" t="n">
        <f aca="false">IF($U103&gt;=ATR_PER,AVERAGE(INDEX($AA$5:$AA103,100-ATR_PER):$AA103),"")</f>
        <v>247.642857142857</v>
      </c>
      <c r="AC103" s="48" t="n">
        <f aca="false">$O103-$P103</f>
        <v>12155170</v>
      </c>
      <c r="AD103" s="48" t="n">
        <f aca="false">$AC103*$I103</f>
        <v>85195586530</v>
      </c>
      <c r="AE103" s="49" t="n">
        <f aca="false">IF($Q103&gt;0,$O103*$I103/$Q103/1000000,"")</f>
        <v>249.517547682735</v>
      </c>
      <c r="AF103" s="49" t="n">
        <f aca="false">IF($R103&gt;0,$P103*$I103/$R103/1000000,"")</f>
        <v>227.440506627483</v>
      </c>
      <c r="AG103" s="50" t="n">
        <f aca="false">IF(AND(ISNUMBER($AE103),ISNUMBER($AF103),$AF103&gt;0),$AE103/$AF103,"")</f>
        <v>1.09706732271491</v>
      </c>
      <c r="AH103" s="48" t="n">
        <f aca="false">IF($U103&gt;=5,SUM(INDEX($AD$73:$AD103,32-5):$AD103),"")</f>
        <v>602703281230</v>
      </c>
      <c r="AI103" s="48" t="n">
        <f aca="false">IF($U103&gt;=STRUCT_S,MAX(INDEX($G$5:$G103,100-STRUCT_S):$G103),"")</f>
        <v>7226</v>
      </c>
      <c r="AJ103" s="48" t="n">
        <f aca="false">IF($U103&gt;=STRUCT_S,MIN(INDEX($H$5:$H103,100-STRUCT_S):$H103),"")</f>
        <v>6213</v>
      </c>
      <c r="AK103" s="48" t="n">
        <f aca="false">IF($U103&gt;=STRUCT_L,MAX(INDEX($G$5:$G103,100-STRUCT_L):$G103),"")</f>
        <v>7226</v>
      </c>
      <c r="AL103" s="48" t="n">
        <f aca="false">IF($U103&gt;=STRUCT_L,MIN(INDEX($H$5:$H103,100-STRUCT_L):$H103),"")</f>
        <v>5659</v>
      </c>
      <c r="AM103" s="46" t="n">
        <f aca="false">IF($A103&lt;&gt;$A104,1,0)</f>
        <v>0</v>
      </c>
      <c r="AN103" s="47" t="str">
        <f aca="false">IF($AM103=1,$A103,"")</f>
        <v/>
      </c>
    </row>
    <row r="104" customFormat="false" ht="15" hidden="false" customHeight="false" outlineLevel="0" collapsed="false">
      <c r="A104" s="43" t="s">
        <v>130</v>
      </c>
      <c r="B104" s="44" t="s">
        <v>132</v>
      </c>
      <c r="C104" s="45" t="n">
        <v>46043</v>
      </c>
      <c r="D104" s="46" t="n">
        <v>20260121</v>
      </c>
      <c r="E104" s="47" t="s">
        <v>387</v>
      </c>
      <c r="F104" s="48" t="n">
        <v>6796</v>
      </c>
      <c r="G104" s="48" t="n">
        <v>7143</v>
      </c>
      <c r="H104" s="48" t="n">
        <v>6711</v>
      </c>
      <c r="I104" s="48" t="n">
        <v>6842</v>
      </c>
      <c r="J104" s="48" t="n">
        <v>7127</v>
      </c>
      <c r="K104" s="48" t="n">
        <v>7009</v>
      </c>
      <c r="L104" s="48" t="n">
        <v>76432689</v>
      </c>
      <c r="M104" s="48" t="n">
        <v>522952458138</v>
      </c>
      <c r="N104" s="48" t="n">
        <v>6242</v>
      </c>
      <c r="O104" s="48" t="n">
        <v>37875531</v>
      </c>
      <c r="P104" s="48" t="n">
        <v>35249483</v>
      </c>
      <c r="Q104" s="48" t="n">
        <v>3394</v>
      </c>
      <c r="R104" s="48" t="n">
        <v>2017</v>
      </c>
      <c r="S104" s="48" t="n">
        <v>38557158</v>
      </c>
      <c r="T104" s="48" t="n">
        <v>41183206</v>
      </c>
      <c r="U104" s="46" t="n">
        <f aca="false">IF($A104=$A103,$U103+1,1)</f>
        <v>100</v>
      </c>
      <c r="V104" s="48" t="n">
        <f aca="false">IF($U104&gt;=MA_SHORT,AVERAGE(INDEX($I$5:$I104,101-MA_SHORT):$I104),"")</f>
        <v>6669.2</v>
      </c>
      <c r="W104" s="48" t="n">
        <f aca="false">IF($U104&gt;=MA_MED,AVERAGE(INDEX($I$5:$I104,101-MA_MED):$I104),"")</f>
        <v>6375.64</v>
      </c>
      <c r="X104" s="48" t="n">
        <f aca="false">IF($U104&gt;=MA_LONG1,AVERAGE(INDEX($I$5:$I104,101-MA_LONG1):$I104),"")</f>
        <v>6241.77</v>
      </c>
      <c r="Y104" s="48" t="str">
        <f aca="false">IF($U104&gt;=MA_LONG2,AVERAGE(INDEX($I$5:$I104,101-MA_LONG2):$I104),"")</f>
        <v/>
      </c>
      <c r="Z104" s="48" t="n">
        <f aca="false">IF($U104&gt;=MA_SHORT,AVERAGE(INDEX($L$5:$L104,101-MA_SHORT):$L104),"")</f>
        <v>67977675.85</v>
      </c>
      <c r="AA104" s="48" t="n">
        <f aca="false">IF($U104=1,$G104-$H104,MAX($G104-$H104,ABS($G104-$I103),ABS($H104-$I103)))</f>
        <v>432</v>
      </c>
      <c r="AB104" s="48" t="n">
        <f aca="false">IF($U104&gt;=ATR_PER,AVERAGE(INDEX($AA$5:$AA104,101-ATR_PER):$AA104),"")</f>
        <v>269.785714285714</v>
      </c>
      <c r="AC104" s="48" t="n">
        <f aca="false">$O104-$P104</f>
        <v>2626048</v>
      </c>
      <c r="AD104" s="48" t="n">
        <f aca="false">$AC104*$I104</f>
        <v>17967420416</v>
      </c>
      <c r="AE104" s="49" t="n">
        <f aca="false">IF($Q104&gt;0,$O104*$I104/$Q104/1000000,"")</f>
        <v>76.3536779911609</v>
      </c>
      <c r="AF104" s="49" t="n">
        <f aca="false">IF($R104&gt;0,$P104*$I104/$R104/1000000,"")</f>
        <v>119.572118337134</v>
      </c>
      <c r="AG104" s="50" t="n">
        <f aca="false">IF(AND(ISNUMBER($AE104),ISNUMBER($AF104),$AF104&gt;0),$AE104/$AF104,"")</f>
        <v>0.638557542117646</v>
      </c>
      <c r="AH104" s="48" t="n">
        <f aca="false">IF($U104&gt;=5,SUM(INDEX($AD$74:$AD104,32-5):$AD104),"")</f>
        <v>451690669370</v>
      </c>
      <c r="AI104" s="48" t="n">
        <f aca="false">IF($U104&gt;=STRUCT_S,MAX(INDEX($G$5:$G104,101-STRUCT_S):$G104),"")</f>
        <v>7226</v>
      </c>
      <c r="AJ104" s="48" t="n">
        <f aca="false">IF($U104&gt;=STRUCT_S,MIN(INDEX($H$5:$H104,101-STRUCT_S):$H104),"")</f>
        <v>6213</v>
      </c>
      <c r="AK104" s="48" t="n">
        <f aca="false">IF($U104&gt;=STRUCT_L,MAX(INDEX($G$5:$G104,101-STRUCT_L):$G104),"")</f>
        <v>7226</v>
      </c>
      <c r="AL104" s="48" t="n">
        <f aca="false">IF($U104&gt;=STRUCT_L,MIN(INDEX($H$5:$H104,101-STRUCT_L):$H104),"")</f>
        <v>5659</v>
      </c>
      <c r="AM104" s="46" t="n">
        <f aca="false">IF($A104&lt;&gt;$A105,1,0)</f>
        <v>0</v>
      </c>
      <c r="AN104" s="47" t="str">
        <f aca="false">IF($AM104=1,$A104,"")</f>
        <v/>
      </c>
    </row>
    <row r="105" customFormat="false" ht="15" hidden="false" customHeight="false" outlineLevel="0" collapsed="false">
      <c r="A105" s="43" t="s">
        <v>130</v>
      </c>
      <c r="B105" s="44" t="s">
        <v>132</v>
      </c>
      <c r="C105" s="45" t="n">
        <v>46046</v>
      </c>
      <c r="D105" s="46" t="n">
        <v>20260124</v>
      </c>
      <c r="E105" s="47" t="s">
        <v>388</v>
      </c>
      <c r="F105" s="48" t="n">
        <v>6824</v>
      </c>
      <c r="G105" s="48" t="n">
        <v>6929</v>
      </c>
      <c r="H105" s="48" t="n">
        <v>6774</v>
      </c>
      <c r="I105" s="48" t="n">
        <v>6861</v>
      </c>
      <c r="J105" s="48" t="n">
        <v>6904</v>
      </c>
      <c r="K105" s="48" t="n">
        <v>6842</v>
      </c>
      <c r="L105" s="48" t="n">
        <v>57291068</v>
      </c>
      <c r="M105" s="48" t="n">
        <v>393074017548</v>
      </c>
      <c r="N105" s="48" t="n">
        <v>6272</v>
      </c>
      <c r="O105" s="48" t="n">
        <v>35733859</v>
      </c>
      <c r="P105" s="48" t="n">
        <v>19244808</v>
      </c>
      <c r="Q105" s="48" t="n">
        <v>2115</v>
      </c>
      <c r="R105" s="48" t="n">
        <v>4196</v>
      </c>
      <c r="S105" s="48" t="n">
        <v>21557209</v>
      </c>
      <c r="T105" s="48" t="n">
        <v>38046260</v>
      </c>
      <c r="U105" s="46" t="n">
        <f aca="false">IF($A105=$A104,$U104+1,1)</f>
        <v>101</v>
      </c>
      <c r="V105" s="48" t="n">
        <f aca="false">IF($U105&gt;=MA_SHORT,AVERAGE(INDEX($I$5:$I105,102-MA_SHORT):$I105),"")</f>
        <v>6678.1</v>
      </c>
      <c r="W105" s="48" t="n">
        <f aca="false">IF($U105&gt;=MA_MED,AVERAGE(INDEX($I$5:$I105,102-MA_MED):$I105),"")</f>
        <v>6394.98</v>
      </c>
      <c r="X105" s="48" t="n">
        <f aca="false">IF($U105&gt;=MA_LONG1,AVERAGE(INDEX($I$5:$I105,102-MA_LONG1):$I105),"")</f>
        <v>6251.82</v>
      </c>
      <c r="Y105" s="48" t="str">
        <f aca="false">IF($U105&gt;=MA_LONG2,AVERAGE(INDEX($I$5:$I105,102-MA_LONG2):$I105),"")</f>
        <v/>
      </c>
      <c r="Z105" s="48" t="n">
        <f aca="false">IF($U105&gt;=MA_SHORT,AVERAGE(INDEX($L$5:$L105,102-MA_SHORT):$L105),"")</f>
        <v>67504533.2</v>
      </c>
      <c r="AA105" s="48" t="n">
        <f aca="false">IF($U105=1,$G105-$H105,MAX($G105-$H105,ABS($G105-$I104),ABS($H105-$I104)))</f>
        <v>155</v>
      </c>
      <c r="AB105" s="48" t="n">
        <f aca="false">IF($U105&gt;=ATR_PER,AVERAGE(INDEX($AA$5:$AA105,102-ATR_PER):$AA105),"")</f>
        <v>258.5</v>
      </c>
      <c r="AC105" s="48" t="n">
        <f aca="false">$O105-$P105</f>
        <v>16489051</v>
      </c>
      <c r="AD105" s="48" t="n">
        <f aca="false">$AC105*$I105</f>
        <v>113131378911</v>
      </c>
      <c r="AE105" s="49" t="n">
        <f aca="false">IF($Q105&gt;0,$O105*$I105/$Q105/1000000,"")</f>
        <v>115.919624869504</v>
      </c>
      <c r="AF105" s="49" t="n">
        <f aca="false">IF($R105&gt;0,$P105*$I105/$R105/1000000,"")</f>
        <v>31.4677377712107</v>
      </c>
      <c r="AG105" s="50" t="n">
        <f aca="false">IF(AND(ISNUMBER($AE105),ISNUMBER($AF105),$AF105&gt;0),$AE105/$AF105,"")</f>
        <v>3.68376099077438</v>
      </c>
      <c r="AH105" s="48" t="n">
        <f aca="false">IF($U105&gt;=5,SUM(INDEX($AD$75:$AD105,32-5):$AD105),"")</f>
        <v>493359638782</v>
      </c>
      <c r="AI105" s="48" t="n">
        <f aca="false">IF($U105&gt;=STRUCT_S,MAX(INDEX($G$5:$G105,102-STRUCT_S):$G105),"")</f>
        <v>7226</v>
      </c>
      <c r="AJ105" s="48" t="n">
        <f aca="false">IF($U105&gt;=STRUCT_S,MIN(INDEX($H$5:$H105,102-STRUCT_S):$H105),"")</f>
        <v>6213</v>
      </c>
      <c r="AK105" s="48" t="n">
        <f aca="false">IF($U105&gt;=STRUCT_L,MAX(INDEX($G$5:$G105,102-STRUCT_L):$G105),"")</f>
        <v>7226</v>
      </c>
      <c r="AL105" s="48" t="n">
        <f aca="false">IF($U105&gt;=STRUCT_L,MIN(INDEX($H$5:$H105,102-STRUCT_L):$H105),"")</f>
        <v>5659</v>
      </c>
      <c r="AM105" s="46" t="n">
        <f aca="false">IF($A105&lt;&gt;$A106,1,0)</f>
        <v>0</v>
      </c>
      <c r="AN105" s="47" t="str">
        <f aca="false">IF($AM105=1,$A105,"")</f>
        <v/>
      </c>
    </row>
    <row r="106" customFormat="false" ht="15" hidden="false" customHeight="false" outlineLevel="0" collapsed="false">
      <c r="A106" s="43" t="s">
        <v>130</v>
      </c>
      <c r="B106" s="44" t="s">
        <v>132</v>
      </c>
      <c r="C106" s="45" t="n">
        <v>46047</v>
      </c>
      <c r="D106" s="46" t="n">
        <v>20260125</v>
      </c>
      <c r="E106" s="47" t="s">
        <v>389</v>
      </c>
      <c r="F106" s="48" t="n">
        <v>6853</v>
      </c>
      <c r="G106" s="48" t="n">
        <v>6920</v>
      </c>
      <c r="H106" s="48" t="n">
        <v>6670</v>
      </c>
      <c r="I106" s="48" t="n">
        <v>6728</v>
      </c>
      <c r="J106" s="48" t="n">
        <v>6781</v>
      </c>
      <c r="K106" s="48" t="n">
        <v>6861</v>
      </c>
      <c r="L106" s="48" t="n">
        <v>77938217</v>
      </c>
      <c r="M106" s="48" t="n">
        <v>524368323976</v>
      </c>
      <c r="N106" s="48" t="n">
        <v>2966</v>
      </c>
      <c r="O106" s="48" t="n">
        <v>34800995</v>
      </c>
      <c r="P106" s="48" t="n">
        <v>45743520</v>
      </c>
      <c r="Q106" s="48" t="n">
        <v>1585</v>
      </c>
      <c r="R106" s="48" t="n">
        <v>927</v>
      </c>
      <c r="S106" s="48" t="n">
        <v>43137222</v>
      </c>
      <c r="T106" s="48" t="n">
        <v>32194697</v>
      </c>
      <c r="U106" s="46" t="n">
        <f aca="false">IF($A106=$A105,$U105+1,1)</f>
        <v>102</v>
      </c>
      <c r="V106" s="48" t="n">
        <f aca="false">IF($U106&gt;=MA_SHORT,AVERAGE(INDEX($I$5:$I106,103-MA_SHORT):$I106),"")</f>
        <v>6676.65</v>
      </c>
      <c r="W106" s="48" t="n">
        <f aca="false">IF($U106&gt;=MA_MED,AVERAGE(INDEX($I$5:$I106,103-MA_MED):$I106),"")</f>
        <v>6412.96</v>
      </c>
      <c r="X106" s="48" t="n">
        <f aca="false">IF($U106&gt;=MA_LONG1,AVERAGE(INDEX($I$5:$I106,103-MA_LONG1):$I106),"")</f>
        <v>6259.75</v>
      </c>
      <c r="Y106" s="48" t="str">
        <f aca="false">IF($U106&gt;=MA_LONG2,AVERAGE(INDEX($I$5:$I106,103-MA_LONG2):$I106),"")</f>
        <v/>
      </c>
      <c r="Z106" s="48" t="n">
        <f aca="false">IF($U106&gt;=MA_SHORT,AVERAGE(INDEX($L$5:$L106,103-MA_SHORT):$L106),"")</f>
        <v>69113293.65</v>
      </c>
      <c r="AA106" s="48" t="n">
        <f aca="false">IF($U106=1,$G106-$H106,MAX($G106-$H106,ABS($G106-$I105),ABS($H106-$I105)))</f>
        <v>250</v>
      </c>
      <c r="AB106" s="48" t="n">
        <f aca="false">IF($U106&gt;=ATR_PER,AVERAGE(INDEX($AA$5:$AA106,103-ATR_PER):$AA106),"")</f>
        <v>264.571428571429</v>
      </c>
      <c r="AC106" s="48" t="n">
        <f aca="false">$O106-$P106</f>
        <v>-10942525</v>
      </c>
      <c r="AD106" s="48" t="n">
        <f aca="false">$AC106*$I106</f>
        <v>-73621308200</v>
      </c>
      <c r="AE106" s="49" t="n">
        <f aca="false">IF($Q106&gt;0,$O106*$I106/$Q106/1000000,"")</f>
        <v>147.72308792429</v>
      </c>
      <c r="AF106" s="49" t="n">
        <f aca="false">IF($R106&gt;0,$P106*$I106/$R106/1000000,"")</f>
        <v>331.998276763754</v>
      </c>
      <c r="AG106" s="50" t="n">
        <f aca="false">IF(AND(ISNUMBER($AE106),ISNUMBER($AF106),$AF106&gt;0),$AE106/$AF106,"")</f>
        <v>0.444951369519933</v>
      </c>
      <c r="AH106" s="48" t="n">
        <f aca="false">IF($U106&gt;=5,SUM(INDEX($AD$76:$AD106,32-5):$AD106),"")</f>
        <v>307757516104</v>
      </c>
      <c r="AI106" s="48" t="n">
        <f aca="false">IF($U106&gt;=STRUCT_S,MAX(INDEX($G$5:$G106,103-STRUCT_S):$G106),"")</f>
        <v>7226</v>
      </c>
      <c r="AJ106" s="48" t="n">
        <f aca="false">IF($U106&gt;=STRUCT_S,MIN(INDEX($H$5:$H106,103-STRUCT_S):$H106),"")</f>
        <v>6213</v>
      </c>
      <c r="AK106" s="48" t="n">
        <f aca="false">IF($U106&gt;=STRUCT_L,MAX(INDEX($G$5:$G106,103-STRUCT_L):$G106),"")</f>
        <v>7226</v>
      </c>
      <c r="AL106" s="48" t="n">
        <f aca="false">IF($U106&gt;=STRUCT_L,MIN(INDEX($H$5:$H106,103-STRUCT_L):$H106),"")</f>
        <v>5659</v>
      </c>
      <c r="AM106" s="46" t="n">
        <f aca="false">IF($A106&lt;&gt;$A107,1,0)</f>
        <v>0</v>
      </c>
      <c r="AN106" s="47" t="str">
        <f aca="false">IF($AM106=1,$A106,"")</f>
        <v/>
      </c>
    </row>
    <row r="107" customFormat="false" ht="15" hidden="false" customHeight="false" outlineLevel="0" collapsed="false">
      <c r="A107" s="43" t="s">
        <v>130</v>
      </c>
      <c r="B107" s="44" t="s">
        <v>132</v>
      </c>
      <c r="C107" s="45" t="n">
        <v>46048</v>
      </c>
      <c r="D107" s="46" t="n">
        <v>20260126</v>
      </c>
      <c r="E107" s="47" t="s">
        <v>390</v>
      </c>
      <c r="F107" s="48" t="n">
        <v>6780</v>
      </c>
      <c r="G107" s="48" t="n">
        <v>6798</v>
      </c>
      <c r="H107" s="48" t="n">
        <v>6573</v>
      </c>
      <c r="I107" s="48" t="n">
        <v>6642</v>
      </c>
      <c r="J107" s="48" t="n">
        <v>6578</v>
      </c>
      <c r="K107" s="48" t="n">
        <v>6728</v>
      </c>
      <c r="L107" s="48" t="n">
        <v>49997319</v>
      </c>
      <c r="M107" s="48" t="n">
        <v>332082192798</v>
      </c>
      <c r="N107" s="48" t="n">
        <v>1163</v>
      </c>
      <c r="O107" s="48" t="n">
        <v>27840524</v>
      </c>
      <c r="P107" s="48" t="n">
        <v>22506597</v>
      </c>
      <c r="Q107" s="48" t="n">
        <v>786</v>
      </c>
      <c r="R107" s="48" t="n">
        <v>473</v>
      </c>
      <c r="S107" s="48" t="n">
        <v>22156795</v>
      </c>
      <c r="T107" s="48" t="n">
        <v>27490722</v>
      </c>
      <c r="U107" s="46" t="n">
        <f aca="false">IF($A107=$A106,$U106+1,1)</f>
        <v>103</v>
      </c>
      <c r="V107" s="48" t="n">
        <f aca="false">IF($U107&gt;=MA_SHORT,AVERAGE(INDEX($I$5:$I107,104-MA_SHORT):$I107),"")</f>
        <v>6675.75</v>
      </c>
      <c r="W107" s="48" t="n">
        <f aca="false">IF($U107&gt;=MA_MED,AVERAGE(INDEX($I$5:$I107,104-MA_MED):$I107),"")</f>
        <v>6430.7</v>
      </c>
      <c r="X107" s="48" t="n">
        <f aca="false">IF($U107&gt;=MA_LONG1,AVERAGE(INDEX($I$5:$I107,104-MA_LONG1):$I107),"")</f>
        <v>6268.19</v>
      </c>
      <c r="Y107" s="48" t="str">
        <f aca="false">IF($U107&gt;=MA_LONG2,AVERAGE(INDEX($I$5:$I107,104-MA_LONG2):$I107),"")</f>
        <v/>
      </c>
      <c r="Z107" s="48" t="n">
        <f aca="false">IF($U107&gt;=MA_SHORT,AVERAGE(INDEX($L$5:$L107,104-MA_SHORT):$L107),"")</f>
        <v>68439434.35</v>
      </c>
      <c r="AA107" s="48" t="n">
        <f aca="false">IF($U107=1,$G107-$H107,MAX($G107-$H107,ABS($G107-$I106),ABS($H107-$I106)))</f>
        <v>225</v>
      </c>
      <c r="AB107" s="48" t="n">
        <f aca="false">IF($U107&gt;=ATR_PER,AVERAGE(INDEX($AA$5:$AA107,104-ATR_PER):$AA107),"")</f>
        <v>261.071428571429</v>
      </c>
      <c r="AC107" s="48" t="n">
        <f aca="false">$O107-$P107</f>
        <v>5333927</v>
      </c>
      <c r="AD107" s="48" t="n">
        <f aca="false">$AC107*$I107</f>
        <v>35427943134</v>
      </c>
      <c r="AE107" s="49" t="n">
        <f aca="false">IF($Q107&gt;0,$O107*$I107/$Q107/1000000,"")</f>
        <v>235.263053954198</v>
      </c>
      <c r="AF107" s="49" t="n">
        <f aca="false">IF($R107&gt;0,$P107*$I107/$R107/1000000,"")</f>
        <v>316.044011150106</v>
      </c>
      <c r="AG107" s="50" t="n">
        <f aca="false">IF(AND(ISNUMBER($AE107),ISNUMBER($AF107),$AF107&gt;0),$AE107/$AF107,"")</f>
        <v>0.744399658446494</v>
      </c>
      <c r="AH107" s="48" t="n">
        <f aca="false">IF($U107&gt;=5,SUM(INDEX($AD$77:$AD107,32-5):$AD107),"")</f>
        <v>178101020791</v>
      </c>
      <c r="AI107" s="48" t="n">
        <f aca="false">IF($U107&gt;=STRUCT_S,MAX(INDEX($G$5:$G107,104-STRUCT_S):$G107),"")</f>
        <v>7226</v>
      </c>
      <c r="AJ107" s="48" t="n">
        <f aca="false">IF($U107&gt;=STRUCT_S,MIN(INDEX($H$5:$H107,104-STRUCT_S):$H107),"")</f>
        <v>6213</v>
      </c>
      <c r="AK107" s="48" t="n">
        <f aca="false">IF($U107&gt;=STRUCT_L,MAX(INDEX($G$5:$G107,104-STRUCT_L):$G107),"")</f>
        <v>7226</v>
      </c>
      <c r="AL107" s="48" t="n">
        <f aca="false">IF($U107&gt;=STRUCT_L,MIN(INDEX($H$5:$H107,104-STRUCT_L):$H107),"")</f>
        <v>5659</v>
      </c>
      <c r="AM107" s="46" t="n">
        <f aca="false">IF($A107&lt;&gt;$A108,1,0)</f>
        <v>0</v>
      </c>
      <c r="AN107" s="47" t="str">
        <f aca="false">IF($AM107=1,$A107,"")</f>
        <v/>
      </c>
    </row>
    <row r="108" customFormat="false" ht="15" hidden="false" customHeight="false" outlineLevel="0" collapsed="false">
      <c r="A108" s="43" t="s">
        <v>130</v>
      </c>
      <c r="B108" s="44" t="s">
        <v>132</v>
      </c>
      <c r="C108" s="45" t="n">
        <v>46049</v>
      </c>
      <c r="D108" s="46" t="n">
        <v>20260127</v>
      </c>
      <c r="E108" s="47" t="s">
        <v>391</v>
      </c>
      <c r="F108" s="48" t="n">
        <v>6628</v>
      </c>
      <c r="G108" s="48" t="n">
        <v>6737</v>
      </c>
      <c r="H108" s="48" t="n">
        <v>6463</v>
      </c>
      <c r="I108" s="48" t="n">
        <v>6557</v>
      </c>
      <c r="J108" s="48" t="n">
        <v>6651</v>
      </c>
      <c r="K108" s="48" t="n">
        <v>6642</v>
      </c>
      <c r="L108" s="48" t="n">
        <v>46207014</v>
      </c>
      <c r="M108" s="48" t="n">
        <v>302979390798</v>
      </c>
      <c r="N108" s="48" t="n">
        <v>1365</v>
      </c>
      <c r="O108" s="48" t="n">
        <v>22480813</v>
      </c>
      <c r="P108" s="48" t="n">
        <v>23034243</v>
      </c>
      <c r="Q108" s="48" t="n">
        <v>626</v>
      </c>
      <c r="R108" s="48" t="n">
        <v>529</v>
      </c>
      <c r="S108" s="48" t="n">
        <v>23726201</v>
      </c>
      <c r="T108" s="48" t="n">
        <v>23172771</v>
      </c>
      <c r="U108" s="46" t="n">
        <f aca="false">IF($A108=$A107,$U107+1,1)</f>
        <v>104</v>
      </c>
      <c r="V108" s="48" t="n">
        <f aca="false">IF($U108&gt;=MA_SHORT,AVERAGE(INDEX($I$5:$I108,105-MA_SHORT):$I108),"")</f>
        <v>6679.55</v>
      </c>
      <c r="W108" s="48" t="n">
        <f aca="false">IF($U108&gt;=MA_MED,AVERAGE(INDEX($I$5:$I108,105-MA_MED):$I108),"")</f>
        <v>6446.06</v>
      </c>
      <c r="X108" s="48" t="n">
        <f aca="false">IF($U108&gt;=MA_LONG1,AVERAGE(INDEX($I$5:$I108,105-MA_LONG1):$I108),"")</f>
        <v>6276.99</v>
      </c>
      <c r="Y108" s="48" t="str">
        <f aca="false">IF($U108&gt;=MA_LONG2,AVERAGE(INDEX($I$5:$I108,105-MA_LONG2):$I108),"")</f>
        <v/>
      </c>
      <c r="Z108" s="48" t="n">
        <f aca="false">IF($U108&gt;=MA_SHORT,AVERAGE(INDEX($L$5:$L108,105-MA_SHORT):$L108),"")</f>
        <v>67579623.6</v>
      </c>
      <c r="AA108" s="48" t="n">
        <f aca="false">IF($U108=1,$G108-$H108,MAX($G108-$H108,ABS($G108-$I107),ABS($H108-$I107)))</f>
        <v>274</v>
      </c>
      <c r="AB108" s="48" t="n">
        <f aca="false">IF($U108&gt;=ATR_PER,AVERAGE(INDEX($AA$5:$AA108,105-ATR_PER):$AA108),"")</f>
        <v>258.214285714286</v>
      </c>
      <c r="AC108" s="48" t="n">
        <f aca="false">$O108-$P108</f>
        <v>-553430</v>
      </c>
      <c r="AD108" s="48" t="n">
        <f aca="false">$AC108*$I108</f>
        <v>-3628840510</v>
      </c>
      <c r="AE108" s="49" t="n">
        <f aca="false">IF($Q108&gt;0,$O108*$I108/$Q108/1000000,"")</f>
        <v>235.473947030351</v>
      </c>
      <c r="AF108" s="49" t="n">
        <f aca="false">IF($R108&gt;0,$P108*$I108/$R108/1000000,"")</f>
        <v>285.51140141966</v>
      </c>
      <c r="AG108" s="50" t="n">
        <f aca="false">IF(AND(ISNUMBER($AE108),ISNUMBER($AF108),$AF108&gt;0),$AE108/$AF108,"")</f>
        <v>0.824744461550379</v>
      </c>
      <c r="AH108" s="48" t="n">
        <f aca="false">IF($U108&gt;=5,SUM(INDEX($AD$78:$AD108,32-5):$AD108),"")</f>
        <v>89276593751</v>
      </c>
      <c r="AI108" s="48" t="n">
        <f aca="false">IF($U108&gt;=STRUCT_S,MAX(INDEX($G$5:$G108,105-STRUCT_S):$G108),"")</f>
        <v>7226</v>
      </c>
      <c r="AJ108" s="48" t="n">
        <f aca="false">IF($U108&gt;=STRUCT_S,MIN(INDEX($H$5:$H108,105-STRUCT_S):$H108),"")</f>
        <v>6213</v>
      </c>
      <c r="AK108" s="48" t="n">
        <f aca="false">IF($U108&gt;=STRUCT_L,MAX(INDEX($G$5:$G108,105-STRUCT_L):$G108),"")</f>
        <v>7226</v>
      </c>
      <c r="AL108" s="48" t="n">
        <f aca="false">IF($U108&gt;=STRUCT_L,MIN(INDEX($H$5:$H108,105-STRUCT_L):$H108),"")</f>
        <v>5659</v>
      </c>
      <c r="AM108" s="46" t="n">
        <f aca="false">IF($A108&lt;&gt;$A109,1,0)</f>
        <v>0</v>
      </c>
      <c r="AN108" s="47" t="str">
        <f aca="false">IF($AM108=1,$A108,"")</f>
        <v/>
      </c>
    </row>
    <row r="109" customFormat="false" ht="15" hidden="false" customHeight="false" outlineLevel="0" collapsed="false">
      <c r="A109" s="43" t="s">
        <v>130</v>
      </c>
      <c r="B109" s="44" t="s">
        <v>132</v>
      </c>
      <c r="C109" s="45" t="n">
        <v>46050</v>
      </c>
      <c r="D109" s="46" t="n">
        <v>20260128</v>
      </c>
      <c r="E109" s="47" t="s">
        <v>392</v>
      </c>
      <c r="F109" s="48" t="n">
        <v>6452</v>
      </c>
      <c r="G109" s="48" t="n">
        <v>6662</v>
      </c>
      <c r="H109" s="48" t="n">
        <v>6412</v>
      </c>
      <c r="I109" s="48" t="n">
        <v>6516</v>
      </c>
      <c r="J109" s="48" t="n">
        <v>6519</v>
      </c>
      <c r="K109" s="48" t="n">
        <v>6557</v>
      </c>
      <c r="L109" s="48" t="n">
        <v>45918834</v>
      </c>
      <c r="M109" s="48" t="n">
        <v>299207122344</v>
      </c>
      <c r="N109" s="48" t="n">
        <v>1476</v>
      </c>
      <c r="O109" s="48" t="n">
        <v>21265730</v>
      </c>
      <c r="P109" s="48" t="n">
        <v>23949708</v>
      </c>
      <c r="Q109" s="48" t="n">
        <v>793</v>
      </c>
      <c r="R109" s="48" t="n">
        <v>377</v>
      </c>
      <c r="S109" s="48" t="n">
        <v>24653104</v>
      </c>
      <c r="T109" s="48" t="n">
        <v>21969126</v>
      </c>
      <c r="U109" s="46" t="n">
        <f aca="false">IF($A109=$A108,$U108+1,1)</f>
        <v>105</v>
      </c>
      <c r="V109" s="48" t="n">
        <f aca="false">IF($U109&gt;=MA_SHORT,AVERAGE(INDEX($I$5:$I109,106-MA_SHORT):$I109),"")</f>
        <v>6678.8</v>
      </c>
      <c r="W109" s="48" t="n">
        <f aca="false">IF($U109&gt;=MA_MED,AVERAGE(INDEX($I$5:$I109,106-MA_MED):$I109),"")</f>
        <v>6458.04</v>
      </c>
      <c r="X109" s="48" t="n">
        <f aca="false">IF($U109&gt;=MA_LONG1,AVERAGE(INDEX($I$5:$I109,106-MA_LONG1):$I109),"")</f>
        <v>6285.13</v>
      </c>
      <c r="Y109" s="48" t="str">
        <f aca="false">IF($U109&gt;=MA_LONG2,AVERAGE(INDEX($I$5:$I109,106-MA_LONG2):$I109),"")</f>
        <v/>
      </c>
      <c r="Z109" s="48" t="n">
        <f aca="false">IF($U109&gt;=MA_SHORT,AVERAGE(INDEX($L$5:$L109,106-MA_SHORT):$L109),"")</f>
        <v>67630644.65</v>
      </c>
      <c r="AA109" s="48" t="n">
        <f aca="false">IF($U109=1,$G109-$H109,MAX($G109-$H109,ABS($G109-$I108),ABS($H109-$I108)))</f>
        <v>250</v>
      </c>
      <c r="AB109" s="48" t="n">
        <f aca="false">IF($U109&gt;=ATR_PER,AVERAGE(INDEX($AA$5:$AA109,106-ATR_PER):$AA109),"")</f>
        <v>272.857142857143</v>
      </c>
      <c r="AC109" s="48" t="n">
        <f aca="false">$O109-$P109</f>
        <v>-2683978</v>
      </c>
      <c r="AD109" s="48" t="n">
        <f aca="false">$AC109*$I109</f>
        <v>-17488800648</v>
      </c>
      <c r="AE109" s="49" t="n">
        <f aca="false">IF($Q109&gt;0,$O109*$I109/$Q109/1000000,"")</f>
        <v>174.738331248424</v>
      </c>
      <c r="AF109" s="49" t="n">
        <f aca="false">IF($R109&gt;0,$P109*$I109/$R109/1000000,"")</f>
        <v>413.942433230769</v>
      </c>
      <c r="AG109" s="50" t="n">
        <f aca="false">IF(AND(ISNUMBER($AE109),ISNUMBER($AF109),$AF109&gt;0),$AE109/$AF109,"")</f>
        <v>0.422131961404905</v>
      </c>
      <c r="AH109" s="48" t="n">
        <f aca="false">IF($U109&gt;=5,SUM(INDEX($AD$79:$AD109,32-5):$AD109),"")</f>
        <v>53820372687</v>
      </c>
      <c r="AI109" s="48" t="n">
        <f aca="false">IF($U109&gt;=STRUCT_S,MAX(INDEX($G$5:$G109,106-STRUCT_S):$G109),"")</f>
        <v>7226</v>
      </c>
      <c r="AJ109" s="48" t="n">
        <f aca="false">IF($U109&gt;=STRUCT_S,MIN(INDEX($H$5:$H109,106-STRUCT_S):$H109),"")</f>
        <v>6213</v>
      </c>
      <c r="AK109" s="48" t="n">
        <f aca="false">IF($U109&gt;=STRUCT_L,MAX(INDEX($G$5:$G109,106-STRUCT_L):$G109),"")</f>
        <v>7226</v>
      </c>
      <c r="AL109" s="48" t="n">
        <f aca="false">IF($U109&gt;=STRUCT_L,MIN(INDEX($H$5:$H109,106-STRUCT_L):$H109),"")</f>
        <v>5659</v>
      </c>
      <c r="AM109" s="46" t="n">
        <f aca="false">IF($A109&lt;&gt;$A110,1,0)</f>
        <v>0</v>
      </c>
      <c r="AN109" s="47" t="str">
        <f aca="false">IF($AM109=1,$A109,"")</f>
        <v/>
      </c>
    </row>
    <row r="110" customFormat="false" ht="15" hidden="false" customHeight="false" outlineLevel="0" collapsed="false">
      <c r="A110" s="43" t="s">
        <v>130</v>
      </c>
      <c r="B110" s="44" t="s">
        <v>132</v>
      </c>
      <c r="C110" s="45" t="n">
        <v>46053</v>
      </c>
      <c r="D110" s="46" t="n">
        <v>20260131</v>
      </c>
      <c r="E110" s="47" t="s">
        <v>393</v>
      </c>
      <c r="F110" s="48" t="n">
        <v>6540</v>
      </c>
      <c r="G110" s="48" t="n">
        <v>6552</v>
      </c>
      <c r="H110" s="48" t="n">
        <v>6437</v>
      </c>
      <c r="I110" s="48" t="n">
        <v>6473</v>
      </c>
      <c r="J110" s="48" t="n">
        <v>6496</v>
      </c>
      <c r="K110" s="48" t="n">
        <v>6516</v>
      </c>
      <c r="L110" s="48" t="n">
        <v>72475934</v>
      </c>
      <c r="M110" s="48" t="n">
        <v>469136720782</v>
      </c>
      <c r="N110" s="48" t="n">
        <v>1780</v>
      </c>
      <c r="O110" s="48" t="n">
        <v>41814926</v>
      </c>
      <c r="P110" s="48" t="n">
        <v>32194237</v>
      </c>
      <c r="Q110" s="48" t="n">
        <v>1230</v>
      </c>
      <c r="R110" s="48" t="n">
        <v>493</v>
      </c>
      <c r="S110" s="48" t="n">
        <v>30661008</v>
      </c>
      <c r="T110" s="48" t="n">
        <v>40281697</v>
      </c>
      <c r="U110" s="46" t="n">
        <f aca="false">IF($A110=$A109,$U109+1,1)</f>
        <v>106</v>
      </c>
      <c r="V110" s="48" t="n">
        <f aca="false">IF($U110&gt;=MA_SHORT,AVERAGE(INDEX($I$5:$I110,107-MA_SHORT):$I110),"")</f>
        <v>6677.3</v>
      </c>
      <c r="W110" s="48" t="n">
        <f aca="false">IF($U110&gt;=MA_MED,AVERAGE(INDEX($I$5:$I110,107-MA_MED):$I110),"")</f>
        <v>6468.2</v>
      </c>
      <c r="X110" s="48" t="n">
        <f aca="false">IF($U110&gt;=MA_LONG1,AVERAGE(INDEX($I$5:$I110,107-MA_LONG1):$I110),"")</f>
        <v>6293.31</v>
      </c>
      <c r="Y110" s="48" t="str">
        <f aca="false">IF($U110&gt;=MA_LONG2,AVERAGE(INDEX($I$5:$I110,107-MA_LONG2):$I110),"")</f>
        <v/>
      </c>
      <c r="Z110" s="48" t="n">
        <f aca="false">IF($U110&gt;=MA_SHORT,AVERAGE(INDEX($L$5:$L110,107-MA_SHORT):$L110),"")</f>
        <v>69053646.45</v>
      </c>
      <c r="AA110" s="48" t="n">
        <f aca="false">IF($U110=1,$G110-$H110,MAX($G110-$H110,ABS($G110-$I109),ABS($H110-$I109)))</f>
        <v>115</v>
      </c>
      <c r="AB110" s="48" t="n">
        <f aca="false">IF($U110&gt;=ATR_PER,AVERAGE(INDEX($AA$5:$AA110,107-ATR_PER):$AA110),"")</f>
        <v>273.071428571429</v>
      </c>
      <c r="AC110" s="48" t="n">
        <f aca="false">$O110-$P110</f>
        <v>9620689</v>
      </c>
      <c r="AD110" s="48" t="n">
        <f aca="false">$AC110*$I110</f>
        <v>62274719897</v>
      </c>
      <c r="AE110" s="49" t="n">
        <f aca="false">IF($Q110&gt;0,$O110*$I110/$Q110/1000000,"")</f>
        <v>220.05529755935</v>
      </c>
      <c r="AF110" s="49" t="n">
        <f aca="false">IF($R110&gt;0,$P110*$I110/$R110/1000000,"")</f>
        <v>422.704454565923</v>
      </c>
      <c r="AG110" s="50" t="n">
        <f aca="false">IF(AND(ISNUMBER($AE110),ISNUMBER($AF110),$AF110&gt;0),$AE110/$AF110,"")</f>
        <v>0.520589019543987</v>
      </c>
      <c r="AH110" s="48" t="n">
        <f aca="false">IF($U110&gt;=5,SUM(INDEX($AD$80:$AD110,32-5):$AD110),"")</f>
        <v>2963713673</v>
      </c>
      <c r="AI110" s="48" t="n">
        <f aca="false">IF($U110&gt;=STRUCT_S,MAX(INDEX($G$5:$G110,107-STRUCT_S):$G110),"")</f>
        <v>7226</v>
      </c>
      <c r="AJ110" s="48" t="n">
        <f aca="false">IF($U110&gt;=STRUCT_S,MIN(INDEX($H$5:$H110,107-STRUCT_S):$H110),"")</f>
        <v>6213</v>
      </c>
      <c r="AK110" s="48" t="n">
        <f aca="false">IF($U110&gt;=STRUCT_L,MAX(INDEX($G$5:$G110,107-STRUCT_L):$G110),"")</f>
        <v>7226</v>
      </c>
      <c r="AL110" s="48" t="n">
        <f aca="false">IF($U110&gt;=STRUCT_L,MIN(INDEX($H$5:$H110,107-STRUCT_L):$H110),"")</f>
        <v>5659</v>
      </c>
      <c r="AM110" s="46" t="n">
        <f aca="false">IF($A110&lt;&gt;$A111,1,0)</f>
        <v>0</v>
      </c>
      <c r="AN110" s="47" t="str">
        <f aca="false">IF($AM110=1,$A110,"")</f>
        <v/>
      </c>
    </row>
    <row r="111" customFormat="false" ht="15" hidden="false" customHeight="false" outlineLevel="0" collapsed="false">
      <c r="A111" s="43" t="s">
        <v>130</v>
      </c>
      <c r="B111" s="44" t="s">
        <v>132</v>
      </c>
      <c r="C111" s="45" t="n">
        <v>46054</v>
      </c>
      <c r="D111" s="46" t="n">
        <v>20260201</v>
      </c>
      <c r="E111" s="47" t="s">
        <v>394</v>
      </c>
      <c r="F111" s="48" t="n">
        <v>6555</v>
      </c>
      <c r="G111" s="48" t="n">
        <v>6618</v>
      </c>
      <c r="H111" s="48" t="n">
        <v>6334</v>
      </c>
      <c r="I111" s="48" t="n">
        <v>6479</v>
      </c>
      <c r="J111" s="48" t="n">
        <v>6411</v>
      </c>
      <c r="K111" s="48" t="n">
        <v>6473</v>
      </c>
      <c r="L111" s="48" t="n">
        <v>66089228</v>
      </c>
      <c r="M111" s="48" t="n">
        <v>428192108212</v>
      </c>
      <c r="N111" s="48" t="n">
        <v>2079</v>
      </c>
      <c r="O111" s="48" t="n">
        <v>37638729</v>
      </c>
      <c r="P111" s="48" t="n">
        <v>28145898</v>
      </c>
      <c r="Q111" s="48" t="n">
        <v>635</v>
      </c>
      <c r="R111" s="48" t="n">
        <v>1530</v>
      </c>
      <c r="S111" s="48" t="n">
        <v>28450499</v>
      </c>
      <c r="T111" s="48" t="n">
        <v>37943330</v>
      </c>
      <c r="U111" s="46" t="n">
        <f aca="false">IF($A111=$A110,$U110+1,1)</f>
        <v>107</v>
      </c>
      <c r="V111" s="48" t="n">
        <f aca="false">IF($U111&gt;=MA_SHORT,AVERAGE(INDEX($I$5:$I111,108-MA_SHORT):$I111),"")</f>
        <v>6682.25</v>
      </c>
      <c r="W111" s="48" t="n">
        <f aca="false">IF($U111&gt;=MA_MED,AVERAGE(INDEX($I$5:$I111,108-MA_MED):$I111),"")</f>
        <v>6479.84</v>
      </c>
      <c r="X111" s="48" t="n">
        <f aca="false">IF($U111&gt;=MA_LONG1,AVERAGE(INDEX($I$5:$I111,108-MA_LONG1):$I111),"")</f>
        <v>6299.98</v>
      </c>
      <c r="Y111" s="48" t="str">
        <f aca="false">IF($U111&gt;=MA_LONG2,AVERAGE(INDEX($I$5:$I111,108-MA_LONG2):$I111),"")</f>
        <v/>
      </c>
      <c r="Z111" s="48" t="n">
        <f aca="false">IF($U111&gt;=MA_SHORT,AVERAGE(INDEX($L$5:$L111,108-MA_SHORT):$L111),"")</f>
        <v>69969009.3</v>
      </c>
      <c r="AA111" s="48" t="n">
        <f aca="false">IF($U111=1,$G111-$H111,MAX($G111-$H111,ABS($G111-$I110),ABS($H111-$I110)))</f>
        <v>284</v>
      </c>
      <c r="AB111" s="48" t="n">
        <f aca="false">IF($U111&gt;=ATR_PER,AVERAGE(INDEX($AA$5:$AA111,108-ATR_PER):$AA111),"")</f>
        <v>276.928571428571</v>
      </c>
      <c r="AC111" s="48" t="n">
        <f aca="false">$O111-$P111</f>
        <v>9492831</v>
      </c>
      <c r="AD111" s="48" t="n">
        <f aca="false">$AC111*$I111</f>
        <v>61504052049</v>
      </c>
      <c r="AE111" s="49" t="n">
        <f aca="false">IF($Q111&gt;0,$O111*$I111/$Q111/1000000,"")</f>
        <v>384.033582977953</v>
      </c>
      <c r="AF111" s="49" t="n">
        <f aca="false">IF($R111&gt;0,$P111*$I111/$R111/1000000,"")</f>
        <v>119.187760223529</v>
      </c>
      <c r="AG111" s="50" t="n">
        <f aca="false">IF(AND(ISNUMBER($AE111),ISNUMBER($AF111),$AF111&gt;0),$AE111/$AF111,"")</f>
        <v>3.22208909923067</v>
      </c>
      <c r="AH111" s="48" t="n">
        <f aca="false">IF($U111&gt;=5,SUM(INDEX($AD$81:$AD111,32-5):$AD111),"")</f>
        <v>138089073922</v>
      </c>
      <c r="AI111" s="48" t="n">
        <f aca="false">IF($U111&gt;=STRUCT_S,MAX(INDEX($G$5:$G111,108-STRUCT_S):$G111),"")</f>
        <v>7226</v>
      </c>
      <c r="AJ111" s="48" t="n">
        <f aca="false">IF($U111&gt;=STRUCT_S,MIN(INDEX($H$5:$H111,108-STRUCT_S):$H111),"")</f>
        <v>6213</v>
      </c>
      <c r="AK111" s="48" t="n">
        <f aca="false">IF($U111&gt;=STRUCT_L,MAX(INDEX($G$5:$G111,108-STRUCT_L):$G111),"")</f>
        <v>7226</v>
      </c>
      <c r="AL111" s="48" t="n">
        <f aca="false">IF($U111&gt;=STRUCT_L,MIN(INDEX($H$5:$H111,108-STRUCT_L):$H111),"")</f>
        <v>5659</v>
      </c>
      <c r="AM111" s="46" t="n">
        <f aca="false">IF($A111&lt;&gt;$A112,1,0)</f>
        <v>0</v>
      </c>
      <c r="AN111" s="47" t="str">
        <f aca="false">IF($AM111=1,$A111,"")</f>
        <v/>
      </c>
    </row>
    <row r="112" customFormat="false" ht="15" hidden="false" customHeight="false" outlineLevel="0" collapsed="false">
      <c r="A112" s="43" t="s">
        <v>130</v>
      </c>
      <c r="B112" s="44" t="s">
        <v>132</v>
      </c>
      <c r="C112" s="45" t="n">
        <v>46055</v>
      </c>
      <c r="D112" s="46" t="n">
        <v>20260202</v>
      </c>
      <c r="E112" s="47" t="s">
        <v>395</v>
      </c>
      <c r="F112" s="48" t="n">
        <v>6261</v>
      </c>
      <c r="G112" s="48" t="n">
        <v>6499</v>
      </c>
      <c r="H112" s="48" t="n">
        <v>6252</v>
      </c>
      <c r="I112" s="48" t="n">
        <v>6271</v>
      </c>
      <c r="J112" s="48" t="n">
        <v>6252</v>
      </c>
      <c r="K112" s="48" t="n">
        <v>6479</v>
      </c>
      <c r="L112" s="48" t="n">
        <v>65292688</v>
      </c>
      <c r="M112" s="48" t="n">
        <v>409450446448</v>
      </c>
      <c r="N112" s="48" t="n">
        <v>1615</v>
      </c>
      <c r="O112" s="48" t="n">
        <v>32895569</v>
      </c>
      <c r="P112" s="48" t="n">
        <v>33131368</v>
      </c>
      <c r="Q112" s="48" t="n">
        <v>1039</v>
      </c>
      <c r="R112" s="48" t="n">
        <v>503</v>
      </c>
      <c r="S112" s="48" t="n">
        <v>32397119</v>
      </c>
      <c r="T112" s="48" t="n">
        <v>32161320</v>
      </c>
      <c r="U112" s="46" t="n">
        <f aca="false">IF($A112=$A111,$U111+1,1)</f>
        <v>108</v>
      </c>
      <c r="V112" s="48" t="n">
        <f aca="false">IF($U112&gt;=MA_SHORT,AVERAGE(INDEX($I$5:$I112,109-MA_SHORT):$I112),"")</f>
        <v>6680.7</v>
      </c>
      <c r="W112" s="48" t="n">
        <f aca="false">IF($U112&gt;=MA_MED,AVERAGE(INDEX($I$5:$I112,109-MA_MED):$I112),"")</f>
        <v>6483.82</v>
      </c>
      <c r="X112" s="48" t="n">
        <f aca="false">IF($U112&gt;=MA_LONG1,AVERAGE(INDEX($I$5:$I112,109-MA_LONG1):$I112),"")</f>
        <v>6303.85</v>
      </c>
      <c r="Y112" s="48" t="str">
        <f aca="false">IF($U112&gt;=MA_LONG2,AVERAGE(INDEX($I$5:$I112,109-MA_LONG2):$I112),"")</f>
        <v/>
      </c>
      <c r="Z112" s="48" t="n">
        <f aca="false">IF($U112&gt;=MA_SHORT,AVERAGE(INDEX($L$5:$L112,109-MA_SHORT):$L112),"")</f>
        <v>69843982.85</v>
      </c>
      <c r="AA112" s="48" t="n">
        <f aca="false">IF($U112=1,$G112-$H112,MAX($G112-$H112,ABS($G112-$I111),ABS($H112-$I111)))</f>
        <v>247</v>
      </c>
      <c r="AB112" s="48" t="n">
        <f aca="false">IF($U112&gt;=ATR_PER,AVERAGE(INDEX($AA$5:$AA112,109-ATR_PER):$AA112),"")</f>
        <v>279</v>
      </c>
      <c r="AC112" s="48" t="n">
        <f aca="false">$O112-$P112</f>
        <v>-235799</v>
      </c>
      <c r="AD112" s="48" t="n">
        <f aca="false">$AC112*$I112</f>
        <v>-1478695529</v>
      </c>
      <c r="AE112" s="49" t="n">
        <f aca="false">IF($Q112&gt;0,$O112*$I112/$Q112/1000000,"")</f>
        <v>198.544863521655</v>
      </c>
      <c r="AF112" s="49" t="n">
        <f aca="false">IF($R112&gt;0,$P112*$I112/$R112/1000000,"")</f>
        <v>413.055285741551</v>
      </c>
      <c r="AG112" s="50" t="n">
        <f aca="false">IF(AND(ISNUMBER($AE112),ISNUMBER($AF112),$AF112&gt;0),$AE112/$AF112,"")</f>
        <v>0.480673823517865</v>
      </c>
      <c r="AH112" s="48" t="n">
        <f aca="false">IF($U112&gt;=5,SUM(INDEX($AD$82:$AD112,32-5):$AD112),"")</f>
        <v>101182435259</v>
      </c>
      <c r="AI112" s="48" t="n">
        <f aca="false">IF($U112&gt;=STRUCT_S,MAX(INDEX($G$5:$G112,109-STRUCT_S):$G112),"")</f>
        <v>7226</v>
      </c>
      <c r="AJ112" s="48" t="n">
        <f aca="false">IF($U112&gt;=STRUCT_S,MIN(INDEX($H$5:$H112,109-STRUCT_S):$H112),"")</f>
        <v>6213</v>
      </c>
      <c r="AK112" s="48" t="n">
        <f aca="false">IF($U112&gt;=STRUCT_L,MAX(INDEX($G$5:$G112,109-STRUCT_L):$G112),"")</f>
        <v>7226</v>
      </c>
      <c r="AL112" s="48" t="n">
        <f aca="false">IF($U112&gt;=STRUCT_L,MIN(INDEX($H$5:$H112,109-STRUCT_L):$H112),"")</f>
        <v>5659</v>
      </c>
      <c r="AM112" s="46" t="n">
        <f aca="false">IF($A112&lt;&gt;$A113,1,0)</f>
        <v>0</v>
      </c>
      <c r="AN112" s="47" t="str">
        <f aca="false">IF($AM112=1,$A112,"")</f>
        <v/>
      </c>
    </row>
    <row r="113" customFormat="false" ht="15" hidden="false" customHeight="false" outlineLevel="0" collapsed="false">
      <c r="A113" s="43" t="s">
        <v>130</v>
      </c>
      <c r="B113" s="44" t="s">
        <v>132</v>
      </c>
      <c r="C113" s="45" t="n">
        <v>46056</v>
      </c>
      <c r="D113" s="46" t="n">
        <v>20260203</v>
      </c>
      <c r="E113" s="47" t="s">
        <v>396</v>
      </c>
      <c r="F113" s="48" t="n">
        <v>6287</v>
      </c>
      <c r="G113" s="48" t="n">
        <v>6348</v>
      </c>
      <c r="H113" s="48" t="n">
        <v>6098</v>
      </c>
      <c r="I113" s="48" t="n">
        <v>6174</v>
      </c>
      <c r="J113" s="48" t="n">
        <v>6102</v>
      </c>
      <c r="K113" s="48" t="n">
        <v>6271</v>
      </c>
      <c r="L113" s="48" t="n">
        <v>177340247</v>
      </c>
      <c r="M113" s="48" t="n">
        <v>1094898684978</v>
      </c>
      <c r="N113" s="48" t="n">
        <v>16117</v>
      </c>
      <c r="O113" s="48" t="n">
        <v>89150093</v>
      </c>
      <c r="P113" s="48" t="n">
        <v>79538914</v>
      </c>
      <c r="Q113" s="48" t="n">
        <v>9499</v>
      </c>
      <c r="R113" s="48" t="n">
        <v>4253</v>
      </c>
      <c r="S113" s="48" t="n">
        <v>88190154</v>
      </c>
      <c r="T113" s="48" t="n">
        <v>97801333</v>
      </c>
      <c r="U113" s="46" t="n">
        <f aca="false">IF($A113=$A112,$U112+1,1)</f>
        <v>109</v>
      </c>
      <c r="V113" s="48" t="n">
        <f aca="false">IF($U113&gt;=MA_SHORT,AVERAGE(INDEX($I$5:$I113,110-MA_SHORT):$I113),"")</f>
        <v>6669.6</v>
      </c>
      <c r="W113" s="48" t="n">
        <f aca="false">IF($U113&gt;=MA_MED,AVERAGE(INDEX($I$5:$I113,110-MA_MED):$I113),"")</f>
        <v>6484.72</v>
      </c>
      <c r="X113" s="48" t="n">
        <f aca="false">IF($U113&gt;=MA_LONG1,AVERAGE(INDEX($I$5:$I113,110-MA_LONG1):$I113),"")</f>
        <v>6306.29</v>
      </c>
      <c r="Y113" s="48" t="str">
        <f aca="false">IF($U113&gt;=MA_LONG2,AVERAGE(INDEX($I$5:$I113,110-MA_LONG2):$I113),"")</f>
        <v/>
      </c>
      <c r="Z113" s="48" t="n">
        <f aca="false">IF($U113&gt;=MA_SHORT,AVERAGE(INDEX($L$5:$L113,110-MA_SHORT):$L113),"")</f>
        <v>72692507.1</v>
      </c>
      <c r="AA113" s="48" t="n">
        <f aca="false">IF($U113=1,$G113-$H113,MAX($G113-$H113,ABS($G113-$I112),ABS($H113-$I112)))</f>
        <v>250</v>
      </c>
      <c r="AB113" s="48" t="n">
        <f aca="false">IF($U113&gt;=ATR_PER,AVERAGE(INDEX($AA$5:$AA113,110-ATR_PER):$AA113),"")</f>
        <v>283.785714285714</v>
      </c>
      <c r="AC113" s="48" t="n">
        <f aca="false">$O113-$P113</f>
        <v>9611179</v>
      </c>
      <c r="AD113" s="48" t="n">
        <f aca="false">$AC113*$I113</f>
        <v>59339419146</v>
      </c>
      <c r="AE113" s="49" t="n">
        <f aca="false">IF($Q113&gt;0,$O113*$I113/$Q113/1000000,"")</f>
        <v>57.9442756271187</v>
      </c>
      <c r="AF113" s="49" t="n">
        <f aca="false">IF($R113&gt;0,$P113*$I113/$R113/1000000,"")</f>
        <v>115.465143436633</v>
      </c>
      <c r="AG113" s="50" t="n">
        <f aca="false">IF(AND(ISNUMBER($AE113),ISNUMBER($AF113),$AF113&gt;0),$AE113/$AF113,"")</f>
        <v>0.501833487600683</v>
      </c>
      <c r="AH113" s="48" t="n">
        <f aca="false">IF($U113&gt;=5,SUM(INDEX($AD$83:$AD113,32-5):$AD113),"")</f>
        <v>164150694915</v>
      </c>
      <c r="AI113" s="48" t="n">
        <f aca="false">IF($U113&gt;=STRUCT_S,MAX(INDEX($G$5:$G113,110-STRUCT_S):$G113),"")</f>
        <v>7226</v>
      </c>
      <c r="AJ113" s="48" t="n">
        <f aca="false">IF($U113&gt;=STRUCT_S,MIN(INDEX($H$5:$H113,110-STRUCT_S):$H113),"")</f>
        <v>6098</v>
      </c>
      <c r="AK113" s="48" t="n">
        <f aca="false">IF($U113&gt;=STRUCT_L,MAX(INDEX($G$5:$G113,110-STRUCT_L):$G113),"")</f>
        <v>7226</v>
      </c>
      <c r="AL113" s="48" t="n">
        <f aca="false">IF($U113&gt;=STRUCT_L,MIN(INDEX($H$5:$H113,110-STRUCT_L):$H113),"")</f>
        <v>5659</v>
      </c>
      <c r="AM113" s="46" t="n">
        <f aca="false">IF($A113&lt;&gt;$A114,1,0)</f>
        <v>0</v>
      </c>
      <c r="AN113" s="47" t="str">
        <f aca="false">IF($AM113=1,$A113,"")</f>
        <v/>
      </c>
    </row>
    <row r="114" customFormat="false" ht="15" hidden="false" customHeight="false" outlineLevel="0" collapsed="false">
      <c r="A114" s="43" t="s">
        <v>130</v>
      </c>
      <c r="B114" s="44" t="s">
        <v>132</v>
      </c>
      <c r="C114" s="45" t="n">
        <v>46057</v>
      </c>
      <c r="D114" s="46" t="n">
        <v>20260204</v>
      </c>
      <c r="E114" s="47" t="s">
        <v>397</v>
      </c>
      <c r="F114" s="48" t="n">
        <v>6189</v>
      </c>
      <c r="G114" s="48" t="n">
        <v>6496</v>
      </c>
      <c r="H114" s="48" t="n">
        <v>5971</v>
      </c>
      <c r="I114" s="48" t="n">
        <v>6289</v>
      </c>
      <c r="J114" s="48" t="n">
        <v>6105</v>
      </c>
      <c r="K114" s="48" t="n">
        <v>6174</v>
      </c>
      <c r="L114" s="48" t="n">
        <v>47707858</v>
      </c>
      <c r="M114" s="48" t="n">
        <v>300034718962</v>
      </c>
      <c r="N114" s="48" t="n">
        <v>1573</v>
      </c>
      <c r="O114" s="48" t="n">
        <v>29327667</v>
      </c>
      <c r="P114" s="48" t="n">
        <v>15262919</v>
      </c>
      <c r="Q114" s="48" t="n">
        <v>502</v>
      </c>
      <c r="R114" s="48" t="n">
        <v>1166</v>
      </c>
      <c r="S114" s="48" t="n">
        <v>18380191</v>
      </c>
      <c r="T114" s="48" t="n">
        <v>32444939</v>
      </c>
      <c r="U114" s="46" t="n">
        <f aca="false">IF($A114=$A113,$U113+1,1)</f>
        <v>110</v>
      </c>
      <c r="V114" s="48" t="n">
        <f aca="false">IF($U114&gt;=MA_SHORT,AVERAGE(INDEX($I$5:$I114,111-MA_SHORT):$I114),"")</f>
        <v>6652.55</v>
      </c>
      <c r="W114" s="48" t="n">
        <f aca="false">IF($U114&gt;=MA_MED,AVERAGE(INDEX($I$5:$I114,111-MA_MED):$I114),"")</f>
        <v>6485.74</v>
      </c>
      <c r="X114" s="48" t="n">
        <f aca="false">IF($U114&gt;=MA_LONG1,AVERAGE(INDEX($I$5:$I114,111-MA_LONG1):$I114),"")</f>
        <v>6310.07</v>
      </c>
      <c r="Y114" s="48" t="str">
        <f aca="false">IF($U114&gt;=MA_LONG2,AVERAGE(INDEX($I$5:$I114,111-MA_LONG2):$I114),"")</f>
        <v/>
      </c>
      <c r="Z114" s="48" t="n">
        <f aca="false">IF($U114&gt;=MA_SHORT,AVERAGE(INDEX($L$5:$L114,111-MA_SHORT):$L114),"")</f>
        <v>72461311.55</v>
      </c>
      <c r="AA114" s="48" t="n">
        <f aca="false">IF($U114=1,$G114-$H114,MAX($G114-$H114,ABS($G114-$I113),ABS($H114-$I113)))</f>
        <v>525</v>
      </c>
      <c r="AB114" s="48" t="n">
        <f aca="false">IF($U114&gt;=ATR_PER,AVERAGE(INDEX($AA$5:$AA114,111-ATR_PER):$AA114),"")</f>
        <v>303.571428571429</v>
      </c>
      <c r="AC114" s="48" t="n">
        <f aca="false">$O114-$P114</f>
        <v>14064748</v>
      </c>
      <c r="AD114" s="48" t="n">
        <f aca="false">$AC114*$I114</f>
        <v>88453200172</v>
      </c>
      <c r="AE114" s="49" t="n">
        <f aca="false">IF($Q114&gt;0,$O114*$I114/$Q114/1000000,"")</f>
        <v>367.413740563745</v>
      </c>
      <c r="AF114" s="49" t="n">
        <f aca="false">IF($R114&gt;0,$P114*$I114/$R114/1000000,"")</f>
        <v>82.3228967332762</v>
      </c>
      <c r="AG114" s="50" t="n">
        <f aca="false">IF(AND(ISNUMBER($AE114),ISNUMBER($AF114),$AF114&gt;0),$AE114/$AF114,"")</f>
        <v>4.46308080914785</v>
      </c>
      <c r="AH114" s="48" t="n">
        <f aca="false">IF($U114&gt;=5,SUM(INDEX($AD$84:$AD114,32-5):$AD114),"")</f>
        <v>270092695735</v>
      </c>
      <c r="AI114" s="48" t="n">
        <f aca="false">IF($U114&gt;=STRUCT_S,MAX(INDEX($G$5:$G114,111-STRUCT_S):$G114),"")</f>
        <v>7226</v>
      </c>
      <c r="AJ114" s="48" t="n">
        <f aca="false">IF($U114&gt;=STRUCT_S,MIN(INDEX($H$5:$H114,111-STRUCT_S):$H114),"")</f>
        <v>5971</v>
      </c>
      <c r="AK114" s="48" t="n">
        <f aca="false">IF($U114&gt;=STRUCT_L,MAX(INDEX($G$5:$G114,111-STRUCT_L):$G114),"")</f>
        <v>7226</v>
      </c>
      <c r="AL114" s="48" t="n">
        <f aca="false">IF($U114&gt;=STRUCT_L,MIN(INDEX($H$5:$H114,111-STRUCT_L):$H114),"")</f>
        <v>5659</v>
      </c>
      <c r="AM114" s="46" t="n">
        <f aca="false">IF($A114&lt;&gt;$A115,1,0)</f>
        <v>0</v>
      </c>
      <c r="AN114" s="47" t="str">
        <f aca="false">IF($AM114=1,$A114,"")</f>
        <v/>
      </c>
    </row>
    <row r="115" customFormat="false" ht="15" hidden="false" customHeight="false" outlineLevel="0" collapsed="false">
      <c r="A115" s="43" t="s">
        <v>130</v>
      </c>
      <c r="B115" s="44" t="s">
        <v>132</v>
      </c>
      <c r="C115" s="45" t="n">
        <v>46060</v>
      </c>
      <c r="D115" s="46" t="n">
        <v>20260207</v>
      </c>
      <c r="E115" s="47" t="s">
        <v>398</v>
      </c>
      <c r="F115" s="48" t="n">
        <v>6323</v>
      </c>
      <c r="G115" s="48" t="n">
        <v>6340</v>
      </c>
      <c r="H115" s="48" t="n">
        <v>6204</v>
      </c>
      <c r="I115" s="48" t="n">
        <v>6255</v>
      </c>
      <c r="J115" s="48" t="n">
        <v>6211</v>
      </c>
      <c r="K115" s="48" t="n">
        <v>6289</v>
      </c>
      <c r="L115" s="48" t="n">
        <v>113253733</v>
      </c>
      <c r="M115" s="48" t="n">
        <v>708402099915</v>
      </c>
      <c r="N115" s="48" t="n">
        <v>3355</v>
      </c>
      <c r="O115" s="48" t="n">
        <v>58661799</v>
      </c>
      <c r="P115" s="48" t="n">
        <v>52779718</v>
      </c>
      <c r="Q115" s="48" t="n">
        <v>1654</v>
      </c>
      <c r="R115" s="48" t="n">
        <v>980</v>
      </c>
      <c r="S115" s="48" t="n">
        <v>54591934</v>
      </c>
      <c r="T115" s="48" t="n">
        <v>60474015</v>
      </c>
      <c r="U115" s="46" t="n">
        <f aca="false">IF($A115=$A114,$U114+1,1)</f>
        <v>111</v>
      </c>
      <c r="V115" s="48" t="n">
        <f aca="false">IF($U115&gt;=MA_SHORT,AVERAGE(INDEX($I$5:$I115,112-MA_SHORT):$I115),"")</f>
        <v>6633.25</v>
      </c>
      <c r="W115" s="48" t="n">
        <f aca="false">IF($U115&gt;=MA_MED,AVERAGE(INDEX($I$5:$I115,112-MA_MED):$I115),"")</f>
        <v>6488.16</v>
      </c>
      <c r="X115" s="48" t="n">
        <f aca="false">IF($U115&gt;=MA_LONG1,AVERAGE(INDEX($I$5:$I115,112-MA_LONG1):$I115),"")</f>
        <v>6313.68</v>
      </c>
      <c r="Y115" s="48" t="str">
        <f aca="false">IF($U115&gt;=MA_LONG2,AVERAGE(INDEX($I$5:$I115,112-MA_LONG2):$I115),"")</f>
        <v/>
      </c>
      <c r="Z115" s="48" t="n">
        <f aca="false">IF($U115&gt;=MA_SHORT,AVERAGE(INDEX($L$5:$L115,112-MA_SHORT):$L115),"")</f>
        <v>75957036.75</v>
      </c>
      <c r="AA115" s="48" t="n">
        <f aca="false">IF($U115=1,$G115-$H115,MAX($G115-$H115,ABS($G115-$I114),ABS($H115-$I114)))</f>
        <v>136</v>
      </c>
      <c r="AB115" s="48" t="n">
        <f aca="false">IF($U115&gt;=ATR_PER,AVERAGE(INDEX($AA$5:$AA115,112-ATR_PER):$AA115),"")</f>
        <v>290.785714285714</v>
      </c>
      <c r="AC115" s="48" t="n">
        <f aca="false">$O115-$P115</f>
        <v>5882081</v>
      </c>
      <c r="AD115" s="48" t="n">
        <f aca="false">$AC115*$I115</f>
        <v>36792416655</v>
      </c>
      <c r="AE115" s="49" t="n">
        <f aca="false">IF($Q115&gt;0,$O115*$I115/$Q115/1000000,"")</f>
        <v>221.843744102177</v>
      </c>
      <c r="AF115" s="49" t="n">
        <f aca="false">IF($R115&gt;0,$P115*$I115/$R115/1000000,"")</f>
        <v>336.874628663265</v>
      </c>
      <c r="AG115" s="50" t="n">
        <f aca="false">IF(AND(ISNUMBER($AE115),ISNUMBER($AF115),$AF115&gt;0),$AE115/$AF115,"")</f>
        <v>0.658535031214619</v>
      </c>
      <c r="AH115" s="48" t="n">
        <f aca="false">IF($U115&gt;=5,SUM(INDEX($AD$85:$AD115,32-5):$AD115),"")</f>
        <v>244610392493</v>
      </c>
      <c r="AI115" s="48" t="n">
        <f aca="false">IF($U115&gt;=STRUCT_S,MAX(INDEX($G$5:$G115,112-STRUCT_S):$G115),"")</f>
        <v>7226</v>
      </c>
      <c r="AJ115" s="48" t="n">
        <f aca="false">IF($U115&gt;=STRUCT_S,MIN(INDEX($H$5:$H115,112-STRUCT_S):$H115),"")</f>
        <v>5971</v>
      </c>
      <c r="AK115" s="48" t="n">
        <f aca="false">IF($U115&gt;=STRUCT_L,MAX(INDEX($G$5:$G115,112-STRUCT_L):$G115),"")</f>
        <v>7226</v>
      </c>
      <c r="AL115" s="48" t="n">
        <f aca="false">IF($U115&gt;=STRUCT_L,MIN(INDEX($H$5:$H115,112-STRUCT_L):$H115),"")</f>
        <v>5659</v>
      </c>
      <c r="AM115" s="46" t="n">
        <f aca="false">IF($A115&lt;&gt;$A116,1,0)</f>
        <v>0</v>
      </c>
      <c r="AN115" s="47" t="str">
        <f aca="false">IF($AM115=1,$A115,"")</f>
        <v/>
      </c>
    </row>
    <row r="116" customFormat="false" ht="15" hidden="false" customHeight="false" outlineLevel="0" collapsed="false">
      <c r="A116" s="43" t="s">
        <v>130</v>
      </c>
      <c r="B116" s="44" t="s">
        <v>132</v>
      </c>
      <c r="C116" s="45" t="n">
        <v>46061</v>
      </c>
      <c r="D116" s="46" t="n">
        <v>20260208</v>
      </c>
      <c r="E116" s="47" t="s">
        <v>399</v>
      </c>
      <c r="F116" s="48" t="n">
        <v>6291</v>
      </c>
      <c r="G116" s="48" t="n">
        <v>6302</v>
      </c>
      <c r="H116" s="48" t="n">
        <v>6232</v>
      </c>
      <c r="I116" s="48" t="n">
        <v>6279</v>
      </c>
      <c r="J116" s="48" t="n">
        <v>6239</v>
      </c>
      <c r="K116" s="48" t="n">
        <v>6255</v>
      </c>
      <c r="L116" s="48" t="n">
        <v>57349614</v>
      </c>
      <c r="M116" s="48" t="n">
        <v>360098226306</v>
      </c>
      <c r="N116" s="48" t="n">
        <v>5130</v>
      </c>
      <c r="O116" s="48" t="n">
        <v>35266247</v>
      </c>
      <c r="P116" s="48" t="n">
        <v>22163405</v>
      </c>
      <c r="Q116" s="48" t="n">
        <v>1103</v>
      </c>
      <c r="R116" s="48" t="n">
        <v>3375</v>
      </c>
      <c r="S116" s="48" t="n">
        <v>22083367</v>
      </c>
      <c r="T116" s="48" t="n">
        <v>35186209</v>
      </c>
      <c r="U116" s="46" t="n">
        <f aca="false">IF($A116=$A115,$U115+1,1)</f>
        <v>112</v>
      </c>
      <c r="V116" s="48" t="n">
        <f aca="false">IF($U116&gt;=MA_SHORT,AVERAGE(INDEX($I$5:$I116,113-MA_SHORT):$I116),"")</f>
        <v>6612.95</v>
      </c>
      <c r="W116" s="48" t="n">
        <f aca="false">IF($U116&gt;=MA_MED,AVERAGE(INDEX($I$5:$I116,113-MA_MED):$I116),"")</f>
        <v>6491.4</v>
      </c>
      <c r="X116" s="48" t="n">
        <f aca="false">IF($U116&gt;=MA_LONG1,AVERAGE(INDEX($I$5:$I116,113-MA_LONG1):$I116),"")</f>
        <v>6316.38</v>
      </c>
      <c r="Y116" s="48" t="str">
        <f aca="false">IF($U116&gt;=MA_LONG2,AVERAGE(INDEX($I$5:$I116,113-MA_LONG2):$I116),"")</f>
        <v/>
      </c>
      <c r="Z116" s="48" t="n">
        <f aca="false">IF($U116&gt;=MA_SHORT,AVERAGE(INDEX($L$5:$L116,113-MA_SHORT):$L116),"")</f>
        <v>76593620.65</v>
      </c>
      <c r="AA116" s="48" t="n">
        <f aca="false">IF($U116=1,$G116-$H116,MAX($G116-$H116,ABS($G116-$I115),ABS($H116-$I115)))</f>
        <v>70</v>
      </c>
      <c r="AB116" s="48" t="n">
        <f aca="false">IF($U116&gt;=ATR_PER,AVERAGE(INDEX($AA$5:$AA116,113-ATR_PER):$AA116),"")</f>
        <v>256.571428571429</v>
      </c>
      <c r="AC116" s="48" t="n">
        <f aca="false">$O116-$P116</f>
        <v>13102842</v>
      </c>
      <c r="AD116" s="48" t="n">
        <f aca="false">$AC116*$I116</f>
        <v>82272744918</v>
      </c>
      <c r="AE116" s="49" t="n">
        <f aca="false">IF($Q116&gt;0,$O116*$I116/$Q116/1000000,"")</f>
        <v>200.758626394379</v>
      </c>
      <c r="AF116" s="49" t="n">
        <f aca="false">IF($R116&gt;0,$P116*$I116/$R116/1000000,"")</f>
        <v>41.2337837022222</v>
      </c>
      <c r="AG116" s="50" t="n">
        <f aca="false">IF(AND(ISNUMBER($AE116),ISNUMBER($AF116),$AF116&gt;0),$AE116/$AF116,"")</f>
        <v>4.86878982157438</v>
      </c>
      <c r="AH116" s="48" t="n">
        <f aca="false">IF($U116&gt;=5,SUM(INDEX($AD$86:$AD116,32-5):$AD116),"")</f>
        <v>265379085362</v>
      </c>
      <c r="AI116" s="48" t="n">
        <f aca="false">IF($U116&gt;=STRUCT_S,MAX(INDEX($G$5:$G116,113-STRUCT_S):$G116),"")</f>
        <v>7226</v>
      </c>
      <c r="AJ116" s="48" t="n">
        <f aca="false">IF($U116&gt;=STRUCT_S,MIN(INDEX($H$5:$H116,113-STRUCT_S):$H116),"")</f>
        <v>5971</v>
      </c>
      <c r="AK116" s="48" t="n">
        <f aca="false">IF($U116&gt;=STRUCT_L,MAX(INDEX($G$5:$G116,113-STRUCT_L):$G116),"")</f>
        <v>7226</v>
      </c>
      <c r="AL116" s="48" t="n">
        <f aca="false">IF($U116&gt;=STRUCT_L,MIN(INDEX($H$5:$H116,113-STRUCT_L):$H116),"")</f>
        <v>5659</v>
      </c>
      <c r="AM116" s="46" t="n">
        <f aca="false">IF($A116&lt;&gt;$A117,1,0)</f>
        <v>0</v>
      </c>
      <c r="AN116" s="47" t="str">
        <f aca="false">IF($AM116=1,$A116,"")</f>
        <v/>
      </c>
    </row>
    <row r="117" customFormat="false" ht="15" hidden="false" customHeight="false" outlineLevel="0" collapsed="false">
      <c r="A117" s="43" t="s">
        <v>130</v>
      </c>
      <c r="B117" s="44" t="s">
        <v>132</v>
      </c>
      <c r="C117" s="45" t="n">
        <v>46062</v>
      </c>
      <c r="D117" s="46" t="n">
        <v>20260209</v>
      </c>
      <c r="E117" s="47" t="s">
        <v>400</v>
      </c>
      <c r="F117" s="48" t="n">
        <v>6369</v>
      </c>
      <c r="G117" s="48" t="n">
        <v>6561</v>
      </c>
      <c r="H117" s="48" t="n">
        <v>6142</v>
      </c>
      <c r="I117" s="48" t="n">
        <v>6421</v>
      </c>
      <c r="J117" s="48" t="n">
        <v>6419</v>
      </c>
      <c r="K117" s="48" t="n">
        <v>6279</v>
      </c>
      <c r="L117" s="48" t="n">
        <v>48734804</v>
      </c>
      <c r="M117" s="48" t="n">
        <v>312926176484</v>
      </c>
      <c r="N117" s="48" t="n">
        <v>4075</v>
      </c>
      <c r="O117" s="48" t="n">
        <v>38101923</v>
      </c>
      <c r="P117" s="48" t="n">
        <v>9746960</v>
      </c>
      <c r="Q117" s="48" t="n">
        <v>1425</v>
      </c>
      <c r="R117" s="48" t="n">
        <v>2279</v>
      </c>
      <c r="S117" s="48" t="n">
        <v>10632881</v>
      </c>
      <c r="T117" s="48" t="n">
        <v>38987844</v>
      </c>
      <c r="U117" s="46" t="n">
        <f aca="false">IF($A117=$A116,$U116+1,1)</f>
        <v>113</v>
      </c>
      <c r="V117" s="48" t="n">
        <f aca="false">IF($U117&gt;=MA_SHORT,AVERAGE(INDEX($I$5:$I117,114-MA_SHORT):$I117),"")</f>
        <v>6597.35</v>
      </c>
      <c r="W117" s="48" t="n">
        <f aca="false">IF($U117&gt;=MA_MED,AVERAGE(INDEX($I$5:$I117,114-MA_MED):$I117),"")</f>
        <v>6496.94</v>
      </c>
      <c r="X117" s="48" t="n">
        <f aca="false">IF($U117&gt;=MA_LONG1,AVERAGE(INDEX($I$5:$I117,114-MA_LONG1):$I117),"")</f>
        <v>6320.74</v>
      </c>
      <c r="Y117" s="48" t="str">
        <f aca="false">IF($U117&gt;=MA_LONG2,AVERAGE(INDEX($I$5:$I117,114-MA_LONG2):$I117),"")</f>
        <v/>
      </c>
      <c r="Z117" s="48" t="n">
        <f aca="false">IF($U117&gt;=MA_SHORT,AVERAGE(INDEX($L$5:$L117,114-MA_SHORT):$L117),"")</f>
        <v>71662690.85</v>
      </c>
      <c r="AA117" s="48" t="n">
        <f aca="false">IF($U117=1,$G117-$H117,MAX($G117-$H117,ABS($G117-$I116),ABS($H117-$I116)))</f>
        <v>419</v>
      </c>
      <c r="AB117" s="48" t="n">
        <f aca="false">IF($U117&gt;=ATR_PER,AVERAGE(INDEX($AA$5:$AA117,114-ATR_PER):$AA117),"")</f>
        <v>259.428571428571</v>
      </c>
      <c r="AC117" s="48" t="n">
        <f aca="false">$O117-$P117</f>
        <v>28354963</v>
      </c>
      <c r="AD117" s="48" t="n">
        <f aca="false">$AC117*$I117</f>
        <v>182067217423</v>
      </c>
      <c r="AE117" s="49" t="n">
        <f aca="false">IF($Q117&gt;0,$O117*$I117/$Q117/1000000,"")</f>
        <v>171.685928128421</v>
      </c>
      <c r="AF117" s="49" t="n">
        <f aca="false">IF($R117&gt;0,$P117*$I117/$R117/1000000,"")</f>
        <v>27.4617069591926</v>
      </c>
      <c r="AG117" s="50" t="n">
        <f aca="false">IF(AND(ISNUMBER($AE117),ISNUMBER($AF117),$AF117&gt;0),$AE117/$AF117,"")</f>
        <v>6.25183017150179</v>
      </c>
      <c r="AH117" s="48" t="n">
        <f aca="false">IF($U117&gt;=5,SUM(INDEX($AD$87:$AD117,32-5):$AD117),"")</f>
        <v>448924998314</v>
      </c>
      <c r="AI117" s="48" t="n">
        <f aca="false">IF($U117&gt;=STRUCT_S,MAX(INDEX($G$5:$G117,114-STRUCT_S):$G117),"")</f>
        <v>7226</v>
      </c>
      <c r="AJ117" s="48" t="n">
        <f aca="false">IF($U117&gt;=STRUCT_S,MIN(INDEX($H$5:$H117,114-STRUCT_S):$H117),"")</f>
        <v>5971</v>
      </c>
      <c r="AK117" s="48" t="n">
        <f aca="false">IF($U117&gt;=STRUCT_L,MAX(INDEX($G$5:$G117,114-STRUCT_L):$G117),"")</f>
        <v>7226</v>
      </c>
      <c r="AL117" s="48" t="n">
        <f aca="false">IF($U117&gt;=STRUCT_L,MIN(INDEX($H$5:$H117,114-STRUCT_L):$H117),"")</f>
        <v>5659</v>
      </c>
      <c r="AM117" s="46" t="n">
        <f aca="false">IF($A117&lt;&gt;$A118,1,0)</f>
        <v>0</v>
      </c>
      <c r="AN117" s="47" t="str">
        <f aca="false">IF($AM117=1,$A117,"")</f>
        <v/>
      </c>
    </row>
    <row r="118" customFormat="false" ht="15" hidden="false" customHeight="false" outlineLevel="0" collapsed="false">
      <c r="A118" s="43" t="s">
        <v>130</v>
      </c>
      <c r="B118" s="44" t="s">
        <v>132</v>
      </c>
      <c r="C118" s="45" t="n">
        <v>46063</v>
      </c>
      <c r="D118" s="46" t="n">
        <v>20260210</v>
      </c>
      <c r="E118" s="47" t="s">
        <v>401</v>
      </c>
      <c r="F118" s="48" t="n">
        <v>6525</v>
      </c>
      <c r="G118" s="48" t="n">
        <v>6545</v>
      </c>
      <c r="H118" s="48" t="n">
        <v>6362</v>
      </c>
      <c r="I118" s="48" t="n">
        <v>6485</v>
      </c>
      <c r="J118" s="48" t="n">
        <v>6501</v>
      </c>
      <c r="K118" s="48" t="n">
        <v>6421</v>
      </c>
      <c r="L118" s="48" t="n">
        <v>45478353</v>
      </c>
      <c r="M118" s="48" t="n">
        <v>294927119205</v>
      </c>
      <c r="N118" s="48" t="n">
        <v>1132</v>
      </c>
      <c r="O118" s="48" t="n">
        <v>25886757</v>
      </c>
      <c r="P118" s="48" t="n">
        <v>17641307</v>
      </c>
      <c r="Q118" s="48" t="n">
        <v>303</v>
      </c>
      <c r="R118" s="48" t="n">
        <v>584</v>
      </c>
      <c r="S118" s="48" t="n">
        <v>19591596</v>
      </c>
      <c r="T118" s="48" t="n">
        <v>27837046</v>
      </c>
      <c r="U118" s="46" t="n">
        <f aca="false">IF($A118=$A117,$U117+1,1)</f>
        <v>114</v>
      </c>
      <c r="V118" s="48" t="n">
        <f aca="false">IF($U118&gt;=MA_SHORT,AVERAGE(INDEX($I$5:$I118,115-MA_SHORT):$I118),"")</f>
        <v>6586.9</v>
      </c>
      <c r="W118" s="48" t="n">
        <f aca="false">IF($U118&gt;=MA_MED,AVERAGE(INDEX($I$5:$I118,115-MA_MED):$I118),"")</f>
        <v>6503.22</v>
      </c>
      <c r="X118" s="48" t="n">
        <f aca="false">IF($U118&gt;=MA_LONG1,AVERAGE(INDEX($I$5:$I118,115-MA_LONG1):$I118),"")</f>
        <v>6325.61</v>
      </c>
      <c r="Y118" s="48" t="str">
        <f aca="false">IF($U118&gt;=MA_LONG2,AVERAGE(INDEX($I$5:$I118,115-MA_LONG2):$I118),"")</f>
        <v/>
      </c>
      <c r="Z118" s="48" t="n">
        <f aca="false">IF($U118&gt;=MA_SHORT,AVERAGE(INDEX($L$5:$L118,115-MA_SHORT):$L118),"")</f>
        <v>67955426.9</v>
      </c>
      <c r="AA118" s="48" t="n">
        <f aca="false">IF($U118=1,$G118-$H118,MAX($G118-$H118,ABS($G118-$I117),ABS($H118-$I117)))</f>
        <v>183</v>
      </c>
      <c r="AB118" s="48" t="n">
        <f aca="false">IF($U118&gt;=ATR_PER,AVERAGE(INDEX($AA$5:$AA118,115-ATR_PER):$AA118),"")</f>
        <v>241.642857142857</v>
      </c>
      <c r="AC118" s="48" t="n">
        <f aca="false">$O118-$P118</f>
        <v>8245450</v>
      </c>
      <c r="AD118" s="48" t="n">
        <f aca="false">$AC118*$I118</f>
        <v>53471743250</v>
      </c>
      <c r="AE118" s="49" t="n">
        <f aca="false">IF($Q118&gt;0,$O118*$I118/$Q118/1000000,"")</f>
        <v>554.044947673267</v>
      </c>
      <c r="AF118" s="49" t="n">
        <f aca="false">IF($R118&gt;0,$P118*$I118/$R118/1000000,"")</f>
        <v>195.897047765411</v>
      </c>
      <c r="AG118" s="50" t="n">
        <f aca="false">IF(AND(ISNUMBER($AE118),ISNUMBER($AF118),$AF118&gt;0),$AE118/$AF118,"")</f>
        <v>2.8282455197423</v>
      </c>
      <c r="AH118" s="48" t="n">
        <f aca="false">IF($U118&gt;=5,SUM(INDEX($AD$88:$AD118,32-5):$AD118),"")</f>
        <v>443057322418</v>
      </c>
      <c r="AI118" s="48" t="n">
        <f aca="false">IF($U118&gt;=STRUCT_S,MAX(INDEX($G$5:$G118,115-STRUCT_S):$G118),"")</f>
        <v>7226</v>
      </c>
      <c r="AJ118" s="48" t="n">
        <f aca="false">IF($U118&gt;=STRUCT_S,MIN(INDEX($H$5:$H118,115-STRUCT_S):$H118),"")</f>
        <v>5971</v>
      </c>
      <c r="AK118" s="48" t="n">
        <f aca="false">IF($U118&gt;=STRUCT_L,MAX(INDEX($G$5:$G118,115-STRUCT_L):$G118),"")</f>
        <v>7226</v>
      </c>
      <c r="AL118" s="48" t="n">
        <f aca="false">IF($U118&gt;=STRUCT_L,MIN(INDEX($H$5:$H118,115-STRUCT_L):$H118),"")</f>
        <v>5659</v>
      </c>
      <c r="AM118" s="46" t="n">
        <f aca="false">IF($A118&lt;&gt;$A119,1,0)</f>
        <v>0</v>
      </c>
      <c r="AN118" s="47" t="str">
        <f aca="false">IF($AM118=1,$A118,"")</f>
        <v/>
      </c>
    </row>
    <row r="119" customFormat="false" ht="15" hidden="false" customHeight="false" outlineLevel="0" collapsed="false">
      <c r="A119" s="43" t="s">
        <v>130</v>
      </c>
      <c r="B119" s="44" t="s">
        <v>132</v>
      </c>
      <c r="C119" s="45" t="n">
        <v>46064</v>
      </c>
      <c r="D119" s="46" t="n">
        <v>20260211</v>
      </c>
      <c r="E119" s="47" t="s">
        <v>402</v>
      </c>
      <c r="F119" s="48" t="n">
        <v>6560</v>
      </c>
      <c r="G119" s="48" t="n">
        <v>6643</v>
      </c>
      <c r="H119" s="48" t="n">
        <v>6422</v>
      </c>
      <c r="I119" s="48" t="n">
        <v>6580</v>
      </c>
      <c r="J119" s="48" t="n">
        <v>6521</v>
      </c>
      <c r="K119" s="48" t="n">
        <v>6485</v>
      </c>
      <c r="L119" s="48" t="n">
        <v>46683811</v>
      </c>
      <c r="M119" s="48" t="n">
        <v>307179476380</v>
      </c>
      <c r="N119" s="48" t="n">
        <v>1913</v>
      </c>
      <c r="O119" s="48" t="n">
        <v>29590527</v>
      </c>
      <c r="P119" s="48" t="n">
        <v>16106073</v>
      </c>
      <c r="Q119" s="48" t="n">
        <v>492</v>
      </c>
      <c r="R119" s="48" t="n">
        <v>1439</v>
      </c>
      <c r="S119" s="48" t="n">
        <v>17093284</v>
      </c>
      <c r="T119" s="48" t="n">
        <v>30577738</v>
      </c>
      <c r="U119" s="46" t="n">
        <f aca="false">IF($A119=$A118,$U118+1,1)</f>
        <v>115</v>
      </c>
      <c r="V119" s="48" t="n">
        <f aca="false">IF($U119&gt;=MA_SHORT,AVERAGE(INDEX($I$5:$I119,116-MA_SHORT):$I119),"")</f>
        <v>6576.1</v>
      </c>
      <c r="W119" s="48" t="n">
        <f aca="false">IF($U119&gt;=MA_MED,AVERAGE(INDEX($I$5:$I119,116-MA_MED):$I119),"")</f>
        <v>6509.64</v>
      </c>
      <c r="X119" s="48" t="n">
        <f aca="false">IF($U119&gt;=MA_LONG1,AVERAGE(INDEX($I$5:$I119,116-MA_LONG1):$I119),"")</f>
        <v>6332.36</v>
      </c>
      <c r="Y119" s="48" t="str">
        <f aca="false">IF($U119&gt;=MA_LONG2,AVERAGE(INDEX($I$5:$I119,116-MA_LONG2):$I119),"")</f>
        <v/>
      </c>
      <c r="Z119" s="48" t="n">
        <f aca="false">IF($U119&gt;=MA_SHORT,AVERAGE(INDEX($L$5:$L119,116-MA_SHORT):$L119),"")</f>
        <v>65627457.8</v>
      </c>
      <c r="AA119" s="48" t="n">
        <f aca="false">IF($U119=1,$G119-$H119,MAX($G119-$H119,ABS($G119-$I118),ABS($H119-$I118)))</f>
        <v>221</v>
      </c>
      <c r="AB119" s="48" t="n">
        <f aca="false">IF($U119&gt;=ATR_PER,AVERAGE(INDEX($AA$5:$AA119,116-ATR_PER):$AA119),"")</f>
        <v>246.357142857143</v>
      </c>
      <c r="AC119" s="48" t="n">
        <f aca="false">$O119-$P119</f>
        <v>13484454</v>
      </c>
      <c r="AD119" s="48" t="n">
        <f aca="false">$AC119*$I119</f>
        <v>88727707320</v>
      </c>
      <c r="AE119" s="49" t="n">
        <f aca="false">IF($Q119&gt;0,$O119*$I119/$Q119/1000000,"")</f>
        <v>395.74322695122</v>
      </c>
      <c r="AF119" s="49" t="n">
        <f aca="false">IF($R119&gt;0,$P119*$I119/$R119/1000000,"")</f>
        <v>73.6469495066018</v>
      </c>
      <c r="AG119" s="50" t="n">
        <f aca="false">IF(AND(ISNUMBER($AE119),ISNUMBER($AF119),$AF119&gt;0),$AE119/$AF119,"")</f>
        <v>5.37351824620712</v>
      </c>
      <c r="AH119" s="48" t="n">
        <f aca="false">IF($U119&gt;=5,SUM(INDEX($AD$89:$AD119,32-5):$AD119),"")</f>
        <v>443331829566</v>
      </c>
      <c r="AI119" s="48" t="n">
        <f aca="false">IF($U119&gt;=STRUCT_S,MAX(INDEX($G$5:$G119,116-STRUCT_S):$G119),"")</f>
        <v>7226</v>
      </c>
      <c r="AJ119" s="48" t="n">
        <f aca="false">IF($U119&gt;=STRUCT_S,MIN(INDEX($H$5:$H119,116-STRUCT_S):$H119),"")</f>
        <v>5971</v>
      </c>
      <c r="AK119" s="48" t="n">
        <f aca="false">IF($U119&gt;=STRUCT_L,MAX(INDEX($G$5:$G119,116-STRUCT_L):$G119),"")</f>
        <v>7226</v>
      </c>
      <c r="AL119" s="48" t="n">
        <f aca="false">IF($U119&gt;=STRUCT_L,MIN(INDEX($H$5:$H119,116-STRUCT_L):$H119),"")</f>
        <v>5842</v>
      </c>
      <c r="AM119" s="46" t="n">
        <f aca="false">IF($A119&lt;&gt;$A120,1,0)</f>
        <v>0</v>
      </c>
      <c r="AN119" s="47" t="str">
        <f aca="false">IF($AM119=1,$A119,"")</f>
        <v/>
      </c>
    </row>
    <row r="120" customFormat="false" ht="15" hidden="false" customHeight="false" outlineLevel="0" collapsed="false">
      <c r="A120" s="43" t="s">
        <v>130</v>
      </c>
      <c r="B120" s="44" t="s">
        <v>132</v>
      </c>
      <c r="C120" s="45" t="n">
        <v>46067</v>
      </c>
      <c r="D120" s="46" t="n">
        <v>20260214</v>
      </c>
      <c r="E120" s="47" t="s">
        <v>403</v>
      </c>
      <c r="F120" s="48" t="n">
        <v>6558</v>
      </c>
      <c r="G120" s="48" t="n">
        <v>6639</v>
      </c>
      <c r="H120" s="48" t="n">
        <v>6487</v>
      </c>
      <c r="I120" s="48" t="n">
        <v>6545</v>
      </c>
      <c r="J120" s="48" t="n">
        <v>6497</v>
      </c>
      <c r="K120" s="48" t="n">
        <v>6580</v>
      </c>
      <c r="L120" s="48" t="n">
        <v>64408768</v>
      </c>
      <c r="M120" s="48" t="n">
        <v>421555386560</v>
      </c>
      <c r="N120" s="48" t="n">
        <v>1489</v>
      </c>
      <c r="O120" s="48" t="n">
        <v>37493274</v>
      </c>
      <c r="P120" s="48" t="n">
        <v>26198698</v>
      </c>
      <c r="Q120" s="48" t="n">
        <v>972</v>
      </c>
      <c r="R120" s="48" t="n">
        <v>607</v>
      </c>
      <c r="S120" s="48" t="n">
        <v>26915494</v>
      </c>
      <c r="T120" s="48" t="n">
        <v>38210070</v>
      </c>
      <c r="U120" s="46" t="n">
        <f aca="false">IF($A120=$A119,$U119+1,1)</f>
        <v>116</v>
      </c>
      <c r="V120" s="48" t="n">
        <f aca="false">IF($U120&gt;=MA_SHORT,AVERAGE(INDEX($I$5:$I120,117-MA_SHORT):$I120),"")</f>
        <v>6565.2</v>
      </c>
      <c r="W120" s="48" t="n">
        <f aca="false">IF($U120&gt;=MA_MED,AVERAGE(INDEX($I$5:$I120,117-MA_MED):$I120),"")</f>
        <v>6515.78</v>
      </c>
      <c r="X120" s="48" t="n">
        <f aca="false">IF($U120&gt;=MA_LONG1,AVERAGE(INDEX($I$5:$I120,117-MA_LONG1):$I120),"")</f>
        <v>6337.84</v>
      </c>
      <c r="Y120" s="48" t="str">
        <f aca="false">IF($U120&gt;=MA_LONG2,AVERAGE(INDEX($I$5:$I120,117-MA_LONG2):$I120),"")</f>
        <v/>
      </c>
      <c r="Z120" s="48" t="n">
        <f aca="false">IF($U120&gt;=MA_SHORT,AVERAGE(INDEX($L$5:$L120,117-MA_SHORT):$L120),"")</f>
        <v>65979990.65</v>
      </c>
      <c r="AA120" s="48" t="n">
        <f aca="false">IF($U120=1,$G120-$H120,MAX($G120-$H120,ABS($G120-$I119),ABS($H120-$I119)))</f>
        <v>152</v>
      </c>
      <c r="AB120" s="48" t="n">
        <f aca="false">IF($U120&gt;=ATR_PER,AVERAGE(INDEX($AA$5:$AA120,117-ATR_PER):$AA120),"")</f>
        <v>239.357142857143</v>
      </c>
      <c r="AC120" s="48" t="n">
        <f aca="false">$O120-$P120</f>
        <v>11294576</v>
      </c>
      <c r="AD120" s="48" t="n">
        <f aca="false">$AC120*$I120</f>
        <v>73922999920</v>
      </c>
      <c r="AE120" s="49" t="n">
        <f aca="false">IF($Q120&gt;0,$O120*$I120/$Q120/1000000,"")</f>
        <v>252.462426265432</v>
      </c>
      <c r="AF120" s="49" t="n">
        <f aca="false">IF($R120&gt;0,$P120*$I120/$R120/1000000,"")</f>
        <v>282.488432306425</v>
      </c>
      <c r="AG120" s="50" t="n">
        <f aca="false">IF(AND(ISNUMBER($AE120),ISNUMBER($AF120),$AF120&gt;0),$AE120/$AF120,"")</f>
        <v>0.893708900588104</v>
      </c>
      <c r="AH120" s="48" t="n">
        <f aca="false">IF($U120&gt;=5,SUM(INDEX($AD$90:$AD120,32-5):$AD120),"")</f>
        <v>480462412831</v>
      </c>
      <c r="AI120" s="48" t="n">
        <f aca="false">IF($U120&gt;=STRUCT_S,MAX(INDEX($G$5:$G120,117-STRUCT_S):$G120),"")</f>
        <v>7226</v>
      </c>
      <c r="AJ120" s="48" t="n">
        <f aca="false">IF($U120&gt;=STRUCT_S,MIN(INDEX($H$5:$H120,117-STRUCT_S):$H120),"")</f>
        <v>5971</v>
      </c>
      <c r="AK120" s="48" t="n">
        <f aca="false">IF($U120&gt;=STRUCT_L,MAX(INDEX($G$5:$G120,117-STRUCT_L):$G120),"")</f>
        <v>7226</v>
      </c>
      <c r="AL120" s="48" t="n">
        <f aca="false">IF($U120&gt;=STRUCT_L,MIN(INDEX($H$5:$H120,117-STRUCT_L):$H120),"")</f>
        <v>5863</v>
      </c>
      <c r="AM120" s="46" t="n">
        <f aca="false">IF($A120&lt;&gt;$A121,1,0)</f>
        <v>0</v>
      </c>
      <c r="AN120" s="47" t="str">
        <f aca="false">IF($AM120=1,$A120,"")</f>
        <v/>
      </c>
    </row>
    <row r="121" customFormat="false" ht="15" hidden="false" customHeight="false" outlineLevel="0" collapsed="false">
      <c r="A121" s="43" t="s">
        <v>130</v>
      </c>
      <c r="B121" s="44" t="s">
        <v>132</v>
      </c>
      <c r="C121" s="45" t="n">
        <v>46068</v>
      </c>
      <c r="D121" s="46" t="n">
        <v>20260215</v>
      </c>
      <c r="E121" s="47" t="s">
        <v>404</v>
      </c>
      <c r="F121" s="48" t="n">
        <v>6515</v>
      </c>
      <c r="G121" s="48" t="n">
        <v>6669</v>
      </c>
      <c r="H121" s="48" t="n">
        <v>6451</v>
      </c>
      <c r="I121" s="48" t="n">
        <v>6575</v>
      </c>
      <c r="J121" s="48" t="n">
        <v>6480</v>
      </c>
      <c r="K121" s="48" t="n">
        <v>6545</v>
      </c>
      <c r="L121" s="48" t="n">
        <v>44092214</v>
      </c>
      <c r="M121" s="48" t="n">
        <v>289906307050</v>
      </c>
      <c r="N121" s="48" t="n">
        <v>1047</v>
      </c>
      <c r="O121" s="48" t="n">
        <v>31358886</v>
      </c>
      <c r="P121" s="48" t="n">
        <v>13929036</v>
      </c>
      <c r="Q121" s="48" t="n">
        <v>271</v>
      </c>
      <c r="R121" s="48" t="n">
        <v>472</v>
      </c>
      <c r="S121" s="48" t="n">
        <v>12733328</v>
      </c>
      <c r="T121" s="48" t="n">
        <v>30163178</v>
      </c>
      <c r="U121" s="46" t="n">
        <f aca="false">IF($A121=$A120,$U120+1,1)</f>
        <v>117</v>
      </c>
      <c r="V121" s="48" t="n">
        <f aca="false">IF($U121&gt;=MA_SHORT,AVERAGE(INDEX($I$5:$I121,118-MA_SHORT):$I121),"")</f>
        <v>6551.4</v>
      </c>
      <c r="W121" s="48" t="n">
        <f aca="false">IF($U121&gt;=MA_MED,AVERAGE(INDEX($I$5:$I121,118-MA_MED):$I121),"")</f>
        <v>6520.58</v>
      </c>
      <c r="X121" s="48" t="n">
        <f aca="false">IF($U121&gt;=MA_LONG1,AVERAGE(INDEX($I$5:$I121,118-MA_LONG1):$I121),"")</f>
        <v>6342.42</v>
      </c>
      <c r="Y121" s="48" t="str">
        <f aca="false">IF($U121&gt;=MA_LONG2,AVERAGE(INDEX($I$5:$I121,118-MA_LONG2):$I121),"")</f>
        <v/>
      </c>
      <c r="Z121" s="48" t="n">
        <f aca="false">IF($U121&gt;=MA_SHORT,AVERAGE(INDEX($L$5:$L121,118-MA_SHORT):$L121),"")</f>
        <v>65871487.65</v>
      </c>
      <c r="AA121" s="48" t="n">
        <f aca="false">IF($U121=1,$G121-$H121,MAX($G121-$H121,ABS($G121-$I120),ABS($H121-$I120)))</f>
        <v>218</v>
      </c>
      <c r="AB121" s="48" t="n">
        <f aca="false">IF($U121&gt;=ATR_PER,AVERAGE(INDEX($AA$5:$AA121,118-ATR_PER):$AA121),"")</f>
        <v>238.857142857143</v>
      </c>
      <c r="AC121" s="48" t="n">
        <f aca="false">$O121-$P121</f>
        <v>17429850</v>
      </c>
      <c r="AD121" s="48" t="n">
        <f aca="false">$AC121*$I121</f>
        <v>114601263750</v>
      </c>
      <c r="AE121" s="49" t="n">
        <f aca="false">IF($Q121&gt;0,$O121*$I121/$Q121/1000000,"")</f>
        <v>760.829060701107</v>
      </c>
      <c r="AF121" s="49" t="n">
        <f aca="false">IF($R121&gt;0,$P121*$I121/$R121/1000000,"")</f>
        <v>194.03265190678</v>
      </c>
      <c r="AG121" s="50" t="n">
        <f aca="false">IF(AND(ISNUMBER($AE121),ISNUMBER($AF121),$AF121&gt;0),$AE121/$AF121,"")</f>
        <v>3.92113931971943</v>
      </c>
      <c r="AH121" s="48" t="n">
        <f aca="false">IF($U121&gt;=5,SUM(INDEX($AD$91:$AD121,32-5):$AD121),"")</f>
        <v>512790931663</v>
      </c>
      <c r="AI121" s="48" t="n">
        <f aca="false">IF($U121&gt;=STRUCT_S,MAX(INDEX($G$5:$G121,118-STRUCT_S):$G121),"")</f>
        <v>7226</v>
      </c>
      <c r="AJ121" s="48" t="n">
        <f aca="false">IF($U121&gt;=STRUCT_S,MIN(INDEX($H$5:$H121,118-STRUCT_S):$H121),"")</f>
        <v>5971</v>
      </c>
      <c r="AK121" s="48" t="n">
        <f aca="false">IF($U121&gt;=STRUCT_L,MAX(INDEX($G$5:$G121,118-STRUCT_L):$G121),"")</f>
        <v>7226</v>
      </c>
      <c r="AL121" s="48" t="n">
        <f aca="false">IF($U121&gt;=STRUCT_L,MIN(INDEX($H$5:$H121,118-STRUCT_L):$H121),"")</f>
        <v>5870</v>
      </c>
      <c r="AM121" s="46" t="n">
        <f aca="false">IF($A121&lt;&gt;$A122,1,0)</f>
        <v>0</v>
      </c>
      <c r="AN121" s="47" t="str">
        <f aca="false">IF($AM121=1,$A121,"")</f>
        <v/>
      </c>
    </row>
    <row r="122" customFormat="false" ht="15" hidden="false" customHeight="false" outlineLevel="0" collapsed="false">
      <c r="A122" s="43" t="s">
        <v>130</v>
      </c>
      <c r="B122" s="44" t="s">
        <v>132</v>
      </c>
      <c r="C122" s="45" t="n">
        <v>46069</v>
      </c>
      <c r="D122" s="46" t="n">
        <v>20260216</v>
      </c>
      <c r="E122" s="47" t="s">
        <v>405</v>
      </c>
      <c r="F122" s="48" t="n">
        <v>6681</v>
      </c>
      <c r="G122" s="48" t="n">
        <v>6738</v>
      </c>
      <c r="H122" s="48" t="n">
        <v>6555</v>
      </c>
      <c r="I122" s="48" t="n">
        <v>6717</v>
      </c>
      <c r="J122" s="48" t="n">
        <v>6599</v>
      </c>
      <c r="K122" s="48" t="n">
        <v>6575</v>
      </c>
      <c r="L122" s="48" t="n">
        <v>49832997</v>
      </c>
      <c r="M122" s="48" t="n">
        <v>334728240849</v>
      </c>
      <c r="N122" s="48" t="n">
        <v>1449</v>
      </c>
      <c r="O122" s="48" t="n">
        <v>32893379</v>
      </c>
      <c r="P122" s="48" t="n">
        <v>17386739</v>
      </c>
      <c r="Q122" s="48" t="n">
        <v>358</v>
      </c>
      <c r="R122" s="48" t="n">
        <v>1110</v>
      </c>
      <c r="S122" s="48" t="n">
        <v>16939618</v>
      </c>
      <c r="T122" s="48" t="n">
        <v>32446258</v>
      </c>
      <c r="U122" s="46" t="n">
        <f aca="false">IF($A122=$A121,$U121+1,1)</f>
        <v>118</v>
      </c>
      <c r="V122" s="48" t="n">
        <f aca="false">IF($U122&gt;=MA_SHORT,AVERAGE(INDEX($I$5:$I122,119-MA_SHORT):$I122),"")</f>
        <v>6534.9</v>
      </c>
      <c r="W122" s="48" t="n">
        <f aca="false">IF($U122&gt;=MA_MED,AVERAGE(INDEX($I$5:$I122,119-MA_MED):$I122),"")</f>
        <v>6529.4</v>
      </c>
      <c r="X122" s="48" t="n">
        <f aca="false">IF($U122&gt;=MA_LONG1,AVERAGE(INDEX($I$5:$I122,119-MA_LONG1):$I122),"")</f>
        <v>6348.93</v>
      </c>
      <c r="Y122" s="48" t="str">
        <f aca="false">IF($U122&gt;=MA_LONG2,AVERAGE(INDEX($I$5:$I122,119-MA_LONG2):$I122),"")</f>
        <v/>
      </c>
      <c r="Z122" s="48" t="n">
        <f aca="false">IF($U122&gt;=MA_SHORT,AVERAGE(INDEX($L$5:$L122,119-MA_SHORT):$L122),"")</f>
        <v>65228466.8</v>
      </c>
      <c r="AA122" s="48" t="n">
        <f aca="false">IF($U122=1,$G122-$H122,MAX($G122-$H122,ABS($G122-$I121),ABS($H122-$I121)))</f>
        <v>183</v>
      </c>
      <c r="AB122" s="48" t="n">
        <f aca="false">IF($U122&gt;=ATR_PER,AVERAGE(INDEX($AA$5:$AA122,119-ATR_PER):$AA122),"")</f>
        <v>232.357142857143</v>
      </c>
      <c r="AC122" s="48" t="n">
        <f aca="false">$O122-$P122</f>
        <v>15506640</v>
      </c>
      <c r="AD122" s="48" t="n">
        <f aca="false">$AC122*$I122</f>
        <v>104158100880</v>
      </c>
      <c r="AE122" s="49" t="n">
        <f aca="false">IF($Q122&gt;0,$O122*$I122/$Q122/1000000,"")</f>
        <v>617.164320511173</v>
      </c>
      <c r="AF122" s="49" t="n">
        <f aca="false">IF($R122&gt;0,$P122*$I122/$R122/1000000,"")</f>
        <v>105.213266543243</v>
      </c>
      <c r="AG122" s="50" t="n">
        <f aca="false">IF(AND(ISNUMBER($AE122),ISNUMBER($AF122),$AF122&gt;0),$AE122/$AF122,"")</f>
        <v>5.86584126496553</v>
      </c>
      <c r="AH122" s="48" t="n">
        <f aca="false">IF($U122&gt;=5,SUM(INDEX($AD$92:$AD122,32-5):$AD122),"")</f>
        <v>434881815120</v>
      </c>
      <c r="AI122" s="48" t="n">
        <f aca="false">IF($U122&gt;=STRUCT_S,MAX(INDEX($G$5:$G122,119-STRUCT_S):$G122),"")</f>
        <v>7218</v>
      </c>
      <c r="AJ122" s="48" t="n">
        <f aca="false">IF($U122&gt;=STRUCT_S,MIN(INDEX($H$5:$H122,119-STRUCT_S):$H122),"")</f>
        <v>5971</v>
      </c>
      <c r="AK122" s="48" t="n">
        <f aca="false">IF($U122&gt;=STRUCT_L,MAX(INDEX($G$5:$G122,119-STRUCT_L):$G122),"")</f>
        <v>7226</v>
      </c>
      <c r="AL122" s="48" t="n">
        <f aca="false">IF($U122&gt;=STRUCT_L,MIN(INDEX($H$5:$H122,119-STRUCT_L):$H122),"")</f>
        <v>5971</v>
      </c>
      <c r="AM122" s="46" t="n">
        <f aca="false">IF($A122&lt;&gt;$A123,1,0)</f>
        <v>0</v>
      </c>
      <c r="AN122" s="47" t="str">
        <f aca="false">IF($AM122=1,$A122,"")</f>
        <v/>
      </c>
    </row>
    <row r="123" customFormat="false" ht="15" hidden="false" customHeight="false" outlineLevel="0" collapsed="false">
      <c r="A123" s="43" t="s">
        <v>130</v>
      </c>
      <c r="B123" s="44" t="s">
        <v>132</v>
      </c>
      <c r="C123" s="45" t="n">
        <v>46070</v>
      </c>
      <c r="D123" s="46" t="n">
        <v>20260217</v>
      </c>
      <c r="E123" s="47" t="s">
        <v>406</v>
      </c>
      <c r="F123" s="48" t="n">
        <v>6860</v>
      </c>
      <c r="G123" s="48" t="n">
        <v>6865</v>
      </c>
      <c r="H123" s="48" t="n">
        <v>6693</v>
      </c>
      <c r="I123" s="48" t="n">
        <v>6840</v>
      </c>
      <c r="J123" s="48" t="n">
        <v>6754</v>
      </c>
      <c r="K123" s="48" t="n">
        <v>6717</v>
      </c>
      <c r="L123" s="48" t="n">
        <v>47626818</v>
      </c>
      <c r="M123" s="48" t="n">
        <v>325767435120</v>
      </c>
      <c r="N123" s="48" t="n">
        <v>2512</v>
      </c>
      <c r="O123" s="48" t="n">
        <v>35190225</v>
      </c>
      <c r="P123" s="48" t="n">
        <v>10791553</v>
      </c>
      <c r="Q123" s="48" t="n">
        <v>875</v>
      </c>
      <c r="R123" s="48" t="n">
        <v>1621</v>
      </c>
      <c r="S123" s="48" t="n">
        <v>12436593</v>
      </c>
      <c r="T123" s="48" t="n">
        <v>36835265</v>
      </c>
      <c r="U123" s="46" t="n">
        <f aca="false">IF($A123=$A122,$U122+1,1)</f>
        <v>119</v>
      </c>
      <c r="V123" s="48" t="n">
        <f aca="false">IF($U123&gt;=MA_SHORT,AVERAGE(INDEX($I$5:$I123,120-MA_SHORT):$I123),"")</f>
        <v>6526.45</v>
      </c>
      <c r="W123" s="48" t="n">
        <f aca="false">IF($U123&gt;=MA_MED,AVERAGE(INDEX($I$5:$I123,120-MA_MED):$I123),"")</f>
        <v>6544.6</v>
      </c>
      <c r="X123" s="48" t="n">
        <f aca="false">IF($U123&gt;=MA_LONG1,AVERAGE(INDEX($I$5:$I123,120-MA_LONG1):$I123),"")</f>
        <v>6356.29</v>
      </c>
      <c r="Y123" s="48" t="str">
        <f aca="false">IF($U123&gt;=MA_LONG2,AVERAGE(INDEX($I$5:$I123,120-MA_LONG2):$I123),"")</f>
        <v/>
      </c>
      <c r="Z123" s="48" t="n">
        <f aca="false">IF($U123&gt;=MA_SHORT,AVERAGE(INDEX($L$5:$L123,120-MA_SHORT):$L123),"")</f>
        <v>65007610.4</v>
      </c>
      <c r="AA123" s="48" t="n">
        <f aca="false">IF($U123=1,$G123-$H123,MAX($G123-$H123,ABS($G123-$I122),ABS($H123-$I122)))</f>
        <v>172</v>
      </c>
      <c r="AB123" s="48" t="n">
        <f aca="false">IF($U123&gt;=ATR_PER,AVERAGE(INDEX($AA$5:$AA123,120-ATR_PER):$AA123),"")</f>
        <v>226.785714285714</v>
      </c>
      <c r="AC123" s="48" t="n">
        <f aca="false">$O123-$P123</f>
        <v>24398672</v>
      </c>
      <c r="AD123" s="48" t="n">
        <f aca="false">$AC123*$I123</f>
        <v>166886916480</v>
      </c>
      <c r="AE123" s="49" t="n">
        <f aca="false">IF($Q123&gt;0,$O123*$I123/$Q123/1000000,"")</f>
        <v>275.087016</v>
      </c>
      <c r="AF123" s="49" t="n">
        <f aca="false">IF($R123&gt;0,$P123*$I123/$R123/1000000,"")</f>
        <v>45.5362261073412</v>
      </c>
      <c r="AG123" s="50" t="n">
        <f aca="false">IF(AND(ISNUMBER($AE123),ISNUMBER($AF123),$AF123&gt;0),$AE123/$AF123,"")</f>
        <v>6.04105872435599</v>
      </c>
      <c r="AH123" s="48" t="n">
        <f aca="false">IF($U123&gt;=5,SUM(INDEX($AD$93:$AD123,32-5):$AD123),"")</f>
        <v>548296988350</v>
      </c>
      <c r="AI123" s="48" t="n">
        <f aca="false">IF($U123&gt;=STRUCT_S,MAX(INDEX($G$5:$G123,120-STRUCT_S):$G123),"")</f>
        <v>7143</v>
      </c>
      <c r="AJ123" s="48" t="n">
        <f aca="false">IF($U123&gt;=STRUCT_S,MIN(INDEX($H$5:$H123,120-STRUCT_S):$H123),"")</f>
        <v>5971</v>
      </c>
      <c r="AK123" s="48" t="n">
        <f aca="false">IF($U123&gt;=STRUCT_L,MAX(INDEX($G$5:$G123,120-STRUCT_L):$G123),"")</f>
        <v>7226</v>
      </c>
      <c r="AL123" s="48" t="n">
        <f aca="false">IF($U123&gt;=STRUCT_L,MIN(INDEX($H$5:$H123,120-STRUCT_L):$H123),"")</f>
        <v>5971</v>
      </c>
      <c r="AM123" s="46" t="n">
        <f aca="false">IF($A123&lt;&gt;$A124,1,0)</f>
        <v>0</v>
      </c>
      <c r="AN123" s="47" t="str">
        <f aca="false">IF($AM123=1,$A123,"")</f>
        <v/>
      </c>
    </row>
    <row r="124" customFormat="false" ht="15" hidden="false" customHeight="false" outlineLevel="0" collapsed="false">
      <c r="A124" s="43" t="s">
        <v>130</v>
      </c>
      <c r="B124" s="44" t="s">
        <v>132</v>
      </c>
      <c r="C124" s="45" t="n">
        <v>46071</v>
      </c>
      <c r="D124" s="46" t="n">
        <v>20260218</v>
      </c>
      <c r="E124" s="47" t="s">
        <v>407</v>
      </c>
      <c r="F124" s="48" t="n">
        <v>6837</v>
      </c>
      <c r="G124" s="48" t="n">
        <v>6884</v>
      </c>
      <c r="H124" s="48" t="n">
        <v>6773</v>
      </c>
      <c r="I124" s="48" t="n">
        <v>6817</v>
      </c>
      <c r="J124" s="48" t="n">
        <v>6807</v>
      </c>
      <c r="K124" s="48" t="n">
        <v>6840</v>
      </c>
      <c r="L124" s="48" t="n">
        <v>43777820</v>
      </c>
      <c r="M124" s="48" t="n">
        <v>298433398940</v>
      </c>
      <c r="N124" s="48" t="n">
        <v>3064</v>
      </c>
      <c r="O124" s="48" t="n">
        <v>25292083</v>
      </c>
      <c r="P124" s="48" t="n">
        <v>19472755</v>
      </c>
      <c r="Q124" s="48" t="n">
        <v>1360</v>
      </c>
      <c r="R124" s="48" t="n">
        <v>1038</v>
      </c>
      <c r="S124" s="48" t="n">
        <v>18485737</v>
      </c>
      <c r="T124" s="48" t="n">
        <v>24305065</v>
      </c>
      <c r="U124" s="46" t="n">
        <f aca="false">IF($A124=$A123,$U123+1,1)</f>
        <v>120</v>
      </c>
      <c r="V124" s="48" t="n">
        <f aca="false">IF($U124&gt;=MA_SHORT,AVERAGE(INDEX($I$5:$I124,121-MA_SHORT):$I124),"")</f>
        <v>6525.2</v>
      </c>
      <c r="W124" s="48" t="n">
        <f aca="false">IF($U124&gt;=MA_MED,AVERAGE(INDEX($I$5:$I124,121-MA_MED):$I124),"")</f>
        <v>6559.16</v>
      </c>
      <c r="X124" s="48" t="n">
        <f aca="false">IF($U124&gt;=MA_LONG1,AVERAGE(INDEX($I$5:$I124,121-MA_LONG1):$I124),"")</f>
        <v>6365.25</v>
      </c>
      <c r="Y124" s="48" t="str">
        <f aca="false">IF($U124&gt;=MA_LONG2,AVERAGE(INDEX($I$5:$I124,121-MA_LONG2):$I124),"")</f>
        <v/>
      </c>
      <c r="Z124" s="48" t="n">
        <f aca="false">IF($U124&gt;=MA_SHORT,AVERAGE(INDEX($L$5:$L124,121-MA_SHORT):$L124),"")</f>
        <v>63374866.95</v>
      </c>
      <c r="AA124" s="48" t="n">
        <f aca="false">IF($U124=1,$G124-$H124,MAX($G124-$H124,ABS($G124-$I123),ABS($H124-$I123)))</f>
        <v>111</v>
      </c>
      <c r="AB124" s="48" t="n">
        <f aca="false">IF($U124&gt;=ATR_PER,AVERAGE(INDEX($AA$5:$AA124,121-ATR_PER):$AA124),"")</f>
        <v>226.5</v>
      </c>
      <c r="AC124" s="48" t="n">
        <f aca="false">$O124-$P124</f>
        <v>5819328</v>
      </c>
      <c r="AD124" s="48" t="n">
        <f aca="false">$AC124*$I124</f>
        <v>39670358976</v>
      </c>
      <c r="AE124" s="49" t="n">
        <f aca="false">IF($Q124&gt;0,$O124*$I124/$Q124/1000000,"")</f>
        <v>126.7765660375</v>
      </c>
      <c r="AF124" s="49" t="n">
        <f aca="false">IF($R124&gt;0,$P124*$I124/$R124/1000000,"")</f>
        <v>127.886099070328</v>
      </c>
      <c r="AG124" s="50" t="n">
        <f aca="false">IF(AND(ISNUMBER($AE124),ISNUMBER($AF124),$AF124&gt;0),$AE124/$AF124,"")</f>
        <v>0.991324052880701</v>
      </c>
      <c r="AH124" s="48" t="n">
        <f aca="false">IF($U124&gt;=5,SUM(INDEX($AD$94:$AD124,32-5):$AD124),"")</f>
        <v>499239640006</v>
      </c>
      <c r="AI124" s="48" t="n">
        <f aca="false">IF($U124&gt;=STRUCT_S,MAX(INDEX($G$5:$G124,121-STRUCT_S):$G124),"")</f>
        <v>6929</v>
      </c>
      <c r="AJ124" s="48" t="n">
        <f aca="false">IF($U124&gt;=STRUCT_S,MIN(INDEX($H$5:$H124,121-STRUCT_S):$H124),"")</f>
        <v>5971</v>
      </c>
      <c r="AK124" s="48" t="n">
        <f aca="false">IF($U124&gt;=STRUCT_L,MAX(INDEX($G$5:$G124,121-STRUCT_L):$G124),"")</f>
        <v>7226</v>
      </c>
      <c r="AL124" s="48" t="n">
        <f aca="false">IF($U124&gt;=STRUCT_L,MIN(INDEX($H$5:$H124,121-STRUCT_L):$H124),"")</f>
        <v>5971</v>
      </c>
      <c r="AM124" s="46" t="n">
        <f aca="false">IF($A124&lt;&gt;$A125,1,0)</f>
        <v>0</v>
      </c>
      <c r="AN124" s="47" t="str">
        <f aca="false">IF($AM124=1,$A124,"")</f>
        <v/>
      </c>
    </row>
    <row r="125" customFormat="false" ht="15" hidden="false" customHeight="false" outlineLevel="0" collapsed="false">
      <c r="A125" s="43" t="s">
        <v>130</v>
      </c>
      <c r="B125" s="44" t="s">
        <v>132</v>
      </c>
      <c r="C125" s="45" t="n">
        <v>46074</v>
      </c>
      <c r="D125" s="46" t="n">
        <v>20260221</v>
      </c>
      <c r="E125" s="47" t="s">
        <v>408</v>
      </c>
      <c r="F125" s="48" t="n">
        <v>6786</v>
      </c>
      <c r="G125" s="48" t="n">
        <v>6971</v>
      </c>
      <c r="H125" s="48" t="n">
        <v>6730</v>
      </c>
      <c r="I125" s="48" t="n">
        <v>6883</v>
      </c>
      <c r="J125" s="48" t="n">
        <v>6943</v>
      </c>
      <c r="K125" s="48" t="n">
        <v>6817</v>
      </c>
      <c r="L125" s="48" t="n">
        <v>74861545</v>
      </c>
      <c r="M125" s="48" t="n">
        <v>515272014235</v>
      </c>
      <c r="N125" s="48" t="n">
        <v>2171</v>
      </c>
      <c r="O125" s="48" t="n">
        <v>46002568</v>
      </c>
      <c r="P125" s="48" t="n">
        <v>29214895</v>
      </c>
      <c r="Q125" s="48" t="n">
        <v>496</v>
      </c>
      <c r="R125" s="48" t="n">
        <v>1478</v>
      </c>
      <c r="S125" s="48" t="n">
        <v>28858977</v>
      </c>
      <c r="T125" s="48" t="n">
        <v>45646650</v>
      </c>
      <c r="U125" s="46" t="n">
        <f aca="false">IF($A125=$A124,$U124+1,1)</f>
        <v>121</v>
      </c>
      <c r="V125" s="48" t="n">
        <f aca="false">IF($U125&gt;=MA_SHORT,AVERAGE(INDEX($I$5:$I125,122-MA_SHORT):$I125),"")</f>
        <v>6526.3</v>
      </c>
      <c r="W125" s="48" t="n">
        <f aca="false">IF($U125&gt;=MA_MED,AVERAGE(INDEX($I$5:$I125,122-MA_MED):$I125),"")</f>
        <v>6573.14</v>
      </c>
      <c r="X125" s="48" t="n">
        <f aca="false">IF($U125&gt;=MA_LONG1,AVERAGE(INDEX($I$5:$I125,122-MA_LONG1):$I125),"")</f>
        <v>6374.36</v>
      </c>
      <c r="Y125" s="48" t="str">
        <f aca="false">IF($U125&gt;=MA_LONG2,AVERAGE(INDEX($I$5:$I125,122-MA_LONG2):$I125),"")</f>
        <v/>
      </c>
      <c r="Z125" s="48" t="n">
        <f aca="false">IF($U125&gt;=MA_SHORT,AVERAGE(INDEX($L$5:$L125,122-MA_SHORT):$L125),"")</f>
        <v>64253390.8</v>
      </c>
      <c r="AA125" s="48" t="n">
        <f aca="false">IF($U125=1,$G125-$H125,MAX($G125-$H125,ABS($G125-$I124),ABS($H125-$I124)))</f>
        <v>241</v>
      </c>
      <c r="AB125" s="48" t="n">
        <f aca="false">IF($U125&gt;=ATR_PER,AVERAGE(INDEX($AA$5:$AA125,122-ATR_PER):$AA125),"")</f>
        <v>223.428571428571</v>
      </c>
      <c r="AC125" s="48" t="n">
        <f aca="false">$O125-$P125</f>
        <v>16787673</v>
      </c>
      <c r="AD125" s="48" t="n">
        <f aca="false">$AC125*$I125</f>
        <v>115549553259</v>
      </c>
      <c r="AE125" s="49" t="n">
        <f aca="false">IF($Q125&gt;0,$O125*$I125/$Q125/1000000,"")</f>
        <v>638.378378112903</v>
      </c>
      <c r="AF125" s="49" t="n">
        <f aca="false">IF($R125&gt;0,$P125*$I125/$R125/1000000,"")</f>
        <v>136.052856755751</v>
      </c>
      <c r="AG125" s="50" t="n">
        <f aca="false">IF(AND(ISNUMBER($AE125),ISNUMBER($AF125),$AF125&gt;0),$AE125/$AF125,"")</f>
        <v>4.69213505203314</v>
      </c>
      <c r="AH125" s="48" t="n">
        <f aca="false">IF($U125&gt;=5,SUM(INDEX($AD$95:$AD125,32-5):$AD125),"")</f>
        <v>540866193345</v>
      </c>
      <c r="AI125" s="48" t="n">
        <f aca="false">IF($U125&gt;=STRUCT_S,MAX(INDEX($G$5:$G125,122-STRUCT_S):$G125),"")</f>
        <v>6971</v>
      </c>
      <c r="AJ125" s="48" t="n">
        <f aca="false">IF($U125&gt;=STRUCT_S,MIN(INDEX($H$5:$H125,122-STRUCT_S):$H125),"")</f>
        <v>5971</v>
      </c>
      <c r="AK125" s="48" t="n">
        <f aca="false">IF($U125&gt;=STRUCT_L,MAX(INDEX($G$5:$G125,122-STRUCT_L):$G125),"")</f>
        <v>7226</v>
      </c>
      <c r="AL125" s="48" t="n">
        <f aca="false">IF($U125&gt;=STRUCT_L,MIN(INDEX($H$5:$H125,122-STRUCT_L):$H125),"")</f>
        <v>5971</v>
      </c>
      <c r="AM125" s="46" t="n">
        <f aca="false">IF($A125&lt;&gt;$A126,1,0)</f>
        <v>0</v>
      </c>
      <c r="AN125" s="47" t="str">
        <f aca="false">IF($AM125=1,$A125,"")</f>
        <v/>
      </c>
    </row>
    <row r="126" customFormat="false" ht="15" hidden="false" customHeight="false" outlineLevel="0" collapsed="false">
      <c r="A126" s="43" t="s">
        <v>130</v>
      </c>
      <c r="B126" s="44" t="s">
        <v>132</v>
      </c>
      <c r="C126" s="45" t="n">
        <v>46075</v>
      </c>
      <c r="D126" s="46" t="n">
        <v>20260222</v>
      </c>
      <c r="E126" s="47" t="s">
        <v>409</v>
      </c>
      <c r="F126" s="48" t="n">
        <v>6889</v>
      </c>
      <c r="G126" s="48" t="n">
        <v>7006</v>
      </c>
      <c r="H126" s="48" t="n">
        <v>6857</v>
      </c>
      <c r="I126" s="48" t="n">
        <v>6979</v>
      </c>
      <c r="J126" s="48" t="n">
        <v>6898</v>
      </c>
      <c r="K126" s="48" t="n">
        <v>6883</v>
      </c>
      <c r="L126" s="48" t="n">
        <v>46503122</v>
      </c>
      <c r="M126" s="48" t="n">
        <v>324545288438</v>
      </c>
      <c r="N126" s="48" t="n">
        <v>1356</v>
      </c>
      <c r="O126" s="48" t="n">
        <v>28940900</v>
      </c>
      <c r="P126" s="48" t="n">
        <v>16208912</v>
      </c>
      <c r="Q126" s="48" t="n">
        <v>352</v>
      </c>
      <c r="R126" s="48" t="n">
        <v>895</v>
      </c>
      <c r="S126" s="48" t="n">
        <v>17562222</v>
      </c>
      <c r="T126" s="48" t="n">
        <v>30294210</v>
      </c>
      <c r="U126" s="46" t="n">
        <f aca="false">IF($A126=$A125,$U125+1,1)</f>
        <v>122</v>
      </c>
      <c r="V126" s="48" t="n">
        <f aca="false">IF($U126&gt;=MA_SHORT,AVERAGE(INDEX($I$5:$I126,123-MA_SHORT):$I126),"")</f>
        <v>6538.85</v>
      </c>
      <c r="W126" s="48" t="n">
        <f aca="false">IF($U126&gt;=MA_MED,AVERAGE(INDEX($I$5:$I126,123-MA_MED):$I126),"")</f>
        <v>6587.32</v>
      </c>
      <c r="X126" s="48" t="n">
        <f aca="false">IF($U126&gt;=MA_LONG1,AVERAGE(INDEX($I$5:$I126,123-MA_LONG1):$I126),"")</f>
        <v>6383.25</v>
      </c>
      <c r="Y126" s="48" t="str">
        <f aca="false">IF($U126&gt;=MA_LONG2,AVERAGE(INDEX($I$5:$I126,123-MA_LONG2):$I126),"")</f>
        <v/>
      </c>
      <c r="Z126" s="48" t="n">
        <f aca="false">IF($U126&gt;=MA_SHORT,AVERAGE(INDEX($L$6:$L126,122-MA_SHORT):$L126),"")</f>
        <v>62681636.05</v>
      </c>
      <c r="AA126" s="48" t="n">
        <f aca="false">IF($U126=1,$G126-$H126,MAX($G126-$H126,ABS($G126-$I125),ABS($H126-$I125)))</f>
        <v>149</v>
      </c>
      <c r="AB126" s="48" t="n">
        <f aca="false">IF($U126&gt;=ATR_PER,AVERAGE(INDEX($AA$6:$AA126,122-ATR_PER):$AA126),"")</f>
        <v>216.428571428571</v>
      </c>
      <c r="AC126" s="48" t="n">
        <f aca="false">$O126-$P126</f>
        <v>12731988</v>
      </c>
      <c r="AD126" s="48" t="n">
        <f aca="false">$AC126*$I126</f>
        <v>88856544252</v>
      </c>
      <c r="AE126" s="49" t="n">
        <f aca="false">IF($Q126&gt;0,$O126*$I126/$Q126/1000000,"")</f>
        <v>573.802673579546</v>
      </c>
      <c r="AF126" s="49" t="n">
        <f aca="false">IF($R126&gt;0,$P126*$I126/$R126/1000000,"")</f>
        <v>126.393292567598</v>
      </c>
      <c r="AG126" s="50" t="n">
        <f aca="false">IF(AND(ISNUMBER($AE126),ISNUMBER($AF126),$AF126&gt;0),$AE126/$AF126,"")</f>
        <v>4.53981901984762</v>
      </c>
      <c r="AH126" s="48" t="n">
        <f aca="false">IF($U126&gt;=5,SUM(INDEX($AD$96:$AD126,32-5):$AD126),"")</f>
        <v>515121473847</v>
      </c>
      <c r="AI126" s="48" t="n">
        <f aca="false">IF($U126&gt;=STRUCT_S,MAX(INDEX($G$5:$G126,123-STRUCT_S):$G126),"")</f>
        <v>7006</v>
      </c>
      <c r="AJ126" s="48" t="n">
        <f aca="false">IF($U126&gt;=STRUCT_S,MIN(INDEX($H$5:$H126,123-STRUCT_S):$H126),"")</f>
        <v>5971</v>
      </c>
      <c r="AK126" s="48" t="n">
        <f aca="false">IF($U126&gt;=STRUCT_L,MAX(INDEX($G$5:$G126,123-STRUCT_L):$G126),"")</f>
        <v>7226</v>
      </c>
      <c r="AL126" s="48" t="n">
        <f aca="false">IF($U126&gt;=STRUCT_L,MIN(INDEX($H$5:$H126,123-STRUCT_L):$H126),"")</f>
        <v>5971</v>
      </c>
      <c r="AM126" s="46" t="n">
        <f aca="false">IF($A126&lt;&gt;$A127,1,0)</f>
        <v>0</v>
      </c>
      <c r="AN126" s="47" t="str">
        <f aca="false">IF($AM126=1,$A126,"")</f>
        <v/>
      </c>
    </row>
    <row r="127" customFormat="false" ht="15" hidden="false" customHeight="false" outlineLevel="0" collapsed="false">
      <c r="A127" s="43" t="s">
        <v>130</v>
      </c>
      <c r="B127" s="44" t="s">
        <v>132</v>
      </c>
      <c r="C127" s="45" t="n">
        <v>46076</v>
      </c>
      <c r="D127" s="46" t="n">
        <v>20260223</v>
      </c>
      <c r="E127" s="47" t="s">
        <v>410</v>
      </c>
      <c r="F127" s="48" t="n">
        <v>7097</v>
      </c>
      <c r="G127" s="48" t="n">
        <v>7104</v>
      </c>
      <c r="H127" s="48" t="n">
        <v>6921</v>
      </c>
      <c r="I127" s="48" t="n">
        <v>7045</v>
      </c>
      <c r="J127" s="48" t="n">
        <v>6983</v>
      </c>
      <c r="K127" s="48" t="n">
        <v>6979</v>
      </c>
      <c r="L127" s="48" t="n">
        <v>45346951</v>
      </c>
      <c r="M127" s="48" t="n">
        <v>319469269795</v>
      </c>
      <c r="N127" s="48" t="n">
        <v>1182</v>
      </c>
      <c r="O127" s="48" t="n">
        <v>27998537</v>
      </c>
      <c r="P127" s="48" t="n">
        <v>16740615</v>
      </c>
      <c r="Q127" s="48" t="n">
        <v>293</v>
      </c>
      <c r="R127" s="48" t="n">
        <v>641</v>
      </c>
      <c r="S127" s="48" t="n">
        <v>17348414</v>
      </c>
      <c r="T127" s="48" t="n">
        <v>28606336</v>
      </c>
      <c r="U127" s="46" t="n">
        <f aca="false">IF($A127=$A126,$U126+1,1)</f>
        <v>123</v>
      </c>
      <c r="V127" s="48" t="n">
        <f aca="false">IF($U127&gt;=MA_SHORT,AVERAGE(INDEX($I$5:$I127,124-MA_SHORT):$I127),"")</f>
        <v>6559</v>
      </c>
      <c r="W127" s="48" t="n">
        <f aca="false">IF($U127&gt;=MA_MED,AVERAGE(INDEX($I$5:$I127,124-MA_MED):$I127),"")</f>
        <v>6601.78</v>
      </c>
      <c r="X127" s="48" t="n">
        <f aca="false">IF($U127&gt;=MA_LONG1,AVERAGE(INDEX($I$5:$I127,124-MA_LONG1):$I127),"")</f>
        <v>6392.87</v>
      </c>
      <c r="Y127" s="48" t="str">
        <f aca="false">IF($U127&gt;=MA_LONG2,AVERAGE(INDEX($I$5:$I127,124-MA_LONG2):$I127),"")</f>
        <v/>
      </c>
      <c r="Z127" s="48" t="n">
        <f aca="false">IF($U127&gt;=MA_SHORT,AVERAGE(INDEX($L$7:$L127,122-MA_SHORT):$L127),"")</f>
        <v>62449117.65</v>
      </c>
      <c r="AA127" s="48" t="n">
        <f aca="false">IF($U127=1,$G127-$H127,MAX($G127-$H127,ABS($G127-$I126),ABS($H127-$I126)))</f>
        <v>183</v>
      </c>
      <c r="AB127" s="48" t="n">
        <f aca="false">IF($U127&gt;=ATR_PER,AVERAGE(INDEX($AA$7:$AA127,122-ATR_PER):$AA127),"")</f>
        <v>211.642857142857</v>
      </c>
      <c r="AC127" s="48" t="n">
        <f aca="false">$O127-$P127</f>
        <v>11257922</v>
      </c>
      <c r="AD127" s="48" t="n">
        <f aca="false">$AC127*$I127</f>
        <v>79312060490</v>
      </c>
      <c r="AE127" s="49" t="n">
        <f aca="false">IF($Q127&gt;0,$O127*$I127/$Q127/1000000,"")</f>
        <v>673.20714390785</v>
      </c>
      <c r="AF127" s="49" t="n">
        <f aca="false">IF($R127&gt;0,$P127*$I127/$R127/1000000,"")</f>
        <v>183.990066575663</v>
      </c>
      <c r="AG127" s="50" t="n">
        <f aca="false">IF(AND(ISNUMBER($AE127),ISNUMBER($AF127),$AF127&gt;0),$AE127/$AF127,"")</f>
        <v>3.65893200887018</v>
      </c>
      <c r="AH127" s="48" t="n">
        <f aca="false">IF($U127&gt;=5,SUM(INDEX($AD$97:$AD127,32-5):$AD127),"")</f>
        <v>490275433457</v>
      </c>
      <c r="AI127" s="48" t="n">
        <f aca="false">IF($U127&gt;=STRUCT_S,MAX(INDEX($G$5:$G127,124-STRUCT_S):$G127),"")</f>
        <v>7104</v>
      </c>
      <c r="AJ127" s="48" t="n">
        <f aca="false">IF($U127&gt;=STRUCT_S,MIN(INDEX($H$5:$H127,124-STRUCT_S):$H127),"")</f>
        <v>5971</v>
      </c>
      <c r="AK127" s="48" t="n">
        <f aca="false">IF($U127&gt;=STRUCT_L,MAX(INDEX($G$5:$G127,124-STRUCT_L):$G127),"")</f>
        <v>7226</v>
      </c>
      <c r="AL127" s="48" t="n">
        <f aca="false">IF($U127&gt;=STRUCT_L,MIN(INDEX($H$5:$H127,124-STRUCT_L):$H127),"")</f>
        <v>5971</v>
      </c>
      <c r="AM127" s="46" t="n">
        <f aca="false">IF($A127&lt;&gt;$A128,1,0)</f>
        <v>0</v>
      </c>
      <c r="AN127" s="47" t="str">
        <f aca="false">IF($AM127=1,$A127,"")</f>
        <v/>
      </c>
    </row>
    <row r="128" customFormat="false" ht="15" hidden="false" customHeight="false" outlineLevel="0" collapsed="false">
      <c r="A128" s="43" t="s">
        <v>130</v>
      </c>
      <c r="B128" s="44" t="s">
        <v>132</v>
      </c>
      <c r="C128" s="45" t="n">
        <v>46077</v>
      </c>
      <c r="D128" s="46" t="n">
        <v>20260224</v>
      </c>
      <c r="E128" s="47" t="s">
        <v>411</v>
      </c>
      <c r="F128" s="48" t="n">
        <v>7035</v>
      </c>
      <c r="G128" s="48" t="n">
        <v>7156</v>
      </c>
      <c r="H128" s="48" t="n">
        <v>6855</v>
      </c>
      <c r="I128" s="48" t="n">
        <v>6965</v>
      </c>
      <c r="J128" s="48" t="n">
        <v>6946</v>
      </c>
      <c r="K128" s="48" t="n">
        <v>7045</v>
      </c>
      <c r="L128" s="48" t="n">
        <v>45835796</v>
      </c>
      <c r="M128" s="48" t="n">
        <v>319246319140</v>
      </c>
      <c r="N128" s="48" t="n">
        <v>1878</v>
      </c>
      <c r="O128" s="48" t="n">
        <v>25812719</v>
      </c>
      <c r="P128" s="48" t="n">
        <v>20341183</v>
      </c>
      <c r="Q128" s="48" t="n">
        <v>1019</v>
      </c>
      <c r="R128" s="48" t="n">
        <v>491</v>
      </c>
      <c r="S128" s="48" t="n">
        <v>20023077</v>
      </c>
      <c r="T128" s="48" t="n">
        <v>25494613</v>
      </c>
      <c r="U128" s="46" t="n">
        <f aca="false">IF($A128=$A127,$U127+1,1)</f>
        <v>124</v>
      </c>
      <c r="V128" s="48" t="n">
        <f aca="false">IF($U128&gt;=MA_SHORT,AVERAGE(INDEX($I$5:$I128,125-MA_SHORT):$I128),"")</f>
        <v>6579.4</v>
      </c>
      <c r="W128" s="48" t="n">
        <f aca="false">IF($U128&gt;=MA_MED,AVERAGE(INDEX($I$5:$I128,125-MA_MED):$I128),"")</f>
        <v>6611.34</v>
      </c>
      <c r="X128" s="48" t="n">
        <f aca="false">IF($U128&gt;=MA_LONG1,AVERAGE(INDEX($I$5:$I128,125-MA_LONG1):$I128),"")</f>
        <v>6402.44</v>
      </c>
      <c r="Y128" s="48" t="str">
        <f aca="false">IF($U128&gt;=MA_LONG2,AVERAGE(INDEX($I$5:$I128,125-MA_LONG2):$I128),"")</f>
        <v/>
      </c>
      <c r="Z128" s="48" t="n">
        <f aca="false">IF($U128&gt;=MA_SHORT,AVERAGE(INDEX($L$8:$L128,122-MA_SHORT):$L128),"")</f>
        <v>62430556.75</v>
      </c>
      <c r="AA128" s="48" t="n">
        <f aca="false">IF($U128=1,$G128-$H128,MAX($G128-$H128,ABS($G128-$I127),ABS($H128-$I127)))</f>
        <v>301</v>
      </c>
      <c r="AB128" s="48" t="n">
        <f aca="false">IF($U128&gt;=ATR_PER,AVERAGE(INDEX($AA$8:$AA128,122-ATR_PER):$AA128),"")</f>
        <v>195.642857142857</v>
      </c>
      <c r="AC128" s="48" t="n">
        <f aca="false">$O128-$P128</f>
        <v>5471536</v>
      </c>
      <c r="AD128" s="48" t="n">
        <f aca="false">$AC128*$I128</f>
        <v>38109248240</v>
      </c>
      <c r="AE128" s="49" t="n">
        <f aca="false">IF($Q128&gt;0,$O128*$I128/$Q128/1000000,"")</f>
        <v>176.433354106968</v>
      </c>
      <c r="AF128" s="49" t="n">
        <f aca="false">IF($R128&gt;0,$P128*$I128/$R128/1000000,"")</f>
        <v>288.546516486762</v>
      </c>
      <c r="AG128" s="50" t="n">
        <f aca="false">IF(AND(ISNUMBER($AE128),ISNUMBER($AF128),$AF128&gt;0),$AE128/$AF128,"")</f>
        <v>0.611455498597441</v>
      </c>
      <c r="AH128" s="48" t="n">
        <f aca="false">IF($U128&gt;=5,SUM(INDEX($AD$98:$AD128,32-5):$AD128),"")</f>
        <v>361497765217</v>
      </c>
      <c r="AI128" s="48" t="n">
        <f aca="false">IF($U128&gt;=STRUCT_S,MAX(INDEX($G$5:$G128,125-STRUCT_S):$G128),"")</f>
        <v>7156</v>
      </c>
      <c r="AJ128" s="48" t="n">
        <f aca="false">IF($U128&gt;=STRUCT_S,MIN(INDEX($H$5:$H128,125-STRUCT_S):$H128),"")</f>
        <v>5971</v>
      </c>
      <c r="AK128" s="48" t="n">
        <f aca="false">IF($U128&gt;=STRUCT_L,MAX(INDEX($G$5:$G128,125-STRUCT_L):$G128),"")</f>
        <v>7226</v>
      </c>
      <c r="AL128" s="48" t="n">
        <f aca="false">IF($U128&gt;=STRUCT_L,MIN(INDEX($H$5:$H128,125-STRUCT_L):$H128),"")</f>
        <v>5971</v>
      </c>
      <c r="AM128" s="46" t="n">
        <f aca="false">IF($A128&lt;&gt;$A129,1,0)</f>
        <v>0</v>
      </c>
      <c r="AN128" s="47" t="str">
        <f aca="false">IF($AM128=1,$A128,"")</f>
        <v/>
      </c>
    </row>
    <row r="129" customFormat="false" ht="15" hidden="false" customHeight="false" outlineLevel="0" collapsed="false">
      <c r="A129" s="43" t="s">
        <v>130</v>
      </c>
      <c r="B129" s="44" t="s">
        <v>132</v>
      </c>
      <c r="C129" s="45" t="n">
        <v>46078</v>
      </c>
      <c r="D129" s="46" t="n">
        <v>20260225</v>
      </c>
      <c r="E129" s="47" t="s">
        <v>412</v>
      </c>
      <c r="F129" s="48" t="n">
        <v>6976</v>
      </c>
      <c r="G129" s="48" t="n">
        <v>6993</v>
      </c>
      <c r="H129" s="48" t="n">
        <v>6924</v>
      </c>
      <c r="I129" s="48" t="n">
        <v>6952</v>
      </c>
      <c r="J129" s="48" t="n">
        <v>6991</v>
      </c>
      <c r="K129" s="48" t="n">
        <v>6965</v>
      </c>
      <c r="L129" s="48" t="n">
        <v>74939044</v>
      </c>
      <c r="M129" s="48" t="n">
        <v>520976233888</v>
      </c>
      <c r="N129" s="48" t="n">
        <v>2083</v>
      </c>
      <c r="O129" s="48" t="n">
        <v>46007957</v>
      </c>
      <c r="P129" s="48" t="n">
        <v>25537808</v>
      </c>
      <c r="Q129" s="48" t="n">
        <v>1360</v>
      </c>
      <c r="R129" s="48" t="n">
        <v>584</v>
      </c>
      <c r="S129" s="48" t="n">
        <v>28931087</v>
      </c>
      <c r="T129" s="48" t="n">
        <v>49401236</v>
      </c>
      <c r="U129" s="46" t="n">
        <f aca="false">IF($A129=$A128,$U128+1,1)</f>
        <v>125</v>
      </c>
      <c r="V129" s="48" t="n">
        <f aca="false">IF($U129&gt;=MA_SHORT,AVERAGE(INDEX($I$5:$I129,126-MA_SHORT):$I129),"")</f>
        <v>6601.2</v>
      </c>
      <c r="W129" s="48" t="n">
        <f aca="false">IF($U129&gt;=MA_MED,AVERAGE(INDEX($I$5:$I129,126-MA_MED):$I129),"")</f>
        <v>6623.42</v>
      </c>
      <c r="X129" s="48" t="n">
        <f aca="false">IF($U129&gt;=MA_LONG1,AVERAGE(INDEX($I$5:$I129,126-MA_LONG1):$I129),"")</f>
        <v>6411.54</v>
      </c>
      <c r="Y129" s="48" t="str">
        <f aca="false">IF($U129&gt;=MA_LONG2,AVERAGE(INDEX($I$5:$I129,126-MA_LONG2):$I129),"")</f>
        <v/>
      </c>
      <c r="Z129" s="48" t="n">
        <f aca="false">IF($U129&gt;=MA_SHORT,AVERAGE(INDEX($L$9:$L129,122-MA_SHORT):$L129),"")</f>
        <v>63881567.25</v>
      </c>
      <c r="AA129" s="48" t="n">
        <f aca="false">IF($U129=1,$G129-$H129,MAX($G129-$H129,ABS($G129-$I128),ABS($H129-$I128)))</f>
        <v>69</v>
      </c>
      <c r="AB129" s="48" t="n">
        <f aca="false">IF($U129&gt;=ATR_PER,AVERAGE(INDEX($AA$9:$AA129,122-ATR_PER):$AA129),"")</f>
        <v>190.857142857143</v>
      </c>
      <c r="AC129" s="48" t="n">
        <f aca="false">$O129-$P129</f>
        <v>20470149</v>
      </c>
      <c r="AD129" s="48" t="n">
        <f aca="false">$AC129*$I129</f>
        <v>142308475848</v>
      </c>
      <c r="AE129" s="49" t="n">
        <f aca="false">IF($Q129&gt;0,$O129*$I129/$Q129/1000000,"")</f>
        <v>235.181850782353</v>
      </c>
      <c r="AF129" s="49" t="n">
        <f aca="false">IF($R129&gt;0,$P129*$I129/$R129/1000000,"")</f>
        <v>304.00486509589</v>
      </c>
      <c r="AG129" s="50" t="n">
        <f aca="false">IF(AND(ISNUMBER($AE129),ISNUMBER($AF129),$AF129&gt;0),$AE129/$AF129,"")</f>
        <v>0.773612128569623</v>
      </c>
      <c r="AH129" s="48" t="n">
        <f aca="false">IF($U129&gt;=5,SUM(INDEX($AD$99:$AD129,32-5):$AD129),"")</f>
        <v>464135882089</v>
      </c>
      <c r="AI129" s="48" t="n">
        <f aca="false">IF($U129&gt;=STRUCT_S,MAX(INDEX($G$5:$G129,126-STRUCT_S):$G129),"")</f>
        <v>7156</v>
      </c>
      <c r="AJ129" s="48" t="n">
        <f aca="false">IF($U129&gt;=STRUCT_S,MIN(INDEX($H$5:$H129,126-STRUCT_S):$H129),"")</f>
        <v>5971</v>
      </c>
      <c r="AK129" s="48" t="n">
        <f aca="false">IF($U129&gt;=STRUCT_L,MAX(INDEX($G$5:$G129,126-STRUCT_L):$G129),"")</f>
        <v>7226</v>
      </c>
      <c r="AL129" s="48" t="n">
        <f aca="false">IF($U129&gt;=STRUCT_L,MIN(INDEX($H$5:$H129,126-STRUCT_L):$H129),"")</f>
        <v>5971</v>
      </c>
      <c r="AM129" s="46" t="n">
        <f aca="false">IF($A129&lt;&gt;$A130,1,0)</f>
        <v>0</v>
      </c>
      <c r="AN129" s="47" t="str">
        <f aca="false">IF($AM129=1,$A129,"")</f>
        <v/>
      </c>
    </row>
    <row r="130" customFormat="false" ht="15" hidden="false" customHeight="false" outlineLevel="0" collapsed="false">
      <c r="A130" s="43" t="s">
        <v>130</v>
      </c>
      <c r="B130" s="44" t="s">
        <v>132</v>
      </c>
      <c r="C130" s="45" t="n">
        <v>46081</v>
      </c>
      <c r="D130" s="46" t="n">
        <v>20260228</v>
      </c>
      <c r="E130" s="47" t="s">
        <v>413</v>
      </c>
      <c r="F130" s="48" t="n">
        <v>6919</v>
      </c>
      <c r="G130" s="48" t="n">
        <v>7136</v>
      </c>
      <c r="H130" s="48" t="n">
        <v>6880</v>
      </c>
      <c r="I130" s="48" t="n">
        <v>7063</v>
      </c>
      <c r="J130" s="48" t="n">
        <v>6890</v>
      </c>
      <c r="K130" s="48" t="n">
        <v>6952</v>
      </c>
      <c r="L130" s="48" t="n">
        <v>70779685</v>
      </c>
      <c r="M130" s="48" t="n">
        <v>499916915155</v>
      </c>
      <c r="N130" s="48" t="n">
        <v>2702</v>
      </c>
      <c r="O130" s="48" t="n">
        <v>36988462</v>
      </c>
      <c r="P130" s="48" t="n">
        <v>37810895</v>
      </c>
      <c r="Q130" s="48" t="n">
        <v>783</v>
      </c>
      <c r="R130" s="48" t="n">
        <v>1609</v>
      </c>
      <c r="S130" s="48" t="n">
        <v>33791223</v>
      </c>
      <c r="T130" s="48" t="n">
        <v>32968790</v>
      </c>
      <c r="U130" s="46" t="n">
        <f aca="false">IF($A130=$A129,$U129+1,1)</f>
        <v>126</v>
      </c>
      <c r="V130" s="48" t="n">
        <f aca="false">IF($U130&gt;=MA_SHORT,AVERAGE(INDEX($I$5:$I130,127-MA_SHORT):$I130),"")</f>
        <v>6630.7</v>
      </c>
      <c r="W130" s="48" t="n">
        <f aca="false">IF($U130&gt;=MA_MED,AVERAGE(INDEX($I$5:$I130,127-MA_MED):$I130),"")</f>
        <v>6635.96</v>
      </c>
      <c r="X130" s="48" t="n">
        <f aca="false">IF($U130&gt;=MA_LONG1,AVERAGE(INDEX($I$5:$I130,127-MA_LONG1):$I130),"")</f>
        <v>6422.15</v>
      </c>
      <c r="Y130" s="48" t="str">
        <f aca="false">IF($U130&gt;=MA_LONG2,AVERAGE(INDEX($I$5:$I130,127-MA_LONG2):$I130),"")</f>
        <v/>
      </c>
      <c r="Z130" s="48" t="n">
        <f aca="false">IF($U130&gt;=MA_SHORT,AVERAGE(INDEX($L$10:$L130,122-MA_SHORT):$L130),"")</f>
        <v>63796754.8</v>
      </c>
      <c r="AA130" s="48" t="n">
        <f aca="false">IF($U130=1,$G130-$H130,MAX($G130-$H130,ABS($G130-$I129),ABS($H130-$I129)))</f>
        <v>256</v>
      </c>
      <c r="AB130" s="48" t="n">
        <f aca="false">IF($U130&gt;=ATR_PER,AVERAGE(INDEX($AA$10:$AA130,122-ATR_PER):$AA130),"")</f>
        <v>204.142857142857</v>
      </c>
      <c r="AC130" s="48" t="n">
        <f aca="false">$O130-$P130</f>
        <v>-822433</v>
      </c>
      <c r="AD130" s="48" t="n">
        <f aca="false">$AC130*$I130</f>
        <v>-5808844279</v>
      </c>
      <c r="AE130" s="49" t="n">
        <f aca="false">IF($Q130&gt;0,$O130*$I130/$Q130/1000000,"")</f>
        <v>333.651988641124</v>
      </c>
      <c r="AF130" s="49" t="n">
        <f aca="false">IF($R130&gt;0,$P130*$I130/$R130/1000000,"")</f>
        <v>165.977844241765</v>
      </c>
      <c r="AG130" s="50" t="n">
        <f aca="false">IF(AND(ISNUMBER($AE130),ISNUMBER($AF130),$AF130&gt;0),$AE130/$AF130,"")</f>
        <v>2.01022003970074</v>
      </c>
      <c r="AH130" s="48" t="n">
        <f aca="false">IF($U130&gt;=5,SUM(INDEX($AD$100:$AD130,32-5):$AD130),"")</f>
        <v>342777484551</v>
      </c>
      <c r="AI130" s="48" t="n">
        <f aca="false">IF($U130&gt;=STRUCT_S,MAX(INDEX($G$5:$G130,127-STRUCT_S):$G130),"")</f>
        <v>7156</v>
      </c>
      <c r="AJ130" s="48" t="n">
        <f aca="false">IF($U130&gt;=STRUCT_S,MIN(INDEX($H$5:$H130,127-STRUCT_S):$H130),"")</f>
        <v>5971</v>
      </c>
      <c r="AK130" s="48" t="n">
        <f aca="false">IF($U130&gt;=STRUCT_L,MAX(INDEX($G$5:$G130,127-STRUCT_L):$G130),"")</f>
        <v>7226</v>
      </c>
      <c r="AL130" s="48" t="n">
        <f aca="false">IF($U130&gt;=STRUCT_L,MIN(INDEX($H$5:$H130,127-STRUCT_L):$H130),"")</f>
        <v>5971</v>
      </c>
      <c r="AM130" s="46" t="n">
        <f aca="false">IF($A130&lt;&gt;$A131,1,0)</f>
        <v>0</v>
      </c>
      <c r="AN130" s="47" t="str">
        <f aca="false">IF($AM130=1,$A130,"")</f>
        <v/>
      </c>
    </row>
    <row r="131" customFormat="false" ht="15" hidden="false" customHeight="false" outlineLevel="0" collapsed="false">
      <c r="A131" s="43" t="s">
        <v>130</v>
      </c>
      <c r="B131" s="44" t="s">
        <v>132</v>
      </c>
      <c r="C131" s="45" t="n">
        <v>46082</v>
      </c>
      <c r="D131" s="46" t="n">
        <v>20260301</v>
      </c>
      <c r="E131" s="47" t="s">
        <v>414</v>
      </c>
      <c r="F131" s="48" t="n">
        <v>7274</v>
      </c>
      <c r="G131" s="48" t="n">
        <v>7298</v>
      </c>
      <c r="H131" s="48" t="n">
        <v>6923</v>
      </c>
      <c r="I131" s="48" t="n">
        <v>7156</v>
      </c>
      <c r="J131" s="48" t="n">
        <v>6955</v>
      </c>
      <c r="K131" s="48" t="n">
        <v>7063</v>
      </c>
      <c r="L131" s="48" t="n">
        <v>46302242</v>
      </c>
      <c r="M131" s="48" t="n">
        <v>331338843752</v>
      </c>
      <c r="N131" s="48" t="n">
        <v>1034</v>
      </c>
      <c r="O131" s="48" t="n">
        <v>32986248</v>
      </c>
      <c r="P131" s="48" t="n">
        <v>14790873</v>
      </c>
      <c r="Q131" s="48" t="n">
        <v>246</v>
      </c>
      <c r="R131" s="48" t="n">
        <v>647</v>
      </c>
      <c r="S131" s="48" t="n">
        <v>13315994</v>
      </c>
      <c r="T131" s="48" t="n">
        <v>31511369</v>
      </c>
      <c r="U131" s="46" t="n">
        <f aca="false">IF($A131=$A130,$U130+1,1)</f>
        <v>127</v>
      </c>
      <c r="V131" s="48" t="n">
        <f aca="false">IF($U131&gt;=MA_SHORT,AVERAGE(INDEX($I$5:$I131,128-MA_SHORT):$I131),"")</f>
        <v>6664.55</v>
      </c>
      <c r="W131" s="48" t="n">
        <f aca="false">IF($U131&gt;=MA_MED,AVERAGE(INDEX($I$5:$I131,128-MA_MED):$I131),"")</f>
        <v>6648.92</v>
      </c>
      <c r="X131" s="48" t="n">
        <f aca="false">IF($U131&gt;=MA_LONG1,AVERAGE(INDEX($I$5:$I131,128-MA_LONG1):$I131),"")</f>
        <v>6431.87</v>
      </c>
      <c r="Y131" s="48" t="str">
        <f aca="false">IF($U131&gt;=MA_LONG2,AVERAGE(INDEX($I$5:$I131,128-MA_LONG2):$I131),"")</f>
        <v/>
      </c>
      <c r="Z131" s="48" t="n">
        <f aca="false">IF($U131&gt;=MA_SHORT,AVERAGE(INDEX($L$11:$L131,122-MA_SHORT):$L131),"")</f>
        <v>62807405.5</v>
      </c>
      <c r="AA131" s="48" t="n">
        <f aca="false">IF($U131=1,$G131-$H131,MAX($G131-$H131,ABS($G131-$I130),ABS($H131-$I130)))</f>
        <v>375</v>
      </c>
      <c r="AB131" s="48" t="n">
        <f aca="false">IF($U131&gt;=ATR_PER,AVERAGE(INDEX($AA$11:$AA131,122-ATR_PER):$AA131),"")</f>
        <v>201</v>
      </c>
      <c r="AC131" s="48" t="n">
        <f aca="false">$O131-$P131</f>
        <v>18195375</v>
      </c>
      <c r="AD131" s="48" t="n">
        <f aca="false">$AC131*$I131</f>
        <v>130206103500</v>
      </c>
      <c r="AE131" s="49" t="n">
        <f aca="false">IF($Q131&gt;0,$O131*$I131/$Q131/1000000,"")</f>
        <v>959.551181658537</v>
      </c>
      <c r="AF131" s="49" t="n">
        <f aca="false">IF($R131&gt;0,$P131*$I131/$R131/1000000,"")</f>
        <v>163.591170306028</v>
      </c>
      <c r="AG131" s="50" t="n">
        <f aca="false">IF(AND(ISNUMBER($AE131),ISNUMBER($AF131),$AF131&gt;0),$AE131/$AF131,"")</f>
        <v>5.86554384239392</v>
      </c>
      <c r="AH131" s="48" t="n">
        <f aca="false">IF($U131&gt;=5,SUM(INDEX($AD$101:$AD131,32-5):$AD131),"")</f>
        <v>384127043799</v>
      </c>
      <c r="AI131" s="48" t="n">
        <f aca="false">IF($U131&gt;=STRUCT_S,MAX(INDEX($G$5:$G131,128-STRUCT_S):$G131),"")</f>
        <v>7298</v>
      </c>
      <c r="AJ131" s="48" t="n">
        <f aca="false">IF($U131&gt;=STRUCT_S,MIN(INDEX($H$5:$H131,128-STRUCT_S):$H131),"")</f>
        <v>5971</v>
      </c>
      <c r="AK131" s="48" t="n">
        <f aca="false">IF($U131&gt;=STRUCT_L,MAX(INDEX($G$5:$G131,128-STRUCT_L):$G131),"")</f>
        <v>7298</v>
      </c>
      <c r="AL131" s="48" t="n">
        <f aca="false">IF($U131&gt;=STRUCT_L,MIN(INDEX($H$5:$H131,128-STRUCT_L):$H131),"")</f>
        <v>5971</v>
      </c>
      <c r="AM131" s="46" t="n">
        <f aca="false">IF($A131&lt;&gt;$A132,1,0)</f>
        <v>0</v>
      </c>
      <c r="AN131" s="47" t="str">
        <f aca="false">IF($AM131=1,$A131,"")</f>
        <v/>
      </c>
    </row>
    <row r="132" customFormat="false" ht="15" hidden="false" customHeight="false" outlineLevel="0" collapsed="false">
      <c r="A132" s="43" t="s">
        <v>130</v>
      </c>
      <c r="B132" s="44" t="s">
        <v>132</v>
      </c>
      <c r="C132" s="45" t="n">
        <v>46083</v>
      </c>
      <c r="D132" s="46" t="n">
        <v>20260302</v>
      </c>
      <c r="E132" s="47" t="s">
        <v>415</v>
      </c>
      <c r="F132" s="48" t="n">
        <v>7273</v>
      </c>
      <c r="G132" s="48" t="n">
        <v>7286</v>
      </c>
      <c r="H132" s="48" t="n">
        <v>7134</v>
      </c>
      <c r="I132" s="48" t="n">
        <v>7264</v>
      </c>
      <c r="J132" s="48" t="n">
        <v>7203</v>
      </c>
      <c r="K132" s="48" t="n">
        <v>7156</v>
      </c>
      <c r="L132" s="48" t="n">
        <v>46797882</v>
      </c>
      <c r="M132" s="48" t="n">
        <v>339939814848</v>
      </c>
      <c r="N132" s="48" t="n">
        <v>1359</v>
      </c>
      <c r="O132" s="48" t="n">
        <v>26977149</v>
      </c>
      <c r="P132" s="48" t="n">
        <v>20975735</v>
      </c>
      <c r="Q132" s="48" t="n">
        <v>407</v>
      </c>
      <c r="R132" s="48" t="n">
        <v>862</v>
      </c>
      <c r="S132" s="48" t="n">
        <v>19820733</v>
      </c>
      <c r="T132" s="48" t="n">
        <v>25822147</v>
      </c>
      <c r="U132" s="46" t="n">
        <f aca="false">IF($A132=$A131,$U131+1,1)</f>
        <v>128</v>
      </c>
      <c r="V132" s="48" t="n">
        <f aca="false">IF($U132&gt;=MA_SHORT,AVERAGE(INDEX($I$5:$I132,129-MA_SHORT):$I132),"")</f>
        <v>6714.2</v>
      </c>
      <c r="W132" s="48" t="n">
        <f aca="false">IF($U132&gt;=MA_MED,AVERAGE(INDEX($I$5:$I132,129-MA_MED):$I132),"")</f>
        <v>6665.3</v>
      </c>
      <c r="X132" s="48" t="n">
        <f aca="false">IF($U132&gt;=MA_LONG1,AVERAGE(INDEX($I$5:$I132,129-MA_LONG1):$I132),"")</f>
        <v>6442.1</v>
      </c>
      <c r="Y132" s="48" t="str">
        <f aca="false">IF($U132&gt;=MA_LONG2,AVERAGE(INDEX($I$5:$I132,129-MA_LONG2):$I132),"")</f>
        <v/>
      </c>
      <c r="Z132" s="48" t="n">
        <f aca="false">IF($U132&gt;=MA_SHORT,AVERAGE(INDEX($L$12:$L132,122-MA_SHORT):$L132),"")</f>
        <v>61882665.2</v>
      </c>
      <c r="AA132" s="48" t="n">
        <f aca="false">IF($U132=1,$G132-$H132,MAX($G132-$H132,ABS($G132-$I131),ABS($H132-$I131)))</f>
        <v>152</v>
      </c>
      <c r="AB132" s="48" t="n">
        <f aca="false">IF($U132&gt;=ATR_PER,AVERAGE(INDEX($AA$12:$AA132,122-ATR_PER):$AA132),"")</f>
        <v>198.785714285714</v>
      </c>
      <c r="AC132" s="48" t="n">
        <f aca="false">$O132-$P132</f>
        <v>6001414</v>
      </c>
      <c r="AD132" s="48" t="n">
        <f aca="false">$AC132*$I132</f>
        <v>43594271296</v>
      </c>
      <c r="AE132" s="49" t="n">
        <f aca="false">IF($Q132&gt;0,$O132*$I132/$Q132/1000000,"")</f>
        <v>481.479140874693</v>
      </c>
      <c r="AF132" s="49" t="n">
        <f aca="false">IF($R132&gt;0,$P132*$I132/$R132/1000000,"")</f>
        <v>176.760718143852</v>
      </c>
      <c r="AG132" s="50" t="n">
        <f aca="false">IF(AND(ISNUMBER($AE132),ISNUMBER($AF132),$AF132&gt;0),$AE132/$AF132,"")</f>
        <v>2.72390351165498</v>
      </c>
      <c r="AH132" s="48" t="n">
        <f aca="false">IF($U132&gt;=5,SUM(INDEX($AD$102:$AD132,32-5):$AD132),"")</f>
        <v>348409254605</v>
      </c>
      <c r="AI132" s="48" t="n">
        <f aca="false">IF($U132&gt;=STRUCT_S,MAX(INDEX($G$5:$G132,129-STRUCT_S):$G132),"")</f>
        <v>7298</v>
      </c>
      <c r="AJ132" s="48" t="n">
        <f aca="false">IF($U132&gt;=STRUCT_S,MIN(INDEX($H$5:$H132,129-STRUCT_S):$H132),"")</f>
        <v>5971</v>
      </c>
      <c r="AK132" s="48" t="n">
        <f aca="false">IF($U132&gt;=STRUCT_L,MAX(INDEX($G$5:$G132,129-STRUCT_L):$G132),"")</f>
        <v>7298</v>
      </c>
      <c r="AL132" s="48" t="n">
        <f aca="false">IF($U132&gt;=STRUCT_L,MIN(INDEX($H$5:$H132,129-STRUCT_L):$H132),"")</f>
        <v>5971</v>
      </c>
      <c r="AM132" s="46" t="n">
        <f aca="false">IF($A132&lt;&gt;$A133,1,0)</f>
        <v>0</v>
      </c>
      <c r="AN132" s="47" t="str">
        <f aca="false">IF($AM132=1,$A132,"")</f>
        <v/>
      </c>
    </row>
    <row r="133" customFormat="false" ht="15" hidden="false" customHeight="false" outlineLevel="0" collapsed="false">
      <c r="A133" s="43" t="s">
        <v>130</v>
      </c>
      <c r="B133" s="44" t="s">
        <v>132</v>
      </c>
      <c r="C133" s="45" t="n">
        <v>46084</v>
      </c>
      <c r="D133" s="46" t="n">
        <v>20260303</v>
      </c>
      <c r="E133" s="47" t="s">
        <v>416</v>
      </c>
      <c r="F133" s="48" t="n">
        <v>7104</v>
      </c>
      <c r="G133" s="48" t="n">
        <v>7388</v>
      </c>
      <c r="H133" s="48" t="n">
        <v>7059</v>
      </c>
      <c r="I133" s="48" t="n">
        <v>7181</v>
      </c>
      <c r="J133" s="48" t="n">
        <v>7257</v>
      </c>
      <c r="K133" s="48" t="n">
        <v>7264</v>
      </c>
      <c r="L133" s="48" t="n">
        <v>45853984</v>
      </c>
      <c r="M133" s="48" t="n">
        <v>329277459104</v>
      </c>
      <c r="N133" s="48" t="n">
        <v>1800</v>
      </c>
      <c r="O133" s="48" t="n">
        <v>22992561</v>
      </c>
      <c r="P133" s="48" t="n">
        <v>24220469</v>
      </c>
      <c r="Q133" s="48" t="n">
        <v>1153</v>
      </c>
      <c r="R133" s="48" t="n">
        <v>602</v>
      </c>
      <c r="S133" s="48" t="n">
        <v>22861423</v>
      </c>
      <c r="T133" s="48" t="n">
        <v>21633515</v>
      </c>
      <c r="U133" s="46" t="n">
        <f aca="false">IF($A133=$A132,$U132+1,1)</f>
        <v>129</v>
      </c>
      <c r="V133" s="48" t="n">
        <f aca="false">IF($U133&gt;=MA_SHORT,AVERAGE(INDEX($I$5:$I133,130-MA_SHORT):$I133),"")</f>
        <v>6764.55</v>
      </c>
      <c r="W133" s="48" t="n">
        <f aca="false">IF($U133&gt;=MA_MED,AVERAGE(INDEX($I$5:$I133,130-MA_MED):$I133),"")</f>
        <v>6678.74</v>
      </c>
      <c r="X133" s="48" t="n">
        <f aca="false">IF($U133&gt;=MA_LONG1,AVERAGE(INDEX($I$5:$I133,130-MA_LONG1):$I133),"")</f>
        <v>6450.13</v>
      </c>
      <c r="Y133" s="48" t="str">
        <f aca="false">IF($U133&gt;=MA_LONG2,AVERAGE(INDEX($I$5:$I133,130-MA_LONG2):$I133),"")</f>
        <v/>
      </c>
      <c r="Z133" s="48" t="n">
        <f aca="false">IF($U133&gt;=MA_SHORT,AVERAGE(INDEX($L$13:$L133,122-MA_SHORT):$L133),"")</f>
        <v>55308352.05</v>
      </c>
      <c r="AA133" s="48" t="n">
        <f aca="false">IF($U133=1,$G133-$H133,MAX($G133-$H133,ABS($G133-$I132),ABS($H133-$I132)))</f>
        <v>329</v>
      </c>
      <c r="AB133" s="48" t="n">
        <f aca="false">IF($U133&gt;=ATR_PER,AVERAGE(INDEX($AA$13:$AA133,122-ATR_PER):$AA133),"")</f>
        <v>206.5</v>
      </c>
      <c r="AC133" s="48" t="n">
        <f aca="false">$O133-$P133</f>
        <v>-1227908</v>
      </c>
      <c r="AD133" s="48" t="n">
        <f aca="false">$AC133*$I133</f>
        <v>-8817607348</v>
      </c>
      <c r="AE133" s="49" t="n">
        <f aca="false">IF($Q133&gt;0,$O133*$I133/$Q133/1000000,"")</f>
        <v>143.199983123157</v>
      </c>
      <c r="AF133" s="49" t="n">
        <f aca="false">IF($R133&gt;0,$P133*$I133/$R133/1000000,"")</f>
        <v>288.9155945</v>
      </c>
      <c r="AG133" s="50" t="n">
        <f aca="false">IF(AND(ISNUMBER($AE133),ISNUMBER($AF133),$AF133&gt;0),$AE133/$AF133,"")</f>
        <v>0.495646430477317</v>
      </c>
      <c r="AH133" s="48" t="n">
        <f aca="false">IF($U133&gt;=5,SUM(INDEX($AD$103:$AD133,32-5):$AD133),"")</f>
        <v>301482399017</v>
      </c>
      <c r="AI133" s="48" t="n">
        <f aca="false">IF($U133&gt;=STRUCT_S,MAX(INDEX($G$5:$G133,130-STRUCT_S):$G133),"")</f>
        <v>7388</v>
      </c>
      <c r="AJ133" s="48" t="n">
        <f aca="false">IF($U133&gt;=STRUCT_S,MIN(INDEX($H$5:$H133,130-STRUCT_S):$H133),"")</f>
        <v>5971</v>
      </c>
      <c r="AK133" s="48" t="n">
        <f aca="false">IF($U133&gt;=STRUCT_L,MAX(INDEX($G$5:$G133,130-STRUCT_L):$G133),"")</f>
        <v>7388</v>
      </c>
      <c r="AL133" s="48" t="n">
        <f aca="false">IF($U133&gt;=STRUCT_L,MIN(INDEX($H$5:$H133,130-STRUCT_L):$H133),"")</f>
        <v>5971</v>
      </c>
      <c r="AM133" s="46" t="n">
        <f aca="false">IF($A133&lt;&gt;$A134,1,0)</f>
        <v>0</v>
      </c>
      <c r="AN133" s="47" t="str">
        <f aca="false">IF($AM133=1,$A133,"")</f>
        <v/>
      </c>
    </row>
    <row r="134" customFormat="false" ht="15" hidden="false" customHeight="false" outlineLevel="0" collapsed="false">
      <c r="A134" s="43" t="s">
        <v>130</v>
      </c>
      <c r="B134" s="44" t="s">
        <v>132</v>
      </c>
      <c r="C134" s="45" t="n">
        <v>46085</v>
      </c>
      <c r="D134" s="46" t="n">
        <v>20260304</v>
      </c>
      <c r="E134" s="47" t="s">
        <v>417</v>
      </c>
      <c r="F134" s="48" t="n">
        <v>7018</v>
      </c>
      <c r="G134" s="48" t="n">
        <v>7264</v>
      </c>
      <c r="H134" s="48" t="n">
        <v>7004</v>
      </c>
      <c r="I134" s="48" t="n">
        <v>7086</v>
      </c>
      <c r="J134" s="48" t="n">
        <v>7083</v>
      </c>
      <c r="K134" s="48" t="n">
        <v>7181</v>
      </c>
      <c r="L134" s="48" t="n">
        <v>46425283</v>
      </c>
      <c r="M134" s="48" t="n">
        <v>328969555338</v>
      </c>
      <c r="N134" s="48" t="n">
        <v>3028</v>
      </c>
      <c r="O134" s="48" t="n">
        <v>26864226</v>
      </c>
      <c r="P134" s="48" t="n">
        <v>21763948</v>
      </c>
      <c r="Q134" s="48" t="n">
        <v>2131</v>
      </c>
      <c r="R134" s="48" t="n">
        <v>849</v>
      </c>
      <c r="S134" s="48" t="n">
        <v>19561057</v>
      </c>
      <c r="T134" s="48" t="n">
        <v>24661335</v>
      </c>
      <c r="U134" s="46" t="n">
        <f aca="false">IF($A134=$A133,$U133+1,1)</f>
        <v>130</v>
      </c>
      <c r="V134" s="48" t="n">
        <f aca="false">IF($U134&gt;=MA_SHORT,AVERAGE(INDEX($I$5:$I134,131-MA_SHORT):$I134),"")</f>
        <v>6804.4</v>
      </c>
      <c r="W134" s="48" t="n">
        <f aca="false">IF($U134&gt;=MA_MED,AVERAGE(INDEX($I$5:$I134,131-MA_MED):$I134),"")</f>
        <v>6689.24</v>
      </c>
      <c r="X134" s="48" t="n">
        <f aca="false">IF($U134&gt;=MA_LONG1,AVERAGE(INDEX($I$5:$I134,131-MA_LONG1):$I134),"")</f>
        <v>6458.82</v>
      </c>
      <c r="Y134" s="48" t="str">
        <f aca="false">IF($U134&gt;=MA_LONG2,AVERAGE(INDEX($I$5:$I134,131-MA_LONG2):$I134),"")</f>
        <v/>
      </c>
      <c r="Z134" s="48" t="n">
        <f aca="false">IF($U134&gt;=MA_SHORT,AVERAGE(INDEX($L$14:$L134,122-MA_SHORT):$L134),"")</f>
        <v>55244223.3</v>
      </c>
      <c r="AA134" s="48" t="n">
        <f aca="false">IF($U134=1,$G134-$H134,MAX($G134-$H134,ABS($G134-$I133),ABS($H134-$I133)))</f>
        <v>260</v>
      </c>
      <c r="AB134" s="48" t="n">
        <f aca="false">IF($U134&gt;=ATR_PER,AVERAGE(INDEX($AA$14:$AA134,122-ATR_PER):$AA134),"")</f>
        <v>214.214285714286</v>
      </c>
      <c r="AC134" s="48" t="n">
        <f aca="false">$O134-$P134</f>
        <v>5100278</v>
      </c>
      <c r="AD134" s="48" t="n">
        <f aca="false">$AC134*$I134</f>
        <v>36140569908</v>
      </c>
      <c r="AE134" s="49" t="n">
        <f aca="false">IF($Q134&gt;0,$O134*$I134/$Q134/1000000,"")</f>
        <v>89.328909167527</v>
      </c>
      <c r="AF134" s="49" t="n">
        <f aca="false">IF($R134&gt;0,$P134*$I134/$R134/1000000,"")</f>
        <v>181.648216169611</v>
      </c>
      <c r="AG134" s="50" t="n">
        <f aca="false">IF(AND(ISNUMBER($AE134),ISNUMBER($AF134),$AF134&gt;0),$AE134/$AF134,"")</f>
        <v>0.491768711255152</v>
      </c>
      <c r="AH134" s="48" t="n">
        <f aca="false">IF($U134&gt;=5,SUM(INDEX($AD$104:$AD134,32-5):$AD134),"")</f>
        <v>195314493077</v>
      </c>
      <c r="AI134" s="48" t="n">
        <f aca="false">IF($U134&gt;=STRUCT_S,MAX(INDEX($G$5:$G134,131-STRUCT_S):$G134),"")</f>
        <v>7388</v>
      </c>
      <c r="AJ134" s="48" t="n">
        <f aca="false">IF($U134&gt;=STRUCT_S,MIN(INDEX($H$5:$H134,131-STRUCT_S):$H134),"")</f>
        <v>6142</v>
      </c>
      <c r="AK134" s="48" t="n">
        <f aca="false">IF($U134&gt;=STRUCT_L,MAX(INDEX($G$5:$G134,131-STRUCT_L):$G134),"")</f>
        <v>7388</v>
      </c>
      <c r="AL134" s="48" t="n">
        <f aca="false">IF($U134&gt;=STRUCT_L,MIN(INDEX($H$5:$H134,131-STRUCT_L):$H134),"")</f>
        <v>5971</v>
      </c>
      <c r="AM134" s="46" t="n">
        <f aca="false">IF($A134&lt;&gt;$A135,1,0)</f>
        <v>0</v>
      </c>
      <c r="AN134" s="47" t="str">
        <f aca="false">IF($AM134=1,$A134,"")</f>
        <v/>
      </c>
    </row>
    <row r="135" customFormat="false" ht="15" hidden="false" customHeight="false" outlineLevel="0" collapsed="false">
      <c r="A135" s="43" t="s">
        <v>130</v>
      </c>
      <c r="B135" s="44" t="s">
        <v>132</v>
      </c>
      <c r="C135" s="45" t="n">
        <v>46088</v>
      </c>
      <c r="D135" s="46" t="n">
        <v>20260307</v>
      </c>
      <c r="E135" s="47" t="s">
        <v>418</v>
      </c>
      <c r="F135" s="48" t="n">
        <v>7049</v>
      </c>
      <c r="G135" s="48" t="n">
        <v>7109</v>
      </c>
      <c r="H135" s="48" t="n">
        <v>7016</v>
      </c>
      <c r="I135" s="48" t="n">
        <v>7038</v>
      </c>
      <c r="J135" s="48" t="n">
        <v>7041</v>
      </c>
      <c r="K135" s="48" t="n">
        <v>7086</v>
      </c>
      <c r="L135" s="48" t="n">
        <v>58833212</v>
      </c>
      <c r="M135" s="48" t="n">
        <v>414068146056</v>
      </c>
      <c r="N135" s="48" t="n">
        <v>4973</v>
      </c>
      <c r="O135" s="48" t="n">
        <v>30584251</v>
      </c>
      <c r="P135" s="48" t="n">
        <v>24977821</v>
      </c>
      <c r="Q135" s="48" t="n">
        <v>2726</v>
      </c>
      <c r="R135" s="48" t="n">
        <v>1667</v>
      </c>
      <c r="S135" s="48" t="n">
        <v>28248961</v>
      </c>
      <c r="T135" s="48" t="n">
        <v>33855391</v>
      </c>
      <c r="U135" s="46" t="n">
        <f aca="false">IF($A135=$A134,$U134+1,1)</f>
        <v>131</v>
      </c>
      <c r="V135" s="48" t="n">
        <f aca="false">IF($U135&gt;=MA_SHORT,AVERAGE(INDEX($I$5:$I135,132-MA_SHORT):$I135),"")</f>
        <v>6843.55</v>
      </c>
      <c r="W135" s="48" t="n">
        <f aca="false">IF($U135&gt;=MA_MED,AVERAGE(INDEX($I$5:$I135,132-MA_MED):$I135),"")</f>
        <v>6696.34</v>
      </c>
      <c r="X135" s="48" t="n">
        <f aca="false">IF($U135&gt;=MA_LONG1,AVERAGE(INDEX($I$5:$I135,132-MA_LONG1):$I135),"")</f>
        <v>6467.29</v>
      </c>
      <c r="Y135" s="48" t="str">
        <f aca="false">IF($U135&gt;=MA_LONG2,AVERAGE(INDEX($I$5:$I135,132-MA_LONG2):$I135),"")</f>
        <v/>
      </c>
      <c r="Z135" s="48" t="n">
        <f aca="false">IF($U135&gt;=MA_SHORT,AVERAGE(INDEX($L$15:$L135,122-MA_SHORT):$L135),"")</f>
        <v>52523197.25</v>
      </c>
      <c r="AA135" s="48" t="n">
        <f aca="false">IF($U135=1,$G135-$H135,MAX($G135-$H135,ABS($G135-$I134),ABS($H135-$I134)))</f>
        <v>93</v>
      </c>
      <c r="AB135" s="48" t="n">
        <f aca="false">IF($U135&gt;=ATR_PER,AVERAGE(INDEX($AA$15:$AA135,122-ATR_PER):$AA135),"")</f>
        <v>205.285714285714</v>
      </c>
      <c r="AC135" s="48" t="n">
        <f aca="false">$O135-$P135</f>
        <v>5606430</v>
      </c>
      <c r="AD135" s="48" t="n">
        <f aca="false">$AC135*$I135</f>
        <v>39458054340</v>
      </c>
      <c r="AE135" s="49" t="n">
        <f aca="false">IF($Q135&gt;0,$O135*$I135/$Q135/1000000,"")</f>
        <v>78.9625673286867</v>
      </c>
      <c r="AF135" s="49" t="n">
        <f aca="false">IF($R135&gt;0,$P135*$I135/$R135/1000000,"")</f>
        <v>105.455251468506</v>
      </c>
      <c r="AG135" s="50" t="n">
        <f aca="false">IF(AND(ISNUMBER($AE135),ISNUMBER($AF135),$AF135&gt;0),$AE135/$AF135,"")</f>
        <v>0.748777953009467</v>
      </c>
      <c r="AH135" s="48" t="n">
        <f aca="false">IF($U135&gt;=5,SUM(INDEX($AD$105:$AD135,32-5):$AD135),"")</f>
        <v>240581391696</v>
      </c>
      <c r="AI135" s="48" t="n">
        <f aca="false">IF($U135&gt;=STRUCT_S,MAX(INDEX($G$5:$G135,132-STRUCT_S):$G135),"")</f>
        <v>7388</v>
      </c>
      <c r="AJ135" s="48" t="n">
        <f aca="false">IF($U135&gt;=STRUCT_S,MIN(INDEX($H$5:$H135,132-STRUCT_S):$H135),"")</f>
        <v>6142</v>
      </c>
      <c r="AK135" s="48" t="n">
        <f aca="false">IF($U135&gt;=STRUCT_L,MAX(INDEX($G$5:$G135,132-STRUCT_L):$G135),"")</f>
        <v>7388</v>
      </c>
      <c r="AL135" s="48" t="n">
        <f aca="false">IF($U135&gt;=STRUCT_L,MIN(INDEX($H$5:$H135,132-STRUCT_L):$H135),"")</f>
        <v>5971</v>
      </c>
      <c r="AM135" s="46" t="n">
        <f aca="false">IF($A135&lt;&gt;$A136,1,0)</f>
        <v>0</v>
      </c>
      <c r="AN135" s="47" t="str">
        <f aca="false">IF($AM135=1,$A135,"")</f>
        <v/>
      </c>
    </row>
    <row r="136" customFormat="false" ht="15" hidden="false" customHeight="false" outlineLevel="0" collapsed="false">
      <c r="A136" s="43" t="s">
        <v>130</v>
      </c>
      <c r="B136" s="44" t="s">
        <v>132</v>
      </c>
      <c r="C136" s="45" t="n">
        <v>46089</v>
      </c>
      <c r="D136" s="46" t="n">
        <v>20260308</v>
      </c>
      <c r="E136" s="47" t="s">
        <v>419</v>
      </c>
      <c r="F136" s="48" t="n">
        <v>7115</v>
      </c>
      <c r="G136" s="48" t="n">
        <v>7203</v>
      </c>
      <c r="H136" s="48" t="n">
        <v>6769</v>
      </c>
      <c r="I136" s="48" t="n">
        <v>6931</v>
      </c>
      <c r="J136" s="48" t="n">
        <v>7201</v>
      </c>
      <c r="K136" s="48" t="n">
        <v>7038</v>
      </c>
      <c r="L136" s="48" t="n">
        <v>46826449</v>
      </c>
      <c r="M136" s="48" t="n">
        <v>324554118019</v>
      </c>
      <c r="N136" s="48" t="n">
        <v>1579</v>
      </c>
      <c r="O136" s="48" t="n">
        <v>20417441</v>
      </c>
      <c r="P136" s="48" t="n">
        <v>25431792</v>
      </c>
      <c r="Q136" s="48" t="n">
        <v>1124</v>
      </c>
      <c r="R136" s="48" t="n">
        <v>469</v>
      </c>
      <c r="S136" s="48" t="n">
        <v>26409008</v>
      </c>
      <c r="T136" s="48" t="n">
        <v>21394657</v>
      </c>
      <c r="U136" s="46" t="n">
        <f aca="false">IF($A136=$A135,$U135+1,1)</f>
        <v>132</v>
      </c>
      <c r="V136" s="48" t="n">
        <f aca="false">IF($U136&gt;=MA_SHORT,AVERAGE(INDEX($I$5:$I136,133-MA_SHORT):$I136),"")</f>
        <v>6876.15</v>
      </c>
      <c r="W136" s="48" t="n">
        <f aca="false">IF($U136&gt;=MA_MED,AVERAGE(INDEX($I$5:$I136,133-MA_MED):$I136),"")</f>
        <v>6699.82</v>
      </c>
      <c r="X136" s="48" t="n">
        <f aca="false">IF($U136&gt;=MA_LONG1,AVERAGE(INDEX($I$5:$I136,133-MA_LONG1):$I136),"")</f>
        <v>6473.37</v>
      </c>
      <c r="Y136" s="48" t="str">
        <f aca="false">IF($U136&gt;=MA_LONG2,AVERAGE(INDEX($I$5:$I136,133-MA_LONG2):$I136),"")</f>
        <v/>
      </c>
      <c r="Z136" s="48" t="n">
        <f aca="false">IF($U136&gt;=MA_SHORT,AVERAGE(INDEX($L$16:$L136,122-MA_SHORT):$L136),"")</f>
        <v>51997039</v>
      </c>
      <c r="AA136" s="48" t="n">
        <f aca="false">IF($U136=1,$G136-$H136,MAX($G136-$H136,ABS($G136-$I135),ABS($H136-$I135)))</f>
        <v>434</v>
      </c>
      <c r="AB136" s="48" t="n">
        <f aca="false">IF($U136&gt;=ATR_PER,AVERAGE(INDEX($AA$16:$AA136,122-ATR_PER):$AA136),"")</f>
        <v>223.214285714286</v>
      </c>
      <c r="AC136" s="48" t="n">
        <f aca="false">$O136-$P136</f>
        <v>-5014351</v>
      </c>
      <c r="AD136" s="48" t="n">
        <f aca="false">$AC136*$I136</f>
        <v>-34754466781</v>
      </c>
      <c r="AE136" s="49" t="n">
        <f aca="false">IF($Q136&gt;0,$O136*$I136/$Q136/1000000,"")</f>
        <v>125.901497838968</v>
      </c>
      <c r="AF136" s="49" t="n">
        <f aca="false">IF($R136&gt;0,$P136*$I136/$R136/1000000,"")</f>
        <v>375.837420793177</v>
      </c>
      <c r="AG136" s="50" t="n">
        <f aca="false">IF(AND(ISNUMBER($AE136),ISNUMBER($AF136),$AF136&gt;0),$AE136/$AF136,"")</f>
        <v>0.334989255655443</v>
      </c>
      <c r="AH136" s="48" t="n">
        <f aca="false">IF($U136&gt;=5,SUM(INDEX($AD$106:$AD136,32-5):$AD136),"")</f>
        <v>75620821415</v>
      </c>
      <c r="AI136" s="48" t="n">
        <f aca="false">IF($U136&gt;=STRUCT_S,MAX(INDEX($G$5:$G136,133-STRUCT_S):$G136),"")</f>
        <v>7388</v>
      </c>
      <c r="AJ136" s="48" t="n">
        <f aca="false">IF($U136&gt;=STRUCT_S,MIN(INDEX($H$5:$H136,133-STRUCT_S):$H136),"")</f>
        <v>6142</v>
      </c>
      <c r="AK136" s="48" t="n">
        <f aca="false">IF($U136&gt;=STRUCT_L,MAX(INDEX($G$5:$G136,133-STRUCT_L):$G136),"")</f>
        <v>7388</v>
      </c>
      <c r="AL136" s="48" t="n">
        <f aca="false">IF($U136&gt;=STRUCT_L,MIN(INDEX($H$5:$H136,133-STRUCT_L):$H136),"")</f>
        <v>5971</v>
      </c>
      <c r="AM136" s="46" t="n">
        <f aca="false">IF($A136&lt;&gt;$A137,1,0)</f>
        <v>0</v>
      </c>
      <c r="AN136" s="47" t="str">
        <f aca="false">IF($AM136=1,$A136,"")</f>
        <v/>
      </c>
    </row>
    <row r="137" customFormat="false" ht="15" hidden="false" customHeight="false" outlineLevel="0" collapsed="false">
      <c r="A137" s="43" t="s">
        <v>130</v>
      </c>
      <c r="B137" s="44" t="s">
        <v>132</v>
      </c>
      <c r="C137" s="45" t="n">
        <v>46090</v>
      </c>
      <c r="D137" s="46" t="n">
        <v>20260309</v>
      </c>
      <c r="E137" s="47" t="s">
        <v>420</v>
      </c>
      <c r="F137" s="48" t="n">
        <v>6938</v>
      </c>
      <c r="G137" s="48" t="n">
        <v>6958</v>
      </c>
      <c r="H137" s="48" t="n">
        <v>6775</v>
      </c>
      <c r="I137" s="48" t="n">
        <v>6802</v>
      </c>
      <c r="J137" s="48" t="n">
        <v>6805</v>
      </c>
      <c r="K137" s="48" t="n">
        <v>6931</v>
      </c>
      <c r="L137" s="48" t="n">
        <v>57930048</v>
      </c>
      <c r="M137" s="48" t="n">
        <v>394040186496</v>
      </c>
      <c r="N137" s="48" t="n">
        <v>4012</v>
      </c>
      <c r="O137" s="48" t="n">
        <v>32471882</v>
      </c>
      <c r="P137" s="48" t="n">
        <v>25562232</v>
      </c>
      <c r="Q137" s="48" t="n">
        <v>1650</v>
      </c>
      <c r="R137" s="48" t="n">
        <v>1084</v>
      </c>
      <c r="S137" s="48" t="n">
        <v>25458166</v>
      </c>
      <c r="T137" s="48" t="n">
        <v>32367816</v>
      </c>
      <c r="U137" s="46" t="n">
        <f aca="false">IF($A137=$A136,$U136+1,1)</f>
        <v>133</v>
      </c>
      <c r="V137" s="48" t="n">
        <f aca="false">IF($U137&gt;=MA_SHORT,AVERAGE(INDEX($I$5:$I137,134-MA_SHORT):$I137),"")</f>
        <v>6895.2</v>
      </c>
      <c r="W137" s="48" t="n">
        <f aca="false">IF($U137&gt;=MA_MED,AVERAGE(INDEX($I$5:$I137,134-MA_MED):$I137),"")</f>
        <v>6702.66</v>
      </c>
      <c r="X137" s="48" t="n">
        <f aca="false">IF($U137&gt;=MA_LONG1,AVERAGE(INDEX($I$5:$I137,134-MA_LONG1):$I137),"")</f>
        <v>6477.37</v>
      </c>
      <c r="Y137" s="48" t="str">
        <f aca="false">IF($U137&gt;=MA_LONG2,AVERAGE(INDEX($I$5:$I137,134-MA_LONG2):$I137),"")</f>
        <v/>
      </c>
      <c r="Z137" s="48" t="n">
        <f aca="false">IF($U137&gt;=MA_SHORT,AVERAGE(INDEX($L$17:$L137,122-MA_SHORT):$L137),"")</f>
        <v>52456801.2</v>
      </c>
      <c r="AA137" s="48" t="n">
        <f aca="false">IF($U137=1,$G137-$H137,MAX($G137-$H137,ABS($G137-$I136),ABS($H137-$I136)))</f>
        <v>183</v>
      </c>
      <c r="AB137" s="48" t="n">
        <f aca="false">IF($U137&gt;=ATR_PER,AVERAGE(INDEX($AA$17:$AA137,122-ATR_PER):$AA137),"")</f>
        <v>224</v>
      </c>
      <c r="AC137" s="48" t="n">
        <f aca="false">$O137-$P137</f>
        <v>6909650</v>
      </c>
      <c r="AD137" s="48" t="n">
        <f aca="false">$AC137*$I137</f>
        <v>46999439300</v>
      </c>
      <c r="AE137" s="49" t="n">
        <f aca="false">IF($Q137&gt;0,$O137*$I137/$Q137/1000000,"")</f>
        <v>133.862873553939</v>
      </c>
      <c r="AF137" s="49" t="n">
        <f aca="false">IF($R137&gt;0,$P137*$I137/$R137/1000000,"")</f>
        <v>160.400647660517</v>
      </c>
      <c r="AG137" s="50" t="n">
        <f aca="false">IF(AND(ISNUMBER($AE137),ISNUMBER($AF137),$AF137&gt;0),$AE137/$AF137,"")</f>
        <v>0.834553198546033</v>
      </c>
      <c r="AH137" s="48" t="n">
        <f aca="false">IF($U137&gt;=5,SUM(INDEX($AD$107:$AD137,32-5):$AD137),"")</f>
        <v>79025989419</v>
      </c>
      <c r="AI137" s="48" t="n">
        <f aca="false">IF($U137&gt;=STRUCT_S,MAX(INDEX($G$5:$G137,134-STRUCT_S):$G137),"")</f>
        <v>7388</v>
      </c>
      <c r="AJ137" s="48" t="n">
        <f aca="false">IF($U137&gt;=STRUCT_S,MIN(INDEX($H$5:$H137,134-STRUCT_S):$H137),"")</f>
        <v>6362</v>
      </c>
      <c r="AK137" s="48" t="n">
        <f aca="false">IF($U137&gt;=STRUCT_L,MAX(INDEX($G$5:$G137,134-STRUCT_L):$G137),"")</f>
        <v>7388</v>
      </c>
      <c r="AL137" s="48" t="n">
        <f aca="false">IF($U137&gt;=STRUCT_L,MIN(INDEX($H$5:$H137,134-STRUCT_L):$H137),"")</f>
        <v>5971</v>
      </c>
      <c r="AM137" s="46" t="n">
        <f aca="false">IF($A137&lt;&gt;$A138,1,0)</f>
        <v>0</v>
      </c>
      <c r="AN137" s="47" t="str">
        <f aca="false">IF($AM137=1,$A137,"")</f>
        <v/>
      </c>
    </row>
    <row r="138" customFormat="false" ht="15" hidden="false" customHeight="false" outlineLevel="0" collapsed="false">
      <c r="A138" s="43" t="s">
        <v>130</v>
      </c>
      <c r="B138" s="44" t="s">
        <v>132</v>
      </c>
      <c r="C138" s="45" t="n">
        <v>46091</v>
      </c>
      <c r="D138" s="46" t="n">
        <v>20260310</v>
      </c>
      <c r="E138" s="47" t="s">
        <v>421</v>
      </c>
      <c r="F138" s="48" t="n">
        <v>6820</v>
      </c>
      <c r="G138" s="48" t="n">
        <v>6856</v>
      </c>
      <c r="H138" s="48" t="n">
        <v>6764</v>
      </c>
      <c r="I138" s="48" t="n">
        <v>6818</v>
      </c>
      <c r="J138" s="48" t="n">
        <v>6775</v>
      </c>
      <c r="K138" s="48" t="n">
        <v>6802</v>
      </c>
      <c r="L138" s="48" t="n">
        <v>61296394</v>
      </c>
      <c r="M138" s="48" t="n">
        <v>417918814292</v>
      </c>
      <c r="N138" s="48" t="n">
        <v>2046</v>
      </c>
      <c r="O138" s="48" t="n">
        <v>40374472</v>
      </c>
      <c r="P138" s="48" t="n">
        <v>21556481</v>
      </c>
      <c r="Q138" s="48" t="n">
        <v>671</v>
      </c>
      <c r="R138" s="48" t="n">
        <v>1398</v>
      </c>
      <c r="S138" s="48" t="n">
        <v>20921922</v>
      </c>
      <c r="T138" s="48" t="n">
        <v>39739913</v>
      </c>
      <c r="U138" s="46" t="n">
        <f aca="false">IF($A138=$A137,$U137+1,1)</f>
        <v>134</v>
      </c>
      <c r="V138" s="48" t="n">
        <f aca="false">IF($U138&gt;=MA_SHORT,AVERAGE(INDEX($I$5:$I138,135-MA_SHORT):$I138),"")</f>
        <v>6911.85</v>
      </c>
      <c r="W138" s="48" t="n">
        <f aca="false">IF($U138&gt;=MA_MED,AVERAGE(INDEX($I$5:$I138,135-MA_MED):$I138),"")</f>
        <v>6709.4</v>
      </c>
      <c r="X138" s="48" t="n">
        <f aca="false">IF($U138&gt;=MA_LONG1,AVERAGE(INDEX($I$5:$I138,135-MA_LONG1):$I138),"")</f>
        <v>6480.98</v>
      </c>
      <c r="Y138" s="48" t="str">
        <f aca="false">IF($U138&gt;=MA_LONG2,AVERAGE(INDEX($I$5:$I138,135-MA_LONG2):$I138),"")</f>
        <v/>
      </c>
      <c r="Z138" s="48" t="n">
        <f aca="false">IF($U138&gt;=MA_SHORT,AVERAGE(INDEX($L$18:$L138,122-MA_SHORT):$L138),"")</f>
        <v>53247703.25</v>
      </c>
      <c r="AA138" s="48" t="n">
        <f aca="false">IF($U138=1,$G138-$H138,MAX($G138-$H138,ABS($G138-$I137),ABS($H138-$I137)))</f>
        <v>92</v>
      </c>
      <c r="AB138" s="48" t="n">
        <f aca="false">IF($U138&gt;=ATR_PER,AVERAGE(INDEX($AA$18:$AA138,122-ATR_PER):$AA138),"")</f>
        <v>222.642857142857</v>
      </c>
      <c r="AC138" s="48" t="n">
        <f aca="false">$O138-$P138</f>
        <v>18817991</v>
      </c>
      <c r="AD138" s="48" t="n">
        <f aca="false">$AC138*$I138</f>
        <v>128301062638</v>
      </c>
      <c r="AE138" s="49" t="n">
        <f aca="false">IF($Q138&gt;0,$O138*$I138/$Q138/1000000,"")</f>
        <v>410.243144703428</v>
      </c>
      <c r="AF138" s="49" t="n">
        <f aca="false">IF($R138&gt;0,$P138*$I138/$R138/1000000,"")</f>
        <v>105.130248539342</v>
      </c>
      <c r="AG138" s="50" t="n">
        <f aca="false">IF(AND(ISNUMBER($AE138),ISNUMBER($AF138),$AF138&gt;0),$AE138/$AF138,"")</f>
        <v>3.90223699081151</v>
      </c>
      <c r="AH138" s="48" t="n">
        <f aca="false">IF($U138&gt;=5,SUM(INDEX($AD$108:$AD138,32-5):$AD138),"")</f>
        <v>216144659405</v>
      </c>
      <c r="AI138" s="48" t="n">
        <f aca="false">IF($U138&gt;=STRUCT_S,MAX(INDEX($G$5:$G138,135-STRUCT_S):$G138),"")</f>
        <v>7388</v>
      </c>
      <c r="AJ138" s="48" t="n">
        <f aca="false">IF($U138&gt;=STRUCT_S,MIN(INDEX($H$5:$H138,135-STRUCT_S):$H138),"")</f>
        <v>6422</v>
      </c>
      <c r="AK138" s="48" t="n">
        <f aca="false">IF($U138&gt;=STRUCT_L,MAX(INDEX($G$5:$G138,135-STRUCT_L):$G138),"")</f>
        <v>7388</v>
      </c>
      <c r="AL138" s="48" t="n">
        <f aca="false">IF($U138&gt;=STRUCT_L,MIN(INDEX($H$5:$H138,135-STRUCT_L):$H138),"")</f>
        <v>5971</v>
      </c>
      <c r="AM138" s="46" t="n">
        <f aca="false">IF($A138&lt;&gt;$A139,1,0)</f>
        <v>0</v>
      </c>
      <c r="AN138" s="47" t="str">
        <f aca="false">IF($AM138=1,$A138,"")</f>
        <v/>
      </c>
    </row>
    <row r="139" customFormat="false" ht="15" hidden="false" customHeight="false" outlineLevel="0" collapsed="false">
      <c r="A139" s="43" t="s">
        <v>130</v>
      </c>
      <c r="B139" s="44" t="s">
        <v>132</v>
      </c>
      <c r="C139" s="45" t="n">
        <v>46092</v>
      </c>
      <c r="D139" s="46" t="n">
        <v>20260311</v>
      </c>
      <c r="E139" s="47" t="s">
        <v>422</v>
      </c>
      <c r="F139" s="48" t="n">
        <v>6702</v>
      </c>
      <c r="G139" s="48" t="n">
        <v>6992</v>
      </c>
      <c r="H139" s="48" t="n">
        <v>6687</v>
      </c>
      <c r="I139" s="48" t="n">
        <v>6861</v>
      </c>
      <c r="J139" s="48" t="n">
        <v>6943</v>
      </c>
      <c r="K139" s="48" t="n">
        <v>6818</v>
      </c>
      <c r="L139" s="48" t="n">
        <v>55736961</v>
      </c>
      <c r="M139" s="48" t="n">
        <v>382411289421</v>
      </c>
      <c r="N139" s="48" t="n">
        <v>3688</v>
      </c>
      <c r="O139" s="48" t="n">
        <v>32500065</v>
      </c>
      <c r="P139" s="48" t="n">
        <v>25118246</v>
      </c>
      <c r="Q139" s="48" t="n">
        <v>1039</v>
      </c>
      <c r="R139" s="48" t="n">
        <v>2530</v>
      </c>
      <c r="S139" s="48" t="n">
        <v>23236896</v>
      </c>
      <c r="T139" s="48" t="n">
        <v>30618715</v>
      </c>
      <c r="U139" s="46" t="n">
        <f aca="false">IF($A139=$A138,$U138+1,1)</f>
        <v>135</v>
      </c>
      <c r="V139" s="48" t="n">
        <f aca="false">IF($U139&gt;=MA_SHORT,AVERAGE(INDEX($I$5:$I139,136-MA_SHORT):$I139),"")</f>
        <v>6925.9</v>
      </c>
      <c r="W139" s="48" t="n">
        <f aca="false">IF($U139&gt;=MA_MED,AVERAGE(INDEX($I$5:$I139,136-MA_MED):$I139),"")</f>
        <v>6716</v>
      </c>
      <c r="X139" s="48" t="n">
        <f aca="false">IF($U139&gt;=MA_LONG1,AVERAGE(INDEX($I$5:$I139,136-MA_LONG1):$I139),"")</f>
        <v>6485</v>
      </c>
      <c r="Y139" s="48" t="str">
        <f aca="false">IF($U139&gt;=MA_LONG2,AVERAGE(INDEX($I$5:$I139,136-MA_LONG2):$I139),"")</f>
        <v/>
      </c>
      <c r="Z139" s="48" t="n">
        <f aca="false">IF($U139&gt;=MA_SHORT,AVERAGE(INDEX($L$19:$L139,122-MA_SHORT):$L139),"")</f>
        <v>53700360.75</v>
      </c>
      <c r="AA139" s="48" t="n">
        <f aca="false">IF($U139=1,$G139-$H139,MAX($G139-$H139,ABS($G139-$I138),ABS($H139-$I138)))</f>
        <v>305</v>
      </c>
      <c r="AB139" s="48" t="n">
        <f aca="false">IF($U139&gt;=ATR_PER,AVERAGE(INDEX($AA$19:$AA139,122-ATR_PER):$AA139),"")</f>
        <v>227.214285714286</v>
      </c>
      <c r="AC139" s="48" t="n">
        <f aca="false">$O139-$P139</f>
        <v>7381819</v>
      </c>
      <c r="AD139" s="48" t="n">
        <f aca="false">$AC139*$I139</f>
        <v>50646660159</v>
      </c>
      <c r="AE139" s="49" t="n">
        <f aca="false">IF($Q139&gt;0,$O139*$I139/$Q139/1000000,"")</f>
        <v>214.613037502406</v>
      </c>
      <c r="AF139" s="49" t="n">
        <f aca="false">IF($R139&gt;0,$P139*$I139/$R139/1000000,"")</f>
        <v>68.1171090142293</v>
      </c>
      <c r="AG139" s="50" t="n">
        <f aca="false">IF(AND(ISNUMBER($AE139),ISNUMBER($AF139),$AF139&gt;0),$AE139/$AF139,"")</f>
        <v>3.15064806196597</v>
      </c>
      <c r="AH139" s="48" t="n">
        <f aca="false">IF($U139&gt;=5,SUM(INDEX($AD$109:$AD139,32-5):$AD139),"")</f>
        <v>230650749656</v>
      </c>
      <c r="AI139" s="48" t="n">
        <f aca="false">IF($U139&gt;=STRUCT_S,MAX(INDEX($G$5:$G139,136-STRUCT_S):$G139),"")</f>
        <v>7388</v>
      </c>
      <c r="AJ139" s="48" t="n">
        <f aca="false">IF($U139&gt;=STRUCT_S,MIN(INDEX($H$5:$H139,136-STRUCT_S):$H139),"")</f>
        <v>6451</v>
      </c>
      <c r="AK139" s="48" t="n">
        <f aca="false">IF($U139&gt;=STRUCT_L,MAX(INDEX($G$5:$G139,136-STRUCT_L):$G139),"")</f>
        <v>7388</v>
      </c>
      <c r="AL139" s="48" t="n">
        <f aca="false">IF($U139&gt;=STRUCT_L,MIN(INDEX($H$5:$H139,136-STRUCT_L):$H139),"")</f>
        <v>5971</v>
      </c>
      <c r="AM139" s="46" t="n">
        <f aca="false">IF($A139&lt;&gt;$A140,1,0)</f>
        <v>0</v>
      </c>
      <c r="AN139" s="47" t="str">
        <f aca="false">IF($AM139=1,$A139,"")</f>
        <v/>
      </c>
    </row>
    <row r="140" customFormat="false" ht="15" hidden="false" customHeight="false" outlineLevel="0" collapsed="false">
      <c r="A140" s="43" t="s">
        <v>130</v>
      </c>
      <c r="B140" s="44" t="s">
        <v>132</v>
      </c>
      <c r="C140" s="45" t="n">
        <v>46095</v>
      </c>
      <c r="D140" s="46" t="n">
        <v>20260314</v>
      </c>
      <c r="E140" s="47" t="s">
        <v>423</v>
      </c>
      <c r="F140" s="48" t="n">
        <v>7009</v>
      </c>
      <c r="G140" s="48" t="n">
        <v>7061</v>
      </c>
      <c r="H140" s="48" t="n">
        <v>6806</v>
      </c>
      <c r="I140" s="48" t="n">
        <v>7005</v>
      </c>
      <c r="J140" s="48" t="n">
        <v>6931</v>
      </c>
      <c r="K140" s="48" t="n">
        <v>6861</v>
      </c>
      <c r="L140" s="48" t="n">
        <v>51246639</v>
      </c>
      <c r="M140" s="48" t="n">
        <v>358982706195</v>
      </c>
      <c r="N140" s="48" t="n">
        <v>4677</v>
      </c>
      <c r="O140" s="48" t="n">
        <v>34835625</v>
      </c>
      <c r="P140" s="48" t="n">
        <v>14206554</v>
      </c>
      <c r="Q140" s="48" t="n">
        <v>1592</v>
      </c>
      <c r="R140" s="48" t="n">
        <v>2316</v>
      </c>
      <c r="S140" s="48" t="n">
        <v>16411014</v>
      </c>
      <c r="T140" s="48" t="n">
        <v>37040085</v>
      </c>
      <c r="U140" s="46" t="n">
        <f aca="false">IF($A140=$A139,$U139+1,1)</f>
        <v>136</v>
      </c>
      <c r="V140" s="48" t="n">
        <f aca="false">IF($U140&gt;=MA_SHORT,AVERAGE(INDEX($I$5:$I140,137-MA_SHORT):$I140),"")</f>
        <v>6948.9</v>
      </c>
      <c r="W140" s="48" t="n">
        <f aca="false">IF($U140&gt;=MA_MED,AVERAGE(INDEX($I$5:$I140,137-MA_MED):$I140),"")</f>
        <v>6726.04</v>
      </c>
      <c r="X140" s="48" t="n">
        <f aca="false">IF($U140&gt;=MA_LONG1,AVERAGE(INDEX($I$5:$I140,137-MA_LONG1):$I140),"")</f>
        <v>6490.49</v>
      </c>
      <c r="Y140" s="48" t="str">
        <f aca="false">IF($U140&gt;=MA_LONG2,AVERAGE(INDEX($I$5:$I140,137-MA_LONG2):$I140),"")</f>
        <v/>
      </c>
      <c r="Z140" s="48" t="n">
        <f aca="false">IF($U140&gt;=MA_SHORT,AVERAGE(INDEX($L$20:$L140,122-MA_SHORT):$L140),"")</f>
        <v>53042254.3</v>
      </c>
      <c r="AA140" s="48" t="n">
        <f aca="false">IF($U140=1,$G140-$H140,MAX($G140-$H140,ABS($G140-$I139),ABS($H140-$I139)))</f>
        <v>255</v>
      </c>
      <c r="AB140" s="48" t="n">
        <f aca="false">IF($U140&gt;=ATR_PER,AVERAGE(INDEX($AA$20:$AA140,122-ATR_PER):$AA140),"")</f>
        <v>234.785714285714</v>
      </c>
      <c r="AC140" s="48" t="n">
        <f aca="false">$O140-$P140</f>
        <v>20629071</v>
      </c>
      <c r="AD140" s="48" t="n">
        <f aca="false">$AC140*$I140</f>
        <v>144506642355</v>
      </c>
      <c r="AE140" s="49" t="n">
        <f aca="false">IF($Q140&gt;0,$O140*$I140/$Q140/1000000,"")</f>
        <v>153.281126334799</v>
      </c>
      <c r="AF140" s="49" t="n">
        <f aca="false">IF($R140&gt;0,$P140*$I140/$R140/1000000,"")</f>
        <v>42.9693051683938</v>
      </c>
      <c r="AG140" s="50" t="n">
        <f aca="false">IF(AND(ISNUMBER($AE140),ISNUMBER($AF140),$AF140&gt;0),$AE140/$AF140,"")</f>
        <v>3.56722375970709</v>
      </c>
      <c r="AH140" s="48" t="n">
        <f aca="false">IF($U140&gt;=5,SUM(INDEX($AD$110:$AD140,32-5):$AD140),"")</f>
        <v>335699337671</v>
      </c>
      <c r="AI140" s="48" t="n">
        <f aca="false">IF($U140&gt;=STRUCT_S,MAX(INDEX($G$5:$G140,137-STRUCT_S):$G140),"")</f>
        <v>7388</v>
      </c>
      <c r="AJ140" s="48" t="n">
        <f aca="false">IF($U140&gt;=STRUCT_S,MIN(INDEX($H$5:$H140,137-STRUCT_S):$H140),"")</f>
        <v>6451</v>
      </c>
      <c r="AK140" s="48" t="n">
        <f aca="false">IF($U140&gt;=STRUCT_L,MAX(INDEX($G$5:$G140,137-STRUCT_L):$G140),"")</f>
        <v>7388</v>
      </c>
      <c r="AL140" s="48" t="n">
        <f aca="false">IF($U140&gt;=STRUCT_L,MIN(INDEX($H$5:$H140,137-STRUCT_L):$H140),"")</f>
        <v>5971</v>
      </c>
      <c r="AM140" s="46" t="n">
        <f aca="false">IF($A140&lt;&gt;$A141,1,0)</f>
        <v>0</v>
      </c>
      <c r="AN140" s="47" t="str">
        <f aca="false">IF($AM140=1,$A140,"")</f>
        <v/>
      </c>
    </row>
    <row r="141" customFormat="false" ht="15" hidden="false" customHeight="false" outlineLevel="0" collapsed="false">
      <c r="A141" s="43" t="s">
        <v>130</v>
      </c>
      <c r="B141" s="44" t="s">
        <v>132</v>
      </c>
      <c r="C141" s="45" t="n">
        <v>46096</v>
      </c>
      <c r="D141" s="46" t="n">
        <v>20260315</v>
      </c>
      <c r="E141" s="47" t="s">
        <v>424</v>
      </c>
      <c r="F141" s="48" t="n">
        <v>7054</v>
      </c>
      <c r="G141" s="48" t="n">
        <v>7095</v>
      </c>
      <c r="H141" s="48" t="n">
        <v>6905</v>
      </c>
      <c r="I141" s="48" t="n">
        <v>6995</v>
      </c>
      <c r="J141" s="48" t="n">
        <v>6947</v>
      </c>
      <c r="K141" s="48" t="n">
        <v>7005</v>
      </c>
      <c r="L141" s="48" t="n">
        <v>43279606</v>
      </c>
      <c r="M141" s="48" t="n">
        <v>302740843970</v>
      </c>
      <c r="N141" s="48" t="n">
        <v>1147</v>
      </c>
      <c r="O141" s="48" t="n">
        <v>27117238</v>
      </c>
      <c r="P141" s="48" t="n">
        <v>14644776</v>
      </c>
      <c r="Q141" s="48" t="n">
        <v>747</v>
      </c>
      <c r="R141" s="48" t="n">
        <v>460</v>
      </c>
      <c r="S141" s="48" t="n">
        <v>16162368</v>
      </c>
      <c r="T141" s="48" t="n">
        <v>28634830</v>
      </c>
      <c r="U141" s="46" t="n">
        <f aca="false">IF($A141=$A140,$U140+1,1)</f>
        <v>137</v>
      </c>
      <c r="V141" s="48" t="n">
        <f aca="false">IF($U141&gt;=MA_SHORT,AVERAGE(INDEX($I$5:$I141,138-MA_SHORT):$I141),"")</f>
        <v>6969.9</v>
      </c>
      <c r="W141" s="48" t="n">
        <f aca="false">IF($U141&gt;=MA_MED,AVERAGE(INDEX($I$5:$I141,138-MA_MED):$I141),"")</f>
        <v>6738.34</v>
      </c>
      <c r="X141" s="48" t="n">
        <f aca="false">IF($U141&gt;=MA_LONG1,AVERAGE(INDEX($I$5:$I141,138-MA_LONG1):$I141),"")</f>
        <v>6496.47</v>
      </c>
      <c r="Y141" s="48" t="str">
        <f aca="false">IF($U141&gt;=MA_LONG2,AVERAGE(INDEX($I$5:$I141,138-MA_LONG2):$I141),"")</f>
        <v/>
      </c>
      <c r="Z141" s="48" t="n">
        <f aca="false">IF($U141&gt;=MA_SHORT,AVERAGE(INDEX($L$21:$L141,122-MA_SHORT):$L141),"")</f>
        <v>53001623.9</v>
      </c>
      <c r="AA141" s="48" t="n">
        <f aca="false">IF($U141=1,$G141-$H141,MAX($G141-$H141,ABS($G141-$I140),ABS($H141-$I140)))</f>
        <v>190</v>
      </c>
      <c r="AB141" s="48" t="n">
        <f aca="false">IF($U141&gt;=ATR_PER,AVERAGE(INDEX($AA$21:$AA141,122-ATR_PER):$AA141),"")</f>
        <v>235.285714285714</v>
      </c>
      <c r="AC141" s="48" t="n">
        <f aca="false">$O141-$P141</f>
        <v>12472462</v>
      </c>
      <c r="AD141" s="48" t="n">
        <f aca="false">$AC141*$I141</f>
        <v>87244871690</v>
      </c>
      <c r="AE141" s="49" t="n">
        <f aca="false">IF($Q141&gt;0,$O141*$I141/$Q141/1000000,"")</f>
        <v>253.929156372155</v>
      </c>
      <c r="AF141" s="49" t="n">
        <f aca="false">IF($R141&gt;0,$P141*$I141/$R141/1000000,"")</f>
        <v>222.696104608696</v>
      </c>
      <c r="AG141" s="50" t="n">
        <f aca="false">IF(AND(ISNUMBER($AE141),ISNUMBER($AF141),$AF141&gt;0),$AE141/$AF141,"")</f>
        <v>1.14024965465085</v>
      </c>
      <c r="AH141" s="48" t="n">
        <f aca="false">IF($U141&gt;=5,SUM(INDEX($AD$111:$AD141,32-5):$AD141),"")</f>
        <v>457698676142</v>
      </c>
      <c r="AI141" s="48" t="n">
        <f aca="false">IF($U141&gt;=STRUCT_S,MAX(INDEX($G$5:$G141,138-STRUCT_S):$G141),"")</f>
        <v>7388</v>
      </c>
      <c r="AJ141" s="48" t="n">
        <f aca="false">IF($U141&gt;=STRUCT_S,MIN(INDEX($H$5:$H141,138-STRUCT_S):$H141),"")</f>
        <v>6555</v>
      </c>
      <c r="AK141" s="48" t="n">
        <f aca="false">IF($U141&gt;=STRUCT_L,MAX(INDEX($G$5:$G141,138-STRUCT_L):$G141),"")</f>
        <v>7388</v>
      </c>
      <c r="AL141" s="48" t="n">
        <f aca="false">IF($U141&gt;=STRUCT_L,MIN(INDEX($H$5:$H141,138-STRUCT_L):$H141),"")</f>
        <v>5971</v>
      </c>
      <c r="AM141" s="46" t="n">
        <f aca="false">IF($A141&lt;&gt;$A142,1,0)</f>
        <v>0</v>
      </c>
      <c r="AN141" s="47" t="str">
        <f aca="false">IF($AM141=1,$A141,"")</f>
        <v/>
      </c>
    </row>
    <row r="142" customFormat="false" ht="15" hidden="false" customHeight="false" outlineLevel="0" collapsed="false">
      <c r="A142" s="43" t="s">
        <v>130</v>
      </c>
      <c r="B142" s="44" t="s">
        <v>132</v>
      </c>
      <c r="C142" s="45" t="n">
        <v>46097</v>
      </c>
      <c r="D142" s="46" t="n">
        <v>20260316</v>
      </c>
      <c r="E142" s="47" t="s">
        <v>425</v>
      </c>
      <c r="F142" s="48" t="n">
        <v>7216</v>
      </c>
      <c r="G142" s="48" t="n">
        <v>7259</v>
      </c>
      <c r="H142" s="48" t="n">
        <v>6950</v>
      </c>
      <c r="I142" s="48" t="n">
        <v>7212</v>
      </c>
      <c r="J142" s="48" t="n">
        <v>7034</v>
      </c>
      <c r="K142" s="48" t="n">
        <v>6995</v>
      </c>
      <c r="L142" s="48" t="n">
        <v>50899397</v>
      </c>
      <c r="M142" s="48" t="n">
        <v>367086451164</v>
      </c>
      <c r="N142" s="48" t="n">
        <v>1564</v>
      </c>
      <c r="O142" s="48" t="n">
        <v>34605206</v>
      </c>
      <c r="P142" s="48" t="n">
        <v>13564794</v>
      </c>
      <c r="Q142" s="48" t="n">
        <v>509</v>
      </c>
      <c r="R142" s="48" t="n">
        <v>1156</v>
      </c>
      <c r="S142" s="48" t="n">
        <v>16294191</v>
      </c>
      <c r="T142" s="48" t="n">
        <v>37334603</v>
      </c>
      <c r="U142" s="46" t="n">
        <f aca="false">IF($A142=$A141,$U141+1,1)</f>
        <v>138</v>
      </c>
      <c r="V142" s="48" t="n">
        <f aca="false">IF($U142&gt;=MA_SHORT,AVERAGE(INDEX($I$5:$I142,139-MA_SHORT):$I142),"")</f>
        <v>6994.65</v>
      </c>
      <c r="W142" s="48" t="n">
        <f aca="false">IF($U142&gt;=MA_MED,AVERAGE(INDEX($I$5:$I142,139-MA_MED):$I142),"")</f>
        <v>6756.54</v>
      </c>
      <c r="X142" s="48" t="n">
        <f aca="false">IF($U142&gt;=MA_LONG1,AVERAGE(INDEX($I$5:$I142,139-MA_LONG1):$I142),"")</f>
        <v>6504.91</v>
      </c>
      <c r="Y142" s="48" t="str">
        <f aca="false">IF($U142&gt;=MA_LONG2,AVERAGE(INDEX($I$5:$I142,139-MA_LONG2):$I142),"")</f>
        <v/>
      </c>
      <c r="Z142" s="48" t="n">
        <f aca="false">IF($U142&gt;=MA_SHORT,AVERAGE(INDEX($L$22:$L142,122-MA_SHORT):$L142),"")</f>
        <v>53054943.9</v>
      </c>
      <c r="AA142" s="48" t="n">
        <f aca="false">IF($U142=1,$G142-$H142,MAX($G142-$H142,ABS($G142-$I141),ABS($H142-$I141)))</f>
        <v>309</v>
      </c>
      <c r="AB142" s="48" t="n">
        <f aca="false">IF($U142&gt;=ATR_PER,AVERAGE(INDEX($AA$22:$AA142,122-ATR_PER):$AA142),"")</f>
        <v>235.857142857143</v>
      </c>
      <c r="AC142" s="48" t="n">
        <f aca="false">$O142-$P142</f>
        <v>21040412</v>
      </c>
      <c r="AD142" s="48" t="n">
        <f aca="false">$AC142*$I142</f>
        <v>151743451344</v>
      </c>
      <c r="AE142" s="49" t="n">
        <f aca="false">IF($Q142&gt;0,$O142*$I142/$Q142/1000000,"")</f>
        <v>490.319736094303</v>
      </c>
      <c r="AF142" s="49" t="n">
        <f aca="false">IF($R142&gt;0,$P142*$I142/$R142/1000000,"")</f>
        <v>84.6274172387543</v>
      </c>
      <c r="AG142" s="50" t="n">
        <f aca="false">IF(AND(ISNUMBER($AE142),ISNUMBER($AF142),$AF142&gt;0),$AE142/$AF142,"")</f>
        <v>5.79386388114614</v>
      </c>
      <c r="AH142" s="48" t="n">
        <f aca="false">IF($U142&gt;=5,SUM(INDEX($AD$112:$AD142,32-5):$AD142),"")</f>
        <v>562442688186</v>
      </c>
      <c r="AI142" s="48" t="n">
        <f aca="false">IF($U142&gt;=STRUCT_S,MAX(INDEX($G$5:$G142,139-STRUCT_S):$G142),"")</f>
        <v>7388</v>
      </c>
      <c r="AJ142" s="48" t="n">
        <f aca="false">IF($U142&gt;=STRUCT_S,MIN(INDEX($H$5:$H142,139-STRUCT_S):$H142),"")</f>
        <v>6687</v>
      </c>
      <c r="AK142" s="48" t="n">
        <f aca="false">IF($U142&gt;=STRUCT_L,MAX(INDEX($G$5:$G142,139-STRUCT_L):$G142),"")</f>
        <v>7388</v>
      </c>
      <c r="AL142" s="48" t="n">
        <f aca="false">IF($U142&gt;=STRUCT_L,MIN(INDEX($H$5:$H142,139-STRUCT_L):$H142),"")</f>
        <v>5971</v>
      </c>
      <c r="AM142" s="46" t="n">
        <f aca="false">IF($A142&lt;&gt;$A143,1,0)</f>
        <v>0</v>
      </c>
      <c r="AN142" s="47" t="str">
        <f aca="false">IF($AM142=1,$A142,"")</f>
        <v/>
      </c>
    </row>
    <row r="143" customFormat="false" ht="15" hidden="false" customHeight="false" outlineLevel="0" collapsed="false">
      <c r="A143" s="43" t="s">
        <v>130</v>
      </c>
      <c r="B143" s="44" t="s">
        <v>132</v>
      </c>
      <c r="C143" s="45" t="n">
        <v>46098</v>
      </c>
      <c r="D143" s="46" t="n">
        <v>20260317</v>
      </c>
      <c r="E143" s="47" t="s">
        <v>426</v>
      </c>
      <c r="F143" s="48" t="n">
        <v>7216</v>
      </c>
      <c r="G143" s="48" t="n">
        <v>7303</v>
      </c>
      <c r="H143" s="48" t="n">
        <v>7101</v>
      </c>
      <c r="I143" s="48" t="n">
        <v>7192</v>
      </c>
      <c r="J143" s="48" t="n">
        <v>7193</v>
      </c>
      <c r="K143" s="48" t="n">
        <v>7212</v>
      </c>
      <c r="L143" s="48" t="n">
        <v>50923759</v>
      </c>
      <c r="M143" s="48" t="n">
        <v>366243674728</v>
      </c>
      <c r="N143" s="48" t="n">
        <v>1221</v>
      </c>
      <c r="O143" s="48" t="n">
        <v>30065686</v>
      </c>
      <c r="P143" s="48" t="n">
        <v>19540633</v>
      </c>
      <c r="Q143" s="48" t="n">
        <v>518</v>
      </c>
      <c r="R143" s="48" t="n">
        <v>317</v>
      </c>
      <c r="S143" s="48" t="n">
        <v>20858073</v>
      </c>
      <c r="T143" s="48" t="n">
        <v>31383126</v>
      </c>
      <c r="U143" s="46" t="n">
        <f aca="false">IF($A143=$A142,$U142+1,1)</f>
        <v>139</v>
      </c>
      <c r="V143" s="48" t="n">
        <f aca="false">IF($U143&gt;=MA_SHORT,AVERAGE(INDEX($I$5:$I143,140-MA_SHORT):$I143),"")</f>
        <v>7012.25</v>
      </c>
      <c r="W143" s="48" t="n">
        <f aca="false">IF($U143&gt;=MA_MED,AVERAGE(INDEX($I$5:$I143,140-MA_MED):$I143),"")</f>
        <v>6772.46</v>
      </c>
      <c r="X143" s="48" t="n">
        <f aca="false">IF($U143&gt;=MA_LONG1,AVERAGE(INDEX($I$5:$I143,140-MA_LONG1):$I143),"")</f>
        <v>6512.92</v>
      </c>
      <c r="Y143" s="48" t="str">
        <f aca="false">IF($U143&gt;=MA_LONG2,AVERAGE(INDEX($I$5:$I143,140-MA_LONG2):$I143),"")</f>
        <v/>
      </c>
      <c r="Z143" s="48" t="n">
        <f aca="false">IF($U143&gt;=MA_SHORT,AVERAGE(INDEX($L$23:$L143,122-MA_SHORT):$L143),"")</f>
        <v>53219790.95</v>
      </c>
      <c r="AA143" s="48" t="n">
        <f aca="false">IF($U143=1,$G143-$H143,MAX($G143-$H143,ABS($G143-$I142),ABS($H143-$I142)))</f>
        <v>202</v>
      </c>
      <c r="AB143" s="48" t="n">
        <f aca="false">IF($U143&gt;=ATR_PER,AVERAGE(INDEX($AA$23:$AA143,122-ATR_PER):$AA143),"")</f>
        <v>245.357142857143</v>
      </c>
      <c r="AC143" s="48" t="n">
        <f aca="false">$O143-$P143</f>
        <v>10525053</v>
      </c>
      <c r="AD143" s="48" t="n">
        <f aca="false">$AC143*$I143</f>
        <v>75696181176</v>
      </c>
      <c r="AE143" s="49" t="n">
        <f aca="false">IF($Q143&gt;0,$O143*$I143/$Q143/1000000,"")</f>
        <v>417.437092108108</v>
      </c>
      <c r="AF143" s="49" t="n">
        <f aca="false">IF($R143&gt;0,$P143*$I143/$R143/1000000,"")</f>
        <v>443.331963835962</v>
      </c>
      <c r="AG143" s="50" t="n">
        <f aca="false">IF(AND(ISNUMBER($AE143),ISNUMBER($AF143),$AF143&gt;0),$AE143/$AF143,"")</f>
        <v>0.941590334466758</v>
      </c>
      <c r="AH143" s="48" t="n">
        <f aca="false">IF($U143&gt;=5,SUM(INDEX($AD$113:$AD143,32-5):$AD143),"")</f>
        <v>509837806724</v>
      </c>
      <c r="AI143" s="48" t="n">
        <f aca="false">IF($U143&gt;=STRUCT_S,MAX(INDEX($G$5:$G143,140-STRUCT_S):$G143),"")</f>
        <v>7388</v>
      </c>
      <c r="AJ143" s="48" t="n">
        <f aca="false">IF($U143&gt;=STRUCT_S,MIN(INDEX($H$5:$H143,140-STRUCT_S):$H143),"")</f>
        <v>6687</v>
      </c>
      <c r="AK143" s="48" t="n">
        <f aca="false">IF($U143&gt;=STRUCT_L,MAX(INDEX($G$5:$G143,140-STRUCT_L):$G143),"")</f>
        <v>7388</v>
      </c>
      <c r="AL143" s="48" t="n">
        <f aca="false">IF($U143&gt;=STRUCT_L,MIN(INDEX($H$5:$H143,140-STRUCT_L):$H143),"")</f>
        <v>5971</v>
      </c>
      <c r="AM143" s="46" t="n">
        <f aca="false">IF($A143&lt;&gt;$A144,1,0)</f>
        <v>0</v>
      </c>
      <c r="AN143" s="47" t="str">
        <f aca="false">IF($AM143=1,$A143,"")</f>
        <v/>
      </c>
    </row>
    <row r="144" customFormat="false" ht="15" hidden="false" customHeight="false" outlineLevel="0" collapsed="false">
      <c r="A144" s="43" t="s">
        <v>130</v>
      </c>
      <c r="B144" s="44" t="s">
        <v>132</v>
      </c>
      <c r="C144" s="45" t="n">
        <v>46099</v>
      </c>
      <c r="D144" s="46" t="n">
        <v>20260318</v>
      </c>
      <c r="E144" s="47" t="s">
        <v>427</v>
      </c>
      <c r="F144" s="48" t="n">
        <v>7269</v>
      </c>
      <c r="G144" s="48" t="n">
        <v>7343</v>
      </c>
      <c r="H144" s="48" t="n">
        <v>7110</v>
      </c>
      <c r="I144" s="48" t="n">
        <v>7260</v>
      </c>
      <c r="J144" s="48" t="n">
        <v>7252</v>
      </c>
      <c r="K144" s="48" t="n">
        <v>7192</v>
      </c>
      <c r="L144" s="48" t="n">
        <v>45346438</v>
      </c>
      <c r="M144" s="48" t="n">
        <v>329215139880</v>
      </c>
      <c r="N144" s="48" t="n">
        <v>1041</v>
      </c>
      <c r="O144" s="48" t="n">
        <v>28627725</v>
      </c>
      <c r="P144" s="48" t="n">
        <v>11843359</v>
      </c>
      <c r="Q144" s="48" t="n">
        <v>268</v>
      </c>
      <c r="R144" s="48" t="n">
        <v>648</v>
      </c>
      <c r="S144" s="48" t="n">
        <v>16718713</v>
      </c>
      <c r="T144" s="48" t="n">
        <v>33503079</v>
      </c>
      <c r="U144" s="46" t="n">
        <f aca="false">IF($A144=$A143,$U143+1,1)</f>
        <v>140</v>
      </c>
      <c r="V144" s="48" t="n">
        <f aca="false">IF($U144&gt;=MA_SHORT,AVERAGE(INDEX($I$5:$I144,141-MA_SHORT):$I144),"")</f>
        <v>7034.4</v>
      </c>
      <c r="W144" s="48" t="n">
        <f aca="false">IF($U144&gt;=MA_MED,AVERAGE(INDEX($I$5:$I144,141-MA_MED):$I144),"")</f>
        <v>6785.06</v>
      </c>
      <c r="X144" s="48" t="n">
        <f aca="false">IF($U144&gt;=MA_LONG1,AVERAGE(INDEX($I$5:$I144,141-MA_LONG1):$I144),"")</f>
        <v>6521.44</v>
      </c>
      <c r="Y144" s="48" t="str">
        <f aca="false">IF($U144&gt;=MA_LONG2,AVERAGE(INDEX($I$5:$I144,141-MA_LONG2):$I144),"")</f>
        <v/>
      </c>
      <c r="Z144" s="48" t="n">
        <f aca="false">IF($U144&gt;=MA_SHORT,AVERAGE(INDEX($L$24:$L144,122-MA_SHORT):$L144),"")</f>
        <v>53298221.85</v>
      </c>
      <c r="AA144" s="48" t="n">
        <f aca="false">IF($U144=1,$G144-$H144,MAX($G144-$H144,ABS($G144-$I143),ABS($H144-$I143)))</f>
        <v>233</v>
      </c>
      <c r="AB144" s="48" t="n">
        <f aca="false">IF($U144&gt;=ATR_PER,AVERAGE(INDEX($AA$24:$AA144,122-ATR_PER):$AA144),"")</f>
        <v>243.714285714286</v>
      </c>
      <c r="AC144" s="48" t="n">
        <f aca="false">$O144-$P144</f>
        <v>16784366</v>
      </c>
      <c r="AD144" s="48" t="n">
        <f aca="false">$AC144*$I144</f>
        <v>121854497160</v>
      </c>
      <c r="AE144" s="49" t="n">
        <f aca="false">IF($Q144&gt;0,$O144*$I144/$Q144/1000000,"")</f>
        <v>775.512251865672</v>
      </c>
      <c r="AF144" s="49" t="n">
        <f aca="false">IF($R144&gt;0,$P144*$I144/$R144/1000000,"")</f>
        <v>132.689485092593</v>
      </c>
      <c r="AG144" s="50" t="n">
        <f aca="false">IF(AND(ISNUMBER($AE144),ISNUMBER($AF144),$AF144&gt;0),$AE144/$AF144,"")</f>
        <v>5.84456448319555</v>
      </c>
      <c r="AH144" s="48" t="n">
        <f aca="false">IF($U144&gt;=5,SUM(INDEX($AD$114:$AD144,32-5):$AD144),"")</f>
        <v>581045643725</v>
      </c>
      <c r="AI144" s="48" t="n">
        <f aca="false">IF($U144&gt;=STRUCT_S,MAX(INDEX($G$5:$G144,141-STRUCT_S):$G144),"")</f>
        <v>7388</v>
      </c>
      <c r="AJ144" s="48" t="n">
        <f aca="false">IF($U144&gt;=STRUCT_S,MIN(INDEX($H$5:$H144,141-STRUCT_S):$H144),"")</f>
        <v>6687</v>
      </c>
      <c r="AK144" s="48" t="n">
        <f aca="false">IF($U144&gt;=STRUCT_L,MAX(INDEX($G$5:$G144,141-STRUCT_L):$G144),"")</f>
        <v>7388</v>
      </c>
      <c r="AL144" s="48" t="n">
        <f aca="false">IF($U144&gt;=STRUCT_L,MIN(INDEX($H$5:$H144,141-STRUCT_L):$H144),"")</f>
        <v>5971</v>
      </c>
      <c r="AM144" s="46" t="n">
        <f aca="false">IF($A144&lt;&gt;$A145,1,0)</f>
        <v>0</v>
      </c>
      <c r="AN144" s="47" t="str">
        <f aca="false">IF($AM144=1,$A144,"")</f>
        <v/>
      </c>
    </row>
    <row r="145" customFormat="false" ht="15" hidden="false" customHeight="false" outlineLevel="0" collapsed="false">
      <c r="A145" s="43" t="s">
        <v>130</v>
      </c>
      <c r="B145" s="44" t="s">
        <v>132</v>
      </c>
      <c r="C145" s="45" t="n">
        <v>46102</v>
      </c>
      <c r="D145" s="46" t="n">
        <v>20260321</v>
      </c>
      <c r="E145" s="47" t="s">
        <v>428</v>
      </c>
      <c r="F145" s="48" t="n">
        <v>7204</v>
      </c>
      <c r="G145" s="48" t="n">
        <v>7422</v>
      </c>
      <c r="H145" s="48" t="n">
        <v>7089</v>
      </c>
      <c r="I145" s="48" t="n">
        <v>7250</v>
      </c>
      <c r="J145" s="48" t="n">
        <v>7411</v>
      </c>
      <c r="K145" s="48" t="n">
        <v>7260</v>
      </c>
      <c r="L145" s="48" t="n">
        <v>44991737</v>
      </c>
      <c r="M145" s="48" t="n">
        <v>326190093250</v>
      </c>
      <c r="N145" s="48" t="n">
        <v>1238</v>
      </c>
      <c r="O145" s="48" t="n">
        <v>23739636</v>
      </c>
      <c r="P145" s="48" t="n">
        <v>21258492</v>
      </c>
      <c r="Q145" s="48" t="n">
        <v>507</v>
      </c>
      <c r="R145" s="48" t="n">
        <v>426</v>
      </c>
      <c r="S145" s="48" t="n">
        <v>21252101</v>
      </c>
      <c r="T145" s="48" t="n">
        <v>23733245</v>
      </c>
      <c r="U145" s="46" t="n">
        <f aca="false">IF($A145=$A144,$U144+1,1)</f>
        <v>141</v>
      </c>
      <c r="V145" s="48" t="n">
        <f aca="false">IF($U145&gt;=MA_SHORT,AVERAGE(INDEX($I$5:$I145,142-MA_SHORT):$I145),"")</f>
        <v>7052.75</v>
      </c>
      <c r="W145" s="48" t="n">
        <f aca="false">IF($U145&gt;=MA_MED,AVERAGE(INDEX($I$5:$I145,142-MA_MED):$I145),"")</f>
        <v>6797.24</v>
      </c>
      <c r="X145" s="48" t="n">
        <f aca="false">IF($U145&gt;=MA_LONG1,AVERAGE(INDEX($I$5:$I145,142-MA_LONG1):$I145),"")</f>
        <v>6530.41</v>
      </c>
      <c r="Y145" s="48" t="str">
        <f aca="false">IF($U145&gt;=MA_LONG2,AVERAGE(INDEX($I$5:$I145,142-MA_LONG2):$I145),"")</f>
        <v/>
      </c>
      <c r="Z145" s="48" t="n">
        <f aca="false">IF($U145&gt;=MA_SHORT,AVERAGE(INDEX($L$25:$L145,122-MA_SHORT):$L145),"")</f>
        <v>51804731.45</v>
      </c>
      <c r="AA145" s="48" t="n">
        <f aca="false">IF($U145=1,$G145-$H145,MAX($G145-$H145,ABS($G145-$I144),ABS($H145-$I144)))</f>
        <v>333</v>
      </c>
      <c r="AB145" s="48" t="n">
        <f aca="false">IF($U145&gt;=ATR_PER,AVERAGE(INDEX($AA$25:$AA145,122-ATR_PER):$AA145),"")</f>
        <v>240.714285714286</v>
      </c>
      <c r="AC145" s="48" t="n">
        <f aca="false">$O145-$P145</f>
        <v>2481144</v>
      </c>
      <c r="AD145" s="48" t="n">
        <f aca="false">$AC145*$I145</f>
        <v>17988294000</v>
      </c>
      <c r="AE145" s="49" t="n">
        <f aca="false">IF($Q145&gt;0,$O145*$I145/$Q145/1000000,"")</f>
        <v>339.472112426036</v>
      </c>
      <c r="AF145" s="49" t="n">
        <f aca="false">IF($R145&gt;0,$P145*$I145/$R145/1000000,"")</f>
        <v>361.793584507042</v>
      </c>
      <c r="AG145" s="50" t="n">
        <f aca="false">IF(AND(ISNUMBER($AE145),ISNUMBER($AF145),$AF145&gt;0),$AE145/$AF145,"")</f>
        <v>0.938303294925971</v>
      </c>
      <c r="AH145" s="48" t="n">
        <f aca="false">IF($U145&gt;=5,SUM(INDEX($AD$115:$AD145,32-5):$AD145),"")</f>
        <v>454527295370</v>
      </c>
      <c r="AI145" s="48" t="n">
        <f aca="false">IF($U145&gt;=STRUCT_S,MAX(INDEX($G$5:$G145,142-STRUCT_S):$G145),"")</f>
        <v>7422</v>
      </c>
      <c r="AJ145" s="48" t="n">
        <f aca="false">IF($U145&gt;=STRUCT_S,MIN(INDEX($H$5:$H145,142-STRUCT_S):$H145),"")</f>
        <v>6687</v>
      </c>
      <c r="AK145" s="48" t="n">
        <f aca="false">IF($U145&gt;=STRUCT_L,MAX(INDEX($G$5:$G145,142-STRUCT_L):$G145),"")</f>
        <v>7422</v>
      </c>
      <c r="AL145" s="48" t="n">
        <f aca="false">IF($U145&gt;=STRUCT_L,MIN(INDEX($H$5:$H145,142-STRUCT_L):$H145),"")</f>
        <v>5971</v>
      </c>
      <c r="AM145" s="46" t="n">
        <f aca="false">IF($A145&lt;&gt;$A146,1,0)</f>
        <v>0</v>
      </c>
      <c r="AN145" s="47" t="str">
        <f aca="false">IF($AM145=1,$A145,"")</f>
        <v/>
      </c>
    </row>
    <row r="146" customFormat="false" ht="15" hidden="false" customHeight="false" outlineLevel="0" collapsed="false">
      <c r="A146" s="43" t="s">
        <v>130</v>
      </c>
      <c r="B146" s="44" t="s">
        <v>132</v>
      </c>
      <c r="C146" s="45" t="n">
        <v>46103</v>
      </c>
      <c r="D146" s="46" t="n">
        <v>20260322</v>
      </c>
      <c r="E146" s="47" t="s">
        <v>429</v>
      </c>
      <c r="F146" s="48" t="n">
        <v>6988</v>
      </c>
      <c r="G146" s="48" t="n">
        <v>7428</v>
      </c>
      <c r="H146" s="48" t="n">
        <v>6987</v>
      </c>
      <c r="I146" s="48" t="n">
        <v>7162</v>
      </c>
      <c r="J146" s="48" t="n">
        <v>6989</v>
      </c>
      <c r="K146" s="48" t="n">
        <v>7250</v>
      </c>
      <c r="L146" s="48" t="n">
        <v>48375416</v>
      </c>
      <c r="M146" s="48" t="n">
        <v>346464729392</v>
      </c>
      <c r="N146" s="48" t="n">
        <v>1201</v>
      </c>
      <c r="O146" s="48" t="n">
        <v>29025407</v>
      </c>
      <c r="P146" s="48" t="n">
        <v>17224029</v>
      </c>
      <c r="Q146" s="48" t="n">
        <v>646</v>
      </c>
      <c r="R146" s="48" t="n">
        <v>322</v>
      </c>
      <c r="S146" s="48" t="n">
        <v>19350009</v>
      </c>
      <c r="T146" s="48" t="n">
        <v>31151387</v>
      </c>
      <c r="U146" s="46" t="n">
        <f aca="false">IF($A146=$A145,$U145+1,1)</f>
        <v>142</v>
      </c>
      <c r="V146" s="48" t="n">
        <f aca="false">IF($U146&gt;=MA_SHORT,AVERAGE(INDEX($I$5:$I146,143-MA_SHORT):$I146),"")</f>
        <v>7061.9</v>
      </c>
      <c r="W146" s="48" t="n">
        <f aca="false">IF($U146&gt;=MA_MED,AVERAGE(INDEX($I$5:$I146,143-MA_MED):$I146),"")</f>
        <v>6806.78</v>
      </c>
      <c r="X146" s="48" t="n">
        <f aca="false">IF($U146&gt;=MA_LONG1,AVERAGE(INDEX($I$5:$I146,143-MA_LONG1):$I146),"")</f>
        <v>6537.18</v>
      </c>
      <c r="Y146" s="48" t="str">
        <f aca="false">IF($U146&gt;=MA_LONG2,AVERAGE(INDEX($I$5:$I146,143-MA_LONG2):$I146),"")</f>
        <v/>
      </c>
      <c r="Z146" s="48" t="n">
        <f aca="false">IF($U146&gt;=MA_SHORT,AVERAGE(INDEX($L$26:$L146,122-MA_SHORT):$L146),"")</f>
        <v>51898346.15</v>
      </c>
      <c r="AA146" s="48" t="n">
        <f aca="false">IF($U146=1,$G146-$H146,MAX($G146-$H146,ABS($G146-$I145),ABS($H146-$I145)))</f>
        <v>441</v>
      </c>
      <c r="AB146" s="48" t="n">
        <f aca="false">IF($U146&gt;=ATR_PER,AVERAGE(INDEX($AA$26:$AA146,122-ATR_PER):$AA146),"")</f>
        <v>261.357142857143</v>
      </c>
      <c r="AC146" s="48" t="n">
        <f aca="false">$O146-$P146</f>
        <v>11801378</v>
      </c>
      <c r="AD146" s="48" t="n">
        <f aca="false">$AC146*$I146</f>
        <v>84521469236</v>
      </c>
      <c r="AE146" s="49" t="n">
        <f aca="false">IF($Q146&gt;0,$O146*$I146/$Q146/1000000,"")</f>
        <v>321.795611352941</v>
      </c>
      <c r="AF146" s="49" t="n">
        <f aca="false">IF($R146&gt;0,$P146*$I146/$R146/1000000,"")</f>
        <v>383.10091831677</v>
      </c>
      <c r="AG146" s="50" t="n">
        <f aca="false">IF(AND(ISNUMBER($AE146),ISNUMBER($AF146),$AF146&gt;0),$AE146/$AF146,"")</f>
        <v>0.839976089764582</v>
      </c>
      <c r="AH146" s="48" t="n">
        <f aca="false">IF($U146&gt;=5,SUM(INDEX($AD$116:$AD146,32-5):$AD146),"")</f>
        <v>451803892916</v>
      </c>
      <c r="AI146" s="48" t="n">
        <f aca="false">IF($U146&gt;=STRUCT_S,MAX(INDEX($G$5:$G146,143-STRUCT_S):$G146),"")</f>
        <v>7428</v>
      </c>
      <c r="AJ146" s="48" t="n">
        <f aca="false">IF($U146&gt;=STRUCT_S,MIN(INDEX($H$5:$H146,143-STRUCT_S):$H146),"")</f>
        <v>6687</v>
      </c>
      <c r="AK146" s="48" t="n">
        <f aca="false">IF($U146&gt;=STRUCT_L,MAX(INDEX($G$5:$G146,143-STRUCT_L):$G146),"")</f>
        <v>7428</v>
      </c>
      <c r="AL146" s="48" t="n">
        <f aca="false">IF($U146&gt;=STRUCT_L,MIN(INDEX($H$5:$H146,143-STRUCT_L):$H146),"")</f>
        <v>5971</v>
      </c>
      <c r="AM146" s="46" t="n">
        <f aca="false">IF($A146&lt;&gt;$A147,1,0)</f>
        <v>0</v>
      </c>
      <c r="AN146" s="47" t="str">
        <f aca="false">IF($AM146=1,$A146,"")</f>
        <v/>
      </c>
    </row>
    <row r="147" customFormat="false" ht="15" hidden="false" customHeight="false" outlineLevel="0" collapsed="false">
      <c r="A147" s="43" t="s">
        <v>130</v>
      </c>
      <c r="B147" s="44" t="s">
        <v>132</v>
      </c>
      <c r="C147" s="45" t="n">
        <v>46104</v>
      </c>
      <c r="D147" s="46" t="n">
        <v>20260323</v>
      </c>
      <c r="E147" s="47" t="s">
        <v>430</v>
      </c>
      <c r="F147" s="48" t="n">
        <v>6981</v>
      </c>
      <c r="G147" s="48" t="n">
        <v>7248</v>
      </c>
      <c r="H147" s="48" t="n">
        <v>6965</v>
      </c>
      <c r="I147" s="48" t="n">
        <v>7049</v>
      </c>
      <c r="J147" s="48" t="n">
        <v>7197</v>
      </c>
      <c r="K147" s="48" t="n">
        <v>7162</v>
      </c>
      <c r="L147" s="48" t="n">
        <v>54787714</v>
      </c>
      <c r="M147" s="48" t="n">
        <v>386198595986</v>
      </c>
      <c r="N147" s="48" t="n">
        <v>2658</v>
      </c>
      <c r="O147" s="48" t="n">
        <v>25431861</v>
      </c>
      <c r="P147" s="48" t="n">
        <v>33672541</v>
      </c>
      <c r="Q147" s="48" t="n">
        <v>1562</v>
      </c>
      <c r="R147" s="48" t="n">
        <v>942</v>
      </c>
      <c r="S147" s="48" t="n">
        <v>29355853</v>
      </c>
      <c r="T147" s="48" t="n">
        <v>21115173</v>
      </c>
      <c r="U147" s="46" t="n">
        <f aca="false">IF($A147=$A146,$U146+1,1)</f>
        <v>143</v>
      </c>
      <c r="V147" s="48" t="n">
        <f aca="false">IF($U147&gt;=MA_SHORT,AVERAGE(INDEX($I$5:$I147,144-MA_SHORT):$I147),"")</f>
        <v>7062.1</v>
      </c>
      <c r="W147" s="48" t="n">
        <f aca="false">IF($U147&gt;=MA_MED,AVERAGE(INDEX($I$5:$I147,144-MA_MED):$I147),"")</f>
        <v>6813.1</v>
      </c>
      <c r="X147" s="48" t="n">
        <f aca="false">IF($U147&gt;=MA_LONG1,AVERAGE(INDEX($I$5:$I147,144-MA_LONG1):$I147),"")</f>
        <v>6544.5</v>
      </c>
      <c r="Y147" s="48" t="str">
        <f aca="false">IF($U147&gt;=MA_LONG2,AVERAGE(INDEX($I$5:$I147,144-MA_LONG2):$I147),"")</f>
        <v/>
      </c>
      <c r="Z147" s="48" t="n">
        <f aca="false">IF($U147&gt;=MA_SHORT,AVERAGE(INDEX($L$27:$L147,122-MA_SHORT):$L147),"")</f>
        <v>52370384.3</v>
      </c>
      <c r="AA147" s="48" t="n">
        <f aca="false">IF($U147=1,$G147-$H147,MAX($G147-$H147,ABS($G147-$I146),ABS($H147-$I146)))</f>
        <v>283</v>
      </c>
      <c r="AB147" s="48" t="n">
        <f aca="false">IF($U147&gt;=ATR_PER,AVERAGE(INDEX($AA$27:$AA147,122-ATR_PER):$AA147),"")</f>
        <v>258.071428571429</v>
      </c>
      <c r="AC147" s="48" t="n">
        <f aca="false">$O147-$P147</f>
        <v>-8240680</v>
      </c>
      <c r="AD147" s="48" t="n">
        <f aca="false">$AC147*$I147</f>
        <v>-58088553320</v>
      </c>
      <c r="AE147" s="49" t="n">
        <f aca="false">IF($Q147&gt;0,$O147*$I147/$Q147/1000000,"")</f>
        <v>114.769006523047</v>
      </c>
      <c r="AF147" s="49" t="n">
        <f aca="false">IF($R147&gt;0,$P147*$I147/$R147/1000000,"")</f>
        <v>251.972124744161</v>
      </c>
      <c r="AG147" s="50" t="n">
        <f aca="false">IF(AND(ISNUMBER($AE147),ISNUMBER($AF147),$AF147&gt;0),$AE147/$AF147,"")</f>
        <v>0.455482949312657</v>
      </c>
      <c r="AH147" s="48" t="n">
        <f aca="false">IF($U147&gt;=5,SUM(INDEX($AD$117:$AD147,32-5):$AD147),"")</f>
        <v>241971888252</v>
      </c>
      <c r="AI147" s="48" t="n">
        <f aca="false">IF($U147&gt;=STRUCT_S,MAX(INDEX($G$5:$G147,144-STRUCT_S):$G147),"")</f>
        <v>7428</v>
      </c>
      <c r="AJ147" s="48" t="n">
        <f aca="false">IF($U147&gt;=STRUCT_S,MIN(INDEX($H$5:$H147,144-STRUCT_S):$H147),"")</f>
        <v>6687</v>
      </c>
      <c r="AK147" s="48" t="n">
        <f aca="false">IF($U147&gt;=STRUCT_L,MAX(INDEX($G$5:$G147,144-STRUCT_L):$G147),"")</f>
        <v>7428</v>
      </c>
      <c r="AL147" s="48" t="n">
        <f aca="false">IF($U147&gt;=STRUCT_L,MIN(INDEX($H$5:$H147,144-STRUCT_L):$H147),"")</f>
        <v>5971</v>
      </c>
      <c r="AM147" s="46" t="n">
        <f aca="false">IF($A147&lt;&gt;$A148,1,0)</f>
        <v>0</v>
      </c>
      <c r="AN147" s="47" t="str">
        <f aca="false">IF($AM147=1,$A147,"")</f>
        <v/>
      </c>
    </row>
    <row r="148" customFormat="false" ht="15" hidden="false" customHeight="false" outlineLevel="0" collapsed="false">
      <c r="A148" s="43" t="s">
        <v>130</v>
      </c>
      <c r="B148" s="44" t="s">
        <v>132</v>
      </c>
      <c r="C148" s="45" t="n">
        <v>46105</v>
      </c>
      <c r="D148" s="46" t="n">
        <v>20260324</v>
      </c>
      <c r="E148" s="47" t="s">
        <v>431</v>
      </c>
      <c r="F148" s="48" t="n">
        <v>7091</v>
      </c>
      <c r="G148" s="48" t="n">
        <v>7092</v>
      </c>
      <c r="H148" s="48" t="n">
        <v>7010</v>
      </c>
      <c r="I148" s="48" t="n">
        <v>7053</v>
      </c>
      <c r="J148" s="48" t="n">
        <v>7088</v>
      </c>
      <c r="K148" s="48" t="n">
        <v>7049</v>
      </c>
      <c r="L148" s="48" t="n">
        <v>43058155</v>
      </c>
      <c r="M148" s="48" t="n">
        <v>303689167215</v>
      </c>
      <c r="N148" s="48" t="n">
        <v>3961</v>
      </c>
      <c r="O148" s="48" t="n">
        <v>23848602</v>
      </c>
      <c r="P148" s="48" t="n">
        <v>17770279</v>
      </c>
      <c r="Q148" s="48" t="n">
        <v>1106</v>
      </c>
      <c r="R148" s="48" t="n">
        <v>2570</v>
      </c>
      <c r="S148" s="48" t="n">
        <v>19209553</v>
      </c>
      <c r="T148" s="48" t="n">
        <v>25287876</v>
      </c>
      <c r="U148" s="46" t="n">
        <f aca="false">IF($A148=$A147,$U147+1,1)</f>
        <v>144</v>
      </c>
      <c r="V148" s="48" t="n">
        <f aca="false">IF($U148&gt;=MA_SHORT,AVERAGE(INDEX($I$5:$I148,145-MA_SHORT):$I148),"")</f>
        <v>7066.5</v>
      </c>
      <c r="W148" s="48" t="n">
        <f aca="false">IF($U148&gt;=MA_MED,AVERAGE(INDEX($I$5:$I148,145-MA_MED):$I148),"")</f>
        <v>6820.28</v>
      </c>
      <c r="X148" s="48" t="n">
        <f aca="false">IF($U148&gt;=MA_LONG1,AVERAGE(INDEX($I$5:$I148,145-MA_LONG1):$I148),"")</f>
        <v>6551.42</v>
      </c>
      <c r="Y148" s="48" t="str">
        <f aca="false">IF($U148&gt;=MA_LONG2,AVERAGE(INDEX($I$5:$I148,145-MA_LONG2):$I148),"")</f>
        <v/>
      </c>
      <c r="Z148" s="48" t="n">
        <f aca="false">IF($U148&gt;=MA_SHORT,AVERAGE(INDEX($L$28:$L148,122-MA_SHORT):$L148),"")</f>
        <v>52231502.25</v>
      </c>
      <c r="AA148" s="48" t="n">
        <f aca="false">IF($U148=1,$G148-$H148,MAX($G148-$H148,ABS($G148-$I147),ABS($H148-$I147)))</f>
        <v>82</v>
      </c>
      <c r="AB148" s="48" t="n">
        <f aca="false">IF($U148&gt;=ATR_PER,AVERAGE(INDEX($AA$28:$AA148,122-ATR_PER):$AA148),"")</f>
        <v>245.357142857143</v>
      </c>
      <c r="AC148" s="48" t="n">
        <f aca="false">$O148-$P148</f>
        <v>6078323</v>
      </c>
      <c r="AD148" s="48" t="n">
        <f aca="false">$AC148*$I148</f>
        <v>42870412119</v>
      </c>
      <c r="AE148" s="49" t="n">
        <f aca="false">IF($Q148&gt;0,$O148*$I148/$Q148/1000000,"")</f>
        <v>152.083354345389</v>
      </c>
      <c r="AF148" s="49" t="n">
        <f aca="false">IF($R148&gt;0,$P148*$I148/$R148/1000000,"")</f>
        <v>48.7680069210117</v>
      </c>
      <c r="AG148" s="50" t="n">
        <f aca="false">IF(AND(ISNUMBER($AE148),ISNUMBER($AF148),$AF148&gt;0),$AE148/$AF148,"")</f>
        <v>3.11850665932923</v>
      </c>
      <c r="AH148" s="48" t="n">
        <f aca="false">IF($U148&gt;=5,SUM(INDEX($AD$118:$AD148,32-5):$AD148),"")</f>
        <v>209146119195</v>
      </c>
      <c r="AI148" s="48" t="n">
        <f aca="false">IF($U148&gt;=STRUCT_S,MAX(INDEX($G$5:$G148,145-STRUCT_S):$G148),"")</f>
        <v>7428</v>
      </c>
      <c r="AJ148" s="48" t="n">
        <f aca="false">IF($U148&gt;=STRUCT_S,MIN(INDEX($H$5:$H148,145-STRUCT_S):$H148),"")</f>
        <v>6687</v>
      </c>
      <c r="AK148" s="48" t="n">
        <f aca="false">IF($U148&gt;=STRUCT_L,MAX(INDEX($G$5:$G148,145-STRUCT_L):$G148),"")</f>
        <v>7428</v>
      </c>
      <c r="AL148" s="48" t="n">
        <f aca="false">IF($U148&gt;=STRUCT_L,MIN(INDEX($H$5:$H148,145-STRUCT_L):$H148),"")</f>
        <v>5971</v>
      </c>
      <c r="AM148" s="46" t="n">
        <f aca="false">IF($A148&lt;&gt;$A149,1,0)</f>
        <v>0</v>
      </c>
      <c r="AN148" s="47" t="str">
        <f aca="false">IF($AM148=1,$A148,"")</f>
        <v/>
      </c>
    </row>
    <row r="149" customFormat="false" ht="15" hidden="false" customHeight="false" outlineLevel="0" collapsed="false">
      <c r="A149" s="43" t="s">
        <v>130</v>
      </c>
      <c r="B149" s="44" t="s">
        <v>132</v>
      </c>
      <c r="C149" s="45" t="n">
        <v>46106</v>
      </c>
      <c r="D149" s="46" t="n">
        <v>20260325</v>
      </c>
      <c r="E149" s="47" t="s">
        <v>432</v>
      </c>
      <c r="F149" s="48" t="n">
        <v>7209</v>
      </c>
      <c r="G149" s="48" t="n">
        <v>7227</v>
      </c>
      <c r="H149" s="48" t="n">
        <v>6915</v>
      </c>
      <c r="I149" s="48" t="n">
        <v>7088</v>
      </c>
      <c r="J149" s="48" t="n">
        <v>7157</v>
      </c>
      <c r="K149" s="48" t="n">
        <v>7053</v>
      </c>
      <c r="L149" s="48" t="n">
        <v>44189738</v>
      </c>
      <c r="M149" s="48" t="n">
        <v>313216862944</v>
      </c>
      <c r="N149" s="48" t="n">
        <v>4015</v>
      </c>
      <c r="O149" s="48" t="n">
        <v>27441436</v>
      </c>
      <c r="P149" s="48" t="n">
        <v>16508426</v>
      </c>
      <c r="Q149" s="48" t="n">
        <v>929</v>
      </c>
      <c r="R149" s="48" t="n">
        <v>2256</v>
      </c>
      <c r="S149" s="48" t="n">
        <v>16748302</v>
      </c>
      <c r="T149" s="48" t="n">
        <v>27681312</v>
      </c>
      <c r="U149" s="46" t="n">
        <f aca="false">IF($A149=$A148,$U148+1,1)</f>
        <v>145</v>
      </c>
      <c r="V149" s="48" t="n">
        <f aca="false">IF($U149&gt;=MA_SHORT,AVERAGE(INDEX($I$5:$I149,146-MA_SHORT):$I149),"")</f>
        <v>7073.3</v>
      </c>
      <c r="W149" s="48" t="n">
        <f aca="false">IF($U149&gt;=MA_MED,AVERAGE(INDEX($I$5:$I149,146-MA_MED):$I149),"")</f>
        <v>6826.12</v>
      </c>
      <c r="X149" s="48" t="n">
        <f aca="false">IF($U149&gt;=MA_LONG1,AVERAGE(INDEX($I$5:$I149,146-MA_LONG1):$I149),"")</f>
        <v>6560.18</v>
      </c>
      <c r="Y149" s="48" t="str">
        <f aca="false">IF($U149&gt;=MA_LONG2,AVERAGE(INDEX($I$5:$I149,146-MA_LONG2):$I149),"")</f>
        <v/>
      </c>
      <c r="Z149" s="48" t="n">
        <f aca="false">IF($U149&gt;=MA_SHORT,AVERAGE(INDEX($L$29:$L149,122-MA_SHORT):$L149),"")</f>
        <v>50694036.95</v>
      </c>
      <c r="AA149" s="48" t="n">
        <f aca="false">IF($U149=1,$G149-$H149,MAX($G149-$H149,ABS($G149-$I148),ABS($H149-$I148)))</f>
        <v>312</v>
      </c>
      <c r="AB149" s="48" t="n">
        <f aca="false">IF($U149&gt;=ATR_PER,AVERAGE(INDEX($AA$29:$AA149,122-ATR_PER):$AA149),"")</f>
        <v>261</v>
      </c>
      <c r="AC149" s="48" t="n">
        <f aca="false">$O149-$P149</f>
        <v>10933010</v>
      </c>
      <c r="AD149" s="48" t="n">
        <f aca="false">$AC149*$I149</f>
        <v>77493174880</v>
      </c>
      <c r="AE149" s="49" t="n">
        <f aca="false">IF($Q149&gt;0,$O149*$I149/$Q149/1000000,"")</f>
        <v>209.370181235737</v>
      </c>
      <c r="AF149" s="49" t="n">
        <f aca="false">IF($R149&gt;0,$P149*$I149/$R149/1000000,"")</f>
        <v>51.8668987092199</v>
      </c>
      <c r="AG149" s="50" t="n">
        <f aca="false">IF(AND(ISNUMBER($AE149),ISNUMBER($AF149),$AF149&gt;0),$AE149/$AF149,"")</f>
        <v>4.03668209293801</v>
      </c>
      <c r="AH149" s="48" t="n">
        <f aca="false">IF($U149&gt;=5,SUM(INDEX($AD$119:$AD149,32-5):$AD149),"")</f>
        <v>164784796915</v>
      </c>
      <c r="AI149" s="48" t="n">
        <f aca="false">IF($U149&gt;=STRUCT_S,MAX(INDEX($G$5:$G149,146-STRUCT_S):$G149),"")</f>
        <v>7428</v>
      </c>
      <c r="AJ149" s="48" t="n">
        <f aca="false">IF($U149&gt;=STRUCT_S,MIN(INDEX($H$5:$H149,146-STRUCT_S):$H149),"")</f>
        <v>6687</v>
      </c>
      <c r="AK149" s="48" t="n">
        <f aca="false">IF($U149&gt;=STRUCT_L,MAX(INDEX($G$5:$G149,146-STRUCT_L):$G149),"")</f>
        <v>7428</v>
      </c>
      <c r="AL149" s="48" t="n">
        <f aca="false">IF($U149&gt;=STRUCT_L,MIN(INDEX($H$5:$H149,146-STRUCT_L):$H149),"")</f>
        <v>5971</v>
      </c>
      <c r="AM149" s="46" t="n">
        <f aca="false">IF($A149&lt;&gt;$A150,1,0)</f>
        <v>0</v>
      </c>
      <c r="AN149" s="47" t="str">
        <f aca="false">IF($AM149=1,$A149,"")</f>
        <v/>
      </c>
    </row>
    <row r="150" customFormat="false" ht="15" hidden="false" customHeight="false" outlineLevel="0" collapsed="false">
      <c r="A150" s="43" t="s">
        <v>130</v>
      </c>
      <c r="B150" s="44" t="s">
        <v>132</v>
      </c>
      <c r="C150" s="45" t="n">
        <v>46109</v>
      </c>
      <c r="D150" s="46" t="n">
        <v>20260328</v>
      </c>
      <c r="E150" s="47" t="s">
        <v>433</v>
      </c>
      <c r="F150" s="48" t="n">
        <v>7091</v>
      </c>
      <c r="G150" s="48" t="n">
        <v>7134</v>
      </c>
      <c r="H150" s="48" t="n">
        <v>7019</v>
      </c>
      <c r="I150" s="48" t="n">
        <v>7065</v>
      </c>
      <c r="J150" s="48" t="n">
        <v>7114</v>
      </c>
      <c r="K150" s="48" t="n">
        <v>7088</v>
      </c>
      <c r="L150" s="48" t="n">
        <v>43747528</v>
      </c>
      <c r="M150" s="48" t="n">
        <v>309076285320</v>
      </c>
      <c r="N150" s="48" t="n">
        <v>1083</v>
      </c>
      <c r="O150" s="48" t="n">
        <v>23461281</v>
      </c>
      <c r="P150" s="48" t="n">
        <v>22804617</v>
      </c>
      <c r="Q150" s="48" t="n">
        <v>621</v>
      </c>
      <c r="R150" s="48" t="n">
        <v>370</v>
      </c>
      <c r="S150" s="48" t="n">
        <v>20286247</v>
      </c>
      <c r="T150" s="48" t="n">
        <v>20942911</v>
      </c>
      <c r="U150" s="46" t="n">
        <f aca="false">IF($A150=$A149,$U149+1,1)</f>
        <v>146</v>
      </c>
      <c r="V150" s="48" t="n">
        <f aca="false">IF($U150&gt;=MA_SHORT,AVERAGE(INDEX($I$5:$I150,147-MA_SHORT):$I150),"")</f>
        <v>7073.4</v>
      </c>
      <c r="W150" s="48" t="n">
        <f aca="false">IF($U150&gt;=MA_MED,AVERAGE(INDEX($I$5:$I150,147-MA_MED):$I150),"")</f>
        <v>6832.16</v>
      </c>
      <c r="X150" s="48" t="n">
        <f aca="false">IF($U150&gt;=MA_LONG1,AVERAGE(INDEX($I$5:$I150,147-MA_LONG1):$I150),"")</f>
        <v>6569.11</v>
      </c>
      <c r="Y150" s="48" t="str">
        <f aca="false">IF($U150&gt;=MA_LONG2,AVERAGE(INDEX($I$5:$I150,147-MA_LONG2):$I150),"")</f>
        <v/>
      </c>
      <c r="Z150" s="48" t="n">
        <f aca="false">IF($U150&gt;=MA_SHORT,AVERAGE(INDEX($L$30:$L150,122-MA_SHORT):$L150),"")</f>
        <v>49342429.1</v>
      </c>
      <c r="AA150" s="48" t="n">
        <f aca="false">IF($U150=1,$G150-$H150,MAX($G150-$H150,ABS($G150-$I149),ABS($H150-$I149)))</f>
        <v>115</v>
      </c>
      <c r="AB150" s="48" t="n">
        <f aca="false">IF($U150&gt;=ATR_PER,AVERAGE(INDEX($AA$30:$AA150,122-ATR_PER):$AA150),"")</f>
        <v>238.214285714286</v>
      </c>
      <c r="AC150" s="48" t="n">
        <f aca="false">$O150-$P150</f>
        <v>656664</v>
      </c>
      <c r="AD150" s="48" t="n">
        <f aca="false">$AC150*$I150</f>
        <v>4639331160</v>
      </c>
      <c r="AE150" s="49" t="n">
        <f aca="false">IF($Q150&gt;0,$O150*$I150/$Q150/1000000,"")</f>
        <v>266.914573695652</v>
      </c>
      <c r="AF150" s="49" t="n">
        <f aca="false">IF($R150&gt;0,$P150*$I150/$R150/1000000,"")</f>
        <v>435.4449165</v>
      </c>
      <c r="AG150" s="50" t="n">
        <f aca="false">IF(AND(ISNUMBER($AE150),ISNUMBER($AF150),$AF150&gt;0),$AE150/$AF150,"")</f>
        <v>0.612969777764422</v>
      </c>
      <c r="AH150" s="48" t="n">
        <f aca="false">IF($U150&gt;=5,SUM(INDEX($AD$120:$AD150,32-5):$AD150),"")</f>
        <v>151435834075</v>
      </c>
      <c r="AI150" s="48" t="n">
        <f aca="false">IF($U150&gt;=STRUCT_S,MAX(INDEX($G$5:$G150,147-STRUCT_S):$G150),"")</f>
        <v>7428</v>
      </c>
      <c r="AJ150" s="48" t="n">
        <f aca="false">IF($U150&gt;=STRUCT_S,MIN(INDEX($H$5:$H150,147-STRUCT_S):$H150),"")</f>
        <v>6687</v>
      </c>
      <c r="AK150" s="48" t="n">
        <f aca="false">IF($U150&gt;=STRUCT_L,MAX(INDEX($G$5:$G150,147-STRUCT_L):$G150),"")</f>
        <v>7428</v>
      </c>
      <c r="AL150" s="48" t="n">
        <f aca="false">IF($U150&gt;=STRUCT_L,MIN(INDEX($H$5:$H150,147-STRUCT_L):$H150),"")</f>
        <v>5971</v>
      </c>
      <c r="AM150" s="46" t="n">
        <f aca="false">IF($A150&lt;&gt;$A151,1,0)</f>
        <v>0</v>
      </c>
      <c r="AN150" s="47" t="str">
        <f aca="false">IF($AM150=1,$A150,"")</f>
        <v/>
      </c>
    </row>
    <row r="151" customFormat="false" ht="15" hidden="false" customHeight="false" outlineLevel="0" collapsed="false">
      <c r="A151" s="43" t="s">
        <v>130</v>
      </c>
      <c r="B151" s="44" t="s">
        <v>132</v>
      </c>
      <c r="C151" s="45" t="n">
        <v>46110</v>
      </c>
      <c r="D151" s="46" t="n">
        <v>20260329</v>
      </c>
      <c r="E151" s="47" t="s">
        <v>434</v>
      </c>
      <c r="F151" s="48" t="n">
        <v>7076</v>
      </c>
      <c r="G151" s="48" t="n">
        <v>7104</v>
      </c>
      <c r="H151" s="48" t="n">
        <v>7047</v>
      </c>
      <c r="I151" s="48" t="n">
        <v>7085</v>
      </c>
      <c r="J151" s="48" t="n">
        <v>7072</v>
      </c>
      <c r="K151" s="48" t="n">
        <v>7065</v>
      </c>
      <c r="L151" s="48" t="n">
        <v>43640918</v>
      </c>
      <c r="M151" s="48" t="n">
        <v>309195904030</v>
      </c>
      <c r="N151" s="48" t="n">
        <v>1678</v>
      </c>
      <c r="O151" s="48" t="n">
        <v>24925327</v>
      </c>
      <c r="P151" s="48" t="n">
        <v>20774532</v>
      </c>
      <c r="Q151" s="48" t="n">
        <v>470</v>
      </c>
      <c r="R151" s="48" t="n">
        <v>1197</v>
      </c>
      <c r="S151" s="48" t="n">
        <v>18715591</v>
      </c>
      <c r="T151" s="48" t="n">
        <v>22866386</v>
      </c>
      <c r="U151" s="46" t="n">
        <f aca="false">IF($A151=$A150,$U150+1,1)</f>
        <v>147</v>
      </c>
      <c r="V151" s="48" t="n">
        <f aca="false">IF($U151&gt;=MA_SHORT,AVERAGE(INDEX($I$5:$I151,148-MA_SHORT):$I151),"")</f>
        <v>7069.85</v>
      </c>
      <c r="W151" s="48" t="n">
        <f aca="false">IF($U151&gt;=MA_MED,AVERAGE(INDEX($I$5:$I151,148-MA_MED):$I151),"")</f>
        <v>6836.84</v>
      </c>
      <c r="X151" s="48" t="n">
        <f aca="false">IF($U151&gt;=MA_LONG1,AVERAGE(INDEX($I$5:$I151,148-MA_LONG1):$I151),"")</f>
        <v>6578.58</v>
      </c>
      <c r="Y151" s="48" t="str">
        <f aca="false">IF($U151&gt;=MA_LONG2,AVERAGE(INDEX($I$5:$I151,148-MA_LONG2):$I151),"")</f>
        <v/>
      </c>
      <c r="Z151" s="48" t="n">
        <f aca="false">IF($U151&gt;=MA_SHORT,AVERAGE(INDEX($L$31:$L151,122-MA_SHORT):$L151),"")</f>
        <v>49209362.9</v>
      </c>
      <c r="AA151" s="48" t="n">
        <f aca="false">IF($U151=1,$G151-$H151,MAX($G151-$H151,ABS($G151-$I150),ABS($H151-$I150)))</f>
        <v>57</v>
      </c>
      <c r="AB151" s="48" t="n">
        <f aca="false">IF($U151&gt;=ATR_PER,AVERAGE(INDEX($AA$31:$AA151,122-ATR_PER):$AA151),"")</f>
        <v>229.214285714286</v>
      </c>
      <c r="AC151" s="48" t="n">
        <f aca="false">$O151-$P151</f>
        <v>4150795</v>
      </c>
      <c r="AD151" s="48" t="n">
        <f aca="false">$AC151*$I151</f>
        <v>29408382575</v>
      </c>
      <c r="AE151" s="49" t="n">
        <f aca="false">IF($Q151&gt;0,$O151*$I151/$Q151/1000000,"")</f>
        <v>375.73604637234</v>
      </c>
      <c r="AF151" s="49" t="n">
        <f aca="false">IF($R151&gt;0,$P151*$I151/$R151/1000000,"")</f>
        <v>122.963708621554</v>
      </c>
      <c r="AG151" s="50" t="n">
        <f aca="false">IF(AND(ISNUMBER($AE151),ISNUMBER($AF151),$AF151&gt;0),$AE151/$AF151,"")</f>
        <v>3.0556661846362</v>
      </c>
      <c r="AH151" s="48" t="n">
        <f aca="false">IF($U151&gt;=5,SUM(INDEX($AD$121:$AD151,32-5):$AD151),"")</f>
        <v>96322747414</v>
      </c>
      <c r="AI151" s="48" t="n">
        <f aca="false">IF($U151&gt;=STRUCT_S,MAX(INDEX($G$5:$G151,148-STRUCT_S):$G151),"")</f>
        <v>7428</v>
      </c>
      <c r="AJ151" s="48" t="n">
        <f aca="false">IF($U151&gt;=STRUCT_S,MIN(INDEX($H$5:$H151,148-STRUCT_S):$H151),"")</f>
        <v>6687</v>
      </c>
      <c r="AK151" s="48" t="n">
        <f aca="false">IF($U151&gt;=STRUCT_L,MAX(INDEX($G$5:$G151,148-STRUCT_L):$G151),"")</f>
        <v>7428</v>
      </c>
      <c r="AL151" s="48" t="n">
        <f aca="false">IF($U151&gt;=STRUCT_L,MIN(INDEX($H$5:$H151,148-STRUCT_L):$H151),"")</f>
        <v>5971</v>
      </c>
      <c r="AM151" s="46" t="n">
        <f aca="false">IF($A151&lt;&gt;$A152,1,0)</f>
        <v>0</v>
      </c>
      <c r="AN151" s="47" t="str">
        <f aca="false">IF($AM151=1,$A151,"")</f>
        <v/>
      </c>
    </row>
    <row r="152" customFormat="false" ht="15" hidden="false" customHeight="false" outlineLevel="0" collapsed="false">
      <c r="A152" s="43" t="s">
        <v>130</v>
      </c>
      <c r="B152" s="44" t="s">
        <v>132</v>
      </c>
      <c r="C152" s="45" t="n">
        <v>46111</v>
      </c>
      <c r="D152" s="46" t="n">
        <v>20260330</v>
      </c>
      <c r="E152" s="47" t="s">
        <v>435</v>
      </c>
      <c r="F152" s="48" t="n">
        <v>7131</v>
      </c>
      <c r="G152" s="48" t="n">
        <v>7243</v>
      </c>
      <c r="H152" s="48" t="n">
        <v>7046</v>
      </c>
      <c r="I152" s="48" t="n">
        <v>7204</v>
      </c>
      <c r="J152" s="48" t="n">
        <v>7070</v>
      </c>
      <c r="K152" s="48" t="n">
        <v>7085</v>
      </c>
      <c r="L152" s="48" t="n">
        <v>60571423</v>
      </c>
      <c r="M152" s="48" t="n">
        <v>436356531292</v>
      </c>
      <c r="N152" s="48" t="n">
        <v>1812</v>
      </c>
      <c r="O152" s="48" t="n">
        <v>39375549</v>
      </c>
      <c r="P152" s="48" t="n">
        <v>18123632</v>
      </c>
      <c r="Q152" s="48" t="n">
        <v>649</v>
      </c>
      <c r="R152" s="48" t="n">
        <v>1017</v>
      </c>
      <c r="S152" s="48" t="n">
        <v>21195874</v>
      </c>
      <c r="T152" s="48" t="n">
        <v>42447791</v>
      </c>
      <c r="U152" s="46" t="n">
        <f aca="false">IF($A152=$A151,$U151+1,1)</f>
        <v>148</v>
      </c>
      <c r="V152" s="48" t="n">
        <f aca="false">IF($U152&gt;=MA_SHORT,AVERAGE(INDEX($I$5:$I152,149-MA_SHORT):$I152),"")</f>
        <v>7066.85</v>
      </c>
      <c r="W152" s="48" t="n">
        <f aca="false">IF($U152&gt;=MA_MED,AVERAGE(INDEX($I$5:$I152,149-MA_MED):$I152),"")</f>
        <v>6839.98</v>
      </c>
      <c r="X152" s="48" t="n">
        <f aca="false">IF($U152&gt;=MA_LONG1,AVERAGE(INDEX($I$5:$I152,149-MA_LONG1):$I152),"")</f>
        <v>6589.39</v>
      </c>
      <c r="Y152" s="48" t="str">
        <f aca="false">IF($U152&gt;=MA_LONG2,AVERAGE(INDEX($I$5:$I152,149-MA_LONG2):$I152),"")</f>
        <v/>
      </c>
      <c r="Z152" s="48" t="n">
        <f aca="false">IF($U152&gt;=MA_SHORT,AVERAGE(INDEX($L$32:$L152,122-MA_SHORT):$L152),"")</f>
        <v>49898039.95</v>
      </c>
      <c r="AA152" s="48" t="n">
        <f aca="false">IF($U152=1,$G152-$H152,MAX($G152-$H152,ABS($G152-$I151),ABS($H152-$I151)))</f>
        <v>197</v>
      </c>
      <c r="AB152" s="48" t="n">
        <f aca="false">IF($U152&gt;=ATR_PER,AVERAGE(INDEX($AA$32:$AA152,122-ATR_PER):$AA152),"")</f>
        <v>236.714285714286</v>
      </c>
      <c r="AC152" s="48" t="n">
        <f aca="false">$O152-$P152</f>
        <v>21251917</v>
      </c>
      <c r="AD152" s="48" t="n">
        <f aca="false">$AC152*$I152</f>
        <v>153098810068</v>
      </c>
      <c r="AE152" s="49" t="n">
        <f aca="false">IF($Q152&gt;0,$O152*$I152/$Q152/1000000,"")</f>
        <v>437.074661010786</v>
      </c>
      <c r="AF152" s="49" t="n">
        <f aca="false">IF($R152&gt;0,$P152*$I152/$R152/1000000,"")</f>
        <v>128.380181836775</v>
      </c>
      <c r="AG152" s="50" t="n">
        <f aca="false">IF(AND(ISNUMBER($AE152),ISNUMBER($AF152),$AF152&gt;0),$AE152/$AF152,"")</f>
        <v>3.40453374311692</v>
      </c>
      <c r="AH152" s="48" t="n">
        <f aca="false">IF($U152&gt;=5,SUM(INDEX($AD$122:$AD152,32-5):$AD152),"")</f>
        <v>307510110802</v>
      </c>
      <c r="AI152" s="48" t="n">
        <f aca="false">IF($U152&gt;=STRUCT_S,MAX(INDEX($G$5:$G152,149-STRUCT_S):$G152),"")</f>
        <v>7428</v>
      </c>
      <c r="AJ152" s="48" t="n">
        <f aca="false">IF($U152&gt;=STRUCT_S,MIN(INDEX($H$5:$H152,149-STRUCT_S):$H152),"")</f>
        <v>6687</v>
      </c>
      <c r="AK152" s="48" t="n">
        <f aca="false">IF($U152&gt;=STRUCT_L,MAX(INDEX($G$5:$G152,149-STRUCT_L):$G152),"")</f>
        <v>7428</v>
      </c>
      <c r="AL152" s="48" t="n">
        <f aca="false">IF($U152&gt;=STRUCT_L,MIN(INDEX($H$5:$H152,149-STRUCT_L):$H152),"")</f>
        <v>5971</v>
      </c>
      <c r="AM152" s="46" t="n">
        <f aca="false">IF($A152&lt;&gt;$A153,1,0)</f>
        <v>0</v>
      </c>
      <c r="AN152" s="47" t="str">
        <f aca="false">IF($AM152=1,$A152,"")</f>
        <v/>
      </c>
    </row>
    <row r="153" customFormat="false" ht="15" hidden="false" customHeight="false" outlineLevel="0" collapsed="false">
      <c r="A153" s="43" t="s">
        <v>130</v>
      </c>
      <c r="B153" s="44" t="s">
        <v>132</v>
      </c>
      <c r="C153" s="45" t="n">
        <v>46112</v>
      </c>
      <c r="D153" s="46" t="n">
        <v>20260331</v>
      </c>
      <c r="E153" s="47" t="s">
        <v>436</v>
      </c>
      <c r="F153" s="48" t="n">
        <v>7176</v>
      </c>
      <c r="G153" s="48" t="n">
        <v>7383</v>
      </c>
      <c r="H153" s="48" t="n">
        <v>7156</v>
      </c>
      <c r="I153" s="48" t="n">
        <v>7334</v>
      </c>
      <c r="J153" s="48" t="n">
        <v>7194</v>
      </c>
      <c r="K153" s="48" t="n">
        <v>7204</v>
      </c>
      <c r="L153" s="48" t="n">
        <v>60129659</v>
      </c>
      <c r="M153" s="48" t="n">
        <v>440990919106</v>
      </c>
      <c r="N153" s="48" t="n">
        <v>1806</v>
      </c>
      <c r="O153" s="48" t="n">
        <v>37638768</v>
      </c>
      <c r="P153" s="48" t="n">
        <v>22694264</v>
      </c>
      <c r="Q153" s="48" t="n">
        <v>402</v>
      </c>
      <c r="R153" s="48" t="n">
        <v>998</v>
      </c>
      <c r="S153" s="48" t="n">
        <v>22490891</v>
      </c>
      <c r="T153" s="48" t="n">
        <v>37435395</v>
      </c>
      <c r="U153" s="46" t="n">
        <f aca="false">IF($A153=$A152,$U152+1,1)</f>
        <v>149</v>
      </c>
      <c r="V153" s="48" t="n">
        <f aca="false">IF($U153&gt;=MA_SHORT,AVERAGE(INDEX($I$5:$I153,150-MA_SHORT):$I153),"")</f>
        <v>7074.5</v>
      </c>
      <c r="W153" s="48" t="n">
        <f aca="false">IF($U153&gt;=MA_MED,AVERAGE(INDEX($I$5:$I153,150-MA_MED):$I153),"")</f>
        <v>6846.48</v>
      </c>
      <c r="X153" s="48" t="n">
        <f aca="false">IF($U153&gt;=MA_LONG1,AVERAGE(INDEX($I$5:$I153,150-MA_LONG1):$I153),"")</f>
        <v>6602.32</v>
      </c>
      <c r="Y153" s="48" t="str">
        <f aca="false">IF($U153&gt;=MA_LONG2,AVERAGE(INDEX($I$5:$I153,150-MA_LONG2):$I153),"")</f>
        <v/>
      </c>
      <c r="Z153" s="48" t="n">
        <f aca="false">IF($U153&gt;=MA_SHORT,AVERAGE(INDEX($L$33:$L153,122-MA_SHORT):$L153),"")</f>
        <v>50611823.7</v>
      </c>
      <c r="AA153" s="48" t="n">
        <f aca="false">IF($U153=1,$G153-$H153,MAX($G153-$H153,ABS($G153-$I152),ABS($H153-$I152)))</f>
        <v>227</v>
      </c>
      <c r="AB153" s="48" t="n">
        <f aca="false">IF($U153&gt;=ATR_PER,AVERAGE(INDEX($AA$33:$AA153,122-ATR_PER):$AA153),"")</f>
        <v>231.142857142857</v>
      </c>
      <c r="AC153" s="48" t="n">
        <f aca="false">$O153-$P153</f>
        <v>14944504</v>
      </c>
      <c r="AD153" s="48" t="n">
        <f aca="false">$AC153*$I153</f>
        <v>109602992336</v>
      </c>
      <c r="AE153" s="49" t="n">
        <f aca="false">IF($Q153&gt;0,$O153*$I153/$Q153/1000000,"")</f>
        <v>686.673444059701</v>
      </c>
      <c r="AF153" s="49" t="n">
        <f aca="false">IF($R153&gt;0,$P153*$I153/$R153/1000000,"")</f>
        <v>166.773278733467</v>
      </c>
      <c r="AG153" s="50" t="n">
        <f aca="false">IF(AND(ISNUMBER($AE153),ISNUMBER($AF153),$AF153&gt;0),$AE153/$AF153,"")</f>
        <v>4.1174068728188</v>
      </c>
      <c r="AH153" s="48" t="n">
        <f aca="false">IF($U153&gt;=5,SUM(INDEX($AD$123:$AD153,32-5):$AD153),"")</f>
        <v>374242691019</v>
      </c>
      <c r="AI153" s="48" t="n">
        <f aca="false">IF($U153&gt;=STRUCT_S,MAX(INDEX($G$5:$G153,150-STRUCT_S):$G153),"")</f>
        <v>7428</v>
      </c>
      <c r="AJ153" s="48" t="n">
        <f aca="false">IF($U153&gt;=STRUCT_S,MIN(INDEX($H$5:$H153,150-STRUCT_S):$H153),"")</f>
        <v>6687</v>
      </c>
      <c r="AK153" s="48" t="n">
        <f aca="false">IF($U153&gt;=STRUCT_L,MAX(INDEX($G$5:$G153,150-STRUCT_L):$G153),"")</f>
        <v>7428</v>
      </c>
      <c r="AL153" s="48" t="n">
        <f aca="false">IF($U153&gt;=STRUCT_L,MIN(INDEX($H$5:$H153,150-STRUCT_L):$H153),"")</f>
        <v>5971</v>
      </c>
      <c r="AM153" s="46" t="n">
        <f aca="false">IF($A153&lt;&gt;$A154,1,0)</f>
        <v>0</v>
      </c>
      <c r="AN153" s="47" t="str">
        <f aca="false">IF($AM153=1,$A153,"")</f>
        <v/>
      </c>
    </row>
    <row r="154" customFormat="false" ht="15" hidden="false" customHeight="false" outlineLevel="0" collapsed="false">
      <c r="A154" s="43" t="s">
        <v>130</v>
      </c>
      <c r="B154" s="44" t="s">
        <v>132</v>
      </c>
      <c r="C154" s="45" t="n">
        <v>46113</v>
      </c>
      <c r="D154" s="46" t="n">
        <v>20260401</v>
      </c>
      <c r="E154" s="47" t="s">
        <v>437</v>
      </c>
      <c r="F154" s="48" t="n">
        <v>7353</v>
      </c>
      <c r="G154" s="48" t="n">
        <v>7438</v>
      </c>
      <c r="H154" s="48" t="n">
        <v>7089</v>
      </c>
      <c r="I154" s="48" t="n">
        <v>7191</v>
      </c>
      <c r="J154" s="48" t="n">
        <v>7432</v>
      </c>
      <c r="K154" s="48" t="n">
        <v>7334</v>
      </c>
      <c r="L154" s="48" t="n">
        <v>58959253</v>
      </c>
      <c r="M154" s="48" t="n">
        <v>423975988323</v>
      </c>
      <c r="N154" s="48" t="n">
        <v>5853</v>
      </c>
      <c r="O154" s="48" t="n">
        <v>34255582</v>
      </c>
      <c r="P154" s="48" t="n">
        <v>28237951</v>
      </c>
      <c r="Q154" s="48" t="n">
        <v>4087</v>
      </c>
      <c r="R154" s="48" t="n">
        <v>1937</v>
      </c>
      <c r="S154" s="48" t="n">
        <v>24703671</v>
      </c>
      <c r="T154" s="48" t="n">
        <v>30721302</v>
      </c>
      <c r="U154" s="46" t="n">
        <f aca="false">IF($A154=$A153,$U153+1,1)</f>
        <v>150</v>
      </c>
      <c r="V154" s="48" t="n">
        <f aca="false">IF($U154&gt;=MA_SHORT,AVERAGE(INDEX($I$5:$I154,151-MA_SHORT):$I154),"")</f>
        <v>7079.75</v>
      </c>
      <c r="W154" s="48" t="n">
        <f aca="false">IF($U154&gt;=MA_MED,AVERAGE(INDEX($I$5:$I154,151-MA_MED):$I154),"")</f>
        <v>6853.46</v>
      </c>
      <c r="X154" s="48" t="n">
        <f aca="false">IF($U154&gt;=MA_LONG1,AVERAGE(INDEX($I$5:$I154,151-MA_LONG1):$I154),"")</f>
        <v>6614.55</v>
      </c>
      <c r="Y154" s="48" t="str">
        <f aca="false">IF($U154&gt;=MA_LONG2,AVERAGE(INDEX($I$5:$I154,151-MA_LONG2):$I154),"")</f>
        <v/>
      </c>
      <c r="Z154" s="48" t="n">
        <f aca="false">IF($U154&gt;=MA_SHORT,AVERAGE(INDEX($L$34:$L154,122-MA_SHORT):$L154),"")</f>
        <v>51238522.2</v>
      </c>
      <c r="AA154" s="48" t="n">
        <f aca="false">IF($U154=1,$G154-$H154,MAX($G154-$H154,ABS($G154-$I153),ABS($H154-$I153)))</f>
        <v>349</v>
      </c>
      <c r="AB154" s="48" t="n">
        <f aca="false">IF($U154&gt;=ATR_PER,AVERAGE(INDEX($AA$34:$AA154,122-ATR_PER):$AA154),"")</f>
        <v>237.857142857143</v>
      </c>
      <c r="AC154" s="48" t="n">
        <f aca="false">$O154-$P154</f>
        <v>6017631</v>
      </c>
      <c r="AD154" s="48" t="n">
        <f aca="false">$AC154*$I154</f>
        <v>43272784521</v>
      </c>
      <c r="AE154" s="49" t="n">
        <f aca="false">IF($Q154&gt;0,$O154*$I154/$Q154/1000000,"")</f>
        <v>60.2720553369219</v>
      </c>
      <c r="AF154" s="49" t="n">
        <f aca="false">IF($R154&gt;0,$P154*$I154/$R154/1000000,"")</f>
        <v>104.831753041301</v>
      </c>
      <c r="AG154" s="50" t="n">
        <f aca="false">IF(AND(ISNUMBER($AE154),ISNUMBER($AF154),$AF154&gt;0),$AE154/$AF154,"")</f>
        <v>0.574940832222622</v>
      </c>
      <c r="AH154" s="48" t="n">
        <f aca="false">IF($U154&gt;=5,SUM(INDEX($AD$124:$AD154,32-5):$AD154),"")</f>
        <v>340022300660</v>
      </c>
      <c r="AI154" s="48" t="n">
        <f aca="false">IF($U154&gt;=STRUCT_S,MAX(INDEX($G$5:$G154,151-STRUCT_S):$G154),"")</f>
        <v>7438</v>
      </c>
      <c r="AJ154" s="48" t="n">
        <f aca="false">IF($U154&gt;=STRUCT_S,MIN(INDEX($H$5:$H154,151-STRUCT_S):$H154),"")</f>
        <v>6687</v>
      </c>
      <c r="AK154" s="48" t="n">
        <f aca="false">IF($U154&gt;=STRUCT_L,MAX(INDEX($G$5:$G154,151-STRUCT_L):$G154),"")</f>
        <v>7438</v>
      </c>
      <c r="AL154" s="48" t="n">
        <f aca="false">IF($U154&gt;=STRUCT_L,MIN(INDEX($H$5:$H154,151-STRUCT_L):$H154),"")</f>
        <v>5971</v>
      </c>
      <c r="AM154" s="46" t="n">
        <f aca="false">IF($A154&lt;&gt;$A155,1,0)</f>
        <v>0</v>
      </c>
      <c r="AN154" s="47" t="str">
        <f aca="false">IF($AM154=1,$A154,"")</f>
        <v/>
      </c>
    </row>
    <row r="155" customFormat="false" ht="15" hidden="false" customHeight="false" outlineLevel="0" collapsed="false">
      <c r="A155" s="43" t="s">
        <v>130</v>
      </c>
      <c r="B155" s="44" t="s">
        <v>132</v>
      </c>
      <c r="C155" s="45" t="n">
        <v>46116</v>
      </c>
      <c r="D155" s="46" t="n">
        <v>20260404</v>
      </c>
      <c r="E155" s="47" t="s">
        <v>438</v>
      </c>
      <c r="F155" s="48" t="n">
        <v>7428</v>
      </c>
      <c r="G155" s="48" t="n">
        <v>7439</v>
      </c>
      <c r="H155" s="48" t="n">
        <v>7152</v>
      </c>
      <c r="I155" s="48" t="n">
        <v>7399</v>
      </c>
      <c r="J155" s="48" t="n">
        <v>7257</v>
      </c>
      <c r="K155" s="48" t="n">
        <v>7191</v>
      </c>
      <c r="L155" s="48" t="n">
        <v>50359449</v>
      </c>
      <c r="M155" s="48" t="n">
        <v>372609563151</v>
      </c>
      <c r="N155" s="48" t="n">
        <v>3481</v>
      </c>
      <c r="O155" s="48" t="n">
        <v>30389936</v>
      </c>
      <c r="P155" s="48" t="n">
        <v>23736112</v>
      </c>
      <c r="Q155" s="48" t="n">
        <v>1163</v>
      </c>
      <c r="R155" s="48" t="n">
        <v>1741</v>
      </c>
      <c r="S155" s="48" t="n">
        <v>19969513</v>
      </c>
      <c r="T155" s="48" t="n">
        <v>26623337</v>
      </c>
      <c r="U155" s="46" t="n">
        <f aca="false">IF($A155=$A154,$U154+1,1)</f>
        <v>151</v>
      </c>
      <c r="V155" s="48" t="n">
        <f aca="false">IF($U155&gt;=MA_SHORT,AVERAGE(INDEX($I$5:$I155,152-MA_SHORT):$I155),"")</f>
        <v>7097.8</v>
      </c>
      <c r="W155" s="48" t="n">
        <f aca="false">IF($U155&gt;=MA_MED,AVERAGE(INDEX($I$5:$I155,152-MA_MED):$I155),"")</f>
        <v>6864.22</v>
      </c>
      <c r="X155" s="48" t="n">
        <f aca="false">IF($U155&gt;=MA_LONG1,AVERAGE(INDEX($I$5:$I155,152-MA_LONG1):$I155),"")</f>
        <v>6629.6</v>
      </c>
      <c r="Y155" s="48" t="str">
        <f aca="false">IF($U155&gt;=MA_LONG2,AVERAGE(INDEX($I$5:$I155,152-MA_LONG2):$I155),"")</f>
        <v/>
      </c>
      <c r="Z155" s="48" t="n">
        <f aca="false">IF($U155&gt;=MA_SHORT,AVERAGE(INDEX($L$35:$L155,122-MA_SHORT):$L155),"")</f>
        <v>50814834.05</v>
      </c>
      <c r="AA155" s="48" t="n">
        <f aca="false">IF($U155=1,$G155-$H155,MAX($G155-$H155,ABS($G155-$I154),ABS($H155-$I154)))</f>
        <v>287</v>
      </c>
      <c r="AB155" s="48" t="n">
        <f aca="false">IF($U155&gt;=ATR_PER,AVERAGE(INDEX($AA$35:$AA155,122-ATR_PER):$AA155),"")</f>
        <v>244.785714285714</v>
      </c>
      <c r="AC155" s="48" t="n">
        <f aca="false">$O155-$P155</f>
        <v>6653824</v>
      </c>
      <c r="AD155" s="48" t="n">
        <f aca="false">$AC155*$I155</f>
        <v>49231643776</v>
      </c>
      <c r="AE155" s="49" t="n">
        <f aca="false">IF($Q155&gt;0,$O155*$I155/$Q155/1000000,"")</f>
        <v>193.340616048151</v>
      </c>
      <c r="AF155" s="49" t="n">
        <f aca="false">IF($R155&gt;0,$P155*$I155/$R155/1000000,"")</f>
        <v>100.875067597932</v>
      </c>
      <c r="AG155" s="50" t="n">
        <f aca="false">IF(AND(ISNUMBER($AE155),ISNUMBER($AF155),$AF155&gt;0),$AE155/$AF155,"")</f>
        <v>1.91663431462339</v>
      </c>
      <c r="AH155" s="48" t="n">
        <f aca="false">IF($U155&gt;=5,SUM(INDEX($AD$125:$AD155,32-5):$AD155),"")</f>
        <v>384614613276</v>
      </c>
      <c r="AI155" s="48" t="n">
        <f aca="false">IF($U155&gt;=STRUCT_S,MAX(INDEX($G$5:$G155,152-STRUCT_S):$G155),"")</f>
        <v>7439</v>
      </c>
      <c r="AJ155" s="48" t="n">
        <f aca="false">IF($U155&gt;=STRUCT_S,MIN(INDEX($H$5:$H155,152-STRUCT_S):$H155),"")</f>
        <v>6687</v>
      </c>
      <c r="AK155" s="48" t="n">
        <f aca="false">IF($U155&gt;=STRUCT_L,MAX(INDEX($G$5:$G155,152-STRUCT_L):$G155),"")</f>
        <v>7439</v>
      </c>
      <c r="AL155" s="48" t="n">
        <f aca="false">IF($U155&gt;=STRUCT_L,MIN(INDEX($H$5:$H155,152-STRUCT_L):$H155),"")</f>
        <v>5971</v>
      </c>
      <c r="AM155" s="46" t="n">
        <f aca="false">IF($A155&lt;&gt;$A156,1,0)</f>
        <v>0</v>
      </c>
      <c r="AN155" s="47" t="str">
        <f aca="false">IF($AM155=1,$A155,"")</f>
        <v/>
      </c>
    </row>
    <row r="156" customFormat="false" ht="15" hidden="false" customHeight="false" outlineLevel="0" collapsed="false">
      <c r="A156" s="43" t="s">
        <v>130</v>
      </c>
      <c r="B156" s="44" t="s">
        <v>132</v>
      </c>
      <c r="C156" s="45" t="n">
        <v>46117</v>
      </c>
      <c r="D156" s="46" t="n">
        <v>20260405</v>
      </c>
      <c r="E156" s="47" t="s">
        <v>439</v>
      </c>
      <c r="F156" s="48" t="n">
        <v>7509</v>
      </c>
      <c r="G156" s="48" t="n">
        <v>7675</v>
      </c>
      <c r="H156" s="48" t="n">
        <v>7311</v>
      </c>
      <c r="I156" s="48" t="n">
        <v>7585</v>
      </c>
      <c r="J156" s="48" t="n">
        <v>7357</v>
      </c>
      <c r="K156" s="48" t="n">
        <v>7399</v>
      </c>
      <c r="L156" s="48" t="n">
        <v>49384527</v>
      </c>
      <c r="M156" s="48" t="n">
        <v>374581637295</v>
      </c>
      <c r="N156" s="48" t="n">
        <v>1627</v>
      </c>
      <c r="O156" s="48" t="n">
        <v>31816219</v>
      </c>
      <c r="P156" s="48" t="n">
        <v>17233364</v>
      </c>
      <c r="Q156" s="48" t="n">
        <v>620</v>
      </c>
      <c r="R156" s="48" t="n">
        <v>759</v>
      </c>
      <c r="S156" s="48" t="n">
        <v>17568308</v>
      </c>
      <c r="T156" s="48" t="n">
        <v>32151163</v>
      </c>
      <c r="U156" s="46" t="n">
        <f aca="false">IF($A156=$A155,$U155+1,1)</f>
        <v>152</v>
      </c>
      <c r="V156" s="48" t="n">
        <f aca="false">IF($U156&gt;=MA_SHORT,AVERAGE(INDEX($I$5:$I156,153-MA_SHORT):$I156),"")</f>
        <v>7130.5</v>
      </c>
      <c r="W156" s="48" t="n">
        <f aca="false">IF($U156&gt;=MA_MED,AVERAGE(INDEX($I$5:$I156,153-MA_MED):$I156),"")</f>
        <v>6881.36</v>
      </c>
      <c r="X156" s="48" t="n">
        <f aca="false">IF($U156&gt;=MA_LONG1,AVERAGE(INDEX($I$5:$I156,153-MA_LONG1):$I156),"")</f>
        <v>6647.16</v>
      </c>
      <c r="Y156" s="48" t="str">
        <f aca="false">IF($U156&gt;=MA_LONG2,AVERAGE(INDEX($I$5:$I156,153-MA_LONG2):$I156),"")</f>
        <v/>
      </c>
      <c r="Z156" s="48" t="n">
        <f aca="false">IF($U156&gt;=MA_SHORT,AVERAGE(INDEX($L$36:$L156,122-MA_SHORT):$L156),"")</f>
        <v>50942737.95</v>
      </c>
      <c r="AA156" s="48" t="n">
        <f aca="false">IF($U156=1,$G156-$H156,MAX($G156-$H156,ABS($G156-$I155),ABS($H156-$I155)))</f>
        <v>364</v>
      </c>
      <c r="AB156" s="48" t="n">
        <f aca="false">IF($U156&gt;=ATR_PER,AVERAGE(INDEX($AA$36:$AA156,122-ATR_PER):$AA156),"")</f>
        <v>248.714285714286</v>
      </c>
      <c r="AC156" s="48" t="n">
        <f aca="false">$O156-$P156</f>
        <v>14582855</v>
      </c>
      <c r="AD156" s="48" t="n">
        <f aca="false">$AC156*$I156</f>
        <v>110610955175</v>
      </c>
      <c r="AE156" s="49" t="n">
        <f aca="false">IF($Q156&gt;0,$O156*$I156/$Q156/1000000,"")</f>
        <v>389.235517927419</v>
      </c>
      <c r="AF156" s="49" t="n">
        <f aca="false">IF($R156&gt;0,$P156*$I156/$R156/1000000,"")</f>
        <v>172.220113227932</v>
      </c>
      <c r="AG156" s="50" t="n">
        <f aca="false">IF(AND(ISNUMBER($AE156),ISNUMBER($AF156),$AF156&gt;0),$AE156/$AF156,"")</f>
        <v>2.26010487760085</v>
      </c>
      <c r="AH156" s="48" t="n">
        <f aca="false">IF($U156&gt;=5,SUM(INDEX($AD$126:$AD156,32-5):$AD156),"")</f>
        <v>465817185876</v>
      </c>
      <c r="AI156" s="48" t="n">
        <f aca="false">IF($U156&gt;=STRUCT_S,MAX(INDEX($G$6:$G156,152-STRUCT_S):$G156),"")</f>
        <v>7675</v>
      </c>
      <c r="AJ156" s="48" t="n">
        <f aca="false">IF($U156&gt;=STRUCT_S,MIN(INDEX($H$6:$H156,152-STRUCT_S):$H156),"")</f>
        <v>6687</v>
      </c>
      <c r="AK156" s="48" t="n">
        <f aca="false">IF($U156&gt;=STRUCT_L,MAX(INDEX($G$5:$G156,153-STRUCT_L):$G156),"")</f>
        <v>7675</v>
      </c>
      <c r="AL156" s="48" t="n">
        <f aca="false">IF($U156&gt;=STRUCT_L,MIN(INDEX($H$5:$H156,153-STRUCT_L):$H156),"")</f>
        <v>5971</v>
      </c>
      <c r="AM156" s="46" t="n">
        <f aca="false">IF($A156&lt;&gt;$A157,1,0)</f>
        <v>0</v>
      </c>
      <c r="AN156" s="47" t="str">
        <f aca="false">IF($AM156=1,$A156,"")</f>
        <v/>
      </c>
    </row>
    <row r="157" customFormat="false" ht="15" hidden="false" customHeight="false" outlineLevel="0" collapsed="false">
      <c r="A157" s="43" t="s">
        <v>130</v>
      </c>
      <c r="B157" s="44" t="s">
        <v>132</v>
      </c>
      <c r="C157" s="45" t="n">
        <v>46118</v>
      </c>
      <c r="D157" s="46" t="n">
        <v>20260406</v>
      </c>
      <c r="E157" s="47" t="s">
        <v>440</v>
      </c>
      <c r="F157" s="48" t="n">
        <v>7631</v>
      </c>
      <c r="G157" s="48" t="n">
        <v>7685</v>
      </c>
      <c r="H157" s="48" t="n">
        <v>7537</v>
      </c>
      <c r="I157" s="48" t="n">
        <v>7636</v>
      </c>
      <c r="J157" s="48" t="n">
        <v>7598</v>
      </c>
      <c r="K157" s="48" t="n">
        <v>7585</v>
      </c>
      <c r="L157" s="48" t="n">
        <v>66585596</v>
      </c>
      <c r="M157" s="48" t="n">
        <v>508447611056</v>
      </c>
      <c r="N157" s="48" t="n">
        <v>3845</v>
      </c>
      <c r="O157" s="48" t="n">
        <v>39246842</v>
      </c>
      <c r="P157" s="48" t="n">
        <v>28609765</v>
      </c>
      <c r="Q157" s="48" t="n">
        <v>1229</v>
      </c>
      <c r="R157" s="48" t="n">
        <v>2868</v>
      </c>
      <c r="S157" s="48" t="n">
        <v>27338754</v>
      </c>
      <c r="T157" s="48" t="n">
        <v>37975831</v>
      </c>
      <c r="U157" s="46" t="n">
        <f aca="false">IF($A157=$A156,$U156+1,1)</f>
        <v>153</v>
      </c>
      <c r="V157" s="48" t="n">
        <f aca="false">IF($U157&gt;=MA_SHORT,AVERAGE(INDEX($I$5:$I157,154-MA_SHORT):$I157),"")</f>
        <v>7172.2</v>
      </c>
      <c r="W157" s="48" t="n">
        <f aca="false">IF($U157&gt;=MA_MED,AVERAGE(INDEX($I$5:$I157,154-MA_MED):$I157),"")</f>
        <v>6901.24</v>
      </c>
      <c r="X157" s="48" t="n">
        <f aca="false">IF($U157&gt;=MA_LONG1,AVERAGE(INDEX($I$5:$I157,154-MA_LONG1):$I157),"")</f>
        <v>6665.97</v>
      </c>
      <c r="Y157" s="48" t="str">
        <f aca="false">IF($U157&gt;=MA_LONG2,AVERAGE(INDEX($I$5:$I157,154-MA_LONG2):$I157),"")</f>
        <v/>
      </c>
      <c r="Z157" s="48" t="n">
        <f aca="false">IF($U157&gt;=MA_SHORT,AVERAGE(INDEX($L$37:$L157,122-MA_SHORT):$L157),"")</f>
        <v>51375515.35</v>
      </c>
      <c r="AA157" s="48" t="n">
        <f aca="false">IF($U157=1,$G157-$H157,MAX($G157-$H157,ABS($G157-$I156),ABS($H157-$I156)))</f>
        <v>148</v>
      </c>
      <c r="AB157" s="48" t="n">
        <f aca="false">IF($U157&gt;=ATR_PER,AVERAGE(INDEX($AA$37:$AA157,122-ATR_PER):$AA157),"")</f>
        <v>244.857142857143</v>
      </c>
      <c r="AC157" s="48" t="n">
        <f aca="false">$O157-$P157</f>
        <v>10637077</v>
      </c>
      <c r="AD157" s="48" t="n">
        <f aca="false">$AC157*$I157</f>
        <v>81224719972</v>
      </c>
      <c r="AE157" s="49" t="n">
        <f aca="false">IF($Q157&gt;0,$O157*$I157/$Q157/1000000,"")</f>
        <v>243.847750620016</v>
      </c>
      <c r="AF157" s="49" t="n">
        <f aca="false">IF($R157&gt;0,$P157*$I157/$R157/1000000,"")</f>
        <v>76.1730005369596</v>
      </c>
      <c r="AG157" s="50" t="n">
        <f aca="false">IF(AND(ISNUMBER($AE157),ISNUMBER($AF157),$AF157&gt;0),$AE157/$AF157,"")</f>
        <v>3.20123598783141</v>
      </c>
      <c r="AH157" s="48" t="n">
        <f aca="false">IF($U157&gt;=5,SUM(INDEX($AD$127:$AD157,32-5):$AD157),"")</f>
        <v>393943095780</v>
      </c>
      <c r="AI157" s="48" t="n">
        <f aca="false">IF($U157&gt;=STRUCT_S,MAX(INDEX($G$7:$G157,152-STRUCT_S):$G157),"")</f>
        <v>7685</v>
      </c>
      <c r="AJ157" s="48" t="n">
        <f aca="false">IF($U157&gt;=STRUCT_S,MIN(INDEX($H$7:$H157,152-STRUCT_S):$H157),"")</f>
        <v>6687</v>
      </c>
      <c r="AK157" s="48" t="n">
        <f aca="false">IF($U157&gt;=STRUCT_L,MAX(INDEX($G$5:$G157,154-STRUCT_L):$G157),"")</f>
        <v>7685</v>
      </c>
      <c r="AL157" s="48" t="n">
        <f aca="false">IF($U157&gt;=STRUCT_L,MIN(INDEX($H$5:$H157,154-STRUCT_L):$H157),"")</f>
        <v>5971</v>
      </c>
      <c r="AM157" s="46" t="n">
        <f aca="false">IF($A157&lt;&gt;$A158,1,0)</f>
        <v>0</v>
      </c>
      <c r="AN157" s="47" t="str">
        <f aca="false">IF($AM157=1,$A157,"")</f>
        <v/>
      </c>
    </row>
    <row r="158" customFormat="false" ht="15" hidden="false" customHeight="false" outlineLevel="0" collapsed="false">
      <c r="A158" s="43" t="s">
        <v>130</v>
      </c>
      <c r="B158" s="44" t="s">
        <v>132</v>
      </c>
      <c r="C158" s="45" t="n">
        <v>46119</v>
      </c>
      <c r="D158" s="46" t="n">
        <v>20260407</v>
      </c>
      <c r="E158" s="47" t="s">
        <v>441</v>
      </c>
      <c r="F158" s="48" t="n">
        <v>7554</v>
      </c>
      <c r="G158" s="48" t="n">
        <v>7687</v>
      </c>
      <c r="H158" s="48" t="n">
        <v>7491</v>
      </c>
      <c r="I158" s="48" t="n">
        <v>7541</v>
      </c>
      <c r="J158" s="48" t="n">
        <v>7576</v>
      </c>
      <c r="K158" s="48" t="n">
        <v>7636</v>
      </c>
      <c r="L158" s="48" t="n">
        <v>46115281</v>
      </c>
      <c r="M158" s="48" t="n">
        <v>347755334021</v>
      </c>
      <c r="N158" s="48" t="n">
        <v>1159</v>
      </c>
      <c r="O158" s="48" t="n">
        <v>27029241</v>
      </c>
      <c r="P158" s="48" t="n">
        <v>16504290</v>
      </c>
      <c r="Q158" s="48" t="n">
        <v>461</v>
      </c>
      <c r="R158" s="48" t="n">
        <v>392</v>
      </c>
      <c r="S158" s="48" t="n">
        <v>19086040</v>
      </c>
      <c r="T158" s="48" t="n">
        <v>29610991</v>
      </c>
      <c r="U158" s="46" t="n">
        <f aca="false">IF($A158=$A157,$U157+1,1)</f>
        <v>154</v>
      </c>
      <c r="V158" s="48" t="n">
        <f aca="false">IF($U158&gt;=MA_SHORT,AVERAGE(INDEX($I$5:$I158,155-MA_SHORT):$I158),"")</f>
        <v>7208.35</v>
      </c>
      <c r="W158" s="48" t="n">
        <f aca="false">IF($U158&gt;=MA_MED,AVERAGE(INDEX($I$5:$I158,155-MA_MED):$I158),"")</f>
        <v>6920.92</v>
      </c>
      <c r="X158" s="48" t="n">
        <f aca="false">IF($U158&gt;=MA_LONG1,AVERAGE(INDEX($I$5:$I158,155-MA_LONG1):$I158),"")</f>
        <v>6683.49</v>
      </c>
      <c r="Y158" s="48" t="str">
        <f aca="false">IF($U158&gt;=MA_LONG2,AVERAGE(INDEX($I$5:$I158,155-MA_LONG2):$I158),"")</f>
        <v/>
      </c>
      <c r="Z158" s="48" t="n">
        <f aca="false">IF($U158&gt;=MA_SHORT,AVERAGE(INDEX($L$38:$L158,122-MA_SHORT):$L158),"")</f>
        <v>50616459.7</v>
      </c>
      <c r="AA158" s="48" t="n">
        <f aca="false">IF($U158=1,$G158-$H158,MAX($G158-$H158,ABS($G158-$I157),ABS($H158-$I157)))</f>
        <v>196</v>
      </c>
      <c r="AB158" s="48" t="n">
        <f aca="false">IF($U158&gt;=ATR_PER,AVERAGE(INDEX($AA$38:$AA158,122-ATR_PER):$AA158),"")</f>
        <v>242.214285714286</v>
      </c>
      <c r="AC158" s="48" t="n">
        <f aca="false">$O158-$P158</f>
        <v>10524951</v>
      </c>
      <c r="AD158" s="48" t="n">
        <f aca="false">$AC158*$I158</f>
        <v>79368655491</v>
      </c>
      <c r="AE158" s="49" t="n">
        <f aca="false">IF($Q158&gt;0,$O158*$I158/$Q158/1000000,"")</f>
        <v>442.14209627115</v>
      </c>
      <c r="AF158" s="49" t="n">
        <f aca="false">IF($R158&gt;0,$P158*$I158/$R158/1000000,"")</f>
        <v>317.497068596939</v>
      </c>
      <c r="AG158" s="50" t="n">
        <f aca="false">IF(AND(ISNUMBER($AE158),ISNUMBER($AF158),$AF158&gt;0),$AE158/$AF158,"")</f>
        <v>1.39258638898631</v>
      </c>
      <c r="AH158" s="48" t="n">
        <f aca="false">IF($U158&gt;=5,SUM(INDEX($AD$128:$AD158,32-5):$AD158),"")</f>
        <v>363708758935</v>
      </c>
      <c r="AI158" s="48" t="n">
        <f aca="false">IF($U158&gt;=STRUCT_S,MAX(INDEX($G$8:$G158,152-STRUCT_S):$G158),"")</f>
        <v>7687</v>
      </c>
      <c r="AJ158" s="48" t="n">
        <f aca="false">IF($U158&gt;=STRUCT_S,MIN(INDEX($H$8:$H158,152-STRUCT_S):$H158),"")</f>
        <v>6687</v>
      </c>
      <c r="AK158" s="48" t="n">
        <f aca="false">IF($U158&gt;=STRUCT_L,MAX(INDEX($G$5:$G158,155-STRUCT_L):$G158),"")</f>
        <v>7687</v>
      </c>
      <c r="AL158" s="48" t="n">
        <f aca="false">IF($U158&gt;=STRUCT_L,MIN(INDEX($H$5:$H158,155-STRUCT_L):$H158),"")</f>
        <v>5971</v>
      </c>
      <c r="AM158" s="46" t="n">
        <f aca="false">IF($A158&lt;&gt;$A159,1,0)</f>
        <v>0</v>
      </c>
      <c r="AN158" s="47" t="str">
        <f aca="false">IF($AM158=1,$A158,"")</f>
        <v/>
      </c>
    </row>
    <row r="159" customFormat="false" ht="15" hidden="false" customHeight="false" outlineLevel="0" collapsed="false">
      <c r="A159" s="43" t="s">
        <v>130</v>
      </c>
      <c r="B159" s="44" t="s">
        <v>132</v>
      </c>
      <c r="C159" s="45" t="n">
        <v>46120</v>
      </c>
      <c r="D159" s="46" t="n">
        <v>20260408</v>
      </c>
      <c r="E159" s="47" t="s">
        <v>442</v>
      </c>
      <c r="F159" s="48" t="n">
        <v>7572</v>
      </c>
      <c r="G159" s="48" t="n">
        <v>7588</v>
      </c>
      <c r="H159" s="48" t="n">
        <v>7471</v>
      </c>
      <c r="I159" s="48" t="n">
        <v>7518</v>
      </c>
      <c r="J159" s="48" t="n">
        <v>7508</v>
      </c>
      <c r="K159" s="48" t="n">
        <v>7541</v>
      </c>
      <c r="L159" s="48" t="n">
        <v>121093825</v>
      </c>
      <c r="M159" s="48" t="n">
        <v>910383376350</v>
      </c>
      <c r="N159" s="48" t="n">
        <v>3548</v>
      </c>
      <c r="O159" s="48" t="n">
        <v>67648673</v>
      </c>
      <c r="P159" s="48" t="n">
        <v>55889270</v>
      </c>
      <c r="Q159" s="48" t="n">
        <v>1951</v>
      </c>
      <c r="R159" s="48" t="n">
        <v>1366</v>
      </c>
      <c r="S159" s="48" t="n">
        <v>53445152</v>
      </c>
      <c r="T159" s="48" t="n">
        <v>65204555</v>
      </c>
      <c r="U159" s="46" t="n">
        <f aca="false">IF($A159=$A158,$U158+1,1)</f>
        <v>155</v>
      </c>
      <c r="V159" s="48" t="n">
        <f aca="false">IF($U159&gt;=MA_SHORT,AVERAGE(INDEX($I$5:$I159,156-MA_SHORT):$I159),"")</f>
        <v>7241.2</v>
      </c>
      <c r="W159" s="48" t="n">
        <f aca="false">IF($U159&gt;=MA_MED,AVERAGE(INDEX($I$5:$I159,156-MA_MED):$I159),"")</f>
        <v>6940.96</v>
      </c>
      <c r="X159" s="48" t="n">
        <f aca="false">IF($U159&gt;=MA_LONG1,AVERAGE(INDEX($I$5:$I159,156-MA_LONG1):$I159),"")</f>
        <v>6699.5</v>
      </c>
      <c r="Y159" s="48" t="str">
        <f aca="false">IF($U159&gt;=MA_LONG2,AVERAGE(INDEX($I$5:$I159,156-MA_LONG2):$I159),"")</f>
        <v/>
      </c>
      <c r="Z159" s="48" t="n">
        <f aca="false">IF($U159&gt;=MA_SHORT,AVERAGE(INDEX($L$39:$L159,122-MA_SHORT):$L159),"")</f>
        <v>53884302.9</v>
      </c>
      <c r="AA159" s="48" t="n">
        <f aca="false">IF($U159=1,$G159-$H159,MAX($G159-$H159,ABS($G159-$I158),ABS($H159-$I158)))</f>
        <v>117</v>
      </c>
      <c r="AB159" s="48" t="n">
        <f aca="false">IF($U159&gt;=ATR_PER,AVERAGE(INDEX($AA$39:$AA159,122-ATR_PER):$AA159),"")</f>
        <v>226.785714285714</v>
      </c>
      <c r="AC159" s="48" t="n">
        <f aca="false">$O159-$P159</f>
        <v>11759403</v>
      </c>
      <c r="AD159" s="48" t="n">
        <f aca="false">$AC159*$I159</f>
        <v>88407191754</v>
      </c>
      <c r="AE159" s="49" t="n">
        <f aca="false">IF($Q159&gt;0,$O159*$I159/$Q159/1000000,"")</f>
        <v>260.677972124039</v>
      </c>
      <c r="AF159" s="49" t="n">
        <f aca="false">IF($R159&gt;0,$P159*$I159/$R159/1000000,"")</f>
        <v>307.5955577306</v>
      </c>
      <c r="AG159" s="50" t="n">
        <f aca="false">IF(AND(ISNUMBER($AE159),ISNUMBER($AF159),$AF159&gt;0),$AE159/$AF159,"")</f>
        <v>0.847469885609815</v>
      </c>
      <c r="AH159" s="48" t="n">
        <f aca="false">IF($U159&gt;=5,SUM(INDEX($AD$129:$AD159,32-5):$AD159),"")</f>
        <v>408843166168</v>
      </c>
      <c r="AI159" s="48" t="n">
        <f aca="false">IF($U159&gt;=STRUCT_S,MAX(INDEX($G$9:$G159,152-STRUCT_S):$G159),"")</f>
        <v>7687</v>
      </c>
      <c r="AJ159" s="48" t="n">
        <f aca="false">IF($U159&gt;=STRUCT_S,MIN(INDEX($H$9:$H159,152-STRUCT_S):$H159),"")</f>
        <v>6806</v>
      </c>
      <c r="AK159" s="48" t="n">
        <f aca="false">IF($U159&gt;=STRUCT_L,MAX(INDEX($G$5:$G159,156-STRUCT_L):$G159),"")</f>
        <v>7687</v>
      </c>
      <c r="AL159" s="48" t="n">
        <f aca="false">IF($U159&gt;=STRUCT_L,MIN(INDEX($H$5:$H159,156-STRUCT_L):$H159),"")</f>
        <v>5971</v>
      </c>
      <c r="AM159" s="46" t="n">
        <f aca="false">IF($A159&lt;&gt;$A160,1,0)</f>
        <v>0</v>
      </c>
      <c r="AN159" s="47" t="str">
        <f aca="false">IF($AM159=1,$A159,"")</f>
        <v/>
      </c>
    </row>
    <row r="160" customFormat="false" ht="15" hidden="false" customHeight="false" outlineLevel="0" collapsed="false">
      <c r="A160" s="43" t="s">
        <v>130</v>
      </c>
      <c r="B160" s="44" t="s">
        <v>132</v>
      </c>
      <c r="C160" s="45" t="n">
        <v>46123</v>
      </c>
      <c r="D160" s="46" t="n">
        <v>20260411</v>
      </c>
      <c r="E160" s="47" t="s">
        <v>443</v>
      </c>
      <c r="F160" s="48" t="n">
        <v>7449</v>
      </c>
      <c r="G160" s="48" t="n">
        <v>7732</v>
      </c>
      <c r="H160" s="48" t="n">
        <v>7422</v>
      </c>
      <c r="I160" s="48" t="n">
        <v>7634</v>
      </c>
      <c r="J160" s="48" t="n">
        <v>7605</v>
      </c>
      <c r="K160" s="48" t="n">
        <v>7518</v>
      </c>
      <c r="L160" s="48" t="n">
        <v>57798332</v>
      </c>
      <c r="M160" s="48" t="n">
        <v>441232466488</v>
      </c>
      <c r="N160" s="48" t="n">
        <v>2786</v>
      </c>
      <c r="O160" s="48" t="n">
        <v>36936139</v>
      </c>
      <c r="P160" s="48" t="n">
        <v>22396972</v>
      </c>
      <c r="Q160" s="48" t="n">
        <v>885</v>
      </c>
      <c r="R160" s="48" t="n">
        <v>1922</v>
      </c>
      <c r="S160" s="48" t="n">
        <v>20862193</v>
      </c>
      <c r="T160" s="48" t="n">
        <v>35401360</v>
      </c>
      <c r="U160" s="46" t="n">
        <f aca="false">IF($A160=$A159,$U159+1,1)</f>
        <v>156</v>
      </c>
      <c r="V160" s="48" t="n">
        <f aca="false">IF($U160&gt;=MA_SHORT,AVERAGE(INDEX($I$5:$I160,157-MA_SHORT):$I160),"")</f>
        <v>7272.65</v>
      </c>
      <c r="W160" s="48" t="n">
        <f aca="false">IF($U160&gt;=MA_MED,AVERAGE(INDEX($I$5:$I160,157-MA_MED):$I160),"")</f>
        <v>6964.18</v>
      </c>
      <c r="X160" s="48" t="n">
        <f aca="false">IF($U160&gt;=MA_LONG1,AVERAGE(INDEX($I$5:$I160,157-MA_LONG1):$I160),"")</f>
        <v>6716.19</v>
      </c>
      <c r="Y160" s="48" t="str">
        <f aca="false">IF($U160&gt;=MA_LONG2,AVERAGE(INDEX($I$5:$I160,157-MA_LONG2):$I160),"")</f>
        <v/>
      </c>
      <c r="Z160" s="48" t="n">
        <f aca="false">IF($U160&gt;=MA_SHORT,AVERAGE(INDEX($L$40:$L160,122-MA_SHORT):$L160),"")</f>
        <v>54211887.55</v>
      </c>
      <c r="AA160" s="48" t="n">
        <f aca="false">IF($U160=1,$G160-$H160,MAX($G160-$H160,ABS($G160-$I159),ABS($H160-$I159)))</f>
        <v>310</v>
      </c>
      <c r="AB160" s="48" t="n">
        <f aca="false">IF($U160&gt;=ATR_PER,AVERAGE(INDEX($AA$40:$AA160,122-ATR_PER):$AA160),"")</f>
        <v>217.428571428571</v>
      </c>
      <c r="AC160" s="48" t="n">
        <f aca="false">$O160-$P160</f>
        <v>14539167</v>
      </c>
      <c r="AD160" s="48" t="n">
        <f aca="false">$AC160*$I160</f>
        <v>110992000878</v>
      </c>
      <c r="AE160" s="49" t="n">
        <f aca="false">IF($Q160&gt;0,$O160*$I160/$Q160/1000000,"")</f>
        <v>318.610717656497</v>
      </c>
      <c r="AF160" s="49" t="n">
        <f aca="false">IF($R160&gt;0,$P160*$I160/$R160/1000000,"")</f>
        <v>88.958628640999</v>
      </c>
      <c r="AG160" s="50" t="n">
        <f aca="false">IF(AND(ISNUMBER($AE160),ISNUMBER($AF160),$AF160&gt;0),$AE160/$AF160,"")</f>
        <v>3.58156058073109</v>
      </c>
      <c r="AH160" s="48" t="n">
        <f aca="false">IF($U160&gt;=5,SUM(INDEX($AD$130:$AD160,32-5):$AD160),"")</f>
        <v>470603523270</v>
      </c>
      <c r="AI160" s="48" t="n">
        <f aca="false">IF($U160&gt;=STRUCT_S,MAX(INDEX($G$10:$G160,152-STRUCT_S):$G160),"")</f>
        <v>7732</v>
      </c>
      <c r="AJ160" s="48" t="n">
        <f aca="false">IF($U160&gt;=STRUCT_S,MIN(INDEX($H$10:$H160,152-STRUCT_S):$H160),"")</f>
        <v>6905</v>
      </c>
      <c r="AK160" s="48" t="n">
        <f aca="false">IF($U160&gt;=STRUCT_L,MAX(INDEX($G$5:$G160,157-STRUCT_L):$G160),"")</f>
        <v>7732</v>
      </c>
      <c r="AL160" s="48" t="n">
        <f aca="false">IF($U160&gt;=STRUCT_L,MIN(INDEX($H$5:$H160,157-STRUCT_L):$H160),"")</f>
        <v>5971</v>
      </c>
      <c r="AM160" s="46" t="n">
        <f aca="false">IF($A160&lt;&gt;$A161,1,0)</f>
        <v>0</v>
      </c>
      <c r="AN160" s="47" t="str">
        <f aca="false">IF($AM160=1,$A160,"")</f>
        <v/>
      </c>
    </row>
    <row r="161" customFormat="false" ht="15" hidden="false" customHeight="false" outlineLevel="0" collapsed="false">
      <c r="A161" s="43" t="s">
        <v>130</v>
      </c>
      <c r="B161" s="44" t="s">
        <v>132</v>
      </c>
      <c r="C161" s="45" t="n">
        <v>46124</v>
      </c>
      <c r="D161" s="46" t="n">
        <v>20260412</v>
      </c>
      <c r="E161" s="47" t="s">
        <v>444</v>
      </c>
      <c r="F161" s="48" t="n">
        <v>7666</v>
      </c>
      <c r="G161" s="48" t="n">
        <v>7673</v>
      </c>
      <c r="H161" s="48" t="n">
        <v>7467</v>
      </c>
      <c r="I161" s="48" t="n">
        <v>7505</v>
      </c>
      <c r="J161" s="48" t="n">
        <v>7600</v>
      </c>
      <c r="K161" s="48" t="n">
        <v>7634</v>
      </c>
      <c r="L161" s="48" t="n">
        <v>65516354</v>
      </c>
      <c r="M161" s="48" t="n">
        <v>491700236770</v>
      </c>
      <c r="N161" s="48" t="n">
        <v>2326</v>
      </c>
      <c r="O161" s="48" t="n">
        <v>38277813</v>
      </c>
      <c r="P161" s="48" t="n">
        <v>28539315</v>
      </c>
      <c r="Q161" s="48" t="n">
        <v>1597</v>
      </c>
      <c r="R161" s="48" t="n">
        <v>589</v>
      </c>
      <c r="S161" s="48" t="n">
        <v>27238541</v>
      </c>
      <c r="T161" s="48" t="n">
        <v>36977039</v>
      </c>
      <c r="U161" s="46" t="n">
        <f aca="false">IF($A161=$A160,$U160+1,1)</f>
        <v>157</v>
      </c>
      <c r="V161" s="48" t="n">
        <f aca="false">IF($U161&gt;=MA_SHORT,AVERAGE(INDEX($I$5:$I161,158-MA_SHORT):$I161),"")</f>
        <v>7298.15</v>
      </c>
      <c r="W161" s="48" t="n">
        <f aca="false">IF($U161&gt;=MA_MED,AVERAGE(INDEX($I$5:$I161,158-MA_MED):$I161),"")</f>
        <v>6984.7</v>
      </c>
      <c r="X161" s="48" t="n">
        <f aca="false">IF($U161&gt;=MA_LONG1,AVERAGE(INDEX($I$5:$I161,158-MA_LONG1):$I161),"")</f>
        <v>6732.27</v>
      </c>
      <c r="Y161" s="48" t="str">
        <f aca="false">IF($U161&gt;=MA_LONG2,AVERAGE(INDEX($I$5:$I161,158-MA_LONG2):$I161),"")</f>
        <v/>
      </c>
      <c r="Z161" s="48" t="n">
        <f aca="false">IF($U161&gt;=MA_SHORT,AVERAGE(INDEX($L$41:$L161,122-MA_SHORT):$L161),"")</f>
        <v>55323724.95</v>
      </c>
      <c r="AA161" s="48" t="n">
        <f aca="false">IF($U161=1,$G161-$H161,MAX($G161-$H161,ABS($G161-$I160),ABS($H161-$I160)))</f>
        <v>206</v>
      </c>
      <c r="AB161" s="48" t="n">
        <f aca="false">IF($U161&gt;=ATR_PER,AVERAGE(INDEX($AA$41:$AA161,122-ATR_PER):$AA161),"")</f>
        <v>211.928571428571</v>
      </c>
      <c r="AC161" s="48" t="n">
        <f aca="false">$O161-$P161</f>
        <v>9738498</v>
      </c>
      <c r="AD161" s="48" t="n">
        <f aca="false">$AC161*$I161</f>
        <v>73087427490</v>
      </c>
      <c r="AE161" s="49" t="n">
        <f aca="false">IF($Q161&gt;0,$O161*$I161/$Q161/1000000,"")</f>
        <v>179.884149383219</v>
      </c>
      <c r="AF161" s="49" t="n">
        <f aca="false">IF($R161&gt;0,$P161*$I161/$R161/1000000,"")</f>
        <v>363.646110483871</v>
      </c>
      <c r="AG161" s="50" t="n">
        <f aca="false">IF(AND(ISNUMBER($AE161),ISNUMBER($AF161),$AF161&gt;0),$AE161/$AF161,"")</f>
        <v>0.494668151802484</v>
      </c>
      <c r="AH161" s="48" t="n">
        <f aca="false">IF($U161&gt;=5,SUM(INDEX($AD$131:$AD161,32-5):$AD161),"")</f>
        <v>433079995585</v>
      </c>
      <c r="AI161" s="48" t="n">
        <f aca="false">IF($U161&gt;=STRUCT_S,MAX(INDEX($G$11:$G161,152-STRUCT_S):$G161),"")</f>
        <v>7732</v>
      </c>
      <c r="AJ161" s="48" t="n">
        <f aca="false">IF($U161&gt;=STRUCT_S,MIN(INDEX($H$11:$H161,152-STRUCT_S):$H161),"")</f>
        <v>6915</v>
      </c>
      <c r="AK161" s="48" t="n">
        <f aca="false">IF($U161&gt;=STRUCT_L,MAX(INDEX($G$5:$G161,158-STRUCT_L):$G161),"")</f>
        <v>7732</v>
      </c>
      <c r="AL161" s="48" t="n">
        <f aca="false">IF($U161&gt;=STRUCT_L,MIN(INDEX($H$5:$H161,158-STRUCT_L):$H161),"")</f>
        <v>5971</v>
      </c>
      <c r="AM161" s="46" t="n">
        <f aca="false">IF($A161&lt;&gt;$A162,1,0)</f>
        <v>0</v>
      </c>
      <c r="AN161" s="47" t="str">
        <f aca="false">IF($AM161=1,$A161,"")</f>
        <v/>
      </c>
    </row>
    <row r="162" customFormat="false" ht="15" hidden="false" customHeight="false" outlineLevel="0" collapsed="false">
      <c r="A162" s="43" t="s">
        <v>130</v>
      </c>
      <c r="B162" s="44" t="s">
        <v>132</v>
      </c>
      <c r="C162" s="45" t="n">
        <v>46125</v>
      </c>
      <c r="D162" s="46" t="n">
        <v>20260413</v>
      </c>
      <c r="E162" s="47" t="s">
        <v>445</v>
      </c>
      <c r="F162" s="48" t="n">
        <v>7628</v>
      </c>
      <c r="G162" s="48" t="n">
        <v>7697</v>
      </c>
      <c r="H162" s="48" t="n">
        <v>7408</v>
      </c>
      <c r="I162" s="48" t="n">
        <v>7599</v>
      </c>
      <c r="J162" s="48" t="n">
        <v>7458</v>
      </c>
      <c r="K162" s="48" t="n">
        <v>7505</v>
      </c>
      <c r="L162" s="48" t="n">
        <v>46136887</v>
      </c>
      <c r="M162" s="48" t="n">
        <v>350594204313</v>
      </c>
      <c r="N162" s="48" t="n">
        <v>1642</v>
      </c>
      <c r="O162" s="48" t="n">
        <v>30922537</v>
      </c>
      <c r="P162" s="48" t="n">
        <v>14268658</v>
      </c>
      <c r="Q162" s="48" t="n">
        <v>584</v>
      </c>
      <c r="R162" s="48" t="n">
        <v>844</v>
      </c>
      <c r="S162" s="48" t="n">
        <v>15214350</v>
      </c>
      <c r="T162" s="48" t="n">
        <v>31868229</v>
      </c>
      <c r="U162" s="46" t="n">
        <f aca="false">IF($A162=$A161,$U161+1,1)</f>
        <v>158</v>
      </c>
      <c r="V162" s="48" t="n">
        <f aca="false">IF($U162&gt;=MA_SHORT,AVERAGE(INDEX($I$5:$I162,159-MA_SHORT):$I162),"")</f>
        <v>7317.5</v>
      </c>
      <c r="W162" s="48" t="n">
        <f aca="false">IF($U162&gt;=MA_MED,AVERAGE(INDEX($I$5:$I162,159-MA_MED):$I162),"")</f>
        <v>7011.26</v>
      </c>
      <c r="X162" s="48" t="n">
        <f aca="false">IF($U162&gt;=MA_LONG1,AVERAGE(INDEX($I$5:$I162,159-MA_LONG1):$I162),"")</f>
        <v>6747.54</v>
      </c>
      <c r="Y162" s="48" t="str">
        <f aca="false">IF($U162&gt;=MA_LONG2,AVERAGE(INDEX($I$5:$I162,159-MA_LONG2):$I162),"")</f>
        <v/>
      </c>
      <c r="Z162" s="48" t="n">
        <f aca="false">IF($U162&gt;=MA_SHORT,AVERAGE(INDEX($L$42:$L162,122-MA_SHORT):$L162),"")</f>
        <v>55085599.45</v>
      </c>
      <c r="AA162" s="48" t="n">
        <f aca="false">IF($U162=1,$G162-$H162,MAX($G162-$H162,ABS($G162-$I161),ABS($H162-$I161)))</f>
        <v>289</v>
      </c>
      <c r="AB162" s="48" t="n">
        <f aca="false">IF($U162&gt;=ATR_PER,AVERAGE(INDEX($AA$42:$AA162,122-ATR_PER):$AA162),"")</f>
        <v>226.714285714286</v>
      </c>
      <c r="AC162" s="48" t="n">
        <f aca="false">$O162-$P162</f>
        <v>16653879</v>
      </c>
      <c r="AD162" s="48" t="n">
        <f aca="false">$AC162*$I162</f>
        <v>126552826521</v>
      </c>
      <c r="AE162" s="49" t="n">
        <f aca="false">IF($Q162&gt;0,$O162*$I162/$Q162/1000000,"")</f>
        <v>402.363627847603</v>
      </c>
      <c r="AF162" s="49" t="n">
        <f aca="false">IF($R162&gt;0,$P162*$I162/$R162/1000000,"")</f>
        <v>128.468639978673</v>
      </c>
      <c r="AG162" s="50" t="n">
        <f aca="false">IF(AND(ISNUMBER($AE162),ISNUMBER($AF162),$AF162&gt;0),$AE162/$AF162,"")</f>
        <v>3.13199881242924</v>
      </c>
      <c r="AH162" s="48" t="n">
        <f aca="false">IF($U162&gt;=5,SUM(INDEX($AD$132:$AD162,32-5):$AD162),"")</f>
        <v>478408102134</v>
      </c>
      <c r="AI162" s="48" t="n">
        <f aca="false">IF($U162&gt;=STRUCT_S,MAX(INDEX($G$12:$G162,152-STRUCT_S):$G162),"")</f>
        <v>7732</v>
      </c>
      <c r="AJ162" s="48" t="n">
        <f aca="false">IF($U162&gt;=STRUCT_S,MIN(INDEX($H$12:$H162,152-STRUCT_S):$H162),"")</f>
        <v>6915</v>
      </c>
      <c r="AK162" s="48" t="n">
        <f aca="false">IF($U162&gt;=STRUCT_L,MAX(INDEX($G$5:$G162,159-STRUCT_L):$G162),"")</f>
        <v>7732</v>
      </c>
      <c r="AL162" s="48" t="n">
        <f aca="false">IF($U162&gt;=STRUCT_L,MIN(INDEX($H$5:$H162,159-STRUCT_L):$H162),"")</f>
        <v>5971</v>
      </c>
      <c r="AM162" s="46" t="n">
        <f aca="false">IF($A162&lt;&gt;$A163,1,0)</f>
        <v>0</v>
      </c>
      <c r="AN162" s="47" t="str">
        <f aca="false">IF($AM162=1,$A162,"")</f>
        <v/>
      </c>
    </row>
    <row r="163" customFormat="false" ht="15" hidden="false" customHeight="false" outlineLevel="0" collapsed="false">
      <c r="A163" s="43" t="s">
        <v>130</v>
      </c>
      <c r="B163" s="44" t="s">
        <v>132</v>
      </c>
      <c r="C163" s="45" t="n">
        <v>46126</v>
      </c>
      <c r="D163" s="46" t="n">
        <v>20260414</v>
      </c>
      <c r="E163" s="47" t="s">
        <v>446</v>
      </c>
      <c r="F163" s="48" t="n">
        <v>7483</v>
      </c>
      <c r="G163" s="48" t="n">
        <v>7732</v>
      </c>
      <c r="H163" s="48" t="n">
        <v>7221</v>
      </c>
      <c r="I163" s="48" t="n">
        <v>7349</v>
      </c>
      <c r="J163" s="48" t="n">
        <v>7252</v>
      </c>
      <c r="K163" s="48" t="n">
        <v>7599</v>
      </c>
      <c r="L163" s="48" t="n">
        <v>75269337</v>
      </c>
      <c r="M163" s="48" t="n">
        <v>553154357613</v>
      </c>
      <c r="N163" s="48" t="n">
        <v>1692</v>
      </c>
      <c r="O163" s="48" t="n">
        <v>34445027</v>
      </c>
      <c r="P163" s="48" t="n">
        <v>43803429</v>
      </c>
      <c r="Q163" s="48" t="n">
        <v>728</v>
      </c>
      <c r="R163" s="48" t="n">
        <v>695</v>
      </c>
      <c r="S163" s="48" t="n">
        <v>40824310</v>
      </c>
      <c r="T163" s="48" t="n">
        <v>31465908</v>
      </c>
      <c r="U163" s="46" t="n">
        <f aca="false">IF($A163=$A162,$U162+1,1)</f>
        <v>159</v>
      </c>
      <c r="V163" s="48" t="n">
        <f aca="false">IF($U163&gt;=MA_SHORT,AVERAGE(INDEX($I$5:$I163,160-MA_SHORT):$I163),"")</f>
        <v>7325.35</v>
      </c>
      <c r="W163" s="48" t="n">
        <f aca="false">IF($U163&gt;=MA_MED,AVERAGE(INDEX($I$5:$I163,160-MA_MED):$I163),"")</f>
        <v>7034.76</v>
      </c>
      <c r="X163" s="48" t="n">
        <f aca="false">IF($U163&gt;=MA_LONG1,AVERAGE(INDEX($I$5:$I163,160-MA_LONG1):$I163),"")</f>
        <v>6759.74</v>
      </c>
      <c r="Y163" s="48" t="str">
        <f aca="false">IF($U163&gt;=MA_LONG2,AVERAGE(INDEX($I$5:$I163,160-MA_LONG2):$I163),"")</f>
        <v/>
      </c>
      <c r="Z163" s="48" t="n">
        <f aca="false">IF($U163&gt;=MA_SHORT,AVERAGE(INDEX($L$43:$L163,122-MA_SHORT):$L163),"")</f>
        <v>56302878.35</v>
      </c>
      <c r="AA163" s="48" t="n">
        <f aca="false">IF($U163=1,$G163-$H163,MAX($G163-$H163,ABS($G163-$I162),ABS($H163-$I162)))</f>
        <v>511</v>
      </c>
      <c r="AB163" s="48" t="n">
        <f aca="false">IF($U163&gt;=ATR_PER,AVERAGE(INDEX($AA$43:$AA163,122-ATR_PER):$AA163),"")</f>
        <v>240.928571428571</v>
      </c>
      <c r="AC163" s="48" t="n">
        <f aca="false">$O163-$P163</f>
        <v>-9358402</v>
      </c>
      <c r="AD163" s="48" t="n">
        <f aca="false">$AC163*$I163</f>
        <v>-68774896298</v>
      </c>
      <c r="AE163" s="49" t="n">
        <f aca="false">IF($Q163&gt;0,$O163*$I163/$Q163/1000000,"")</f>
        <v>347.714977229396</v>
      </c>
      <c r="AF163" s="49" t="n">
        <f aca="false">IF($R163&gt;0,$P163*$I163/$R163/1000000,"")</f>
        <v>463.181870102158</v>
      </c>
      <c r="AG163" s="50" t="n">
        <f aca="false">IF(AND(ISNUMBER($AE163),ISNUMBER($AF163),$AF163&gt;0),$AE163/$AF163,"")</f>
        <v>0.750709385824416</v>
      </c>
      <c r="AH163" s="48" t="n">
        <f aca="false">IF($U163&gt;=5,SUM(INDEX($AD$133:$AD163,32-5):$AD163),"")</f>
        <v>330264550345</v>
      </c>
      <c r="AI163" s="48" t="n">
        <f aca="false">IF($U163&gt;=STRUCT_S,MAX(INDEX($G$13:$G163,152-STRUCT_S):$G163),"")</f>
        <v>7732</v>
      </c>
      <c r="AJ163" s="48" t="n">
        <f aca="false">IF($U163&gt;=STRUCT_S,MIN(INDEX($H$13:$H163,152-STRUCT_S):$H163),"")</f>
        <v>6915</v>
      </c>
      <c r="AK163" s="48" t="n">
        <f aca="false">IF($U163&gt;=STRUCT_L,MAX(INDEX($G$5:$G163,160-STRUCT_L):$G163),"")</f>
        <v>7732</v>
      </c>
      <c r="AL163" s="48" t="n">
        <f aca="false">IF($U163&gt;=STRUCT_L,MIN(INDEX($H$5:$H163,160-STRUCT_L):$H163),"")</f>
        <v>5971</v>
      </c>
      <c r="AM163" s="46" t="n">
        <f aca="false">IF($A163&lt;&gt;$A164,1,0)</f>
        <v>0</v>
      </c>
      <c r="AN163" s="47" t="str">
        <f aca="false">IF($AM163=1,$A163,"")</f>
        <v/>
      </c>
    </row>
    <row r="164" customFormat="false" ht="15" hidden="false" customHeight="false" outlineLevel="0" collapsed="false">
      <c r="A164" s="43" t="s">
        <v>130</v>
      </c>
      <c r="B164" s="44" t="s">
        <v>132</v>
      </c>
      <c r="C164" s="45" t="n">
        <v>46127</v>
      </c>
      <c r="D164" s="46" t="n">
        <v>20260415</v>
      </c>
      <c r="E164" s="47" t="s">
        <v>447</v>
      </c>
      <c r="F164" s="48" t="n">
        <v>7313</v>
      </c>
      <c r="G164" s="48" t="n">
        <v>7433</v>
      </c>
      <c r="H164" s="48" t="n">
        <v>7112</v>
      </c>
      <c r="I164" s="48" t="n">
        <v>7194</v>
      </c>
      <c r="J164" s="48" t="n">
        <v>7313</v>
      </c>
      <c r="K164" s="48" t="n">
        <v>7349</v>
      </c>
      <c r="L164" s="48" t="n">
        <v>48342478</v>
      </c>
      <c r="M164" s="48" t="n">
        <v>347775786732</v>
      </c>
      <c r="N164" s="48" t="n">
        <v>1471</v>
      </c>
      <c r="O164" s="48" t="n">
        <v>23462693</v>
      </c>
      <c r="P164" s="48" t="n">
        <v>24644987</v>
      </c>
      <c r="Q164" s="48" t="n">
        <v>649</v>
      </c>
      <c r="R164" s="48" t="n">
        <v>532</v>
      </c>
      <c r="S164" s="48" t="n">
        <v>24879785</v>
      </c>
      <c r="T164" s="48" t="n">
        <v>23697491</v>
      </c>
      <c r="U164" s="46" t="n">
        <f aca="false">IF($A164=$A163,$U163+1,1)</f>
        <v>160</v>
      </c>
      <c r="V164" s="48" t="n">
        <f aca="false">IF($U164&gt;=MA_SHORT,AVERAGE(INDEX($I$5:$I164,161-MA_SHORT):$I164),"")</f>
        <v>7322.05</v>
      </c>
      <c r="W164" s="48" t="n">
        <f aca="false">IF($U164&gt;=MA_MED,AVERAGE(INDEX($I$5:$I164,161-MA_MED):$I164),"")</f>
        <v>7052.86</v>
      </c>
      <c r="X164" s="48" t="n">
        <f aca="false">IF($U164&gt;=MA_LONG1,AVERAGE(INDEX($I$5:$I164,161-MA_LONG1):$I164),"")</f>
        <v>6769.3</v>
      </c>
      <c r="Y164" s="48" t="str">
        <f aca="false">IF($U164&gt;=MA_LONG2,AVERAGE(INDEX($I$5:$I164,161-MA_LONG2):$I164),"")</f>
        <v/>
      </c>
      <c r="Z164" s="48" t="n">
        <f aca="false">IF($U164&gt;=MA_SHORT,AVERAGE(INDEX($L$44:$L164,122-MA_SHORT):$L164),"")</f>
        <v>56452680.35</v>
      </c>
      <c r="AA164" s="48" t="n">
        <f aca="false">IF($U164=1,$G164-$H164,MAX($G164-$H164,ABS($G164-$I163),ABS($H164-$I163)))</f>
        <v>321</v>
      </c>
      <c r="AB164" s="48" t="n">
        <f aca="false">IF($U164&gt;=ATR_PER,AVERAGE(INDEX($AA$44:$AA164,122-ATR_PER):$AA164),"")</f>
        <v>255.642857142857</v>
      </c>
      <c r="AC164" s="48" t="n">
        <f aca="false">$O164-$P164</f>
        <v>-1182294</v>
      </c>
      <c r="AD164" s="48" t="n">
        <f aca="false">$AC164*$I164</f>
        <v>-8505423036</v>
      </c>
      <c r="AE164" s="49" t="n">
        <f aca="false">IF($Q164&gt;0,$O164*$I164/$Q164/1000000,"")</f>
        <v>260.077986813559</v>
      </c>
      <c r="AF164" s="49" t="n">
        <f aca="false">IF($R164&gt;0,$P164*$I164/$R164/1000000,"")</f>
        <v>333.263226462406</v>
      </c>
      <c r="AG164" s="50" t="n">
        <f aca="false">IF(AND(ISNUMBER($AE164),ISNUMBER($AF164),$AF164&gt;0),$AE164/$AF164,"")</f>
        <v>0.780398094246074</v>
      </c>
      <c r="AH164" s="48" t="n">
        <f aca="false">IF($U164&gt;=5,SUM(INDEX($AD$134:$AD164,32-5):$AD164),"")</f>
        <v>233351935555</v>
      </c>
      <c r="AI164" s="48" t="n">
        <f aca="false">IF($U164&gt;=STRUCT_S,MAX(INDEX($G$14:$G164,152-STRUCT_S):$G164),"")</f>
        <v>7732</v>
      </c>
      <c r="AJ164" s="48" t="n">
        <f aca="false">IF($U164&gt;=STRUCT_S,MIN(INDEX($H$14:$H164,152-STRUCT_S):$H164),"")</f>
        <v>6915</v>
      </c>
      <c r="AK164" s="48" t="n">
        <f aca="false">IF($U164&gt;=STRUCT_L,MAX(INDEX($G$5:$G164,161-STRUCT_L):$G164),"")</f>
        <v>7732</v>
      </c>
      <c r="AL164" s="48" t="n">
        <f aca="false">IF($U164&gt;=STRUCT_L,MIN(INDEX($H$5:$H164,161-STRUCT_L):$H164),"")</f>
        <v>5971</v>
      </c>
      <c r="AM164" s="46" t="n">
        <f aca="false">IF($A164&lt;&gt;$A165,1,0)</f>
        <v>0</v>
      </c>
      <c r="AN164" s="47" t="str">
        <f aca="false">IF($AM164=1,$A164,"")</f>
        <v/>
      </c>
    </row>
    <row r="165" customFormat="false" ht="15" hidden="false" customHeight="false" outlineLevel="0" collapsed="false">
      <c r="A165" s="43" t="s">
        <v>130</v>
      </c>
      <c r="B165" s="44" t="s">
        <v>132</v>
      </c>
      <c r="C165" s="45" t="n">
        <v>46130</v>
      </c>
      <c r="D165" s="46" t="n">
        <v>20260418</v>
      </c>
      <c r="E165" s="47" t="s">
        <v>448</v>
      </c>
      <c r="F165" s="48" t="n">
        <v>7234</v>
      </c>
      <c r="G165" s="48" t="n">
        <v>7264</v>
      </c>
      <c r="H165" s="48" t="n">
        <v>7151</v>
      </c>
      <c r="I165" s="48" t="n">
        <v>7221</v>
      </c>
      <c r="J165" s="48" t="n">
        <v>7261</v>
      </c>
      <c r="K165" s="48" t="n">
        <v>7194</v>
      </c>
      <c r="L165" s="48" t="n">
        <v>51635358</v>
      </c>
      <c r="M165" s="48" t="n">
        <v>372858920118</v>
      </c>
      <c r="N165" s="48" t="n">
        <v>4709</v>
      </c>
      <c r="O165" s="48" t="n">
        <v>27780011</v>
      </c>
      <c r="P165" s="48" t="n">
        <v>23454649</v>
      </c>
      <c r="Q165" s="48" t="n">
        <v>1157</v>
      </c>
      <c r="R165" s="48" t="n">
        <v>3604</v>
      </c>
      <c r="S165" s="48" t="n">
        <v>23855347</v>
      </c>
      <c r="T165" s="48" t="n">
        <v>28180709</v>
      </c>
      <c r="U165" s="46" t="n">
        <f aca="false">IF($A165=$A164,$U164+1,1)</f>
        <v>161</v>
      </c>
      <c r="V165" s="48" t="n">
        <f aca="false">IF($U165&gt;=MA_SHORT,AVERAGE(INDEX($I$5:$I165,162-MA_SHORT):$I165),"")</f>
        <v>7320.6</v>
      </c>
      <c r="W165" s="48" t="n">
        <f aca="false">IF($U165&gt;=MA_MED,AVERAGE(INDEX($I$5:$I165,162-MA_MED):$I165),"")</f>
        <v>7072.18</v>
      </c>
      <c r="X165" s="48" t="n">
        <f aca="false">IF($U165&gt;=MA_LONG1,AVERAGE(INDEX($I$5:$I165,162-MA_LONG1):$I165),"")</f>
        <v>6780.17</v>
      </c>
      <c r="Y165" s="48" t="str">
        <f aca="false">IF($U165&gt;=MA_LONG2,AVERAGE(INDEX($I$5:$I165,162-MA_LONG2):$I165),"")</f>
        <v/>
      </c>
      <c r="Z165" s="48" t="n">
        <f aca="false">IF($U165&gt;=MA_SHORT,AVERAGE(INDEX($L$45:$L165,122-MA_SHORT):$L165),"")</f>
        <v>56784861.4</v>
      </c>
      <c r="AA165" s="48" t="n">
        <f aca="false">IF($U165=1,$G165-$H165,MAX($G165-$H165,ABS($G165-$I164),ABS($H165-$I164)))</f>
        <v>113</v>
      </c>
      <c r="AB165" s="48" t="n">
        <f aca="false">IF($U165&gt;=ATR_PER,AVERAGE(INDEX($AA$45:$AA165,122-ATR_PER):$AA165),"")</f>
        <v>259.642857142857</v>
      </c>
      <c r="AC165" s="48" t="n">
        <f aca="false">$O165-$P165</f>
        <v>4325362</v>
      </c>
      <c r="AD165" s="48" t="n">
        <f aca="false">$AC165*$I165</f>
        <v>31233439002</v>
      </c>
      <c r="AE165" s="49" t="n">
        <f aca="false">IF($Q165&gt;0,$O165*$I165/$Q165/1000000,"")</f>
        <v>173.378962343129</v>
      </c>
      <c r="AF165" s="49" t="n">
        <f aca="false">IF($R165&gt;0,$P165*$I165/$R165/1000000,"")</f>
        <v>46.9939013399001</v>
      </c>
      <c r="AG165" s="50" t="n">
        <f aca="false">IF(AND(ISNUMBER($AE165),ISNUMBER($AF165),$AF165&gt;0),$AE165/$AF165,"")</f>
        <v>3.68939282331773</v>
      </c>
      <c r="AH165" s="48" t="n">
        <f aca="false">IF($U165&gt;=5,SUM(INDEX($AD$135:$AD165,32-5):$AD165),"")</f>
        <v>153593373679</v>
      </c>
      <c r="AI165" s="48" t="n">
        <f aca="false">IF($U165&gt;=STRUCT_S,MAX(INDEX($G$15:$G165,152-STRUCT_S):$G165),"")</f>
        <v>7732</v>
      </c>
      <c r="AJ165" s="48" t="n">
        <f aca="false">IF($U165&gt;=STRUCT_S,MIN(INDEX($H$15:$H165,152-STRUCT_S):$H165),"")</f>
        <v>6915</v>
      </c>
      <c r="AK165" s="48" t="n">
        <f aca="false">IF($U165&gt;=STRUCT_L,MAX(INDEX($G$5:$G165,162-STRUCT_L):$G165),"")</f>
        <v>7732</v>
      </c>
      <c r="AL165" s="48" t="n">
        <f aca="false">IF($U165&gt;=STRUCT_L,MIN(INDEX($H$5:$H165,162-STRUCT_L):$H165),"")</f>
        <v>5971</v>
      </c>
      <c r="AM165" s="46" t="n">
        <f aca="false">IF($A165&lt;&gt;$A166,1,0)</f>
        <v>0</v>
      </c>
      <c r="AN165" s="47" t="str">
        <f aca="false">IF($AM165=1,$A165,"")</f>
        <v/>
      </c>
    </row>
    <row r="166" customFormat="false" ht="15" hidden="false" customHeight="false" outlineLevel="0" collapsed="false">
      <c r="A166" s="43" t="s">
        <v>130</v>
      </c>
      <c r="B166" s="44" t="s">
        <v>132</v>
      </c>
      <c r="C166" s="45" t="n">
        <v>46131</v>
      </c>
      <c r="D166" s="46" t="n">
        <v>20260419</v>
      </c>
      <c r="E166" s="47" t="s">
        <v>449</v>
      </c>
      <c r="F166" s="48" t="n">
        <v>7172</v>
      </c>
      <c r="G166" s="48" t="n">
        <v>7254</v>
      </c>
      <c r="H166" s="48" t="n">
        <v>7134</v>
      </c>
      <c r="I166" s="48" t="n">
        <v>7167</v>
      </c>
      <c r="J166" s="48" t="n">
        <v>7228</v>
      </c>
      <c r="K166" s="48" t="n">
        <v>7221</v>
      </c>
      <c r="L166" s="48" t="n">
        <v>47899839</v>
      </c>
      <c r="M166" s="48" t="n">
        <v>343298146113</v>
      </c>
      <c r="N166" s="48" t="n">
        <v>1535</v>
      </c>
      <c r="O166" s="48" t="n">
        <v>26523412</v>
      </c>
      <c r="P166" s="48" t="n">
        <v>21183608</v>
      </c>
      <c r="Q166" s="48" t="n">
        <v>961</v>
      </c>
      <c r="R166" s="48" t="n">
        <v>615</v>
      </c>
      <c r="S166" s="48" t="n">
        <v>21376427</v>
      </c>
      <c r="T166" s="48" t="n">
        <v>26716231</v>
      </c>
      <c r="U166" s="46" t="n">
        <f aca="false">IF($A166=$A165,$U165+1,1)</f>
        <v>162</v>
      </c>
      <c r="V166" s="48" t="n">
        <f aca="false">IF($U166&gt;=MA_SHORT,AVERAGE(INDEX($I$5:$I166,163-MA_SHORT):$I166),"")</f>
        <v>7320.85</v>
      </c>
      <c r="W166" s="48" t="n">
        <f aca="false">IF($U166&gt;=MA_MED,AVERAGE(INDEX($I$5:$I166,163-MA_MED):$I166),"")</f>
        <v>7089.94</v>
      </c>
      <c r="X166" s="48" t="n">
        <f aca="false">IF($U166&gt;=MA_LONG1,AVERAGE(INDEX($I$5:$I166,163-MA_LONG1):$I166),"")</f>
        <v>6790.67</v>
      </c>
      <c r="Y166" s="48" t="str">
        <f aca="false">IF($U166&gt;=MA_LONG2,AVERAGE(INDEX($I$5:$I166,163-MA_LONG2):$I166),"")</f>
        <v/>
      </c>
      <c r="Z166" s="48" t="n">
        <f aca="false">IF($U166&gt;=MA_SHORT,AVERAGE(INDEX($L$46:$L166,122-MA_SHORT):$L166),"")</f>
        <v>56761082.55</v>
      </c>
      <c r="AA166" s="48" t="n">
        <f aca="false">IF($U166=1,$G166-$H166,MAX($G166-$H166,ABS($G166-$I165),ABS($H166-$I165)))</f>
        <v>120</v>
      </c>
      <c r="AB166" s="48" t="n">
        <f aca="false">IF($U166&gt;=ATR_PER,AVERAGE(INDEX($AA$46:$AA166,122-ATR_PER):$AA166),"")</f>
        <v>254.142857142857</v>
      </c>
      <c r="AC166" s="48" t="n">
        <f aca="false">$O166-$P166</f>
        <v>5339804</v>
      </c>
      <c r="AD166" s="48" t="n">
        <f aca="false">$AC166*$I166</f>
        <v>38270375268</v>
      </c>
      <c r="AE166" s="49" t="n">
        <f aca="false">IF($Q166&gt;0,$O166*$I166/$Q166/1000000,"")</f>
        <v>197.807797922997</v>
      </c>
      <c r="AF166" s="49" t="n">
        <f aca="false">IF($R166&gt;0,$P166*$I166/$R166/1000000,"")</f>
        <v>246.866534204878</v>
      </c>
      <c r="AG166" s="50" t="n">
        <f aca="false">IF(AND(ISNUMBER($AE166),ISNUMBER($AF166),$AF166&gt;0),$AE166/$AF166,"")</f>
        <v>0.801274253556107</v>
      </c>
      <c r="AH166" s="48" t="n">
        <f aca="false">IF($U166&gt;=5,SUM(INDEX($AD$136:$AD166,32-5):$AD166),"")</f>
        <v>118776321457</v>
      </c>
      <c r="AI166" s="48" t="n">
        <f aca="false">IF($U166&gt;=STRUCT_S,MAX(INDEX($G$16:$G166,152-STRUCT_S):$G166),"")</f>
        <v>7732</v>
      </c>
      <c r="AJ166" s="48" t="n">
        <f aca="false">IF($U166&gt;=STRUCT_S,MIN(INDEX($H$16:$H166,152-STRUCT_S):$H166),"")</f>
        <v>6915</v>
      </c>
      <c r="AK166" s="48" t="n">
        <f aca="false">IF($U166&gt;=STRUCT_L,MAX(INDEX($G$5:$G166,163-STRUCT_L):$G166),"")</f>
        <v>7732</v>
      </c>
      <c r="AL166" s="48" t="n">
        <f aca="false">IF($U166&gt;=STRUCT_L,MIN(INDEX($H$5:$H166,163-STRUCT_L):$H166),"")</f>
        <v>5971</v>
      </c>
      <c r="AM166" s="46" t="n">
        <f aca="false">IF($A166&lt;&gt;$A167,1,0)</f>
        <v>0</v>
      </c>
      <c r="AN166" s="47" t="str">
        <f aca="false">IF($AM166=1,$A166,"")</f>
        <v/>
      </c>
    </row>
    <row r="167" customFormat="false" ht="15" hidden="false" customHeight="false" outlineLevel="0" collapsed="false">
      <c r="A167" s="43" t="s">
        <v>130</v>
      </c>
      <c r="B167" s="44" t="s">
        <v>132</v>
      </c>
      <c r="C167" s="45" t="n">
        <v>46132</v>
      </c>
      <c r="D167" s="46" t="n">
        <v>20260420</v>
      </c>
      <c r="E167" s="47" t="s">
        <v>450</v>
      </c>
      <c r="F167" s="48" t="n">
        <v>7042</v>
      </c>
      <c r="G167" s="48" t="n">
        <v>7234</v>
      </c>
      <c r="H167" s="48" t="n">
        <v>7010</v>
      </c>
      <c r="I167" s="48" t="n">
        <v>7076</v>
      </c>
      <c r="J167" s="48" t="n">
        <v>7042</v>
      </c>
      <c r="K167" s="48" t="n">
        <v>7167</v>
      </c>
      <c r="L167" s="48" t="n">
        <v>51942226</v>
      </c>
      <c r="M167" s="48" t="n">
        <v>367543191176</v>
      </c>
      <c r="N167" s="48" t="n">
        <v>4953</v>
      </c>
      <c r="O167" s="48" t="n">
        <v>27589780</v>
      </c>
      <c r="P167" s="48" t="n">
        <v>17984415</v>
      </c>
      <c r="Q167" s="48" t="n">
        <v>2712</v>
      </c>
      <c r="R167" s="48" t="n">
        <v>1505</v>
      </c>
      <c r="S167" s="48" t="n">
        <v>24352446</v>
      </c>
      <c r="T167" s="48" t="n">
        <v>33957811</v>
      </c>
      <c r="U167" s="46" t="n">
        <f aca="false">IF($A167=$A166,$U166+1,1)</f>
        <v>163</v>
      </c>
      <c r="V167" s="48" t="n">
        <f aca="false">IF($U167&gt;=MA_SHORT,AVERAGE(INDEX($I$5:$I167,164-MA_SHORT):$I167),"")</f>
        <v>7322.2</v>
      </c>
      <c r="W167" s="48" t="n">
        <f aca="false">IF($U167&gt;=MA_MED,AVERAGE(INDEX($I$5:$I167,164-MA_MED):$I167),"")</f>
        <v>7103.04</v>
      </c>
      <c r="X167" s="48" t="n">
        <f aca="false">IF($U167&gt;=MA_LONG1,AVERAGE(INDEX($I$5:$I167,164-MA_LONG1):$I167),"")</f>
        <v>6799.99</v>
      </c>
      <c r="Y167" s="48" t="str">
        <f aca="false">IF($U167&gt;=MA_LONG2,AVERAGE(INDEX($I$5:$I167,164-MA_LONG2):$I167),"")</f>
        <v/>
      </c>
      <c r="Z167" s="48" t="n">
        <f aca="false">IF($U167&gt;=MA_SHORT,AVERAGE(INDEX($L$47:$L167,122-MA_SHORT):$L167),"")</f>
        <v>56618808.15</v>
      </c>
      <c r="AA167" s="48" t="n">
        <f aca="false">IF($U167=1,$G167-$H167,MAX($G167-$H167,ABS($G167-$I166),ABS($H167-$I166)))</f>
        <v>224</v>
      </c>
      <c r="AB167" s="48" t="n">
        <f aca="false">IF($U167&gt;=ATR_PER,AVERAGE(INDEX($AA$47:$AA167,122-ATR_PER):$AA167),"")</f>
        <v>253.928571428571</v>
      </c>
      <c r="AC167" s="48" t="n">
        <f aca="false">$O167-$P167</f>
        <v>9605365</v>
      </c>
      <c r="AD167" s="48" t="n">
        <f aca="false">$AC167*$I167</f>
        <v>67967562740</v>
      </c>
      <c r="AE167" s="49" t="n">
        <f aca="false">IF($Q167&gt;0,$O167*$I167/$Q167/1000000,"")</f>
        <v>71.9857239233038</v>
      </c>
      <c r="AF167" s="49" t="n">
        <f aca="false">IF($R167&gt;0,$P167*$I167/$R167/1000000,"")</f>
        <v>84.5566249435216</v>
      </c>
      <c r="AG167" s="50" t="n">
        <f aca="false">IF(AND(ISNUMBER($AE167),ISNUMBER($AF167),$AF167&gt;0),$AE167/$AF167,"")</f>
        <v>0.851331565934493</v>
      </c>
      <c r="AH167" s="48" t="n">
        <f aca="false">IF($U167&gt;=5,SUM(INDEX($AD$137:$AD167,32-5):$AD167),"")</f>
        <v>60191057676</v>
      </c>
      <c r="AI167" s="48" t="n">
        <f aca="false">IF($U167&gt;=STRUCT_S,MAX(INDEX($G$17:$G167,152-STRUCT_S):$G167),"")</f>
        <v>7732</v>
      </c>
      <c r="AJ167" s="48" t="n">
        <f aca="false">IF($U167&gt;=STRUCT_S,MIN(INDEX($H$17:$H167,152-STRUCT_S):$H167),"")</f>
        <v>6915</v>
      </c>
      <c r="AK167" s="48" t="n">
        <f aca="false">IF($U167&gt;=STRUCT_L,MAX(INDEX($G$5:$G167,164-STRUCT_L):$G167),"")</f>
        <v>7732</v>
      </c>
      <c r="AL167" s="48" t="n">
        <f aca="false">IF($U167&gt;=STRUCT_L,MIN(INDEX($H$5:$H167,164-STRUCT_L):$H167),"")</f>
        <v>5971</v>
      </c>
      <c r="AM167" s="46" t="n">
        <f aca="false">IF($A167&lt;&gt;$A168,1,0)</f>
        <v>0</v>
      </c>
      <c r="AN167" s="47" t="str">
        <f aca="false">IF($AM167=1,$A167,"")</f>
        <v/>
      </c>
    </row>
    <row r="168" customFormat="false" ht="15" hidden="false" customHeight="false" outlineLevel="0" collapsed="false">
      <c r="A168" s="43" t="s">
        <v>130</v>
      </c>
      <c r="B168" s="44" t="s">
        <v>132</v>
      </c>
      <c r="C168" s="45" t="n">
        <v>46133</v>
      </c>
      <c r="D168" s="46" t="n">
        <v>20260421</v>
      </c>
      <c r="E168" s="47" t="s">
        <v>451</v>
      </c>
      <c r="F168" s="48" t="n">
        <v>7102</v>
      </c>
      <c r="G168" s="48" t="n">
        <v>7183</v>
      </c>
      <c r="H168" s="48" t="n">
        <v>7011</v>
      </c>
      <c r="I168" s="48" t="n">
        <v>7117</v>
      </c>
      <c r="J168" s="48" t="n">
        <v>7125</v>
      </c>
      <c r="K168" s="48" t="n">
        <v>7076</v>
      </c>
      <c r="L168" s="48" t="n">
        <v>44792771</v>
      </c>
      <c r="M168" s="48" t="n">
        <v>318790151207</v>
      </c>
      <c r="N168" s="48" t="n">
        <v>1223</v>
      </c>
      <c r="O168" s="48" t="n">
        <v>28371860</v>
      </c>
      <c r="P168" s="48" t="n">
        <v>16206180</v>
      </c>
      <c r="Q168" s="48" t="n">
        <v>276</v>
      </c>
      <c r="R168" s="48" t="n">
        <v>780</v>
      </c>
      <c r="S168" s="48" t="n">
        <v>16420911</v>
      </c>
      <c r="T168" s="48" t="n">
        <v>28586591</v>
      </c>
      <c r="U168" s="46" t="n">
        <f aca="false">IF($A168=$A167,$U167+1,1)</f>
        <v>164</v>
      </c>
      <c r="V168" s="48" t="n">
        <f aca="false">IF($U168&gt;=MA_SHORT,AVERAGE(INDEX($I$5:$I168,165-MA_SHORT):$I168),"")</f>
        <v>7325.4</v>
      </c>
      <c r="W168" s="48" t="n">
        <f aca="false">IF($U168&gt;=MA_MED,AVERAGE(INDEX($I$5:$I168,165-MA_MED):$I168),"")</f>
        <v>7115.68</v>
      </c>
      <c r="X168" s="48" t="n">
        <f aca="false">IF($U168&gt;=MA_LONG1,AVERAGE(INDEX($I$5:$I168,165-MA_LONG1):$I168),"")</f>
        <v>6809.45</v>
      </c>
      <c r="Y168" s="48" t="str">
        <f aca="false">IF($U168&gt;=MA_LONG2,AVERAGE(INDEX($I$5:$I168,165-MA_LONG2):$I168),"")</f>
        <v/>
      </c>
      <c r="Z168" s="48" t="n">
        <f aca="false">IF($U168&gt;=MA_SHORT,AVERAGE(INDEX($L$48:$L168,122-MA_SHORT):$L168),"")</f>
        <v>56705538.95</v>
      </c>
      <c r="AA168" s="48" t="n">
        <f aca="false">IF($U168=1,$G168-$H168,MAX($G168-$H168,ABS($G168-$I167),ABS($H168-$I167)))</f>
        <v>172</v>
      </c>
      <c r="AB168" s="48" t="n">
        <f aca="false">IF($U168&gt;=ATR_PER,AVERAGE(INDEX($AA$48:$AA168,122-ATR_PER):$AA168),"")</f>
        <v>241.285714285714</v>
      </c>
      <c r="AC168" s="48" t="n">
        <f aca="false">$O168-$P168</f>
        <v>12165680</v>
      </c>
      <c r="AD168" s="48" t="n">
        <f aca="false">$AC168*$I168</f>
        <v>86583144560</v>
      </c>
      <c r="AE168" s="49" t="n">
        <f aca="false">IF($Q168&gt;0,$O168*$I168/$Q168/1000000,"")</f>
        <v>731.603360942029</v>
      </c>
      <c r="AF168" s="49" t="n">
        <f aca="false">IF($R168&gt;0,$P168*$I168/$R168/1000000,"")</f>
        <v>147.871003923077</v>
      </c>
      <c r="AG168" s="50" t="n">
        <f aca="false">IF(AND(ISNUMBER($AE168),ISNUMBER($AF168),$AF168&gt;0),$AE168/$AF168,"")</f>
        <v>4.9475782373305</v>
      </c>
      <c r="AH168" s="48" t="n">
        <f aca="false">IF($U168&gt;=5,SUM(INDEX($AD$138:$AD168,32-5):$AD168),"")</f>
        <v>215549098534</v>
      </c>
      <c r="AI168" s="48" t="n">
        <f aca="false">IF($U168&gt;=STRUCT_S,MAX(INDEX($G$18:$G168,152-STRUCT_S):$G168),"")</f>
        <v>7732</v>
      </c>
      <c r="AJ168" s="48" t="n">
        <f aca="false">IF($U168&gt;=STRUCT_S,MIN(INDEX($H$18:$H168,152-STRUCT_S):$H168),"")</f>
        <v>6915</v>
      </c>
      <c r="AK168" s="48" t="n">
        <f aca="false">IF($U168&gt;=STRUCT_L,MAX(INDEX($G$5:$G168,165-STRUCT_L):$G168),"")</f>
        <v>7732</v>
      </c>
      <c r="AL168" s="48" t="n">
        <f aca="false">IF($U168&gt;=STRUCT_L,MIN(INDEX($H$5:$H168,165-STRUCT_L):$H168),"")</f>
        <v>5971</v>
      </c>
      <c r="AM168" s="46" t="n">
        <f aca="false">IF($A168&lt;&gt;$A169,1,0)</f>
        <v>0</v>
      </c>
      <c r="AN168" s="47" t="str">
        <f aca="false">IF($AM168=1,$A168,"")</f>
        <v/>
      </c>
    </row>
    <row r="169" customFormat="false" ht="15" hidden="false" customHeight="false" outlineLevel="0" collapsed="false">
      <c r="A169" s="43" t="s">
        <v>130</v>
      </c>
      <c r="B169" s="44" t="s">
        <v>132</v>
      </c>
      <c r="C169" s="45" t="n">
        <v>46134</v>
      </c>
      <c r="D169" s="46" t="n">
        <v>20260422</v>
      </c>
      <c r="E169" s="47" t="s">
        <v>452</v>
      </c>
      <c r="F169" s="48" t="n">
        <v>7192</v>
      </c>
      <c r="G169" s="48" t="n">
        <v>7202</v>
      </c>
      <c r="H169" s="48" t="n">
        <v>6979</v>
      </c>
      <c r="I169" s="48" t="n">
        <v>7064</v>
      </c>
      <c r="J169" s="48" t="n">
        <v>7034</v>
      </c>
      <c r="K169" s="48" t="n">
        <v>7117</v>
      </c>
      <c r="L169" s="48" t="n">
        <v>56275329</v>
      </c>
      <c r="M169" s="48" t="n">
        <v>397528924056</v>
      </c>
      <c r="N169" s="48" t="n">
        <v>4456</v>
      </c>
      <c r="O169" s="48" t="n">
        <v>29914036</v>
      </c>
      <c r="P169" s="48" t="n">
        <v>25615977</v>
      </c>
      <c r="Q169" s="48" t="n">
        <v>2408</v>
      </c>
      <c r="R169" s="48" t="n">
        <v>1596</v>
      </c>
      <c r="S169" s="48" t="n">
        <v>26361293</v>
      </c>
      <c r="T169" s="48" t="n">
        <v>30659352</v>
      </c>
      <c r="U169" s="46" t="n">
        <f aca="false">IF($A169=$A168,$U168+1,1)</f>
        <v>165</v>
      </c>
      <c r="V169" s="48" t="n">
        <f aca="false">IF($U169&gt;=MA_SHORT,AVERAGE(INDEX($I$5:$I169,166-MA_SHORT):$I169),"")</f>
        <v>7324.2</v>
      </c>
      <c r="W169" s="48" t="n">
        <f aca="false">IF($U169&gt;=MA_MED,AVERAGE(INDEX($I$5:$I169,166-MA_MED):$I169),"")</f>
        <v>7125.36</v>
      </c>
      <c r="X169" s="48" t="n">
        <f aca="false">IF($U169&gt;=MA_LONG1,AVERAGE(INDEX($I$5:$I169,166-MA_LONG1):$I169),"")</f>
        <v>6817.5</v>
      </c>
      <c r="Y169" s="48" t="str">
        <f aca="false">IF($U169&gt;=MA_LONG2,AVERAGE(INDEX($I$5:$I169,166-MA_LONG2):$I169),"")</f>
        <v/>
      </c>
      <c r="Z169" s="48" t="n">
        <f aca="false">IF($U169&gt;=MA_SHORT,AVERAGE(INDEX($L$49:$L169,122-MA_SHORT):$L169),"")</f>
        <v>57309818.5</v>
      </c>
      <c r="AA169" s="48" t="n">
        <f aca="false">IF($U169=1,$G169-$H169,MAX($G169-$H169,ABS($G169-$I168),ABS($H169-$I168)))</f>
        <v>223</v>
      </c>
      <c r="AB169" s="48" t="n">
        <f aca="false">IF($U169&gt;=ATR_PER,AVERAGE(INDEX($AA$49:$AA169,122-ATR_PER):$AA169),"")</f>
        <v>236.714285714286</v>
      </c>
      <c r="AC169" s="48" t="n">
        <f aca="false">$O169-$P169</f>
        <v>4298059</v>
      </c>
      <c r="AD169" s="48" t="n">
        <f aca="false">$AC169*$I169</f>
        <v>30361488776</v>
      </c>
      <c r="AE169" s="49" t="n">
        <f aca="false">IF($Q169&gt;0,$O169*$I169/$Q169/1000000,"")</f>
        <v>87.7544644119601</v>
      </c>
      <c r="AF169" s="49" t="n">
        <f aca="false">IF($R169&gt;0,$P169*$I169/$R169/1000000,"")</f>
        <v>113.377983413534</v>
      </c>
      <c r="AG169" s="50" t="n">
        <f aca="false">IF(AND(ISNUMBER($AE169),ISNUMBER($AF169),$AF169&gt;0),$AE169/$AF169,"")</f>
        <v>0.773999164298815</v>
      </c>
      <c r="AH169" s="48" t="n">
        <f aca="false">IF($U169&gt;=5,SUM(INDEX($AD$139:$AD169,32-5):$AD169),"")</f>
        <v>254416010346</v>
      </c>
      <c r="AI169" s="48" t="n">
        <f aca="false">IF($U169&gt;=STRUCT_S,MAX(INDEX($G$19:$G169,152-STRUCT_S):$G169),"")</f>
        <v>7732</v>
      </c>
      <c r="AJ169" s="48" t="n">
        <f aca="false">IF($U169&gt;=STRUCT_S,MIN(INDEX($H$19:$H169,152-STRUCT_S):$H169),"")</f>
        <v>6979</v>
      </c>
      <c r="AK169" s="48" t="n">
        <f aca="false">IF($U169&gt;=STRUCT_L,MAX(INDEX($G$5:$G169,166-STRUCT_L):$G169),"")</f>
        <v>7732</v>
      </c>
      <c r="AL169" s="48" t="n">
        <f aca="false">IF($U169&gt;=STRUCT_L,MIN(INDEX($H$5:$H169,166-STRUCT_L):$H169),"")</f>
        <v>5971</v>
      </c>
      <c r="AM169" s="46" t="n">
        <f aca="false">IF($A169&lt;&gt;$A170,1,0)</f>
        <v>0</v>
      </c>
      <c r="AN169" s="47" t="str">
        <f aca="false">IF($AM169=1,$A169,"")</f>
        <v/>
      </c>
    </row>
    <row r="170" customFormat="false" ht="15" hidden="false" customHeight="false" outlineLevel="0" collapsed="false">
      <c r="A170" s="43" t="s">
        <v>130</v>
      </c>
      <c r="B170" s="44" t="s">
        <v>132</v>
      </c>
      <c r="C170" s="45" t="n">
        <v>46137</v>
      </c>
      <c r="D170" s="46" t="n">
        <v>20260425</v>
      </c>
      <c r="E170" s="47" t="s">
        <v>453</v>
      </c>
      <c r="F170" s="48" t="n">
        <v>7063</v>
      </c>
      <c r="G170" s="48" t="n">
        <v>7130</v>
      </c>
      <c r="H170" s="48" t="n">
        <v>6807</v>
      </c>
      <c r="I170" s="48" t="n">
        <v>6872</v>
      </c>
      <c r="J170" s="48" t="n">
        <v>6837</v>
      </c>
      <c r="K170" s="48" t="n">
        <v>7064</v>
      </c>
      <c r="L170" s="48" t="n">
        <v>68797057</v>
      </c>
      <c r="M170" s="48" t="n">
        <v>472773375704</v>
      </c>
      <c r="N170" s="48" t="n">
        <v>2808</v>
      </c>
      <c r="O170" s="48" t="n">
        <v>29876772</v>
      </c>
      <c r="P170" s="48" t="n">
        <v>41293910</v>
      </c>
      <c r="Q170" s="48" t="n">
        <v>1781</v>
      </c>
      <c r="R170" s="48" t="n">
        <v>980</v>
      </c>
      <c r="S170" s="48" t="n">
        <v>38920285</v>
      </c>
      <c r="T170" s="48" t="n">
        <v>27503147</v>
      </c>
      <c r="U170" s="46" t="n">
        <f aca="false">IF($A170=$A169,$U169+1,1)</f>
        <v>166</v>
      </c>
      <c r="V170" s="48" t="n">
        <f aca="false">IF($U170&gt;=MA_SHORT,AVERAGE(INDEX($I$5:$I170,167-MA_SHORT):$I170),"")</f>
        <v>7314.55</v>
      </c>
      <c r="W170" s="48" t="n">
        <f aca="false">IF($U170&gt;=MA_MED,AVERAGE(INDEX($I$5:$I170,167-MA_MED):$I170),"")</f>
        <v>7131.9</v>
      </c>
      <c r="X170" s="48" t="n">
        <f aca="false">IF($U170&gt;=MA_LONG1,AVERAGE(INDEX($I$5:$I170,167-MA_LONG1):$I170),"")</f>
        <v>6823.84</v>
      </c>
      <c r="Y170" s="48" t="str">
        <f aca="false">IF($U170&gt;=MA_LONG2,AVERAGE(INDEX($I$5:$I170,167-MA_LONG2):$I170),"")</f>
        <v/>
      </c>
      <c r="Z170" s="48" t="n">
        <f aca="false">IF($U170&gt;=MA_SHORT,AVERAGE(INDEX($L$50:$L170,122-MA_SHORT):$L170),"")</f>
        <v>58562294.95</v>
      </c>
      <c r="AA170" s="48" t="n">
        <f aca="false">IF($U170=1,$G170-$H170,MAX($G170-$H170,ABS($G170-$I169),ABS($H170-$I169)))</f>
        <v>323</v>
      </c>
      <c r="AB170" s="48" t="n">
        <f aca="false">IF($U170&gt;=ATR_PER,AVERAGE(INDEX($AA$50:$AA170,122-ATR_PER):$AA170),"")</f>
        <v>233.785714285714</v>
      </c>
      <c r="AC170" s="48" t="n">
        <f aca="false">$O170-$P170</f>
        <v>-11417138</v>
      </c>
      <c r="AD170" s="48" t="n">
        <f aca="false">$AC170*$I170</f>
        <v>-78458572336</v>
      </c>
      <c r="AE170" s="49" t="n">
        <f aca="false">IF($Q170&gt;0,$O170*$I170/$Q170/1000000,"")</f>
        <v>115.279717677709</v>
      </c>
      <c r="AF170" s="49" t="n">
        <f aca="false">IF($R170&gt;0,$P170*$I170/$R170/1000000,"")</f>
        <v>289.563009714286</v>
      </c>
      <c r="AG170" s="50" t="n">
        <f aca="false">IF(AND(ISNUMBER($AE170),ISNUMBER($AF170),$AF170&gt;0),$AE170/$AF170,"")</f>
        <v>0.39811617440866</v>
      </c>
      <c r="AH170" s="48" t="n">
        <f aca="false">IF($U170&gt;=5,SUM(INDEX($AD$140:$AD170,32-5):$AD170),"")</f>
        <v>144723999008</v>
      </c>
      <c r="AI170" s="48" t="n">
        <f aca="false">IF($U170&gt;=STRUCT_S,MAX(INDEX($G$20:$G170,152-STRUCT_S):$G170),"")</f>
        <v>7732</v>
      </c>
      <c r="AJ170" s="48" t="n">
        <f aca="false">IF($U170&gt;=STRUCT_S,MIN(INDEX($H$20:$H170,152-STRUCT_S):$H170),"")</f>
        <v>6807</v>
      </c>
      <c r="AK170" s="48" t="n">
        <f aca="false">IF($U170&gt;=STRUCT_L,MAX(INDEX($G$5:$G170,167-STRUCT_L):$G170),"")</f>
        <v>7732</v>
      </c>
      <c r="AL170" s="48" t="n">
        <f aca="false">IF($U170&gt;=STRUCT_L,MIN(INDEX($H$5:$H170,167-STRUCT_L):$H170),"")</f>
        <v>5971</v>
      </c>
      <c r="AM170" s="46" t="n">
        <f aca="false">IF($A170&lt;&gt;$A171,1,0)</f>
        <v>0</v>
      </c>
      <c r="AN170" s="47" t="str">
        <f aca="false">IF($AM170=1,$A170,"")</f>
        <v/>
      </c>
    </row>
    <row r="171" customFormat="false" ht="15" hidden="false" customHeight="false" outlineLevel="0" collapsed="false">
      <c r="A171" s="43" t="s">
        <v>130</v>
      </c>
      <c r="B171" s="44" t="s">
        <v>132</v>
      </c>
      <c r="C171" s="45" t="n">
        <v>46138</v>
      </c>
      <c r="D171" s="46" t="n">
        <v>20260426</v>
      </c>
      <c r="E171" s="47" t="s">
        <v>454</v>
      </c>
      <c r="F171" s="48" t="n">
        <v>6868</v>
      </c>
      <c r="G171" s="48" t="n">
        <v>6965</v>
      </c>
      <c r="H171" s="48" t="n">
        <v>6826</v>
      </c>
      <c r="I171" s="48" t="n">
        <v>6919</v>
      </c>
      <c r="J171" s="48" t="n">
        <v>6908</v>
      </c>
      <c r="K171" s="48" t="n">
        <v>6872</v>
      </c>
      <c r="L171" s="48" t="n">
        <v>79188936</v>
      </c>
      <c r="M171" s="48" t="n">
        <v>547908248184</v>
      </c>
      <c r="N171" s="48" t="n">
        <v>1777</v>
      </c>
      <c r="O171" s="48" t="n">
        <v>49917098</v>
      </c>
      <c r="P171" s="48" t="n">
        <v>28234030</v>
      </c>
      <c r="Q171" s="48" t="n">
        <v>550</v>
      </c>
      <c r="R171" s="48" t="n">
        <v>778</v>
      </c>
      <c r="S171" s="48" t="n">
        <v>29271838</v>
      </c>
      <c r="T171" s="48" t="n">
        <v>50954906</v>
      </c>
      <c r="U171" s="46" t="n">
        <f aca="false">IF($A171=$A170,$U170+1,1)</f>
        <v>167</v>
      </c>
      <c r="V171" s="48" t="n">
        <f aca="false">IF($U171&gt;=MA_SHORT,AVERAGE(INDEX($I$5:$I171,168-MA_SHORT):$I171),"")</f>
        <v>7306.25</v>
      </c>
      <c r="W171" s="48" t="n">
        <f aca="false">IF($U171&gt;=MA_MED,AVERAGE(INDEX($I$5:$I171,168-MA_MED):$I171),"")</f>
        <v>7138.78</v>
      </c>
      <c r="X171" s="48" t="n">
        <f aca="false">IF($U171&gt;=MA_LONG1,AVERAGE(INDEX($I$5:$I171,168-MA_LONG1):$I171),"")</f>
        <v>6829.68</v>
      </c>
      <c r="Y171" s="48" t="str">
        <f aca="false">IF($U171&gt;=MA_LONG2,AVERAGE(INDEX($I$5:$I171,168-MA_LONG2):$I171),"")</f>
        <v/>
      </c>
      <c r="Z171" s="48" t="n">
        <f aca="false">IF($U171&gt;=MA_SHORT,AVERAGE(INDEX($L$51:$L171,122-MA_SHORT):$L171),"")</f>
        <v>60339695.85</v>
      </c>
      <c r="AA171" s="48" t="n">
        <f aca="false">IF($U171=1,$G171-$H171,MAX($G171-$H171,ABS($G171-$I170),ABS($H171-$I170)))</f>
        <v>139</v>
      </c>
      <c r="AB171" s="48" t="n">
        <f aca="false">IF($U171&gt;=ATR_PER,AVERAGE(INDEX($AA$51:$AA171,122-ATR_PER):$AA171),"")</f>
        <v>233.142857142857</v>
      </c>
      <c r="AC171" s="48" t="n">
        <f aca="false">$O171-$P171</f>
        <v>21683068</v>
      </c>
      <c r="AD171" s="48" t="n">
        <f aca="false">$AC171*$I171</f>
        <v>150025147492</v>
      </c>
      <c r="AE171" s="49" t="n">
        <f aca="false">IF($Q171&gt;0,$O171*$I171/$Q171/1000000,"")</f>
        <v>627.95709284</v>
      </c>
      <c r="AF171" s="49" t="n">
        <f aca="false">IF($R171&gt;0,$P171*$I171/$R171/1000000,"")</f>
        <v>251.09415625964</v>
      </c>
      <c r="AG171" s="50" t="n">
        <f aca="false">IF(AND(ISNUMBER($AE171),ISNUMBER($AF171),$AF171&gt;0),$AE171/$AF171,"")</f>
        <v>2.50088294444683</v>
      </c>
      <c r="AH171" s="48" t="n">
        <f aca="false">IF($U171&gt;=5,SUM(INDEX($AD$141:$AD171,32-5):$AD171),"")</f>
        <v>256478771232</v>
      </c>
      <c r="AI171" s="48" t="n">
        <f aca="false">IF($U171&gt;=STRUCT_S,MAX(INDEX($G$21:$G171,152-STRUCT_S):$G171),"")</f>
        <v>7732</v>
      </c>
      <c r="AJ171" s="48" t="n">
        <f aca="false">IF($U171&gt;=STRUCT_S,MIN(INDEX($H$21:$H171,152-STRUCT_S):$H171),"")</f>
        <v>6807</v>
      </c>
      <c r="AK171" s="48" t="n">
        <f aca="false">IF($U171&gt;=STRUCT_L,MAX(INDEX($G$5:$G171,168-STRUCT_L):$G171),"")</f>
        <v>7732</v>
      </c>
      <c r="AL171" s="48" t="n">
        <f aca="false">IF($U171&gt;=STRUCT_L,MIN(INDEX($H$5:$H171,168-STRUCT_L):$H171),"")</f>
        <v>5971</v>
      </c>
      <c r="AM171" s="46" t="n">
        <f aca="false">IF($A171&lt;&gt;$A172,1,0)</f>
        <v>0</v>
      </c>
      <c r="AN171" s="47" t="str">
        <f aca="false">IF($AM171=1,$A171,"")</f>
        <v/>
      </c>
    </row>
    <row r="172" customFormat="false" ht="15" hidden="false" customHeight="false" outlineLevel="0" collapsed="false">
      <c r="A172" s="43" t="s">
        <v>130</v>
      </c>
      <c r="B172" s="44" t="s">
        <v>132</v>
      </c>
      <c r="C172" s="45" t="n">
        <v>46139</v>
      </c>
      <c r="D172" s="46" t="n">
        <v>20260427</v>
      </c>
      <c r="E172" s="47" t="s">
        <v>455</v>
      </c>
      <c r="F172" s="48" t="n">
        <v>6916</v>
      </c>
      <c r="G172" s="48" t="n">
        <v>7206</v>
      </c>
      <c r="H172" s="48" t="n">
        <v>6792</v>
      </c>
      <c r="I172" s="48" t="n">
        <v>7076</v>
      </c>
      <c r="J172" s="48" t="n">
        <v>7008</v>
      </c>
      <c r="K172" s="48" t="n">
        <v>6919</v>
      </c>
      <c r="L172" s="48" t="n">
        <v>48754391</v>
      </c>
      <c r="M172" s="48" t="n">
        <v>344986070716</v>
      </c>
      <c r="N172" s="48" t="n">
        <v>1396</v>
      </c>
      <c r="O172" s="48" t="n">
        <v>34710920</v>
      </c>
      <c r="P172" s="48" t="n">
        <v>12349876</v>
      </c>
      <c r="Q172" s="48" t="n">
        <v>412</v>
      </c>
      <c r="R172" s="48" t="n">
        <v>765</v>
      </c>
      <c r="S172" s="48" t="n">
        <v>14043471</v>
      </c>
      <c r="T172" s="48" t="n">
        <v>36404515</v>
      </c>
      <c r="U172" s="46" t="n">
        <f aca="false">IF($A172=$A171,$U171+1,1)</f>
        <v>168</v>
      </c>
      <c r="V172" s="48" t="n">
        <f aca="false">IF($U172&gt;=MA_SHORT,AVERAGE(INDEX($I$5:$I172,169-MA_SHORT):$I172),"")</f>
        <v>7299.85</v>
      </c>
      <c r="W172" s="48" t="n">
        <f aca="false">IF($U172&gt;=MA_MED,AVERAGE(INDEX($I$5:$I172,169-MA_MED):$I172),"")</f>
        <v>7145.96</v>
      </c>
      <c r="X172" s="48" t="n">
        <f aca="false">IF($U172&gt;=MA_LONG1,AVERAGE(INDEX($I$5:$I172,169-MA_LONG1):$I172),"")</f>
        <v>6837.68</v>
      </c>
      <c r="Y172" s="48" t="str">
        <f aca="false">IF($U172&gt;=MA_LONG2,AVERAGE(INDEX($I$5:$I172,169-MA_LONG2):$I172),"")</f>
        <v/>
      </c>
      <c r="Z172" s="48" t="n">
        <f aca="false">IF($U172&gt;=MA_SHORT,AVERAGE(INDEX($L$52:$L172,122-MA_SHORT):$L172),"")</f>
        <v>59748844.25</v>
      </c>
      <c r="AA172" s="48" t="n">
        <f aca="false">IF($U172=1,$G172-$H172,MAX($G172-$H172,ABS($G172-$I171),ABS($H172-$I171)))</f>
        <v>414</v>
      </c>
      <c r="AB172" s="48" t="n">
        <f aca="false">IF($U172&gt;=ATR_PER,AVERAGE(INDEX($AA$52:$AA172,122-ATR_PER):$AA172),"")</f>
        <v>248.714285714286</v>
      </c>
      <c r="AC172" s="48" t="n">
        <f aca="false">$O172-$P172</f>
        <v>22361044</v>
      </c>
      <c r="AD172" s="48" t="n">
        <f aca="false">$AC172*$I172</f>
        <v>158226747344</v>
      </c>
      <c r="AE172" s="49" t="n">
        <f aca="false">IF($Q172&gt;0,$O172*$I172/$Q172/1000000,"")</f>
        <v>596.151626019418</v>
      </c>
      <c r="AF172" s="49" t="n">
        <f aca="false">IF($R172&gt;0,$P172*$I172/$R172/1000000,"")</f>
        <v>114.23231709281</v>
      </c>
      <c r="AG172" s="50" t="n">
        <f aca="false">IF(AND(ISNUMBER($AE172),ISNUMBER($AF172),$AF172&gt;0),$AE172/$AF172,"")</f>
        <v>5.21876506746389</v>
      </c>
      <c r="AH172" s="48" t="n">
        <f aca="false">IF($U172&gt;=5,SUM(INDEX($AD$142:$AD172,32-5):$AD172),"")</f>
        <v>346737955836</v>
      </c>
      <c r="AI172" s="48" t="n">
        <f aca="false">IF($U172&gt;=STRUCT_S,MAX(INDEX($G$22:$G172,152-STRUCT_S):$G172),"")</f>
        <v>7732</v>
      </c>
      <c r="AJ172" s="48" t="n">
        <f aca="false">IF($U172&gt;=STRUCT_S,MIN(INDEX($H$22:$H172,152-STRUCT_S):$H172),"")</f>
        <v>6792</v>
      </c>
      <c r="AK172" s="48" t="n">
        <f aca="false">IF($U172&gt;=STRUCT_L,MAX(INDEX($G$5:$G172,169-STRUCT_L):$G172),"")</f>
        <v>7732</v>
      </c>
      <c r="AL172" s="48" t="n">
        <f aca="false">IF($U172&gt;=STRUCT_L,MIN(INDEX($H$5:$H172,169-STRUCT_L):$H172),"")</f>
        <v>5971</v>
      </c>
      <c r="AM172" s="46" t="n">
        <f aca="false">IF($A172&lt;&gt;$A173,1,0)</f>
        <v>0</v>
      </c>
      <c r="AN172" s="47" t="str">
        <f aca="false">IF($AM172=1,$A172,"")</f>
        <v/>
      </c>
    </row>
    <row r="173" customFormat="false" ht="15" hidden="false" customHeight="false" outlineLevel="0" collapsed="false">
      <c r="A173" s="43" t="s">
        <v>130</v>
      </c>
      <c r="B173" s="44" t="s">
        <v>132</v>
      </c>
      <c r="C173" s="45" t="n">
        <v>46140</v>
      </c>
      <c r="D173" s="46" t="n">
        <v>20260428</v>
      </c>
      <c r="E173" s="47" t="s">
        <v>456</v>
      </c>
      <c r="F173" s="48" t="n">
        <v>7172</v>
      </c>
      <c r="G173" s="48" t="n">
        <v>7301</v>
      </c>
      <c r="H173" s="48" t="n">
        <v>6976</v>
      </c>
      <c r="I173" s="48" t="n">
        <v>7199</v>
      </c>
      <c r="J173" s="48" t="n">
        <v>7203</v>
      </c>
      <c r="K173" s="48" t="n">
        <v>7076</v>
      </c>
      <c r="L173" s="48" t="n">
        <v>47387615</v>
      </c>
      <c r="M173" s="48" t="n">
        <v>341143440385</v>
      </c>
      <c r="N173" s="48" t="n">
        <v>1137</v>
      </c>
      <c r="O173" s="48" t="n">
        <v>32055308</v>
      </c>
      <c r="P173" s="48" t="n">
        <v>14895710</v>
      </c>
      <c r="Q173" s="48" t="n">
        <v>401</v>
      </c>
      <c r="R173" s="48" t="n">
        <v>772</v>
      </c>
      <c r="S173" s="48" t="n">
        <v>15332307</v>
      </c>
      <c r="T173" s="48" t="n">
        <v>32491905</v>
      </c>
      <c r="U173" s="46" t="n">
        <f aca="false">IF($A173=$A172,$U172+1,1)</f>
        <v>169</v>
      </c>
      <c r="V173" s="48" t="n">
        <f aca="false">IF($U173&gt;=MA_SHORT,AVERAGE(INDEX($I$5:$I173,170-MA_SHORT):$I173),"")</f>
        <v>7293.1</v>
      </c>
      <c r="W173" s="48" t="n">
        <f aca="false">IF($U173&gt;=MA_MED,AVERAGE(INDEX($I$5:$I173,170-MA_MED):$I173),"")</f>
        <v>7153.14</v>
      </c>
      <c r="X173" s="48" t="n">
        <f aca="false">IF($U173&gt;=MA_LONG1,AVERAGE(INDEX($I$5:$I173,170-MA_LONG1):$I173),"")</f>
        <v>6848.87</v>
      </c>
      <c r="Y173" s="48" t="str">
        <f aca="false">IF($U173&gt;=MA_LONG2,AVERAGE(INDEX($I$5:$I173,170-MA_LONG2):$I173),"")</f>
        <v/>
      </c>
      <c r="Z173" s="48" t="n">
        <f aca="false">IF($U173&gt;=MA_SHORT,AVERAGE(INDEX($L$53:$L173,122-MA_SHORT):$L173),"")</f>
        <v>59111742.05</v>
      </c>
      <c r="AA173" s="48" t="n">
        <f aca="false">IF($U173=1,$G173-$H173,MAX($G173-$H173,ABS($G173-$I172),ABS($H173-$I172)))</f>
        <v>325</v>
      </c>
      <c r="AB173" s="48" t="n">
        <f aca="false">IF($U173&gt;=ATR_PER,AVERAGE(INDEX($AA$53:$AA173,122-ATR_PER):$AA173),"")</f>
        <v>263.571428571429</v>
      </c>
      <c r="AC173" s="48" t="n">
        <f aca="false">$O173-$P173</f>
        <v>17159598</v>
      </c>
      <c r="AD173" s="48" t="n">
        <f aca="false">$AC173*$I173</f>
        <v>123531946002</v>
      </c>
      <c r="AE173" s="49" t="n">
        <f aca="false">IF($Q173&gt;0,$O173*$I173/$Q173/1000000,"")</f>
        <v>575.476713945137</v>
      </c>
      <c r="AF173" s="49" t="n">
        <f aca="false">IF($R173&gt;0,$P173*$I173/$R173/1000000,"")</f>
        <v>138.904425246114</v>
      </c>
      <c r="AG173" s="50" t="n">
        <f aca="false">IF(AND(ISNUMBER($AE173),ISNUMBER($AF173),$AF173&gt;0),$AE173/$AF173,"")</f>
        <v>4.14296890056234</v>
      </c>
      <c r="AH173" s="48" t="n">
        <f aca="false">IF($U173&gt;=5,SUM(INDEX($AD$143:$AD173,32-5):$AD173),"")</f>
        <v>383686757278</v>
      </c>
      <c r="AI173" s="48" t="n">
        <f aca="false">IF($U173&gt;=STRUCT_S,MAX(INDEX($G$23:$G173,152-STRUCT_S):$G173),"")</f>
        <v>7732</v>
      </c>
      <c r="AJ173" s="48" t="n">
        <f aca="false">IF($U173&gt;=STRUCT_S,MIN(INDEX($H$23:$H173,152-STRUCT_S):$H173),"")</f>
        <v>6792</v>
      </c>
      <c r="AK173" s="48" t="n">
        <f aca="false">IF($U173&gt;=STRUCT_L,MAX(INDEX($G$5:$G173,170-STRUCT_L):$G173),"")</f>
        <v>7732</v>
      </c>
      <c r="AL173" s="48" t="n">
        <f aca="false">IF($U173&gt;=STRUCT_L,MIN(INDEX($H$5:$H173,170-STRUCT_L):$H173),"")</f>
        <v>5971</v>
      </c>
      <c r="AM173" s="46" t="n">
        <f aca="false">IF($A173&lt;&gt;$A174,1,0)</f>
        <v>0</v>
      </c>
      <c r="AN173" s="47" t="str">
        <f aca="false">IF($AM173=1,$A173,"")</f>
        <v/>
      </c>
    </row>
    <row r="174" customFormat="false" ht="15" hidden="false" customHeight="false" outlineLevel="0" collapsed="false">
      <c r="A174" s="43" t="s">
        <v>130</v>
      </c>
      <c r="B174" s="44" t="s">
        <v>132</v>
      </c>
      <c r="C174" s="45" t="n">
        <v>46141</v>
      </c>
      <c r="D174" s="46" t="n">
        <v>20260429</v>
      </c>
      <c r="E174" s="47" t="s">
        <v>457</v>
      </c>
      <c r="F174" s="48" t="n">
        <v>7238</v>
      </c>
      <c r="G174" s="48" t="n">
        <v>7271</v>
      </c>
      <c r="H174" s="48" t="n">
        <v>7042</v>
      </c>
      <c r="I174" s="48" t="n">
        <v>7113</v>
      </c>
      <c r="J174" s="48" t="n">
        <v>7086</v>
      </c>
      <c r="K174" s="48" t="n">
        <v>7199</v>
      </c>
      <c r="L174" s="48" t="n">
        <v>61158702</v>
      </c>
      <c r="M174" s="48" t="n">
        <v>435021847326</v>
      </c>
      <c r="N174" s="48" t="n">
        <v>1823</v>
      </c>
      <c r="O174" s="48" t="n">
        <v>29111038</v>
      </c>
      <c r="P174" s="48" t="n">
        <v>30626139</v>
      </c>
      <c r="Q174" s="48" t="n">
        <v>762</v>
      </c>
      <c r="R174" s="48" t="n">
        <v>611</v>
      </c>
      <c r="S174" s="48" t="n">
        <v>32047664</v>
      </c>
      <c r="T174" s="48" t="n">
        <v>30532563</v>
      </c>
      <c r="U174" s="46" t="n">
        <f aca="false">IF($A174=$A173,$U173+1,1)</f>
        <v>170</v>
      </c>
      <c r="V174" s="48" t="n">
        <f aca="false">IF($U174&gt;=MA_SHORT,AVERAGE(INDEX($I$5:$I174,171-MA_SHORT):$I174),"")</f>
        <v>7289.2</v>
      </c>
      <c r="W174" s="48" t="n">
        <f aca="false">IF($U174&gt;=MA_MED,AVERAGE(INDEX($I$5:$I174,171-MA_MED):$I174),"")</f>
        <v>7159.06</v>
      </c>
      <c r="X174" s="48" t="n">
        <f aca="false">IF($U174&gt;=MA_LONG1,AVERAGE(INDEX($I$5:$I174,171-MA_LONG1):$I174),"")</f>
        <v>6859.11</v>
      </c>
      <c r="Y174" s="48" t="str">
        <f aca="false">IF($U174&gt;=MA_LONG2,AVERAGE(INDEX($I$5:$I174,171-MA_LONG2):$I174),"")</f>
        <v/>
      </c>
      <c r="Z174" s="48" t="n">
        <f aca="false">IF($U174&gt;=MA_SHORT,AVERAGE(INDEX($L$54:$L174,122-MA_SHORT):$L174),"")</f>
        <v>59221714.5</v>
      </c>
      <c r="AA174" s="48" t="n">
        <f aca="false">IF($U174=1,$G174-$H174,MAX($G174-$H174,ABS($G174-$I173),ABS($H174-$I173)))</f>
        <v>229</v>
      </c>
      <c r="AB174" s="48" t="n">
        <f aca="false">IF($U174&gt;=ATR_PER,AVERAGE(INDEX($AA$54:$AA174,122-ATR_PER):$AA174),"")</f>
        <v>257.785714285714</v>
      </c>
      <c r="AC174" s="48" t="n">
        <f aca="false">$O174-$P174</f>
        <v>-1515101</v>
      </c>
      <c r="AD174" s="48" t="n">
        <f aca="false">$AC174*$I174</f>
        <v>-10776913413</v>
      </c>
      <c r="AE174" s="49" t="n">
        <f aca="false">IF($Q174&gt;0,$O174*$I174/$Q174/1000000,"")</f>
        <v>271.741224795276</v>
      </c>
      <c r="AF174" s="49" t="n">
        <f aca="false">IF($R174&gt;0,$P174*$I174/$R174/1000000,"")</f>
        <v>356.536377589198</v>
      </c>
      <c r="AG174" s="50" t="n">
        <f aca="false">IF(AND(ISNUMBER($AE174),ISNUMBER($AF174),$AF174&gt;0),$AE174/$AF174,"")</f>
        <v>0.762169702381327</v>
      </c>
      <c r="AH174" s="48" t="n">
        <f aca="false">IF($U174&gt;=5,SUM(INDEX($AD$144:$AD174,32-5):$AD174),"")</f>
        <v>342548355089</v>
      </c>
      <c r="AI174" s="48" t="n">
        <f aca="false">IF($U174&gt;=STRUCT_S,MAX(INDEX($G$24:$G174,152-STRUCT_S):$G174),"")</f>
        <v>7732</v>
      </c>
      <c r="AJ174" s="48" t="n">
        <f aca="false">IF($U174&gt;=STRUCT_S,MIN(INDEX($H$24:$H174,152-STRUCT_S):$H174),"")</f>
        <v>6792</v>
      </c>
      <c r="AK174" s="48" t="n">
        <f aca="false">IF($U174&gt;=STRUCT_L,MAX(INDEX($G$5:$G174,171-STRUCT_L):$G174),"")</f>
        <v>7732</v>
      </c>
      <c r="AL174" s="48" t="n">
        <f aca="false">IF($U174&gt;=STRUCT_L,MIN(INDEX($H$5:$H174,171-STRUCT_L):$H174),"")</f>
        <v>6142</v>
      </c>
      <c r="AM174" s="46" t="n">
        <f aca="false">IF($A174&lt;&gt;$A175,1,0)</f>
        <v>0</v>
      </c>
      <c r="AN174" s="47" t="str">
        <f aca="false">IF($AM174=1,$A174,"")</f>
        <v/>
      </c>
    </row>
    <row r="175" customFormat="false" ht="15" hidden="false" customHeight="false" outlineLevel="0" collapsed="false">
      <c r="A175" s="43" t="s">
        <v>130</v>
      </c>
      <c r="B175" s="44" t="s">
        <v>132</v>
      </c>
      <c r="C175" s="45" t="n">
        <v>46144</v>
      </c>
      <c r="D175" s="46" t="n">
        <v>20260502</v>
      </c>
      <c r="E175" s="47" t="s">
        <v>458</v>
      </c>
      <c r="F175" s="48" t="n">
        <v>7329</v>
      </c>
      <c r="G175" s="48" t="n">
        <v>7380</v>
      </c>
      <c r="H175" s="48" t="n">
        <v>7029</v>
      </c>
      <c r="I175" s="48" t="n">
        <v>7293</v>
      </c>
      <c r="J175" s="48" t="n">
        <v>7232</v>
      </c>
      <c r="K175" s="48" t="n">
        <v>7113</v>
      </c>
      <c r="L175" s="48" t="n">
        <v>49427588</v>
      </c>
      <c r="M175" s="48" t="n">
        <v>360475399284</v>
      </c>
      <c r="N175" s="48" t="n">
        <v>1598</v>
      </c>
      <c r="O175" s="48" t="n">
        <v>37904408</v>
      </c>
      <c r="P175" s="48" t="n">
        <v>9885517</v>
      </c>
      <c r="Q175" s="48" t="n">
        <v>355</v>
      </c>
      <c r="R175" s="48" t="n">
        <v>709</v>
      </c>
      <c r="S175" s="48" t="n">
        <v>11523180</v>
      </c>
      <c r="T175" s="48" t="n">
        <v>39542071</v>
      </c>
      <c r="U175" s="46" t="n">
        <f aca="false">IF($A175=$A174,$U174+1,1)</f>
        <v>171</v>
      </c>
      <c r="V175" s="48" t="n">
        <f aca="false">IF($U175&gt;=MA_SHORT,AVERAGE(INDEX($I$5:$I175,172-MA_SHORT):$I175),"")</f>
        <v>7283.9</v>
      </c>
      <c r="W175" s="48" t="n">
        <f aca="false">IF($U175&gt;=MA_MED,AVERAGE(INDEX($I$5:$I175,172-MA_MED):$I175),"")</f>
        <v>7167.26</v>
      </c>
      <c r="X175" s="48" t="n">
        <f aca="false">IF($U175&gt;=MA_LONG1,AVERAGE(INDEX($I$5:$I175,172-MA_LONG1):$I175),"")</f>
        <v>6870.2</v>
      </c>
      <c r="Y175" s="48" t="str">
        <f aca="false">IF($U175&gt;=MA_LONG2,AVERAGE(INDEX($I$5:$I175,172-MA_LONG2):$I175),"")</f>
        <v/>
      </c>
      <c r="Z175" s="48" t="n">
        <f aca="false">IF($U175&gt;=MA_SHORT,AVERAGE(INDEX($L$55:$L175,122-MA_SHORT):$L175),"")</f>
        <v>59175121.45</v>
      </c>
      <c r="AA175" s="48" t="n">
        <f aca="false">IF($U175=1,$G175-$H175,MAX($G175-$H175,ABS($G175-$I174),ABS($H175-$I174)))</f>
        <v>351</v>
      </c>
      <c r="AB175" s="48" t="n">
        <f aca="false">IF($U175&gt;=ATR_PER,AVERAGE(INDEX($AA$55:$AA175,122-ATR_PER):$AA175),"")</f>
        <v>268.142857142857</v>
      </c>
      <c r="AC175" s="48" t="n">
        <f aca="false">$O175-$P175</f>
        <v>28018891</v>
      </c>
      <c r="AD175" s="48" t="n">
        <f aca="false">$AC175*$I175</f>
        <v>204341772063</v>
      </c>
      <c r="AE175" s="49" t="n">
        <f aca="false">IF($Q175&gt;0,$O175*$I175/$Q175/1000000,"")</f>
        <v>778.695345194366</v>
      </c>
      <c r="AF175" s="49" t="n">
        <f aca="false">IF($R175&gt;0,$P175*$I175/$R175/1000000,"")</f>
        <v>101.685578957687</v>
      </c>
      <c r="AG175" s="50" t="n">
        <f aca="false">IF(AND(ISNUMBER($AE175),ISNUMBER($AF175),$AF175&gt;0),$AE175/$AF175,"")</f>
        <v>7.65787394020144</v>
      </c>
      <c r="AH175" s="48" t="n">
        <f aca="false">IF($U175&gt;=5,SUM(INDEX($AD$145:$AD175,32-5):$AD175),"")</f>
        <v>625348699488</v>
      </c>
      <c r="AI175" s="48" t="n">
        <f aca="false">IF($U175&gt;=STRUCT_S,MAX(INDEX($G$25:$G175,152-STRUCT_S):$G175),"")</f>
        <v>7732</v>
      </c>
      <c r="AJ175" s="48" t="n">
        <f aca="false">IF($U175&gt;=STRUCT_S,MIN(INDEX($H$25:$H175,152-STRUCT_S):$H175),"")</f>
        <v>6792</v>
      </c>
      <c r="AK175" s="48" t="n">
        <f aca="false">IF($U175&gt;=STRUCT_L,MAX(INDEX($G$5:$G175,172-STRUCT_L):$G175),"")</f>
        <v>7732</v>
      </c>
      <c r="AL175" s="48" t="n">
        <f aca="false">IF($U175&gt;=STRUCT_L,MIN(INDEX($H$5:$H175,172-STRUCT_L):$H175),"")</f>
        <v>6142</v>
      </c>
      <c r="AM175" s="46" t="n">
        <f aca="false">IF($A175&lt;&gt;$A176,1,0)</f>
        <v>0</v>
      </c>
      <c r="AN175" s="47" t="str">
        <f aca="false">IF($AM175=1,$A175,"")</f>
        <v/>
      </c>
    </row>
    <row r="176" customFormat="false" ht="15" hidden="false" customHeight="false" outlineLevel="0" collapsed="false">
      <c r="A176" s="43" t="s">
        <v>130</v>
      </c>
      <c r="B176" s="44" t="s">
        <v>132</v>
      </c>
      <c r="C176" s="45" t="n">
        <v>46145</v>
      </c>
      <c r="D176" s="46" t="n">
        <v>20260503</v>
      </c>
      <c r="E176" s="47" t="s">
        <v>459</v>
      </c>
      <c r="F176" s="48" t="n">
        <v>7222</v>
      </c>
      <c r="G176" s="48" t="n">
        <v>7328</v>
      </c>
      <c r="H176" s="48" t="n">
        <v>7162</v>
      </c>
      <c r="I176" s="48" t="n">
        <v>7197</v>
      </c>
      <c r="J176" s="48" t="n">
        <v>7164</v>
      </c>
      <c r="K176" s="48" t="n">
        <v>7293</v>
      </c>
      <c r="L176" s="48" t="n">
        <v>46301238</v>
      </c>
      <c r="M176" s="48" t="n">
        <v>333230009886</v>
      </c>
      <c r="N176" s="48" t="n">
        <v>2545</v>
      </c>
      <c r="O176" s="48" t="n">
        <v>21952577</v>
      </c>
      <c r="P176" s="48" t="n">
        <v>24229635</v>
      </c>
      <c r="Q176" s="48" t="n">
        <v>1744</v>
      </c>
      <c r="R176" s="48" t="n">
        <v>988</v>
      </c>
      <c r="S176" s="48" t="n">
        <v>24348661</v>
      </c>
      <c r="T176" s="48" t="n">
        <v>22071603</v>
      </c>
      <c r="U176" s="46" t="n">
        <f aca="false">IF($A176=$A175,$U175+1,1)</f>
        <v>172</v>
      </c>
      <c r="V176" s="48" t="n">
        <f aca="false">IF($U176&gt;=MA_SHORT,AVERAGE(INDEX($I$5:$I176,173-MA_SHORT):$I176),"")</f>
        <v>7264.5</v>
      </c>
      <c r="W176" s="48" t="n">
        <f aca="false">IF($U176&gt;=MA_MED,AVERAGE(INDEX($I$5:$I176,173-MA_MED):$I176),"")</f>
        <v>7171.62</v>
      </c>
      <c r="X176" s="48" t="n">
        <f aca="false">IF($U176&gt;=MA_LONG1,AVERAGE(INDEX($I$5:$I176,173-MA_LONG1):$I176),"")</f>
        <v>6879.47</v>
      </c>
      <c r="Y176" s="48" t="str">
        <f aca="false">IF($U176&gt;=MA_LONG2,AVERAGE(INDEX($I$5:$I176,173-MA_LONG2):$I176),"")</f>
        <v/>
      </c>
      <c r="Z176" s="48" t="n">
        <f aca="false">IF($U176&gt;=MA_SHORT,AVERAGE(INDEX($L$56:$L176,122-MA_SHORT):$L176),"")</f>
        <v>59020957</v>
      </c>
      <c r="AA176" s="48" t="n">
        <f aca="false">IF($U176=1,$G176-$H176,MAX($G176-$H176,ABS($G176-$I175),ABS($H176-$I175)))</f>
        <v>166</v>
      </c>
      <c r="AB176" s="48" t="n">
        <f aca="false">IF($U176&gt;=ATR_PER,AVERAGE(INDEX($AA$56:$AA176,122-ATR_PER):$AA176),"")</f>
        <v>259.357142857143</v>
      </c>
      <c r="AC176" s="48" t="n">
        <f aca="false">$O176-$P176</f>
        <v>-2277058</v>
      </c>
      <c r="AD176" s="48" t="n">
        <f aca="false">$AC176*$I176</f>
        <v>-16387986426</v>
      </c>
      <c r="AE176" s="49" t="n">
        <f aca="false">IF($Q176&gt;0,$O176*$I176/$Q176/1000000,"")</f>
        <v>90.5921425854358</v>
      </c>
      <c r="AF176" s="49" t="n">
        <f aca="false">IF($R176&gt;0,$P176*$I176/$R176/1000000,"")</f>
        <v>176.498667100202</v>
      </c>
      <c r="AG176" s="50" t="n">
        <f aca="false">IF(AND(ISNUMBER($AE176),ISNUMBER($AF176),$AF176&gt;0),$AE176/$AF176,"")</f>
        <v>0.513273805824293</v>
      </c>
      <c r="AH176" s="48" t="n">
        <f aca="false">IF($U176&gt;=5,SUM(INDEX($AD$146:$AD176,32-5):$AD176),"")</f>
        <v>458935565570</v>
      </c>
      <c r="AI176" s="48" t="n">
        <f aca="false">IF($U176&gt;=STRUCT_S,MAX(INDEX($G$26:$G176,152-STRUCT_S):$G176),"")</f>
        <v>7732</v>
      </c>
      <c r="AJ176" s="48" t="n">
        <f aca="false">IF($U176&gt;=STRUCT_S,MIN(INDEX($H$26:$H176,152-STRUCT_S):$H176),"")</f>
        <v>6792</v>
      </c>
      <c r="AK176" s="48" t="n">
        <f aca="false">IF($U176&gt;=STRUCT_L,MAX(INDEX($G$5:$G176,173-STRUCT_L):$G176),"")</f>
        <v>7732</v>
      </c>
      <c r="AL176" s="48" t="n">
        <f aca="false">IF($U176&gt;=STRUCT_L,MIN(INDEX($H$5:$H176,173-STRUCT_L):$H176),"")</f>
        <v>6142</v>
      </c>
      <c r="AM176" s="46" t="n">
        <f aca="false">IF($A176&lt;&gt;$A177,1,0)</f>
        <v>0</v>
      </c>
      <c r="AN176" s="47" t="str">
        <f aca="false">IF($AM176=1,$A176,"")</f>
        <v/>
      </c>
    </row>
    <row r="177" customFormat="false" ht="15" hidden="false" customHeight="false" outlineLevel="0" collapsed="false">
      <c r="A177" s="43" t="s">
        <v>130</v>
      </c>
      <c r="B177" s="44" t="s">
        <v>132</v>
      </c>
      <c r="C177" s="45" t="n">
        <v>46146</v>
      </c>
      <c r="D177" s="46" t="n">
        <v>20260504</v>
      </c>
      <c r="E177" s="47" t="s">
        <v>460</v>
      </c>
      <c r="F177" s="48" t="n">
        <v>7202</v>
      </c>
      <c r="G177" s="48" t="n">
        <v>7238</v>
      </c>
      <c r="H177" s="48" t="n">
        <v>7076</v>
      </c>
      <c r="I177" s="48" t="n">
        <v>7117</v>
      </c>
      <c r="J177" s="48" t="n">
        <v>7100</v>
      </c>
      <c r="K177" s="48" t="n">
        <v>7197</v>
      </c>
      <c r="L177" s="48" t="n">
        <v>63888837</v>
      </c>
      <c r="M177" s="48" t="n">
        <v>454696852929</v>
      </c>
      <c r="N177" s="48" t="n">
        <v>3625</v>
      </c>
      <c r="O177" s="48" t="n">
        <v>29823196</v>
      </c>
      <c r="P177" s="48" t="n">
        <v>35030288</v>
      </c>
      <c r="Q177" s="48" t="n">
        <v>1956</v>
      </c>
      <c r="R177" s="48" t="n">
        <v>1308</v>
      </c>
      <c r="S177" s="48" t="n">
        <v>34065641</v>
      </c>
      <c r="T177" s="48" t="n">
        <v>28858549</v>
      </c>
      <c r="U177" s="46" t="n">
        <f aca="false">IF($A177=$A176,$U176+1,1)</f>
        <v>173</v>
      </c>
      <c r="V177" s="48" t="n">
        <f aca="false">IF($U177&gt;=MA_SHORT,AVERAGE(INDEX($I$5:$I177,174-MA_SHORT):$I177),"")</f>
        <v>7238.55</v>
      </c>
      <c r="W177" s="48" t="n">
        <f aca="false">IF($U177&gt;=MA_MED,AVERAGE(INDEX($I$5:$I177,174-MA_MED):$I177),"")</f>
        <v>7173.06</v>
      </c>
      <c r="X177" s="48" t="n">
        <f aca="false">IF($U177&gt;=MA_LONG1,AVERAGE(INDEX($I$5:$I177,174-MA_LONG1):$I177),"")</f>
        <v>6887.42</v>
      </c>
      <c r="Y177" s="48" t="str">
        <f aca="false">IF($U177&gt;=MA_LONG2,AVERAGE(INDEX($I$5:$I177,174-MA_LONG2):$I177),"")</f>
        <v/>
      </c>
      <c r="Z177" s="48" t="n">
        <f aca="false">IF($U177&gt;=MA_SHORT,AVERAGE(INDEX($L$57:$L177,122-MA_SHORT):$L177),"")</f>
        <v>58886119.05</v>
      </c>
      <c r="AA177" s="48" t="n">
        <f aca="false">IF($U177=1,$G177-$H177,MAX($G177-$H177,ABS($G177-$I176),ABS($H177-$I176)))</f>
        <v>162</v>
      </c>
      <c r="AB177" s="48" t="n">
        <f aca="false">IF($U177&gt;=ATR_PER,AVERAGE(INDEX($AA$57:$AA177,122-ATR_PER):$AA177),"")</f>
        <v>234.428571428571</v>
      </c>
      <c r="AC177" s="48" t="n">
        <f aca="false">$O177-$P177</f>
        <v>-5207092</v>
      </c>
      <c r="AD177" s="48" t="n">
        <f aca="false">$AC177*$I177</f>
        <v>-37058873764</v>
      </c>
      <c r="AE177" s="49" t="n">
        <f aca="false">IF($Q177&gt;0,$O177*$I177/$Q177/1000000,"")</f>
        <v>108.513131867076</v>
      </c>
      <c r="AF177" s="49" t="n">
        <f aca="false">IF($R177&gt;0,$P177*$I177/$R177/1000000,"")</f>
        <v>190.604403437309</v>
      </c>
      <c r="AG177" s="50" t="n">
        <f aca="false">IF(AND(ISNUMBER($AE177),ISNUMBER($AF177),$AF177&gt;0),$AE177/$AF177,"")</f>
        <v>0.569310728976765</v>
      </c>
      <c r="AH177" s="48" t="n">
        <f aca="false">IF($U177&gt;=5,SUM(INDEX($AD$147:$AD177,32-5):$AD177),"")</f>
        <v>263649944462</v>
      </c>
      <c r="AI177" s="48" t="n">
        <f aca="false">IF($U177&gt;=STRUCT_S,MAX(INDEX($G$27:$G177,152-STRUCT_S):$G177),"")</f>
        <v>7732</v>
      </c>
      <c r="AJ177" s="48" t="n">
        <f aca="false">IF($U177&gt;=STRUCT_S,MIN(INDEX($H$27:$H177,152-STRUCT_S):$H177),"")</f>
        <v>6792</v>
      </c>
      <c r="AK177" s="48" t="n">
        <f aca="false">IF($U177&gt;=STRUCT_L,MAX(INDEX($G$5:$G177,174-STRUCT_L):$G177),"")</f>
        <v>7732</v>
      </c>
      <c r="AL177" s="48" t="n">
        <f aca="false">IF($U177&gt;=STRUCT_L,MIN(INDEX($H$5:$H177,174-STRUCT_L):$H177),"")</f>
        <v>6362</v>
      </c>
      <c r="AM177" s="46" t="n">
        <f aca="false">IF($A177&lt;&gt;$A178,1,0)</f>
        <v>0</v>
      </c>
      <c r="AN177" s="47" t="str">
        <f aca="false">IF($AM177=1,$A177,"")</f>
        <v/>
      </c>
    </row>
    <row r="178" customFormat="false" ht="15" hidden="false" customHeight="false" outlineLevel="0" collapsed="false">
      <c r="A178" s="43" t="s">
        <v>130</v>
      </c>
      <c r="B178" s="44" t="s">
        <v>132</v>
      </c>
      <c r="C178" s="45" t="n">
        <v>46147</v>
      </c>
      <c r="D178" s="46" t="n">
        <v>20260505</v>
      </c>
      <c r="E178" s="47" t="s">
        <v>461</v>
      </c>
      <c r="F178" s="48" t="n">
        <v>7237</v>
      </c>
      <c r="G178" s="48" t="n">
        <v>7312</v>
      </c>
      <c r="H178" s="48" t="n">
        <v>7068</v>
      </c>
      <c r="I178" s="48" t="n">
        <v>7262</v>
      </c>
      <c r="J178" s="48" t="n">
        <v>7196</v>
      </c>
      <c r="K178" s="48" t="n">
        <v>7117</v>
      </c>
      <c r="L178" s="48" t="n">
        <v>48157728</v>
      </c>
      <c r="M178" s="48" t="n">
        <v>349721420736</v>
      </c>
      <c r="N178" s="48" t="n">
        <v>2028</v>
      </c>
      <c r="O178" s="48" t="n">
        <v>28251076</v>
      </c>
      <c r="P178" s="48" t="n">
        <v>22570007</v>
      </c>
      <c r="Q178" s="48" t="n">
        <v>597</v>
      </c>
      <c r="R178" s="48" t="n">
        <v>1257</v>
      </c>
      <c r="S178" s="48" t="n">
        <v>19906652</v>
      </c>
      <c r="T178" s="48" t="n">
        <v>25587721</v>
      </c>
      <c r="U178" s="46" t="n">
        <f aca="false">IF($A178=$A177,$U177+1,1)</f>
        <v>174</v>
      </c>
      <c r="V178" s="48" t="n">
        <f aca="false">IF($U178&gt;=MA_SHORT,AVERAGE(INDEX($I$5:$I178,175-MA_SHORT):$I178),"")</f>
        <v>7224.6</v>
      </c>
      <c r="W178" s="48" t="n">
        <f aca="false">IF($U178&gt;=MA_MED,AVERAGE(INDEX($I$5:$I178,175-MA_MED):$I178),"")</f>
        <v>7179</v>
      </c>
      <c r="X178" s="48" t="n">
        <f aca="false">IF($U178&gt;=MA_LONG1,AVERAGE(INDEX($I$5:$I178,175-MA_LONG1):$I178),"")</f>
        <v>6895.17</v>
      </c>
      <c r="Y178" s="48" t="str">
        <f aca="false">IF($U178&gt;=MA_LONG2,AVERAGE(INDEX($I$5:$I178,175-MA_LONG2):$I178),"")</f>
        <v/>
      </c>
      <c r="Z178" s="48" t="n">
        <f aca="false">IF($U178&gt;=MA_SHORT,AVERAGE(INDEX($L$58:$L178,122-MA_SHORT):$L178),"")</f>
        <v>58988241.4</v>
      </c>
      <c r="AA178" s="48" t="n">
        <f aca="false">IF($U178=1,$G178-$H178,MAX($G178-$H178,ABS($G178-$I177),ABS($H178-$I177)))</f>
        <v>244</v>
      </c>
      <c r="AB178" s="48" t="n">
        <f aca="false">IF($U178&gt;=ATR_PER,AVERAGE(INDEX($AA$58:$AA178,122-ATR_PER):$AA178),"")</f>
        <v>228.928571428571</v>
      </c>
      <c r="AC178" s="48" t="n">
        <f aca="false">$O178-$P178</f>
        <v>5681069</v>
      </c>
      <c r="AD178" s="48" t="n">
        <f aca="false">$AC178*$I178</f>
        <v>41255923078</v>
      </c>
      <c r="AE178" s="49" t="n">
        <f aca="false">IF($Q178&gt;0,$O178*$I178/$Q178/1000000,"")</f>
        <v>343.650442063652</v>
      </c>
      <c r="AF178" s="49" t="n">
        <f aca="false">IF($R178&gt;0,$P178*$I178/$R178/1000000,"")</f>
        <v>130.392514585521</v>
      </c>
      <c r="AG178" s="50" t="n">
        <f aca="false">IF(AND(ISNUMBER($AE178),ISNUMBER($AF178),$AF178&gt;0),$AE178/$AF178,"")</f>
        <v>2.63550743810727</v>
      </c>
      <c r="AH178" s="48" t="n">
        <f aca="false">IF($U178&gt;=5,SUM(INDEX($AD$148:$AD178,32-5):$AD178),"")</f>
        <v>181373921538</v>
      </c>
      <c r="AI178" s="48" t="n">
        <f aca="false">IF($U178&gt;=STRUCT_S,MAX(INDEX($G$28:$G178,152-STRUCT_S):$G178),"")</f>
        <v>7732</v>
      </c>
      <c r="AJ178" s="48" t="n">
        <f aca="false">IF($U178&gt;=STRUCT_S,MIN(INDEX($H$28:$H178,152-STRUCT_S):$H178),"")</f>
        <v>6792</v>
      </c>
      <c r="AK178" s="48" t="n">
        <f aca="false">IF($U178&gt;=STRUCT_L,MAX(INDEX($G$5:$G178,175-STRUCT_L):$G178),"")</f>
        <v>7732</v>
      </c>
      <c r="AL178" s="48" t="n">
        <f aca="false">IF($U178&gt;=STRUCT_L,MIN(INDEX($H$5:$H178,175-STRUCT_L):$H178),"")</f>
        <v>6422</v>
      </c>
      <c r="AM178" s="46" t="n">
        <f aca="false">IF($A178&lt;&gt;$A179,1,0)</f>
        <v>0</v>
      </c>
      <c r="AN178" s="47" t="str">
        <f aca="false">IF($AM178=1,$A178,"")</f>
        <v/>
      </c>
    </row>
    <row r="179" customFormat="false" ht="15" hidden="false" customHeight="false" outlineLevel="0" collapsed="false">
      <c r="A179" s="43" t="s">
        <v>130</v>
      </c>
      <c r="B179" s="44" t="s">
        <v>132</v>
      </c>
      <c r="C179" s="45" t="n">
        <v>46148</v>
      </c>
      <c r="D179" s="46" t="n">
        <v>20260506</v>
      </c>
      <c r="E179" s="47" t="s">
        <v>462</v>
      </c>
      <c r="F179" s="48" t="n">
        <v>7273</v>
      </c>
      <c r="G179" s="48" t="n">
        <v>7410</v>
      </c>
      <c r="H179" s="48" t="n">
        <v>7150</v>
      </c>
      <c r="I179" s="48" t="n">
        <v>7297</v>
      </c>
      <c r="J179" s="48" t="n">
        <v>7327</v>
      </c>
      <c r="K179" s="48" t="n">
        <v>7262</v>
      </c>
      <c r="L179" s="48" t="n">
        <v>55787531</v>
      </c>
      <c r="M179" s="48" t="n">
        <v>407081613707</v>
      </c>
      <c r="N179" s="48" t="n">
        <v>4696</v>
      </c>
      <c r="O179" s="48" t="n">
        <v>32912743</v>
      </c>
      <c r="P179" s="48" t="n">
        <v>24308906</v>
      </c>
      <c r="Q179" s="48" t="n">
        <v>1788</v>
      </c>
      <c r="R179" s="48" t="n">
        <v>2494</v>
      </c>
      <c r="S179" s="48" t="n">
        <v>22874788</v>
      </c>
      <c r="T179" s="48" t="n">
        <v>31478625</v>
      </c>
      <c r="U179" s="46" t="n">
        <f aca="false">IF($A179=$A178,$U178+1,1)</f>
        <v>175</v>
      </c>
      <c r="V179" s="48" t="n">
        <f aca="false">IF($U179&gt;=MA_SHORT,AVERAGE(INDEX($I$5:$I179,176-MA_SHORT):$I179),"")</f>
        <v>7213.55</v>
      </c>
      <c r="W179" s="48" t="n">
        <f aca="false">IF($U179&gt;=MA_MED,AVERAGE(INDEX($I$5:$I179,176-MA_MED):$I179),"")</f>
        <v>7185.9</v>
      </c>
      <c r="X179" s="48" t="n">
        <f aca="false">IF($U179&gt;=MA_LONG1,AVERAGE(INDEX($I$5:$I179,176-MA_LONG1):$I179),"")</f>
        <v>6904.66</v>
      </c>
      <c r="Y179" s="48" t="str">
        <f aca="false">IF($U179&gt;=MA_LONG2,AVERAGE(INDEX($I$5:$I179,176-MA_LONG2):$I179),"")</f>
        <v/>
      </c>
      <c r="Z179" s="48" t="n">
        <f aca="false">IF($U179&gt;=MA_SHORT,AVERAGE(INDEX($L$59:$L179,122-MA_SHORT):$L179),"")</f>
        <v>55722926.7</v>
      </c>
      <c r="AA179" s="48" t="n">
        <f aca="false">IF($U179=1,$G179-$H179,MAX($G179-$H179,ABS($G179-$I178),ABS($H179-$I178)))</f>
        <v>260</v>
      </c>
      <c r="AB179" s="48" t="n">
        <f aca="false">IF($U179&gt;=ATR_PER,AVERAGE(INDEX($AA$59:$AA179,122-ATR_PER):$AA179),"")</f>
        <v>239.428571428571</v>
      </c>
      <c r="AC179" s="48" t="n">
        <f aca="false">$O179-$P179</f>
        <v>8603837</v>
      </c>
      <c r="AD179" s="48" t="n">
        <f aca="false">$AC179*$I179</f>
        <v>62782198589</v>
      </c>
      <c r="AE179" s="49" t="n">
        <f aca="false">IF($Q179&gt;0,$O179*$I179/$Q179/1000000,"")</f>
        <v>134.320070285794</v>
      </c>
      <c r="AF179" s="49" t="n">
        <f aca="false">IF($R179&gt;0,$P179*$I179/$R179/1000000,"")</f>
        <v>71.1235313079391</v>
      </c>
      <c r="AG179" s="50" t="n">
        <f aca="false">IF(AND(ISNUMBER($AE179),ISNUMBER($AF179),$AF179&gt;0),$AE179/$AF179,"")</f>
        <v>1.88854613678049</v>
      </c>
      <c r="AH179" s="48" t="n">
        <f aca="false">IF($U179&gt;=5,SUM(INDEX($AD$149:$AD179,32-5):$AD179),"")</f>
        <v>254933033540</v>
      </c>
      <c r="AI179" s="48" t="n">
        <f aca="false">IF($U179&gt;=STRUCT_S,MAX(INDEX($G$29:$G179,152-STRUCT_S):$G179),"")</f>
        <v>7732</v>
      </c>
      <c r="AJ179" s="48" t="n">
        <f aca="false">IF($U179&gt;=STRUCT_S,MIN(INDEX($H$29:$H179,152-STRUCT_S):$H179),"")</f>
        <v>6792</v>
      </c>
      <c r="AK179" s="48" t="n">
        <f aca="false">IF($U179&gt;=STRUCT_L,MAX(INDEX($G$5:$G179,176-STRUCT_L):$G179),"")</f>
        <v>7732</v>
      </c>
      <c r="AL179" s="48" t="n">
        <f aca="false">IF($U179&gt;=STRUCT_L,MIN(INDEX($H$5:$H179,176-STRUCT_L):$H179),"")</f>
        <v>6451</v>
      </c>
      <c r="AM179" s="46" t="n">
        <f aca="false">IF($A179&lt;&gt;$A180,1,0)</f>
        <v>0</v>
      </c>
      <c r="AN179" s="47" t="str">
        <f aca="false">IF($AM179=1,$A179,"")</f>
        <v/>
      </c>
    </row>
    <row r="180" customFormat="false" ht="15" hidden="false" customHeight="false" outlineLevel="0" collapsed="false">
      <c r="A180" s="43" t="s">
        <v>130</v>
      </c>
      <c r="B180" s="44" t="s">
        <v>132</v>
      </c>
      <c r="C180" s="45" t="n">
        <v>46151</v>
      </c>
      <c r="D180" s="46" t="n">
        <v>20260509</v>
      </c>
      <c r="E180" s="47" t="s">
        <v>463</v>
      </c>
      <c r="F180" s="48" t="n">
        <v>7473</v>
      </c>
      <c r="G180" s="48" t="n">
        <v>7483</v>
      </c>
      <c r="H180" s="48" t="n">
        <v>7238</v>
      </c>
      <c r="I180" s="48" t="n">
        <v>7423</v>
      </c>
      <c r="J180" s="48" t="n">
        <v>7295</v>
      </c>
      <c r="K180" s="48" t="n">
        <v>7297</v>
      </c>
      <c r="L180" s="48" t="n">
        <v>158633267</v>
      </c>
      <c r="M180" s="48" t="n">
        <v>1177534740941</v>
      </c>
      <c r="N180" s="48" t="n">
        <v>8032</v>
      </c>
      <c r="O180" s="48" t="n">
        <v>93208815</v>
      </c>
      <c r="P180" s="48" t="n">
        <v>70102518</v>
      </c>
      <c r="Q180" s="48" t="n">
        <v>1703</v>
      </c>
      <c r="R180" s="48" t="n">
        <v>4367</v>
      </c>
      <c r="S180" s="48" t="n">
        <v>65424452</v>
      </c>
      <c r="T180" s="48" t="n">
        <v>88530749</v>
      </c>
      <c r="U180" s="46" t="n">
        <f aca="false">IF($A180=$A179,$U179+1,1)</f>
        <v>176</v>
      </c>
      <c r="V180" s="48" t="n">
        <f aca="false">IF($U180&gt;=MA_SHORT,AVERAGE(INDEX($I$5:$I180,177-MA_SHORT):$I180),"")</f>
        <v>7203</v>
      </c>
      <c r="W180" s="48" t="n">
        <f aca="false">IF($U180&gt;=MA_MED,AVERAGE(INDEX($I$5:$I180,177-MA_MED):$I180),"")</f>
        <v>7193.1</v>
      </c>
      <c r="X180" s="48" t="n">
        <f aca="false">IF($U180&gt;=MA_LONG1,AVERAGE(INDEX($I$5:$I180,177-MA_LONG1):$I180),"")</f>
        <v>6914.53</v>
      </c>
      <c r="Y180" s="48" t="str">
        <f aca="false">IF($U180&gt;=MA_LONG2,AVERAGE(INDEX($I$5:$I180,177-MA_LONG2):$I180),"")</f>
        <v/>
      </c>
      <c r="Z180" s="48" t="n">
        <f aca="false">IF($U180&gt;=MA_SHORT,AVERAGE(INDEX($L$60:$L180,122-MA_SHORT):$L180),"")</f>
        <v>60764673.45</v>
      </c>
      <c r="AA180" s="48" t="n">
        <f aca="false">IF($U180=1,$G180-$H180,MAX($G180-$H180,ABS($G180-$I179),ABS($H180-$I179)))</f>
        <v>245</v>
      </c>
      <c r="AB180" s="48" t="n">
        <f aca="false">IF($U180&gt;=ATR_PER,AVERAGE(INDEX($AA$60:$AA180,122-ATR_PER):$AA180),"")</f>
        <v>248.357142857143</v>
      </c>
      <c r="AC180" s="48" t="n">
        <f aca="false">$O180-$P180</f>
        <v>23106297</v>
      </c>
      <c r="AD180" s="48" t="n">
        <f aca="false">$AC180*$I180</f>
        <v>171518042631</v>
      </c>
      <c r="AE180" s="49" t="n">
        <f aca="false">IF($Q180&gt;0,$O180*$I180/$Q180/1000000,"")</f>
        <v>406.276590572519</v>
      </c>
      <c r="AF180" s="49" t="n">
        <f aca="false">IF($R180&gt;0,$P180*$I180/$R180/1000000,"")</f>
        <v>119.159833092283</v>
      </c>
      <c r="AG180" s="50" t="n">
        <f aca="false">IF(AND(ISNUMBER($AE180),ISNUMBER($AF180),$AF180&gt;0),$AE180/$AF180,"")</f>
        <v>3.40950956399779</v>
      </c>
      <c r="AH180" s="48" t="n">
        <f aca="false">IF($U180&gt;=5,SUM(INDEX($AD$150:$AD180,32-5):$AD180),"")</f>
        <v>222109304108</v>
      </c>
      <c r="AI180" s="48" t="n">
        <f aca="false">IF($U180&gt;=STRUCT_S,MAX(INDEX($G$30:$G180,152-STRUCT_S):$G180),"")</f>
        <v>7732</v>
      </c>
      <c r="AJ180" s="48" t="n">
        <f aca="false">IF($U180&gt;=STRUCT_S,MIN(INDEX($H$30:$H180,152-STRUCT_S):$H180),"")</f>
        <v>6792</v>
      </c>
      <c r="AK180" s="48" t="n">
        <f aca="false">IF($U180&gt;=STRUCT_L,MAX(INDEX($G$5:$G180,177-STRUCT_L):$G180),"")</f>
        <v>7732</v>
      </c>
      <c r="AL180" s="48" t="n">
        <f aca="false">IF($U180&gt;=STRUCT_L,MIN(INDEX($H$5:$H180,177-STRUCT_L):$H180),"")</f>
        <v>6451</v>
      </c>
      <c r="AM180" s="46" t="n">
        <f aca="false">IF($A180&lt;&gt;$A181,1,0)</f>
        <v>0</v>
      </c>
      <c r="AN180" s="47" t="str">
        <f aca="false">IF($AM180=1,$A180,"")</f>
        <v/>
      </c>
    </row>
    <row r="181" customFormat="false" ht="15" hidden="false" customHeight="false" outlineLevel="0" collapsed="false">
      <c r="A181" s="43" t="s">
        <v>130</v>
      </c>
      <c r="B181" s="44" t="s">
        <v>132</v>
      </c>
      <c r="C181" s="45" t="n">
        <v>46152</v>
      </c>
      <c r="D181" s="46" t="n">
        <v>20260510</v>
      </c>
      <c r="E181" s="47" t="s">
        <v>464</v>
      </c>
      <c r="F181" s="48" t="n">
        <v>7391</v>
      </c>
      <c r="G181" s="48" t="n">
        <v>7580</v>
      </c>
      <c r="H181" s="48" t="n">
        <v>7041</v>
      </c>
      <c r="I181" s="48" t="n">
        <v>7193</v>
      </c>
      <c r="J181" s="48" t="n">
        <v>7134</v>
      </c>
      <c r="K181" s="48" t="n">
        <v>7423</v>
      </c>
      <c r="L181" s="48" t="n">
        <v>50889773</v>
      </c>
      <c r="M181" s="48" t="n">
        <v>366050137189</v>
      </c>
      <c r="N181" s="48" t="n">
        <v>2843</v>
      </c>
      <c r="O181" s="48" t="n">
        <v>22250565</v>
      </c>
      <c r="P181" s="48" t="n">
        <v>27931325</v>
      </c>
      <c r="Q181" s="48" t="n">
        <v>1876</v>
      </c>
      <c r="R181" s="48" t="n">
        <v>908</v>
      </c>
      <c r="S181" s="48" t="n">
        <v>28639208</v>
      </c>
      <c r="T181" s="48" t="n">
        <v>22958448</v>
      </c>
      <c r="U181" s="46" t="n">
        <f aca="false">IF($A181=$A180,$U180+1,1)</f>
        <v>177</v>
      </c>
      <c r="V181" s="48" t="n">
        <f aca="false">IF($U181&gt;=MA_SHORT,AVERAGE(INDEX($I$5:$I181,178-MA_SHORT):$I181),"")</f>
        <v>7187.4</v>
      </c>
      <c r="W181" s="48" t="n">
        <f aca="false">IF($U181&gt;=MA_MED,AVERAGE(INDEX($I$5:$I181,178-MA_MED):$I181),"")</f>
        <v>7193.84</v>
      </c>
      <c r="X181" s="48" t="n">
        <f aca="false">IF($U181&gt;=MA_LONG1,AVERAGE(INDEX($I$5:$I181,178-MA_LONG1):$I181),"")</f>
        <v>6921.38</v>
      </c>
      <c r="Y181" s="48" t="str">
        <f aca="false">IF($U181&gt;=MA_LONG2,AVERAGE(INDEX($I$5:$I181,178-MA_LONG2):$I181),"")</f>
        <v/>
      </c>
      <c r="Z181" s="48" t="n">
        <f aca="false">IF($U181&gt;=MA_SHORT,AVERAGE(INDEX($L$61:$L181,122-MA_SHORT):$L181),"")</f>
        <v>60033344.4</v>
      </c>
      <c r="AA181" s="48" t="n">
        <f aca="false">IF($U181=1,$G181-$H181,MAX($G181-$H181,ABS($G181-$I180),ABS($H181-$I180)))</f>
        <v>539</v>
      </c>
      <c r="AB181" s="48" t="n">
        <f aca="false">IF($U181&gt;=ATR_PER,AVERAGE(INDEX($AA$61:$AA181,122-ATR_PER):$AA181),"")</f>
        <v>270.857142857143</v>
      </c>
      <c r="AC181" s="48" t="n">
        <f aca="false">$O181-$P181</f>
        <v>-5680760</v>
      </c>
      <c r="AD181" s="48" t="n">
        <f aca="false">$AC181*$I181</f>
        <v>-40861706680</v>
      </c>
      <c r="AE181" s="49" t="n">
        <f aca="false">IF($Q181&gt;0,$O181*$I181/$Q181/1000000,"")</f>
        <v>85.3136002372068</v>
      </c>
      <c r="AF181" s="49" t="n">
        <f aca="false">IF($R181&gt;0,$P181*$I181/$R181/1000000,"")</f>
        <v>221.266542648678</v>
      </c>
      <c r="AG181" s="50" t="n">
        <f aca="false">IF(AND(ISNUMBER($AE181),ISNUMBER($AF181),$AF181&gt;0),$AE181/$AF181,"")</f>
        <v>0.385569364513756</v>
      </c>
      <c r="AH181" s="48" t="n">
        <f aca="false">IF($U181&gt;=5,SUM(INDEX($AD$151:$AD181,32-5):$AD181),"")</f>
        <v>197635583854</v>
      </c>
      <c r="AI181" s="48" t="n">
        <f aca="false">IF($U181&gt;=STRUCT_S,MAX(INDEX($G$31:$G181,152-STRUCT_S):$G181),"")</f>
        <v>7732</v>
      </c>
      <c r="AJ181" s="48" t="n">
        <f aca="false">IF($U181&gt;=STRUCT_S,MIN(INDEX($H$31:$H181,152-STRUCT_S):$H181),"")</f>
        <v>6792</v>
      </c>
      <c r="AK181" s="48" t="n">
        <f aca="false">IF($U181&gt;=STRUCT_L,MAX(INDEX($G$5:$G181,178-STRUCT_L):$G181),"")</f>
        <v>7732</v>
      </c>
      <c r="AL181" s="48" t="n">
        <f aca="false">IF($U181&gt;=STRUCT_L,MIN(INDEX($H$5:$H181,178-STRUCT_L):$H181),"")</f>
        <v>6555</v>
      </c>
      <c r="AM181" s="46" t="n">
        <f aca="false">IF($A181&lt;&gt;$A182,1,0)</f>
        <v>0</v>
      </c>
      <c r="AN181" s="47" t="str">
        <f aca="false">IF($AM181=1,$A181,"")</f>
        <v/>
      </c>
    </row>
    <row r="182" customFormat="false" ht="15" hidden="false" customHeight="false" outlineLevel="0" collapsed="false">
      <c r="A182" s="43" t="s">
        <v>130</v>
      </c>
      <c r="B182" s="44" t="s">
        <v>132</v>
      </c>
      <c r="C182" s="45" t="n">
        <v>46153</v>
      </c>
      <c r="D182" s="46" t="n">
        <v>20260511</v>
      </c>
      <c r="E182" s="47" t="s">
        <v>465</v>
      </c>
      <c r="F182" s="48" t="n">
        <v>7185</v>
      </c>
      <c r="G182" s="48" t="n">
        <v>7329</v>
      </c>
      <c r="H182" s="48" t="n">
        <v>7067</v>
      </c>
      <c r="I182" s="48" t="n">
        <v>7203</v>
      </c>
      <c r="J182" s="48" t="n">
        <v>7214</v>
      </c>
      <c r="K182" s="48" t="n">
        <v>7193</v>
      </c>
      <c r="L182" s="48" t="n">
        <v>43269999</v>
      </c>
      <c r="M182" s="48" t="n">
        <v>311673802797</v>
      </c>
      <c r="N182" s="48" t="n">
        <v>4516</v>
      </c>
      <c r="O182" s="48" t="n">
        <v>28151513</v>
      </c>
      <c r="P182" s="48" t="n">
        <v>15226526</v>
      </c>
      <c r="Q182" s="48" t="n">
        <v>1277</v>
      </c>
      <c r="R182" s="48" t="n">
        <v>2064</v>
      </c>
      <c r="S182" s="48" t="n">
        <v>15118486</v>
      </c>
      <c r="T182" s="48" t="n">
        <v>28043473</v>
      </c>
      <c r="U182" s="46" t="n">
        <f aca="false">IF($A182=$A181,$U181+1,1)</f>
        <v>178</v>
      </c>
      <c r="V182" s="48" t="n">
        <f aca="false">IF($U182&gt;=MA_SHORT,AVERAGE(INDEX($I$5:$I182,179-MA_SHORT):$I182),"")</f>
        <v>7167.6</v>
      </c>
      <c r="W182" s="48" t="n">
        <f aca="false">IF($U182&gt;=MA_MED,AVERAGE(INDEX($I$5:$I182,179-MA_MED):$I182),"")</f>
        <v>7192.62</v>
      </c>
      <c r="X182" s="48" t="n">
        <f aca="false">IF($U182&gt;=MA_LONG1,AVERAGE(INDEX($I$5:$I182,179-MA_LONG1):$I182),"")</f>
        <v>6928.96</v>
      </c>
      <c r="Y182" s="48" t="str">
        <f aca="false">IF($U182&gt;=MA_LONG2,AVERAGE(INDEX($I$5:$I182,179-MA_LONG2):$I182),"")</f>
        <v/>
      </c>
      <c r="Z182" s="48" t="n">
        <f aca="false">IF($U182&gt;=MA_SHORT,AVERAGE(INDEX($L$62:$L182,122-MA_SHORT):$L182),"")</f>
        <v>59890000</v>
      </c>
      <c r="AA182" s="48" t="n">
        <f aca="false">IF($U182=1,$G182-$H182,MAX($G182-$H182,ABS($G182-$I181),ABS($H182-$I181)))</f>
        <v>262</v>
      </c>
      <c r="AB182" s="48" t="n">
        <f aca="false">IF($U182&gt;=ATR_PER,AVERAGE(INDEX($AA$62:$AA182,122-ATR_PER):$AA182),"")</f>
        <v>277.285714285714</v>
      </c>
      <c r="AC182" s="48" t="n">
        <f aca="false">$O182-$P182</f>
        <v>12924987</v>
      </c>
      <c r="AD182" s="48" t="n">
        <f aca="false">$AC182*$I182</f>
        <v>93098681361</v>
      </c>
      <c r="AE182" s="49" t="n">
        <f aca="false">IF($Q182&gt;0,$O182*$I182/$Q182/1000000,"")</f>
        <v>158.790405747063</v>
      </c>
      <c r="AF182" s="49" t="n">
        <f aca="false">IF($R182&gt;0,$P182*$I182/$R182/1000000,"")</f>
        <v>53.1379199505814</v>
      </c>
      <c r="AG182" s="50" t="n">
        <f aca="false">IF(AND(ISNUMBER($AE182),ISNUMBER($AF182),$AF182&gt;0),$AE182/$AF182,"")</f>
        <v>2.98826912861361</v>
      </c>
      <c r="AH182" s="48" t="n">
        <f aca="false">IF($U182&gt;=5,SUM(INDEX($AD$152:$AD182,32-5):$AD182),"")</f>
        <v>327793138979</v>
      </c>
      <c r="AI182" s="48" t="n">
        <f aca="false">IF($U182&gt;=STRUCT_S,MAX(INDEX($G$32:$G182,152-STRUCT_S):$G182),"")</f>
        <v>7732</v>
      </c>
      <c r="AJ182" s="48" t="n">
        <f aca="false">IF($U182&gt;=STRUCT_S,MIN(INDEX($H$32:$H182,152-STRUCT_S):$H182),"")</f>
        <v>6792</v>
      </c>
      <c r="AK182" s="48" t="n">
        <f aca="false">IF($U182&gt;=STRUCT_L,MAX(INDEX($G$5:$G182,179-STRUCT_L):$G182),"")</f>
        <v>7732</v>
      </c>
      <c r="AL182" s="48" t="n">
        <f aca="false">IF($U182&gt;=STRUCT_L,MIN(INDEX($H$5:$H182,179-STRUCT_L):$H182),"")</f>
        <v>6687</v>
      </c>
      <c r="AM182" s="46" t="n">
        <f aca="false">IF($A182&lt;&gt;$A183,1,0)</f>
        <v>0</v>
      </c>
      <c r="AN182" s="47" t="str">
        <f aca="false">IF($AM182=1,$A182,"")</f>
        <v/>
      </c>
    </row>
    <row r="183" customFormat="false" ht="15" hidden="false" customHeight="false" outlineLevel="0" collapsed="false">
      <c r="A183" s="43" t="s">
        <v>130</v>
      </c>
      <c r="B183" s="44" t="s">
        <v>132</v>
      </c>
      <c r="C183" s="45" t="n">
        <v>46154</v>
      </c>
      <c r="D183" s="46" t="n">
        <v>20260512</v>
      </c>
      <c r="E183" s="47" t="s">
        <v>466</v>
      </c>
      <c r="F183" s="48" t="n">
        <v>6992</v>
      </c>
      <c r="G183" s="48" t="n">
        <v>7265</v>
      </c>
      <c r="H183" s="48" t="n">
        <v>6949</v>
      </c>
      <c r="I183" s="48" t="n">
        <v>7009</v>
      </c>
      <c r="J183" s="48" t="n">
        <v>6963</v>
      </c>
      <c r="K183" s="48" t="n">
        <v>7203</v>
      </c>
      <c r="L183" s="48" t="n">
        <v>49846610</v>
      </c>
      <c r="M183" s="48" t="n">
        <v>349374889490</v>
      </c>
      <c r="N183" s="48" t="n">
        <v>1477</v>
      </c>
      <c r="O183" s="48" t="n">
        <v>27238558</v>
      </c>
      <c r="P183" s="48" t="n">
        <v>21946986</v>
      </c>
      <c r="Q183" s="48" t="n">
        <v>839</v>
      </c>
      <c r="R183" s="48" t="n">
        <v>479</v>
      </c>
      <c r="S183" s="48" t="n">
        <v>22608052</v>
      </c>
      <c r="T183" s="48" t="n">
        <v>27899624</v>
      </c>
      <c r="U183" s="46" t="n">
        <f aca="false">IF($A183=$A182,$U182+1,1)</f>
        <v>179</v>
      </c>
      <c r="V183" s="48" t="n">
        <f aca="false">IF($U183&gt;=MA_SHORT,AVERAGE(INDEX($I$5:$I183,180-MA_SHORT):$I183),"")</f>
        <v>7150.6</v>
      </c>
      <c r="W183" s="48" t="n">
        <f aca="false">IF($U183&gt;=MA_MED,AVERAGE(INDEX($I$5:$I183,180-MA_MED):$I183),"")</f>
        <v>7189.18</v>
      </c>
      <c r="X183" s="48" t="n">
        <f aca="false">IF($U183&gt;=MA_LONG1,AVERAGE(INDEX($I$5:$I183,180-MA_LONG1):$I183),"")</f>
        <v>6933.96</v>
      </c>
      <c r="Y183" s="48" t="str">
        <f aca="false">IF($U183&gt;=MA_LONG2,AVERAGE(INDEX($I$5:$I183,180-MA_LONG2):$I183),"")</f>
        <v/>
      </c>
      <c r="Z183" s="48" t="n">
        <f aca="false">IF($U183&gt;=MA_SHORT,AVERAGE(INDEX($L$63:$L183,122-MA_SHORT):$L183),"")</f>
        <v>58618863.65</v>
      </c>
      <c r="AA183" s="48" t="n">
        <f aca="false">IF($U183=1,$G183-$H183,MAX($G183-$H183,ABS($G183-$I182),ABS($H183-$I182)))</f>
        <v>316</v>
      </c>
      <c r="AB183" s="48" t="n">
        <f aca="false">IF($U183&gt;=ATR_PER,AVERAGE(INDEX($AA$63:$AA183,122-ATR_PER):$AA183),"")</f>
        <v>283.928571428571</v>
      </c>
      <c r="AC183" s="48" t="n">
        <f aca="false">$O183-$P183</f>
        <v>5291572</v>
      </c>
      <c r="AD183" s="48" t="n">
        <f aca="false">$AC183*$I183</f>
        <v>37088628148</v>
      </c>
      <c r="AE183" s="49" t="n">
        <f aca="false">IF($Q183&gt;0,$O183*$I183/$Q183/1000000,"")</f>
        <v>227.550718738975</v>
      </c>
      <c r="AF183" s="49" t="n">
        <f aca="false">IF($R183&gt;0,$P183*$I183/$R183/1000000,"")</f>
        <v>321.140761741127</v>
      </c>
      <c r="AG183" s="50" t="n">
        <f aca="false">IF(AND(ISNUMBER($AE183),ISNUMBER($AF183),$AF183&gt;0),$AE183/$AF183,"")</f>
        <v>0.708570028623163</v>
      </c>
      <c r="AH183" s="48" t="n">
        <f aca="false">IF($U183&gt;=5,SUM(INDEX($AD$153:$AD183,32-5):$AD183),"")</f>
        <v>323625844049</v>
      </c>
      <c r="AI183" s="48" t="n">
        <f aca="false">IF($U183&gt;=STRUCT_S,MAX(INDEX($G$33:$G183,152-STRUCT_S):$G183),"")</f>
        <v>7580</v>
      </c>
      <c r="AJ183" s="48" t="n">
        <f aca="false">IF($U183&gt;=STRUCT_S,MIN(INDEX($H$33:$H183,152-STRUCT_S):$H183),"")</f>
        <v>6792</v>
      </c>
      <c r="AK183" s="48" t="n">
        <f aca="false">IF($U183&gt;=STRUCT_L,MAX(INDEX($G$5:$G183,180-STRUCT_L):$G183),"")</f>
        <v>7732</v>
      </c>
      <c r="AL183" s="48" t="n">
        <f aca="false">IF($U183&gt;=STRUCT_L,MIN(INDEX($H$5:$H183,180-STRUCT_L):$H183),"")</f>
        <v>6687</v>
      </c>
      <c r="AM183" s="46" t="n">
        <f aca="false">IF($A183&lt;&gt;$A184,1,0)</f>
        <v>0</v>
      </c>
      <c r="AN183" s="47" t="str">
        <f aca="false">IF($AM183=1,$A183,"")</f>
        <v/>
      </c>
    </row>
    <row r="184" customFormat="false" ht="15" hidden="false" customHeight="false" outlineLevel="0" collapsed="false">
      <c r="A184" s="43" t="s">
        <v>130</v>
      </c>
      <c r="B184" s="44" t="s">
        <v>132</v>
      </c>
      <c r="C184" s="45" t="n">
        <v>46155</v>
      </c>
      <c r="D184" s="46" t="n">
        <v>20260513</v>
      </c>
      <c r="E184" s="47" t="s">
        <v>467</v>
      </c>
      <c r="F184" s="48" t="n">
        <v>7026</v>
      </c>
      <c r="G184" s="48" t="n">
        <v>7152</v>
      </c>
      <c r="H184" s="48" t="n">
        <v>6916</v>
      </c>
      <c r="I184" s="48" t="n">
        <v>7058</v>
      </c>
      <c r="J184" s="48" t="n">
        <v>6921</v>
      </c>
      <c r="K184" s="48" t="n">
        <v>7009</v>
      </c>
      <c r="L184" s="48" t="n">
        <v>46933575</v>
      </c>
      <c r="M184" s="48" t="n">
        <v>331257172350</v>
      </c>
      <c r="N184" s="48" t="n">
        <v>1073</v>
      </c>
      <c r="O184" s="48" t="n">
        <v>26674602</v>
      </c>
      <c r="P184" s="48" t="n">
        <v>19467891</v>
      </c>
      <c r="Q184" s="48" t="n">
        <v>273</v>
      </c>
      <c r="R184" s="48" t="n">
        <v>494</v>
      </c>
      <c r="S184" s="48" t="n">
        <v>20258973</v>
      </c>
      <c r="T184" s="48" t="n">
        <v>27465684</v>
      </c>
      <c r="U184" s="46" t="n">
        <f aca="false">IF($A184=$A183,$U183+1,1)</f>
        <v>180</v>
      </c>
      <c r="V184" s="48" t="n">
        <f aca="false">IF($U184&gt;=MA_SHORT,AVERAGE(INDEX($I$5:$I184,181-MA_SHORT):$I184),"")</f>
        <v>7143.8</v>
      </c>
      <c r="W184" s="48" t="n">
        <f aca="false">IF($U184&gt;=MA_MED,AVERAGE(INDEX($I$5:$I184,181-MA_MED):$I184),"")</f>
        <v>7188.62</v>
      </c>
      <c r="X184" s="48" t="n">
        <f aca="false">IF($U184&gt;=MA_LONG1,AVERAGE(INDEX($I$5:$I184,181-MA_LONG1):$I184),"")</f>
        <v>6938.93</v>
      </c>
      <c r="Y184" s="48" t="str">
        <f aca="false">IF($U184&gt;=MA_LONG2,AVERAGE(INDEX($I$5:$I184,181-MA_LONG2):$I184),"")</f>
        <v/>
      </c>
      <c r="Z184" s="48" t="n">
        <f aca="false">IF($U184&gt;=MA_SHORT,AVERAGE(INDEX($L$64:$L184,122-MA_SHORT):$L184),"")</f>
        <v>58548418.5</v>
      </c>
      <c r="AA184" s="48" t="n">
        <f aca="false">IF($U184=1,$G184-$H184,MAX($G184-$H184,ABS($G184-$I183),ABS($H184-$I183)))</f>
        <v>236</v>
      </c>
      <c r="AB184" s="48" t="n">
        <f aca="false">IF($U184&gt;=ATR_PER,AVERAGE(INDEX($AA$64:$AA184,122-ATR_PER):$AA184),"")</f>
        <v>277.714285714286</v>
      </c>
      <c r="AC184" s="48" t="n">
        <f aca="false">$O184-$P184</f>
        <v>7206711</v>
      </c>
      <c r="AD184" s="48" t="n">
        <f aca="false">$AC184*$I184</f>
        <v>50864966238</v>
      </c>
      <c r="AE184" s="49" t="n">
        <f aca="false">IF($Q184&gt;0,$O184*$I184/$Q184/1000000,"")</f>
        <v>689.631285406593</v>
      </c>
      <c r="AF184" s="49" t="n">
        <f aca="false">IF($R184&gt;0,$P184*$I184/$R184/1000000,"")</f>
        <v>278.146507445344</v>
      </c>
      <c r="AG184" s="50" t="n">
        <f aca="false">IF(AND(ISNUMBER($AE184),ISNUMBER($AF184),$AF184&gt;0),$AE184/$AF184,"")</f>
        <v>2.47938143009797</v>
      </c>
      <c r="AH184" s="48" t="n">
        <f aca="false">IF($U184&gt;=5,SUM(INDEX($AD$154:$AD184,32-5):$AD184),"")</f>
        <v>311708611698</v>
      </c>
      <c r="AI184" s="48" t="n">
        <f aca="false">IF($U184&gt;=STRUCT_S,MAX(INDEX($G$34:$G184,152-STRUCT_S):$G184),"")</f>
        <v>7580</v>
      </c>
      <c r="AJ184" s="48" t="n">
        <f aca="false">IF($U184&gt;=STRUCT_S,MIN(INDEX($H$34:$H184,152-STRUCT_S):$H184),"")</f>
        <v>6792</v>
      </c>
      <c r="AK184" s="48" t="n">
        <f aca="false">IF($U184&gt;=STRUCT_L,MAX(INDEX($G$5:$G184,181-STRUCT_L):$G184),"")</f>
        <v>7732</v>
      </c>
      <c r="AL184" s="48" t="n">
        <f aca="false">IF($U184&gt;=STRUCT_L,MIN(INDEX($H$5:$H184,181-STRUCT_L):$H184),"")</f>
        <v>6687</v>
      </c>
      <c r="AM184" s="46" t="n">
        <f aca="false">IF($A184&lt;&gt;$A185,1,0)</f>
        <v>0</v>
      </c>
      <c r="AN184" s="47" t="str">
        <f aca="false">IF($AM184=1,$A184,"")</f>
        <v/>
      </c>
    </row>
    <row r="185" customFormat="false" ht="15" hidden="false" customHeight="false" outlineLevel="0" collapsed="false">
      <c r="A185" s="43" t="s">
        <v>130</v>
      </c>
      <c r="B185" s="44" t="s">
        <v>132</v>
      </c>
      <c r="C185" s="45" t="n">
        <v>46158</v>
      </c>
      <c r="D185" s="46" t="n">
        <v>20260516</v>
      </c>
      <c r="E185" s="47" t="s">
        <v>468</v>
      </c>
      <c r="F185" s="48" t="n">
        <v>7042</v>
      </c>
      <c r="G185" s="48" t="n">
        <v>7132</v>
      </c>
      <c r="H185" s="48" t="n">
        <v>6939</v>
      </c>
      <c r="I185" s="48" t="n">
        <v>7013</v>
      </c>
      <c r="J185" s="48" t="n">
        <v>7038</v>
      </c>
      <c r="K185" s="48" t="n">
        <v>7058</v>
      </c>
      <c r="L185" s="48" t="n">
        <v>44553628</v>
      </c>
      <c r="M185" s="48" t="n">
        <v>312454593164</v>
      </c>
      <c r="N185" s="48" t="n">
        <v>1549</v>
      </c>
      <c r="O185" s="48" t="n">
        <v>27692205</v>
      </c>
      <c r="P185" s="48" t="n">
        <v>18885346</v>
      </c>
      <c r="Q185" s="48" t="n">
        <v>830</v>
      </c>
      <c r="R185" s="48" t="n">
        <v>400</v>
      </c>
      <c r="S185" s="48" t="n">
        <v>16861423</v>
      </c>
      <c r="T185" s="48" t="n">
        <v>25668282</v>
      </c>
      <c r="U185" s="46" t="n">
        <f aca="false">IF($A185=$A184,$U184+1,1)</f>
        <v>181</v>
      </c>
      <c r="V185" s="48" t="n">
        <f aca="false">IF($U185&gt;=MA_SHORT,AVERAGE(INDEX($I$5:$I185,182-MA_SHORT):$I185),"")</f>
        <v>7133.4</v>
      </c>
      <c r="W185" s="48" t="n">
        <f aca="false">IF($U185&gt;=MA_MED,AVERAGE(INDEX($I$5:$I185,182-MA_MED):$I185),"")</f>
        <v>7188.12</v>
      </c>
      <c r="X185" s="48" t="n">
        <f aca="false">IF($U185&gt;=MA_LONG1,AVERAGE(INDEX($I$5:$I185,182-MA_LONG1):$I185),"")</f>
        <v>6942.23</v>
      </c>
      <c r="Y185" s="48" t="str">
        <f aca="false">IF($U185&gt;=MA_LONG2,AVERAGE(INDEX($I$5:$I185,182-MA_LONG2):$I185),"")</f>
        <v/>
      </c>
      <c r="Z185" s="48" t="n">
        <f aca="false">IF($U185&gt;=MA_SHORT,AVERAGE(INDEX($L$65:$L185,122-MA_SHORT):$L185),"")</f>
        <v>58194332</v>
      </c>
      <c r="AA185" s="48" t="n">
        <f aca="false">IF($U185=1,$G185-$H185,MAX($G185-$H185,ABS($G185-$I184),ABS($H185-$I184)))</f>
        <v>193</v>
      </c>
      <c r="AB185" s="48" t="n">
        <f aca="false">IF($U185&gt;=ATR_PER,AVERAGE(INDEX($AA$65:$AA185,122-ATR_PER):$AA185),"")</f>
        <v>281.571428571429</v>
      </c>
      <c r="AC185" s="48" t="n">
        <f aca="false">$O185-$P185</f>
        <v>8806859</v>
      </c>
      <c r="AD185" s="48" t="n">
        <f aca="false">$AC185*$I185</f>
        <v>61762502167</v>
      </c>
      <c r="AE185" s="49" t="n">
        <f aca="false">IF($Q185&gt;0,$O185*$I185/$Q185/1000000,"")</f>
        <v>233.982450198795</v>
      </c>
      <c r="AF185" s="49" t="n">
        <f aca="false">IF($R185&gt;0,$P185*$I185/$R185/1000000,"")</f>
        <v>331.107328745</v>
      </c>
      <c r="AG185" s="50" t="n">
        <f aca="false">IF(AND(ISNUMBER($AE185),ISNUMBER($AF185),$AF185&gt;0),$AE185/$AF185,"")</f>
        <v>0.706666479070885</v>
      </c>
      <c r="AH185" s="48" t="n">
        <f aca="false">IF($U185&gt;=5,SUM(INDEX($AD$155:$AD185,32-5):$AD185),"")</f>
        <v>201953071234</v>
      </c>
      <c r="AI185" s="48" t="n">
        <f aca="false">IF($U185&gt;=STRUCT_S,MAX(INDEX($G$35:$G185,152-STRUCT_S):$G185),"")</f>
        <v>7580</v>
      </c>
      <c r="AJ185" s="48" t="n">
        <f aca="false">IF($U185&gt;=STRUCT_S,MIN(INDEX($H$35:$H185,152-STRUCT_S):$H185),"")</f>
        <v>6792</v>
      </c>
      <c r="AK185" s="48" t="n">
        <f aca="false">IF($U185&gt;=STRUCT_L,MAX(INDEX($G$5:$G185,182-STRUCT_L):$G185),"")</f>
        <v>7732</v>
      </c>
      <c r="AL185" s="48" t="n">
        <f aca="false">IF($U185&gt;=STRUCT_L,MIN(INDEX($H$5:$H185,182-STRUCT_L):$H185),"")</f>
        <v>6687</v>
      </c>
      <c r="AM185" s="46" t="n">
        <f aca="false">IF($A185&lt;&gt;$A186,1,0)</f>
        <v>0</v>
      </c>
      <c r="AN185" s="47" t="str">
        <f aca="false">IF($AM185=1,$A185,"")</f>
        <v/>
      </c>
    </row>
    <row r="186" customFormat="false" ht="15" hidden="false" customHeight="false" outlineLevel="0" collapsed="false">
      <c r="A186" s="43" t="s">
        <v>130</v>
      </c>
      <c r="B186" s="44" t="s">
        <v>132</v>
      </c>
      <c r="C186" s="45" t="n">
        <v>46159</v>
      </c>
      <c r="D186" s="46" t="n">
        <v>20260517</v>
      </c>
      <c r="E186" s="47" t="s">
        <v>469</v>
      </c>
      <c r="F186" s="48" t="n">
        <v>7066</v>
      </c>
      <c r="G186" s="48" t="n">
        <v>7101</v>
      </c>
      <c r="H186" s="48" t="n">
        <v>6806</v>
      </c>
      <c r="I186" s="48" t="n">
        <v>6893</v>
      </c>
      <c r="J186" s="48" t="n">
        <v>7098</v>
      </c>
      <c r="K186" s="48" t="n">
        <v>7013</v>
      </c>
      <c r="L186" s="48" t="n">
        <v>47317680</v>
      </c>
      <c r="M186" s="48" t="n">
        <v>326160768240</v>
      </c>
      <c r="N186" s="48" t="n">
        <v>2314</v>
      </c>
      <c r="O186" s="48" t="n">
        <v>27190686</v>
      </c>
      <c r="P186" s="48" t="n">
        <v>22469586</v>
      </c>
      <c r="Q186" s="48" t="n">
        <v>1257</v>
      </c>
      <c r="R186" s="48" t="n">
        <v>800</v>
      </c>
      <c r="S186" s="48" t="n">
        <v>20126994</v>
      </c>
      <c r="T186" s="48" t="n">
        <v>24848094</v>
      </c>
      <c r="U186" s="46" t="n">
        <f aca="false">IF($A186=$A185,$U185+1,1)</f>
        <v>182</v>
      </c>
      <c r="V186" s="48" t="n">
        <f aca="false">IF($U186&gt;=MA_SHORT,AVERAGE(INDEX($I$5:$I186,183-MA_SHORT):$I186),"")</f>
        <v>7119.7</v>
      </c>
      <c r="W186" s="48" t="n">
        <f aca="false">IF($U186&gt;=MA_MED,AVERAGE(INDEX($I$5:$I186,183-MA_MED):$I186),"")</f>
        <v>7187.36</v>
      </c>
      <c r="X186" s="48" t="n">
        <f aca="false">IF($U186&gt;=MA_LONG1,AVERAGE(INDEX($I$5:$I186,183-MA_LONG1):$I186),"")</f>
        <v>6943.59</v>
      </c>
      <c r="Y186" s="48" t="str">
        <f aca="false">IF($U186&gt;=MA_LONG2,AVERAGE(INDEX($I$5:$I186,183-MA_LONG2):$I186),"")</f>
        <v/>
      </c>
      <c r="Z186" s="48" t="n">
        <f aca="false">IF($U186&gt;=MA_SHORT,AVERAGE(INDEX($L$66:$L186,122-MA_SHORT):$L186),"")</f>
        <v>58165224.05</v>
      </c>
      <c r="AA186" s="48" t="n">
        <f aca="false">IF($U186=1,$G186-$H186,MAX($G186-$H186,ABS($G186-$I185),ABS($H186-$I185)))</f>
        <v>295</v>
      </c>
      <c r="AB186" s="48" t="n">
        <f aca="false">IF($U186&gt;=ATR_PER,AVERAGE(INDEX($AA$66:$AA186,122-ATR_PER):$AA186),"")</f>
        <v>273.071428571429</v>
      </c>
      <c r="AC186" s="48" t="n">
        <f aca="false">$O186-$P186</f>
        <v>4721100</v>
      </c>
      <c r="AD186" s="48" t="n">
        <f aca="false">$AC186*$I186</f>
        <v>32542542300</v>
      </c>
      <c r="AE186" s="49" t="n">
        <f aca="false">IF($Q186&gt;0,$O186*$I186/$Q186/1000000,"")</f>
        <v>149.1053290358</v>
      </c>
      <c r="AF186" s="49" t="n">
        <f aca="false">IF($R186&gt;0,$P186*$I186/$R186/1000000,"")</f>
        <v>193.6035703725</v>
      </c>
      <c r="AG186" s="50" t="n">
        <f aca="false">IF(AND(ISNUMBER($AE186),ISNUMBER($AF186),$AF186&gt;0),$AE186/$AF186,"")</f>
        <v>0.770157950852434</v>
      </c>
      <c r="AH186" s="48" t="n">
        <f aca="false">IF($U186&gt;=5,SUM(INDEX($AD$156:$AD186,32-5):$AD186),"")</f>
        <v>275357320214</v>
      </c>
      <c r="AI186" s="48" t="n">
        <f aca="false">IF($U186&gt;=STRUCT_S,MAX(INDEX($G$36:$G186,152-STRUCT_S):$G186),"")</f>
        <v>7580</v>
      </c>
      <c r="AJ186" s="48" t="n">
        <f aca="false">IF($U186&gt;=STRUCT_S,MIN(INDEX($H$36:$H186,152-STRUCT_S):$H186),"")</f>
        <v>6792</v>
      </c>
      <c r="AK186" s="48" t="n">
        <f aca="false">IF($U186&gt;=STRUCT_L,MAX(INDEX($G$5:$G186,183-STRUCT_L):$G186),"")</f>
        <v>7732</v>
      </c>
      <c r="AL186" s="48" t="n">
        <f aca="false">IF($U186&gt;=STRUCT_L,MIN(INDEX($H$5:$H186,183-STRUCT_L):$H186),"")</f>
        <v>6687</v>
      </c>
      <c r="AM186" s="46" t="n">
        <f aca="false">IF($A186&lt;&gt;$A187,1,0)</f>
        <v>0</v>
      </c>
      <c r="AN186" s="47" t="str">
        <f aca="false">IF($AM186=1,$A186,"")</f>
        <v/>
      </c>
    </row>
    <row r="187" customFormat="false" ht="15" hidden="false" customHeight="false" outlineLevel="0" collapsed="false">
      <c r="A187" s="43" t="s">
        <v>130</v>
      </c>
      <c r="B187" s="44" t="s">
        <v>132</v>
      </c>
      <c r="C187" s="45" t="n">
        <v>46160</v>
      </c>
      <c r="D187" s="46" t="n">
        <v>20260518</v>
      </c>
      <c r="E187" s="47" t="s">
        <v>470</v>
      </c>
      <c r="F187" s="48" t="n">
        <v>6658</v>
      </c>
      <c r="G187" s="48" t="n">
        <v>6987</v>
      </c>
      <c r="H187" s="48" t="n">
        <v>6651</v>
      </c>
      <c r="I187" s="48" t="n">
        <v>6743</v>
      </c>
      <c r="J187" s="48" t="n">
        <v>6808</v>
      </c>
      <c r="K187" s="48" t="n">
        <v>6893</v>
      </c>
      <c r="L187" s="48" t="n">
        <v>54537047</v>
      </c>
      <c r="M187" s="48" t="n">
        <v>367743307921</v>
      </c>
      <c r="N187" s="48" t="n">
        <v>2416</v>
      </c>
      <c r="O187" s="48" t="n">
        <v>27827493</v>
      </c>
      <c r="P187" s="48" t="n">
        <v>26135670</v>
      </c>
      <c r="Q187" s="48" t="n">
        <v>1252</v>
      </c>
      <c r="R187" s="48" t="n">
        <v>729</v>
      </c>
      <c r="S187" s="48" t="n">
        <v>26709554</v>
      </c>
      <c r="T187" s="48" t="n">
        <v>28401377</v>
      </c>
      <c r="U187" s="46" t="n">
        <f aca="false">IF($A187=$A186,$U186+1,1)</f>
        <v>183</v>
      </c>
      <c r="V187" s="48" t="n">
        <f aca="false">IF($U187&gt;=MA_SHORT,AVERAGE(INDEX($I$5:$I187,184-MA_SHORT):$I187),"")</f>
        <v>7103.05</v>
      </c>
      <c r="W187" s="48" t="n">
        <f aca="false">IF($U187&gt;=MA_MED,AVERAGE(INDEX($I$5:$I187,184-MA_MED):$I187),"")</f>
        <v>7186.18</v>
      </c>
      <c r="X187" s="48" t="n">
        <f aca="false">IF($U187&gt;=MA_LONG1,AVERAGE(INDEX($I$5:$I187,184-MA_LONG1):$I187),"")</f>
        <v>6944.42</v>
      </c>
      <c r="Y187" s="48" t="str">
        <f aca="false">IF($U187&gt;=MA_LONG2,AVERAGE(INDEX($I$5:$I187,184-MA_LONG2):$I187),"")</f>
        <v/>
      </c>
      <c r="Z187" s="48" t="n">
        <f aca="false">IF($U187&gt;=MA_SHORT,AVERAGE(INDEX($L$67:$L187,122-MA_SHORT):$L187),"")</f>
        <v>58294965.1</v>
      </c>
      <c r="AA187" s="48" t="n">
        <f aca="false">IF($U187=1,$G187-$H187,MAX($G187-$H187,ABS($G187-$I186),ABS($H187-$I186)))</f>
        <v>336</v>
      </c>
      <c r="AB187" s="48" t="n">
        <f aca="false">IF($U187&gt;=ATR_PER,AVERAGE(INDEX($AA$67:$AA187,122-ATR_PER):$AA187),"")</f>
        <v>273.857142857143</v>
      </c>
      <c r="AC187" s="48" t="n">
        <f aca="false">$O187-$P187</f>
        <v>1691823</v>
      </c>
      <c r="AD187" s="48" t="n">
        <f aca="false">$AC187*$I187</f>
        <v>11407962489</v>
      </c>
      <c r="AE187" s="49" t="n">
        <f aca="false">IF($Q187&gt;0,$O187*$I187/$Q187/1000000,"")</f>
        <v>149.872831708466</v>
      </c>
      <c r="AF187" s="49" t="n">
        <f aca="false">IF($R187&gt;0,$P187*$I187/$R187/1000000,"")</f>
        <v>241.745984650206</v>
      </c>
      <c r="AG187" s="50" t="n">
        <f aca="false">IF(AND(ISNUMBER($AE187),ISNUMBER($AF187),$AF187&gt;0),$AE187/$AF187,"")</f>
        <v>0.619959963038579</v>
      </c>
      <c r="AH187" s="48" t="n">
        <f aca="false">IF($U187&gt;=5,SUM(INDEX($AD$157:$AD187,32-5):$AD187),"")</f>
        <v>193666601342</v>
      </c>
      <c r="AI187" s="48" t="n">
        <f aca="false">IF($U187&gt;=STRUCT_S,MAX(INDEX($G$37:$G187,152-STRUCT_S):$G187),"")</f>
        <v>7580</v>
      </c>
      <c r="AJ187" s="48" t="n">
        <f aca="false">IF($U187&gt;=STRUCT_S,MIN(INDEX($H$37:$H187,152-STRUCT_S):$H187),"")</f>
        <v>6651</v>
      </c>
      <c r="AK187" s="48" t="n">
        <f aca="false">IF($U187&gt;=STRUCT_L,MAX(INDEX($G$5:$G187,184-STRUCT_L):$G187),"")</f>
        <v>7732</v>
      </c>
      <c r="AL187" s="48" t="n">
        <f aca="false">IF($U187&gt;=STRUCT_L,MIN(INDEX($H$5:$H187,184-STRUCT_L):$H187),"")</f>
        <v>6651</v>
      </c>
      <c r="AM187" s="46" t="n">
        <f aca="false">IF($A187&lt;&gt;$A188,1,0)</f>
        <v>0</v>
      </c>
      <c r="AN187" s="47" t="str">
        <f aca="false">IF($AM187=1,$A187,"")</f>
        <v/>
      </c>
    </row>
    <row r="188" customFormat="false" ht="15" hidden="false" customHeight="false" outlineLevel="0" collapsed="false">
      <c r="A188" s="43" t="s">
        <v>130</v>
      </c>
      <c r="B188" s="44" t="s">
        <v>132</v>
      </c>
      <c r="C188" s="45" t="n">
        <v>46161</v>
      </c>
      <c r="D188" s="46" t="n">
        <v>20260519</v>
      </c>
      <c r="E188" s="47" t="s">
        <v>471</v>
      </c>
      <c r="F188" s="48" t="n">
        <v>6685</v>
      </c>
      <c r="G188" s="48" t="n">
        <v>6951</v>
      </c>
      <c r="H188" s="48" t="n">
        <v>6639</v>
      </c>
      <c r="I188" s="48" t="n">
        <v>6846</v>
      </c>
      <c r="J188" s="48" t="n">
        <v>6893</v>
      </c>
      <c r="K188" s="48" t="n">
        <v>6743</v>
      </c>
      <c r="L188" s="48" t="n">
        <v>46844966</v>
      </c>
      <c r="M188" s="48" t="n">
        <v>320700637236</v>
      </c>
      <c r="N188" s="48" t="n">
        <v>4510</v>
      </c>
      <c r="O188" s="48" t="n">
        <v>32089257</v>
      </c>
      <c r="P188" s="48" t="n">
        <v>15927972</v>
      </c>
      <c r="Q188" s="48" t="n">
        <v>1678</v>
      </c>
      <c r="R188" s="48" t="n">
        <v>2043</v>
      </c>
      <c r="S188" s="48" t="n">
        <v>14755709</v>
      </c>
      <c r="T188" s="48" t="n">
        <v>30916994</v>
      </c>
      <c r="U188" s="46" t="n">
        <f aca="false">IF($A188=$A187,$U187+1,1)</f>
        <v>184</v>
      </c>
      <c r="V188" s="48" t="n">
        <f aca="false">IF($U188&gt;=MA_SHORT,AVERAGE(INDEX($I$5:$I188,185-MA_SHORT):$I188),"")</f>
        <v>7089.5</v>
      </c>
      <c r="W188" s="48" t="n">
        <f aca="false">IF($U188&gt;=MA_MED,AVERAGE(INDEX($I$5:$I188,185-MA_MED):$I188),"")</f>
        <v>7186.74</v>
      </c>
      <c r="X188" s="48" t="n">
        <f aca="false">IF($U188&gt;=MA_LONG1,AVERAGE(INDEX($I$5:$I188,185-MA_LONG1):$I188),"")</f>
        <v>6948.07</v>
      </c>
      <c r="Y188" s="48" t="str">
        <f aca="false">IF($U188&gt;=MA_LONG2,AVERAGE(INDEX($I$5:$I188,185-MA_LONG2):$I188),"")</f>
        <v/>
      </c>
      <c r="Z188" s="48" t="n">
        <f aca="false">IF($U188&gt;=MA_SHORT,AVERAGE(INDEX($L$68:$L188,122-MA_SHORT):$L188),"")</f>
        <v>58397574.85</v>
      </c>
      <c r="AA188" s="48" t="n">
        <f aca="false">IF($U188=1,$G188-$H188,MAX($G188-$H188,ABS($G188-$I187),ABS($H188-$I187)))</f>
        <v>312</v>
      </c>
      <c r="AB188" s="48" t="n">
        <f aca="false">IF($U188&gt;=ATR_PER,AVERAGE(INDEX($AA$68:$AA188,122-ATR_PER):$AA188),"")</f>
        <v>279.785714285714</v>
      </c>
      <c r="AC188" s="48" t="n">
        <f aca="false">$O188-$P188</f>
        <v>16161285</v>
      </c>
      <c r="AD188" s="48" t="n">
        <f aca="false">$AC188*$I188</f>
        <v>110640157110</v>
      </c>
      <c r="AE188" s="49" t="n">
        <f aca="false">IF($Q188&gt;0,$O188*$I188/$Q188/1000000,"")</f>
        <v>130.919578916567</v>
      </c>
      <c r="AF188" s="49" t="n">
        <f aca="false">IF($R188&gt;0,$P188*$I188/$R188/1000000,"")</f>
        <v>53.3739091101322</v>
      </c>
      <c r="AG188" s="50" t="n">
        <f aca="false">IF(AND(ISNUMBER($AE188),ISNUMBER($AF188),$AF188&gt;0),$AE188/$AF188,"")</f>
        <v>2.45287596691535</v>
      </c>
      <c r="AH188" s="48" t="n">
        <f aca="false">IF($U188&gt;=5,SUM(INDEX($AD$158:$AD188,32-5):$AD188),"")</f>
        <v>267218130304</v>
      </c>
      <c r="AI188" s="48" t="n">
        <f aca="false">IF($U188&gt;=STRUCT_S,MAX(INDEX($G$38:$G188,152-STRUCT_S):$G188),"")</f>
        <v>7580</v>
      </c>
      <c r="AJ188" s="48" t="n">
        <f aca="false">IF($U188&gt;=STRUCT_S,MIN(INDEX($H$38:$H188,152-STRUCT_S):$H188),"")</f>
        <v>6639</v>
      </c>
      <c r="AK188" s="48" t="n">
        <f aca="false">IF($U188&gt;=STRUCT_L,MAX(INDEX($G$5:$G188,185-STRUCT_L):$G188),"")</f>
        <v>7732</v>
      </c>
      <c r="AL188" s="48" t="n">
        <f aca="false">IF($U188&gt;=STRUCT_L,MIN(INDEX($H$5:$H188,185-STRUCT_L):$H188),"")</f>
        <v>6639</v>
      </c>
      <c r="AM188" s="46" t="n">
        <f aca="false">IF($A188&lt;&gt;$A189,1,0)</f>
        <v>0</v>
      </c>
      <c r="AN188" s="47" t="str">
        <f aca="false">IF($AM188=1,$A188,"")</f>
        <v/>
      </c>
    </row>
    <row r="189" customFormat="false" ht="15" hidden="false" customHeight="false" outlineLevel="0" collapsed="false">
      <c r="A189" s="43" t="s">
        <v>130</v>
      </c>
      <c r="B189" s="44" t="s">
        <v>132</v>
      </c>
      <c r="C189" s="45" t="n">
        <v>46162</v>
      </c>
      <c r="D189" s="46" t="n">
        <v>20260520</v>
      </c>
      <c r="E189" s="47" t="s">
        <v>472</v>
      </c>
      <c r="F189" s="48" t="n">
        <v>6889</v>
      </c>
      <c r="G189" s="48" t="n">
        <v>6925</v>
      </c>
      <c r="H189" s="48" t="n">
        <v>6719</v>
      </c>
      <c r="I189" s="48" t="n">
        <v>6797</v>
      </c>
      <c r="J189" s="48" t="n">
        <v>6833</v>
      </c>
      <c r="K189" s="48" t="n">
        <v>6846</v>
      </c>
      <c r="L189" s="48" t="n">
        <v>53344817</v>
      </c>
      <c r="M189" s="48" t="n">
        <v>362584721149</v>
      </c>
      <c r="N189" s="48" t="n">
        <v>1687</v>
      </c>
      <c r="O189" s="48" t="n">
        <v>28191280</v>
      </c>
      <c r="P189" s="48" t="n">
        <v>24206549</v>
      </c>
      <c r="Q189" s="48" t="n">
        <v>912</v>
      </c>
      <c r="R189" s="48" t="n">
        <v>655</v>
      </c>
      <c r="S189" s="48" t="n">
        <v>25153537</v>
      </c>
      <c r="T189" s="48" t="n">
        <v>29138268</v>
      </c>
      <c r="U189" s="46" t="n">
        <f aca="false">IF($A189=$A188,$U188+1,1)</f>
        <v>185</v>
      </c>
      <c r="V189" s="48" t="n">
        <f aca="false">IF($U189&gt;=MA_SHORT,AVERAGE(INDEX($I$5:$I189,186-MA_SHORT):$I189),"")</f>
        <v>7076.15</v>
      </c>
      <c r="W189" s="48" t="n">
        <f aca="false">IF($U189&gt;=MA_MED,AVERAGE(INDEX($I$5:$I189,186-MA_MED):$I189),"")</f>
        <v>7185.46</v>
      </c>
      <c r="X189" s="48" t="n">
        <f aca="false">IF($U189&gt;=MA_LONG1,AVERAGE(INDEX($I$5:$I189,186-MA_LONG1):$I189),"")</f>
        <v>6950.73</v>
      </c>
      <c r="Y189" s="48" t="str">
        <f aca="false">IF($U189&gt;=MA_LONG2,AVERAGE(INDEX($I$5:$I189,186-MA_LONG2):$I189),"")</f>
        <v/>
      </c>
      <c r="Z189" s="48" t="n">
        <f aca="false">IF($U189&gt;=MA_SHORT,AVERAGE(INDEX($L$69:$L189,122-MA_SHORT):$L189),"")</f>
        <v>58251049.25</v>
      </c>
      <c r="AA189" s="48" t="n">
        <f aca="false">IF($U189=1,$G189-$H189,MAX($G189-$H189,ABS($G189-$I188),ABS($H189-$I188)))</f>
        <v>206</v>
      </c>
      <c r="AB189" s="48" t="n">
        <f aca="false">IF($U189&gt;=ATR_PER,AVERAGE(INDEX($AA$69:$AA189,122-ATR_PER):$AA189),"")</f>
        <v>269.428571428571</v>
      </c>
      <c r="AC189" s="48" t="n">
        <f aca="false">$O189-$P189</f>
        <v>3984731</v>
      </c>
      <c r="AD189" s="48" t="n">
        <f aca="false">$AC189*$I189</f>
        <v>27084216607</v>
      </c>
      <c r="AE189" s="49" t="n">
        <f aca="false">IF($Q189&gt;0,$O189*$I189/$Q189/1000000,"")</f>
        <v>210.105405877193</v>
      </c>
      <c r="AF189" s="49" t="n">
        <f aca="false">IF($R189&gt;0,$P189*$I189/$R189/1000000,"")</f>
        <v>251.193761149618</v>
      </c>
      <c r="AG189" s="50" t="n">
        <f aca="false">IF(AND(ISNUMBER($AE189),ISNUMBER($AF189),$AF189&gt;0),$AE189/$AF189,"")</f>
        <v>0.8364276442043</v>
      </c>
      <c r="AH189" s="48" t="n">
        <f aca="false">IF($U189&gt;=5,SUM(INDEX($AD$159:$AD189,32-5):$AD189),"")</f>
        <v>243437380673</v>
      </c>
      <c r="AI189" s="48" t="n">
        <f aca="false">IF($U189&gt;=STRUCT_S,MAX(INDEX($G$39:$G189,152-STRUCT_S):$G189),"")</f>
        <v>7580</v>
      </c>
      <c r="AJ189" s="48" t="n">
        <f aca="false">IF($U189&gt;=STRUCT_S,MIN(INDEX($H$39:$H189,152-STRUCT_S):$H189),"")</f>
        <v>6639</v>
      </c>
      <c r="AK189" s="48" t="n">
        <f aca="false">IF($U189&gt;=STRUCT_L,MAX(INDEX($G$5:$G189,186-STRUCT_L):$G189),"")</f>
        <v>7732</v>
      </c>
      <c r="AL189" s="48" t="n">
        <f aca="false">IF($U189&gt;=STRUCT_L,MIN(INDEX($H$5:$H189,186-STRUCT_L):$H189),"")</f>
        <v>6639</v>
      </c>
      <c r="AM189" s="46" t="n">
        <f aca="false">IF($A189&lt;&gt;$A190,1,0)</f>
        <v>0</v>
      </c>
      <c r="AN189" s="47" t="str">
        <f aca="false">IF($AM189=1,$A189,"")</f>
        <v/>
      </c>
    </row>
    <row r="190" customFormat="false" ht="15" hidden="false" customHeight="false" outlineLevel="0" collapsed="false">
      <c r="A190" s="43" t="s">
        <v>130</v>
      </c>
      <c r="B190" s="44" t="s">
        <v>132</v>
      </c>
      <c r="C190" s="45" t="n">
        <v>46165</v>
      </c>
      <c r="D190" s="46" t="n">
        <v>20260523</v>
      </c>
      <c r="E190" s="47" t="s">
        <v>473</v>
      </c>
      <c r="F190" s="48" t="n">
        <v>6761</v>
      </c>
      <c r="G190" s="48" t="n">
        <v>6841</v>
      </c>
      <c r="H190" s="48" t="n">
        <v>6718</v>
      </c>
      <c r="I190" s="48" t="n">
        <v>6762</v>
      </c>
      <c r="J190" s="48" t="n">
        <v>6784</v>
      </c>
      <c r="K190" s="48" t="n">
        <v>6797</v>
      </c>
      <c r="L190" s="48" t="n">
        <v>47683515</v>
      </c>
      <c r="M190" s="48" t="n">
        <v>322435928430</v>
      </c>
      <c r="N190" s="48" t="n">
        <v>1791</v>
      </c>
      <c r="O190" s="48" t="n">
        <v>28640606</v>
      </c>
      <c r="P190" s="48" t="n">
        <v>17347429</v>
      </c>
      <c r="Q190" s="48" t="n">
        <v>991</v>
      </c>
      <c r="R190" s="48" t="n">
        <v>457</v>
      </c>
      <c r="S190" s="48" t="n">
        <v>19042909</v>
      </c>
      <c r="T190" s="48" t="n">
        <v>30336086</v>
      </c>
      <c r="U190" s="46" t="n">
        <f aca="false">IF($A190=$A189,$U189+1,1)</f>
        <v>186</v>
      </c>
      <c r="V190" s="48" t="n">
        <f aca="false">IF($U190&gt;=MA_SHORT,AVERAGE(INDEX($I$5:$I190,187-MA_SHORT):$I190),"")</f>
        <v>7070.65</v>
      </c>
      <c r="W190" s="48" t="n">
        <f aca="false">IF($U190&gt;=MA_MED,AVERAGE(INDEX($I$5:$I190,187-MA_MED):$I190),"")</f>
        <v>7180.6</v>
      </c>
      <c r="X190" s="48" t="n">
        <f aca="false">IF($U190&gt;=MA_LONG1,AVERAGE(INDEX($I$5:$I190,187-MA_LONG1):$I190),"")</f>
        <v>6953.32</v>
      </c>
      <c r="Y190" s="48" t="str">
        <f aca="false">IF($U190&gt;=MA_LONG2,AVERAGE(INDEX($I$5:$I190,187-MA_LONG2):$I190),"")</f>
        <v/>
      </c>
      <c r="Z190" s="48" t="n">
        <f aca="false">IF($U190&gt;=MA_SHORT,AVERAGE(INDEX($L$70:$L190,122-MA_SHORT):$L190),"")</f>
        <v>57195372.15</v>
      </c>
      <c r="AA190" s="48" t="n">
        <f aca="false">IF($U190=1,$G190-$H190,MAX($G190-$H190,ABS($G190-$I189),ABS($H190-$I189)))</f>
        <v>123</v>
      </c>
      <c r="AB190" s="48" t="n">
        <f aca="false">IF($U190&gt;=ATR_PER,AVERAGE(INDEX($AA$70:$AA190,122-ATR_PER):$AA190),"")</f>
        <v>266.357142857143</v>
      </c>
      <c r="AC190" s="48" t="n">
        <f aca="false">$O190-$P190</f>
        <v>11293177</v>
      </c>
      <c r="AD190" s="48" t="n">
        <f aca="false">$AC190*$I190</f>
        <v>76364462874</v>
      </c>
      <c r="AE190" s="49" t="n">
        <f aca="false">IF($Q190&gt;0,$O190*$I190/$Q190/1000000,"")</f>
        <v>195.426617327952</v>
      </c>
      <c r="AF190" s="49" t="n">
        <f aca="false">IF($R190&gt;0,$P190*$I190/$R190/1000000,"")</f>
        <v>256.681214218818</v>
      </c>
      <c r="AG190" s="50" t="n">
        <f aca="false">IF(AND(ISNUMBER($AE190),ISNUMBER($AF190),$AF190&gt;0),$AE190/$AF190,"")</f>
        <v>0.761359252264376</v>
      </c>
      <c r="AH190" s="48" t="n">
        <f aca="false">IF($U190&gt;=5,SUM(INDEX($AD$160:$AD190,32-5):$AD190),"")</f>
        <v>258039341380</v>
      </c>
      <c r="AI190" s="48" t="n">
        <f aca="false">IF($U190&gt;=STRUCT_S,MAX(INDEX($G$40:$G190,152-STRUCT_S):$G190),"")</f>
        <v>7580</v>
      </c>
      <c r="AJ190" s="48" t="n">
        <f aca="false">IF($U190&gt;=STRUCT_S,MIN(INDEX($H$40:$H190,152-STRUCT_S):$H190),"")</f>
        <v>6639</v>
      </c>
      <c r="AK190" s="48" t="n">
        <f aca="false">IF($U190&gt;=STRUCT_L,MAX(INDEX($G$5:$G190,187-STRUCT_L):$G190),"")</f>
        <v>7732</v>
      </c>
      <c r="AL190" s="48" t="n">
        <f aca="false">IF($U190&gt;=STRUCT_L,MIN(INDEX($H$5:$H190,187-STRUCT_L):$H190),"")</f>
        <v>6639</v>
      </c>
      <c r="AM190" s="46" t="n">
        <f aca="false">IF($A190&lt;&gt;$A191,1,0)</f>
        <v>0</v>
      </c>
      <c r="AN190" s="47" t="str">
        <f aca="false">IF($AM190=1,$A190,"")</f>
        <v/>
      </c>
    </row>
    <row r="191" customFormat="false" ht="15" hidden="false" customHeight="false" outlineLevel="0" collapsed="false">
      <c r="A191" s="43" t="s">
        <v>130</v>
      </c>
      <c r="B191" s="44" t="s">
        <v>132</v>
      </c>
      <c r="C191" s="45" t="n">
        <v>46166</v>
      </c>
      <c r="D191" s="46" t="n">
        <v>20260524</v>
      </c>
      <c r="E191" s="47" t="s">
        <v>474</v>
      </c>
      <c r="F191" s="48" t="n">
        <v>6881</v>
      </c>
      <c r="G191" s="48" t="n">
        <v>6946</v>
      </c>
      <c r="H191" s="48" t="n">
        <v>6732</v>
      </c>
      <c r="I191" s="48" t="n">
        <v>6915</v>
      </c>
      <c r="J191" s="48" t="n">
        <v>6874</v>
      </c>
      <c r="K191" s="48" t="n">
        <v>6762</v>
      </c>
      <c r="L191" s="48" t="n">
        <v>71169087</v>
      </c>
      <c r="M191" s="48" t="n">
        <v>492134236605</v>
      </c>
      <c r="N191" s="48" t="n">
        <v>1602</v>
      </c>
      <c r="O191" s="48" t="n">
        <v>46062478</v>
      </c>
      <c r="P191" s="48" t="n">
        <v>25188058</v>
      </c>
      <c r="Q191" s="48" t="n">
        <v>442</v>
      </c>
      <c r="R191" s="48" t="n">
        <v>958</v>
      </c>
      <c r="S191" s="48" t="n">
        <v>25106609</v>
      </c>
      <c r="T191" s="48" t="n">
        <v>45981029</v>
      </c>
      <c r="U191" s="46" t="n">
        <f aca="false">IF($A191=$A190,$U190+1,1)</f>
        <v>187</v>
      </c>
      <c r="V191" s="48" t="n">
        <f aca="false">IF($U191&gt;=MA_SHORT,AVERAGE(INDEX($I$5:$I191,188-MA_SHORT):$I191),"")</f>
        <v>7070.45</v>
      </c>
      <c r="W191" s="48" t="n">
        <f aca="false">IF($U191&gt;=MA_MED,AVERAGE(INDEX($I$5:$I191,188-MA_MED):$I191),"")</f>
        <v>7179</v>
      </c>
      <c r="X191" s="48" t="n">
        <f aca="false">IF($U191&gt;=MA_LONG1,AVERAGE(INDEX($I$5:$I191,188-MA_LONG1):$I191),"")</f>
        <v>6958.67</v>
      </c>
      <c r="Y191" s="48" t="str">
        <f aca="false">IF($U191&gt;=MA_LONG2,AVERAGE(INDEX($I$5:$I191,188-MA_LONG2):$I191),"")</f>
        <v/>
      </c>
      <c r="Z191" s="48" t="n">
        <f aca="false">IF($U191&gt;=MA_SHORT,AVERAGE(INDEX($L$71:$L191,122-MA_SHORT):$L191),"")</f>
        <v>56794379.7</v>
      </c>
      <c r="AA191" s="48" t="n">
        <f aca="false">IF($U191=1,$G191-$H191,MAX($G191-$H191,ABS($G191-$I190),ABS($H191-$I190)))</f>
        <v>214</v>
      </c>
      <c r="AB191" s="48" t="n">
        <f aca="false">IF($U191&gt;=ATR_PER,AVERAGE(INDEX($AA$71:$AA191,122-ATR_PER):$AA191),"")</f>
        <v>270.071428571429</v>
      </c>
      <c r="AC191" s="48" t="n">
        <f aca="false">$O191-$P191</f>
        <v>20874420</v>
      </c>
      <c r="AD191" s="48" t="n">
        <f aca="false">$AC191*$I191</f>
        <v>144346614300</v>
      </c>
      <c r="AE191" s="49" t="n">
        <f aca="false">IF($Q191&gt;0,$O191*$I191/$Q191/1000000,"")</f>
        <v>720.638089072398</v>
      </c>
      <c r="AF191" s="49" t="n">
        <f aca="false">IF($R191&gt;0,$P191*$I191/$R191/1000000,"")</f>
        <v>181.811504248434</v>
      </c>
      <c r="AG191" s="50" t="n">
        <f aca="false">IF(AND(ISNUMBER($AE191),ISNUMBER($AF191),$AF191&gt;0),$AE191/$AF191,"")</f>
        <v>3.9636550616054</v>
      </c>
      <c r="AH191" s="48" t="n">
        <f aca="false">IF($U191&gt;=5,SUM(INDEX($AD$161:$AD191,32-5):$AD191),"")</f>
        <v>369843413380</v>
      </c>
      <c r="AI191" s="48" t="n">
        <f aca="false">IF($U191&gt;=STRUCT_S,MAX(INDEX($G$41:$G191,152-STRUCT_S):$G191),"")</f>
        <v>7580</v>
      </c>
      <c r="AJ191" s="48" t="n">
        <f aca="false">IF($U191&gt;=STRUCT_S,MIN(INDEX($H$41:$H191,152-STRUCT_S):$H191),"")</f>
        <v>6639</v>
      </c>
      <c r="AK191" s="48" t="n">
        <f aca="false">IF($U191&gt;=STRUCT_L,MAX(INDEX($G$5:$G191,188-STRUCT_L):$G191),"")</f>
        <v>7732</v>
      </c>
      <c r="AL191" s="48" t="n">
        <f aca="false">IF($U191&gt;=STRUCT_L,MIN(INDEX($H$5:$H191,188-STRUCT_L):$H191),"")</f>
        <v>6639</v>
      </c>
      <c r="AM191" s="46" t="n">
        <f aca="false">IF($A191&lt;&gt;$A192,1,0)</f>
        <v>0</v>
      </c>
      <c r="AN191" s="47" t="str">
        <f aca="false">IF($AM191=1,$A191,"")</f>
        <v/>
      </c>
    </row>
    <row r="192" customFormat="false" ht="15" hidden="false" customHeight="false" outlineLevel="0" collapsed="false">
      <c r="A192" s="43" t="s">
        <v>130</v>
      </c>
      <c r="B192" s="44" t="s">
        <v>132</v>
      </c>
      <c r="C192" s="45" t="n">
        <v>46167</v>
      </c>
      <c r="D192" s="46" t="n">
        <v>20260525</v>
      </c>
      <c r="E192" s="47" t="s">
        <v>475</v>
      </c>
      <c r="F192" s="48" t="n">
        <v>6926</v>
      </c>
      <c r="G192" s="48" t="n">
        <v>6962</v>
      </c>
      <c r="H192" s="48" t="n">
        <v>6862</v>
      </c>
      <c r="I192" s="48" t="n">
        <v>6909</v>
      </c>
      <c r="J192" s="48" t="n">
        <v>6891</v>
      </c>
      <c r="K192" s="48" t="n">
        <v>6915</v>
      </c>
      <c r="L192" s="48" t="n">
        <v>43135454</v>
      </c>
      <c r="M192" s="48" t="n">
        <v>298022851686</v>
      </c>
      <c r="N192" s="48" t="n">
        <v>2430</v>
      </c>
      <c r="O192" s="48" t="n">
        <v>29052393</v>
      </c>
      <c r="P192" s="48" t="n">
        <v>14236537</v>
      </c>
      <c r="Q192" s="48" t="n">
        <v>983</v>
      </c>
      <c r="R192" s="48" t="n">
        <v>899</v>
      </c>
      <c r="S192" s="48" t="n">
        <v>14083061</v>
      </c>
      <c r="T192" s="48" t="n">
        <v>28898917</v>
      </c>
      <c r="U192" s="46" t="n">
        <f aca="false">IF($A192=$A191,$U191+1,1)</f>
        <v>188</v>
      </c>
      <c r="V192" s="48" t="n">
        <f aca="false">IF($U192&gt;=MA_SHORT,AVERAGE(INDEX($I$5:$I192,189-MA_SHORT):$I192),"")</f>
        <v>7062.1</v>
      </c>
      <c r="W192" s="48" t="n">
        <f aca="false">IF($U192&gt;=MA_MED,AVERAGE(INDEX($I$5:$I192,189-MA_MED):$I192),"")</f>
        <v>7172.94</v>
      </c>
      <c r="X192" s="48" t="n">
        <f aca="false">IF($U192&gt;=MA_LONG1,AVERAGE(INDEX($I$5:$I192,189-MA_LONG1):$I192),"")</f>
        <v>6964.74</v>
      </c>
      <c r="Y192" s="48" t="str">
        <f aca="false">IF($U192&gt;=MA_LONG2,AVERAGE(INDEX($I$5:$I192,189-MA_LONG2):$I192),"")</f>
        <v/>
      </c>
      <c r="Z192" s="48" t="n">
        <f aca="false">IF($U192&gt;=MA_SHORT,AVERAGE(INDEX($L$72:$L192,122-MA_SHORT):$L192),"")</f>
        <v>56513432.85</v>
      </c>
      <c r="AA192" s="48" t="n">
        <f aca="false">IF($U192=1,$G192-$H192,MAX($G192-$H192,ABS($G192-$I191),ABS($H192-$I191)))</f>
        <v>100</v>
      </c>
      <c r="AB192" s="48" t="n">
        <f aca="false">IF($U192&gt;=ATR_PER,AVERAGE(INDEX($AA$72:$AA192,122-ATR_PER):$AA192),"")</f>
        <v>259.785714285714</v>
      </c>
      <c r="AC192" s="48" t="n">
        <f aca="false">$O192-$P192</f>
        <v>14815856</v>
      </c>
      <c r="AD192" s="48" t="n">
        <f aca="false">$AC192*$I192</f>
        <v>102362749104</v>
      </c>
      <c r="AE192" s="49" t="n">
        <f aca="false">IF($Q192&gt;0,$O192*$I192/$Q192/1000000,"")</f>
        <v>204.194286100712</v>
      </c>
      <c r="AF192" s="49" t="n">
        <f aca="false">IF($R192&gt;0,$P192*$I192/$R192/1000000,"")</f>
        <v>109.410716499444</v>
      </c>
      <c r="AG192" s="50" t="n">
        <f aca="false">IF(AND(ISNUMBER($AE192),ISNUMBER($AF192),$AF192&gt;0),$AE192/$AF192,"")</f>
        <v>1.86630974217</v>
      </c>
      <c r="AH192" s="48" t="n">
        <f aca="false">IF($U192&gt;=5,SUM(INDEX($AD$162:$AD192,32-5):$AD192),"")</f>
        <v>460798199995</v>
      </c>
      <c r="AI192" s="48" t="n">
        <f aca="false">IF($U192&gt;=STRUCT_S,MAX(INDEX($G$42:$G192,152-STRUCT_S):$G192),"")</f>
        <v>7580</v>
      </c>
      <c r="AJ192" s="48" t="n">
        <f aca="false">IF($U192&gt;=STRUCT_S,MIN(INDEX($H$42:$H192,152-STRUCT_S):$H192),"")</f>
        <v>6639</v>
      </c>
      <c r="AK192" s="48" t="n">
        <f aca="false">IF($U192&gt;=STRUCT_L,MAX(INDEX($G$5:$G192,189-STRUCT_L):$G192),"")</f>
        <v>7732</v>
      </c>
      <c r="AL192" s="48" t="n">
        <f aca="false">IF($U192&gt;=STRUCT_L,MIN(INDEX($H$5:$H192,189-STRUCT_L):$H192),"")</f>
        <v>6639</v>
      </c>
      <c r="AM192" s="46" t="n">
        <f aca="false">IF($A192&lt;&gt;$A193,1,0)</f>
        <v>0</v>
      </c>
      <c r="AN192" s="47" t="str">
        <f aca="false">IF($AM192=1,$A192,"")</f>
        <v/>
      </c>
    </row>
    <row r="193" customFormat="false" ht="15" hidden="false" customHeight="false" outlineLevel="0" collapsed="false">
      <c r="A193" s="43" t="s">
        <v>130</v>
      </c>
      <c r="B193" s="44" t="s">
        <v>132</v>
      </c>
      <c r="C193" s="45" t="n">
        <v>46168</v>
      </c>
      <c r="D193" s="46" t="n">
        <v>20260526</v>
      </c>
      <c r="E193" s="47" t="s">
        <v>476</v>
      </c>
      <c r="F193" s="48" t="n">
        <v>6883</v>
      </c>
      <c r="G193" s="48" t="n">
        <v>6978</v>
      </c>
      <c r="H193" s="48" t="n">
        <v>6819</v>
      </c>
      <c r="I193" s="48" t="n">
        <v>6888</v>
      </c>
      <c r="J193" s="48" t="n">
        <v>6909</v>
      </c>
      <c r="K193" s="48" t="n">
        <v>6909</v>
      </c>
      <c r="L193" s="48" t="n">
        <v>43694641</v>
      </c>
      <c r="M193" s="48" t="n">
        <v>300968687208</v>
      </c>
      <c r="N193" s="48" t="n">
        <v>1421</v>
      </c>
      <c r="O193" s="48" t="n">
        <v>24609029</v>
      </c>
      <c r="P193" s="48" t="n">
        <v>21704907</v>
      </c>
      <c r="Q193" s="48" t="n">
        <v>994</v>
      </c>
      <c r="R193" s="48" t="n">
        <v>467</v>
      </c>
      <c r="S193" s="48" t="n">
        <v>19085612</v>
      </c>
      <c r="T193" s="48" t="n">
        <v>21989734</v>
      </c>
      <c r="U193" s="46" t="n">
        <f aca="false">IF($A193=$A192,$U192+1,1)</f>
        <v>189</v>
      </c>
      <c r="V193" s="48" t="n">
        <f aca="false">IF($U193&gt;=MA_SHORT,AVERAGE(INDEX($I$5:$I193,190-MA_SHORT):$I193),"")</f>
        <v>7046.55</v>
      </c>
      <c r="W193" s="48" t="n">
        <f aca="false">IF($U193&gt;=MA_MED,AVERAGE(INDEX($I$5:$I193,190-MA_MED):$I193),"")</f>
        <v>7166.86</v>
      </c>
      <c r="X193" s="48" t="n">
        <f aca="false">IF($U193&gt;=MA_LONG1,AVERAGE(INDEX($I$5:$I193,190-MA_LONG1):$I193),"")</f>
        <v>6969.66</v>
      </c>
      <c r="Y193" s="48" t="str">
        <f aca="false">IF($U193&gt;=MA_LONG2,AVERAGE(INDEX($I$5:$I193,190-MA_LONG2):$I193),"")</f>
        <v/>
      </c>
      <c r="Z193" s="48" t="n">
        <f aca="false">IF($U193&gt;=MA_SHORT,AVERAGE(INDEX($L$73:$L193,122-MA_SHORT):$L193),"")</f>
        <v>56328784.15</v>
      </c>
      <c r="AA193" s="48" t="n">
        <f aca="false">IF($U193=1,$G193-$H193,MAX($G193-$H193,ABS($G193-$I192),ABS($H193-$I192)))</f>
        <v>159</v>
      </c>
      <c r="AB193" s="48" t="n">
        <f aca="false">IF($U193&gt;=ATR_PER,AVERAGE(INDEX($AA$73:$AA193,122-ATR_PER):$AA193),"")</f>
        <v>252.571428571429</v>
      </c>
      <c r="AC193" s="48" t="n">
        <f aca="false">$O193-$P193</f>
        <v>2904122</v>
      </c>
      <c r="AD193" s="48" t="n">
        <f aca="false">$AC193*$I193</f>
        <v>20003592336</v>
      </c>
      <c r="AE193" s="49" t="n">
        <f aca="false">IF($Q193&gt;0,$O193*$I193/$Q193/1000000,"")</f>
        <v>170.530172788732</v>
      </c>
      <c r="AF193" s="49" t="n">
        <f aca="false">IF($R193&gt;0,$P193*$I193/$R193/1000000,"")</f>
        <v>320.135758920771</v>
      </c>
      <c r="AG193" s="50" t="n">
        <f aca="false">IF(AND(ISNUMBER($AE193),ISNUMBER($AF193),$AF193&gt;0),$AE193/$AF193,"")</f>
        <v>0.532680801931084</v>
      </c>
      <c r="AH193" s="48" t="n">
        <f aca="false">IF($U193&gt;=5,SUM(INDEX($AD$163:$AD193,32-5):$AD193),"")</f>
        <v>370161635221</v>
      </c>
      <c r="AI193" s="48" t="n">
        <f aca="false">IF($U193&gt;=STRUCT_S,MAX(INDEX($G$43:$G193,152-STRUCT_S):$G193),"")</f>
        <v>7580</v>
      </c>
      <c r="AJ193" s="48" t="n">
        <f aca="false">IF($U193&gt;=STRUCT_S,MIN(INDEX($H$43:$H193,152-STRUCT_S):$H193),"")</f>
        <v>6639</v>
      </c>
      <c r="AK193" s="48" t="n">
        <f aca="false">IF($U193&gt;=STRUCT_L,MAX(INDEX($G$5:$G193,190-STRUCT_L):$G193),"")</f>
        <v>7732</v>
      </c>
      <c r="AL193" s="48" t="n">
        <f aca="false">IF($U193&gt;=STRUCT_L,MIN(INDEX($H$5:$H193,190-STRUCT_L):$H193),"")</f>
        <v>6639</v>
      </c>
      <c r="AM193" s="46" t="n">
        <f aca="false">IF($A193&lt;&gt;$A194,1,0)</f>
        <v>0</v>
      </c>
      <c r="AN193" s="47" t="str">
        <f aca="false">IF($AM193=1,$A193,"")</f>
        <v/>
      </c>
    </row>
    <row r="194" customFormat="false" ht="15" hidden="false" customHeight="false" outlineLevel="0" collapsed="false">
      <c r="A194" s="43" t="s">
        <v>130</v>
      </c>
      <c r="B194" s="44" t="s">
        <v>132</v>
      </c>
      <c r="C194" s="45" t="n">
        <v>46169</v>
      </c>
      <c r="D194" s="46" t="n">
        <v>20260527</v>
      </c>
      <c r="E194" s="47" t="s">
        <v>477</v>
      </c>
      <c r="F194" s="48" t="n">
        <v>7006</v>
      </c>
      <c r="G194" s="48" t="n">
        <v>7029</v>
      </c>
      <c r="H194" s="48" t="n">
        <v>6597</v>
      </c>
      <c r="I194" s="48" t="n">
        <v>6735</v>
      </c>
      <c r="J194" s="48" t="n">
        <v>6730</v>
      </c>
      <c r="K194" s="48" t="n">
        <v>6888</v>
      </c>
      <c r="L194" s="48" t="n">
        <v>48631165</v>
      </c>
      <c r="M194" s="48" t="n">
        <v>327530896275</v>
      </c>
      <c r="N194" s="48" t="n">
        <v>1374</v>
      </c>
      <c r="O194" s="48" t="n">
        <v>25263855</v>
      </c>
      <c r="P194" s="48" t="n">
        <v>22301199</v>
      </c>
      <c r="Q194" s="48" t="n">
        <v>973</v>
      </c>
      <c r="R194" s="48" t="n">
        <v>470</v>
      </c>
      <c r="S194" s="48" t="n">
        <v>23367310</v>
      </c>
      <c r="T194" s="48" t="n">
        <v>26329966</v>
      </c>
      <c r="U194" s="46" t="n">
        <f aca="false">IF($A194=$A193,$U193+1,1)</f>
        <v>190</v>
      </c>
      <c r="V194" s="48" t="n">
        <f aca="false">IF($U194&gt;=MA_SHORT,AVERAGE(INDEX($I$5:$I194,191-MA_SHORT):$I194),"")</f>
        <v>7027.65</v>
      </c>
      <c r="W194" s="48" t="n">
        <f aca="false">IF($U194&gt;=MA_MED,AVERAGE(INDEX($I$5:$I194,191-MA_MED):$I194),"")</f>
        <v>7156.36</v>
      </c>
      <c r="X194" s="48" t="n">
        <f aca="false">IF($U194&gt;=MA_LONG1,AVERAGE(INDEX($I$5:$I194,191-MA_LONG1):$I194),"")</f>
        <v>6970.71</v>
      </c>
      <c r="Y194" s="48" t="str">
        <f aca="false">IF($U194&gt;=MA_LONG2,AVERAGE(INDEX($I$5:$I194,191-MA_LONG2):$I194),"")</f>
        <v/>
      </c>
      <c r="Z194" s="48" t="n">
        <f aca="false">IF($U194&gt;=MA_SHORT,AVERAGE(INDEX($L$74:$L194,122-MA_SHORT):$L194),"")</f>
        <v>55702407.3</v>
      </c>
      <c r="AA194" s="48" t="n">
        <f aca="false">IF($U194=1,$G194-$H194,MAX($G194-$H194,ABS($G194-$I193),ABS($H194-$I193)))</f>
        <v>432</v>
      </c>
      <c r="AB194" s="48" t="n">
        <f aca="false">IF($U194&gt;=ATR_PER,AVERAGE(INDEX($AA$74:$AA194,122-ATR_PER):$AA194),"")</f>
        <v>265.928571428571</v>
      </c>
      <c r="AC194" s="48" t="n">
        <f aca="false">$O194-$P194</f>
        <v>2962656</v>
      </c>
      <c r="AD194" s="48" t="n">
        <f aca="false">$AC194*$I194</f>
        <v>19953488160</v>
      </c>
      <c r="AE194" s="49" t="n">
        <f aca="false">IF($Q194&gt;0,$O194*$I194/$Q194/1000000,"")</f>
        <v>174.873652029805</v>
      </c>
      <c r="AF194" s="49" t="n">
        <f aca="false">IF($R194&gt;0,$P194*$I194/$R194/1000000,"")</f>
        <v>319.571436734043</v>
      </c>
      <c r="AG194" s="50" t="n">
        <f aca="false">IF(AND(ISNUMBER($AE194),ISNUMBER($AF194),$AF194&gt;0),$AE194/$AF194,"")</f>
        <v>0.547213023219407</v>
      </c>
      <c r="AH194" s="48" t="n">
        <f aca="false">IF($U194&gt;=5,SUM(INDEX($AD$164:$AD194,32-5):$AD194),"")</f>
        <v>363030906774</v>
      </c>
      <c r="AI194" s="48" t="n">
        <f aca="false">IF($U194&gt;=STRUCT_S,MAX(INDEX($G$44:$G194,152-STRUCT_S):$G194),"")</f>
        <v>7580</v>
      </c>
      <c r="AJ194" s="48" t="n">
        <f aca="false">IF($U194&gt;=STRUCT_S,MIN(INDEX($H$44:$H194,152-STRUCT_S):$H194),"")</f>
        <v>6597</v>
      </c>
      <c r="AK194" s="48" t="n">
        <f aca="false">IF($U194&gt;=STRUCT_L,MAX(INDEX($G$5:$G194,191-STRUCT_L):$G194),"")</f>
        <v>7732</v>
      </c>
      <c r="AL194" s="48" t="n">
        <f aca="false">IF($U194&gt;=STRUCT_L,MIN(INDEX($H$5:$H194,191-STRUCT_L):$H194),"")</f>
        <v>6597</v>
      </c>
      <c r="AM194" s="46" t="n">
        <f aca="false">IF($A194&lt;&gt;$A195,1,0)</f>
        <v>0</v>
      </c>
      <c r="AN194" s="47" t="str">
        <f aca="false">IF($AM194=1,$A194,"")</f>
        <v/>
      </c>
    </row>
    <row r="195" customFormat="false" ht="15" hidden="false" customHeight="false" outlineLevel="0" collapsed="false">
      <c r="A195" s="43" t="s">
        <v>130</v>
      </c>
      <c r="B195" s="44" t="s">
        <v>132</v>
      </c>
      <c r="C195" s="45" t="n">
        <v>46172</v>
      </c>
      <c r="D195" s="46" t="n">
        <v>20260530</v>
      </c>
      <c r="E195" s="47" t="s">
        <v>478</v>
      </c>
      <c r="F195" s="48" t="n">
        <v>6735</v>
      </c>
      <c r="G195" s="48" t="n">
        <v>6823</v>
      </c>
      <c r="H195" s="48" t="n">
        <v>6569</v>
      </c>
      <c r="I195" s="48" t="n">
        <v>6656</v>
      </c>
      <c r="J195" s="48" t="n">
        <v>6622</v>
      </c>
      <c r="K195" s="48" t="n">
        <v>6735</v>
      </c>
      <c r="L195" s="48" t="n">
        <v>45932142</v>
      </c>
      <c r="M195" s="48" t="n">
        <v>305724337152</v>
      </c>
      <c r="N195" s="48" t="n">
        <v>1078</v>
      </c>
      <c r="O195" s="48" t="n">
        <v>25856581</v>
      </c>
      <c r="P195" s="48" t="n">
        <v>20672006</v>
      </c>
      <c r="Q195" s="48" t="n">
        <v>667</v>
      </c>
      <c r="R195" s="48" t="n">
        <v>261</v>
      </c>
      <c r="S195" s="48" t="n">
        <v>20075561</v>
      </c>
      <c r="T195" s="48" t="n">
        <v>25260136</v>
      </c>
      <c r="U195" s="46" t="n">
        <f aca="false">IF($A195=$A194,$U194+1,1)</f>
        <v>191</v>
      </c>
      <c r="V195" s="48" t="n">
        <f aca="false">IF($U195&gt;=MA_SHORT,AVERAGE(INDEX($I$5:$I195,192-MA_SHORT):$I195),"")</f>
        <v>6995.8</v>
      </c>
      <c r="W195" s="48" t="n">
        <f aca="false">IF($U195&gt;=MA_MED,AVERAGE(INDEX($I$5:$I195,192-MA_MED):$I195),"")</f>
        <v>7144.48</v>
      </c>
      <c r="X195" s="48" t="n">
        <f aca="false">IF($U195&gt;=MA_LONG1,AVERAGE(INDEX($I$5:$I195,192-MA_LONG1):$I195),"")</f>
        <v>6970.86</v>
      </c>
      <c r="Y195" s="48" t="str">
        <f aca="false">IF($U195&gt;=MA_LONG2,AVERAGE(INDEX($I$5:$I195,192-MA_LONG2):$I195),"")</f>
        <v/>
      </c>
      <c r="Z195" s="48" t="n">
        <f aca="false">IF($U195&gt;=MA_SHORT,AVERAGE(INDEX($L$75:$L195,122-MA_SHORT):$L195),"")</f>
        <v>55527635</v>
      </c>
      <c r="AA195" s="48" t="n">
        <f aca="false">IF($U195=1,$G195-$H195,MAX($G195-$H195,ABS($G195-$I194),ABS($H195-$I194)))</f>
        <v>254</v>
      </c>
      <c r="AB195" s="48" t="n">
        <f aca="false">IF($U195&gt;=ATR_PER,AVERAGE(INDEX($AA$75:$AA195,122-ATR_PER):$AA195),"")</f>
        <v>245.571428571429</v>
      </c>
      <c r="AC195" s="48" t="n">
        <f aca="false">$O195-$P195</f>
        <v>5184575</v>
      </c>
      <c r="AD195" s="48" t="n">
        <f aca="false">$AC195*$I195</f>
        <v>34508531200</v>
      </c>
      <c r="AE195" s="49" t="n">
        <f aca="false">IF($Q195&gt;0,$O195*$I195/$Q195/1000000,"")</f>
        <v>258.023093157421</v>
      </c>
      <c r="AF195" s="49" t="n">
        <f aca="false">IF($R195&gt;0,$P195*$I195/$R195/1000000,"")</f>
        <v>527.175754544061</v>
      </c>
      <c r="AG195" s="50" t="n">
        <f aca="false">IF(AND(ISNUMBER($AE195),ISNUMBER($AF195),$AF195&gt;0),$AE195/$AF195,"")</f>
        <v>0.489444157727963</v>
      </c>
      <c r="AH195" s="48" t="n">
        <f aca="false">IF($U195&gt;=5,SUM(INDEX($AD$165:$AD195,32-5):$AD195),"")</f>
        <v>321174975100</v>
      </c>
      <c r="AI195" s="48" t="n">
        <f aca="false">IF($U195&gt;=STRUCT_S,MAX(INDEX($G$45:$G195,152-STRUCT_S):$G195),"")</f>
        <v>7580</v>
      </c>
      <c r="AJ195" s="48" t="n">
        <f aca="false">IF($U195&gt;=STRUCT_S,MIN(INDEX($H$45:$H195,152-STRUCT_S):$H195),"")</f>
        <v>6569</v>
      </c>
      <c r="AK195" s="48" t="n">
        <f aca="false">IF($U195&gt;=STRUCT_L,MAX(INDEX($G$5:$G195,192-STRUCT_L):$G195),"")</f>
        <v>7732</v>
      </c>
      <c r="AL195" s="48" t="n">
        <f aca="false">IF($U195&gt;=STRUCT_L,MIN(INDEX($H$5:$H195,192-STRUCT_L):$H195),"")</f>
        <v>6569</v>
      </c>
      <c r="AM195" s="46" t="n">
        <f aca="false">IF($A195&lt;&gt;$A196,1,0)</f>
        <v>0</v>
      </c>
      <c r="AN195" s="47" t="str">
        <f aca="false">IF($AM195=1,$A195,"")</f>
        <v/>
      </c>
    </row>
    <row r="196" customFormat="false" ht="15" hidden="false" customHeight="false" outlineLevel="0" collapsed="false">
      <c r="A196" s="43" t="s">
        <v>130</v>
      </c>
      <c r="B196" s="44" t="s">
        <v>132</v>
      </c>
      <c r="C196" s="45" t="n">
        <v>46173</v>
      </c>
      <c r="D196" s="46" t="n">
        <v>20260531</v>
      </c>
      <c r="E196" s="47" t="s">
        <v>479</v>
      </c>
      <c r="F196" s="48" t="n">
        <v>6791</v>
      </c>
      <c r="G196" s="48" t="n">
        <v>6866</v>
      </c>
      <c r="H196" s="48" t="n">
        <v>6589</v>
      </c>
      <c r="I196" s="48" t="n">
        <v>6798</v>
      </c>
      <c r="J196" s="48" t="n">
        <v>6810</v>
      </c>
      <c r="K196" s="48" t="n">
        <v>6656</v>
      </c>
      <c r="L196" s="48" t="n">
        <v>48404999</v>
      </c>
      <c r="M196" s="48" t="n">
        <v>329057183202</v>
      </c>
      <c r="N196" s="48" t="n">
        <v>1527</v>
      </c>
      <c r="O196" s="48" t="n">
        <v>37580154</v>
      </c>
      <c r="P196" s="48" t="n">
        <v>9680999</v>
      </c>
      <c r="Q196" s="48" t="n">
        <v>456</v>
      </c>
      <c r="R196" s="48" t="n">
        <v>749</v>
      </c>
      <c r="S196" s="48" t="n">
        <v>10824845</v>
      </c>
      <c r="T196" s="48" t="n">
        <v>38724000</v>
      </c>
      <c r="U196" s="46" t="n">
        <f aca="false">IF($A196=$A195,$U195+1,1)</f>
        <v>192</v>
      </c>
      <c r="V196" s="48" t="n">
        <f aca="false">IF($U196&gt;=MA_SHORT,AVERAGE(INDEX($I$5:$I196,193-MA_SHORT):$I196),"")</f>
        <v>6975.85</v>
      </c>
      <c r="W196" s="48" t="n">
        <f aca="false">IF($U196&gt;=MA_MED,AVERAGE(INDEX($I$5:$I196,193-MA_MED):$I196),"")</f>
        <v>7137.2</v>
      </c>
      <c r="X196" s="48" t="n">
        <f aca="false">IF($U196&gt;=MA_LONG1,AVERAGE(INDEX($I$5:$I196,193-MA_LONG1):$I196),"")</f>
        <v>6971.99</v>
      </c>
      <c r="Y196" s="48" t="str">
        <f aca="false">IF($U196&gt;=MA_LONG2,AVERAGE(INDEX($I$5:$I196,193-MA_LONG2):$I196),"")</f>
        <v/>
      </c>
      <c r="Z196" s="48" t="n">
        <f aca="false">IF($U196&gt;=MA_SHORT,AVERAGE(INDEX($L$76:$L196,122-MA_SHORT):$L196),"")</f>
        <v>55632823.05</v>
      </c>
      <c r="AA196" s="48" t="n">
        <f aca="false">IF($U196=1,$G196-$H196,MAX($G196-$H196,ABS($G196-$I195),ABS($H196-$I195)))</f>
        <v>277</v>
      </c>
      <c r="AB196" s="48" t="n">
        <f aca="false">IF($U196&gt;=ATR_PER,AVERAGE(INDEX($AA$76:$AA196,122-ATR_PER):$AA196),"")</f>
        <v>246.642857142857</v>
      </c>
      <c r="AC196" s="48" t="n">
        <f aca="false">$O196-$P196</f>
        <v>27899155</v>
      </c>
      <c r="AD196" s="48" t="n">
        <f aca="false">$AC196*$I196</f>
        <v>189658455690</v>
      </c>
      <c r="AE196" s="49" t="n">
        <f aca="false">IF($Q196&gt;0,$O196*$I196/$Q196/1000000,"")</f>
        <v>560.240980026316</v>
      </c>
      <c r="AF196" s="49" t="n">
        <f aca="false">IF($R196&gt;0,$P196*$I196/$R196/1000000,"")</f>
        <v>87.8657292416555</v>
      </c>
      <c r="AG196" s="50" t="n">
        <f aca="false">IF(AND(ISNUMBER($AE196),ISNUMBER($AF196),$AF196&gt;0),$AE196/$AF196,"")</f>
        <v>6.3761034576461</v>
      </c>
      <c r="AH196" s="48" t="n">
        <f aca="false">IF($U196&gt;=5,SUM(INDEX($AD$166:$AD196,32-5):$AD196),"")</f>
        <v>366486816490</v>
      </c>
      <c r="AI196" s="48" t="n">
        <f aca="false">IF($U196&gt;=STRUCT_S,MAX(INDEX($G$46:$G196,152-STRUCT_S):$G196),"")</f>
        <v>7580</v>
      </c>
      <c r="AJ196" s="48" t="n">
        <f aca="false">IF($U196&gt;=STRUCT_S,MIN(INDEX($H$46:$H196,152-STRUCT_S):$H196),"")</f>
        <v>6569</v>
      </c>
      <c r="AK196" s="48" t="n">
        <f aca="false">IF($U196&gt;=STRUCT_L,MAX(INDEX($G$5:$G196,193-STRUCT_L):$G196),"")</f>
        <v>7732</v>
      </c>
      <c r="AL196" s="48" t="n">
        <f aca="false">IF($U196&gt;=STRUCT_L,MIN(INDEX($H$5:$H196,193-STRUCT_L):$H196),"")</f>
        <v>6569</v>
      </c>
      <c r="AM196" s="46" t="n">
        <f aca="false">IF($A196&lt;&gt;$A197,1,0)</f>
        <v>0</v>
      </c>
      <c r="AN196" s="47" t="str">
        <f aca="false">IF($AM196=1,$A196,"")</f>
        <v/>
      </c>
    </row>
    <row r="197" customFormat="false" ht="15" hidden="false" customHeight="false" outlineLevel="0" collapsed="false">
      <c r="A197" s="43" t="s">
        <v>130</v>
      </c>
      <c r="B197" s="44" t="s">
        <v>132</v>
      </c>
      <c r="C197" s="45" t="n">
        <v>46174</v>
      </c>
      <c r="D197" s="46" t="n">
        <v>20260601</v>
      </c>
      <c r="E197" s="47" t="s">
        <v>480</v>
      </c>
      <c r="F197" s="48" t="n">
        <v>6798</v>
      </c>
      <c r="G197" s="48" t="n">
        <v>6830</v>
      </c>
      <c r="H197" s="48" t="n">
        <v>6634</v>
      </c>
      <c r="I197" s="48" t="n">
        <v>6665</v>
      </c>
      <c r="J197" s="48" t="n">
        <v>6701</v>
      </c>
      <c r="K197" s="48" t="n">
        <v>6798</v>
      </c>
      <c r="L197" s="48" t="n">
        <v>47949388</v>
      </c>
      <c r="M197" s="48" t="n">
        <v>319582671020</v>
      </c>
      <c r="N197" s="48" t="n">
        <v>3052</v>
      </c>
      <c r="O197" s="48" t="n">
        <v>25881208</v>
      </c>
      <c r="P197" s="48" t="n">
        <v>20565620</v>
      </c>
      <c r="Q197" s="48" t="n">
        <v>1406</v>
      </c>
      <c r="R197" s="48" t="n">
        <v>1155</v>
      </c>
      <c r="S197" s="48" t="n">
        <v>22068180</v>
      </c>
      <c r="T197" s="48" t="n">
        <v>27383768</v>
      </c>
      <c r="U197" s="46" t="n">
        <f aca="false">IF($A197=$A196,$U196+1,1)</f>
        <v>193</v>
      </c>
      <c r="V197" s="48" t="n">
        <f aca="false">IF($U197&gt;=MA_SHORT,AVERAGE(INDEX($I$5:$I197,194-MA_SHORT):$I197),"")</f>
        <v>6953.25</v>
      </c>
      <c r="W197" s="48" t="n">
        <f aca="false">IF($U197&gt;=MA_MED,AVERAGE(INDEX($I$5:$I197,194-MA_MED):$I197),"")</f>
        <v>7129.52</v>
      </c>
      <c r="X197" s="48" t="n">
        <f aca="false">IF($U197&gt;=MA_LONG1,AVERAGE(INDEX($I$5:$I197,194-MA_LONG1):$I197),"")</f>
        <v>6971.31</v>
      </c>
      <c r="Y197" s="48" t="str">
        <f aca="false">IF($U197&gt;=MA_LONG2,AVERAGE(INDEX($I$5:$I197,194-MA_LONG2):$I197),"")</f>
        <v/>
      </c>
      <c r="Z197" s="48" t="n">
        <f aca="false">IF($U197&gt;=MA_SHORT,AVERAGE(INDEX($L$77:$L197,122-MA_SHORT):$L197),"")</f>
        <v>54835850.6</v>
      </c>
      <c r="AA197" s="48" t="n">
        <f aca="false">IF($U197=1,$G197-$H197,MAX($G197-$H197,ABS($G197-$I196),ABS($H197-$I196)))</f>
        <v>196</v>
      </c>
      <c r="AB197" s="48" t="n">
        <f aca="false">IF($U197&gt;=ATR_PER,AVERAGE(INDEX($AA$77:$AA197,122-ATR_PER):$AA197),"")</f>
        <v>238.071428571429</v>
      </c>
      <c r="AC197" s="48" t="n">
        <f aca="false">$O197-$P197</f>
        <v>5315588</v>
      </c>
      <c r="AD197" s="48" t="n">
        <f aca="false">$AC197*$I197</f>
        <v>35428394020</v>
      </c>
      <c r="AE197" s="49" t="n">
        <f aca="false">IF($Q197&gt;0,$O197*$I197/$Q197/1000000,"")</f>
        <v>122.687234224751</v>
      </c>
      <c r="AF197" s="49" t="n">
        <f aca="false">IF($R197&gt;0,$P197*$I197/$R197/1000000,"")</f>
        <v>118.675201125541</v>
      </c>
      <c r="AG197" s="50" t="n">
        <f aca="false">IF(AND(ISNUMBER($AE197),ISNUMBER($AF197),$AF197&gt;0),$AE197/$AF197,"")</f>
        <v>1.03380683631592</v>
      </c>
      <c r="AH197" s="48" t="n">
        <f aca="false">IF($U197&gt;=5,SUM(INDEX($AD$167:$AD197,32-5):$AD197),"")</f>
        <v>299552461406</v>
      </c>
      <c r="AI197" s="48" t="n">
        <f aca="false">IF($U197&gt;=STRUCT_S,MAX(INDEX($G$47:$G197,152-STRUCT_S):$G197),"")</f>
        <v>7580</v>
      </c>
      <c r="AJ197" s="48" t="n">
        <f aca="false">IF($U197&gt;=STRUCT_S,MIN(INDEX($H$47:$H197,152-STRUCT_S):$H197),"")</f>
        <v>6569</v>
      </c>
      <c r="AK197" s="48" t="n">
        <f aca="false">IF($U197&gt;=STRUCT_L,MAX(INDEX($G$5:$G197,194-STRUCT_L):$G197),"")</f>
        <v>7732</v>
      </c>
      <c r="AL197" s="48" t="n">
        <f aca="false">IF($U197&gt;=STRUCT_L,MIN(INDEX($H$5:$H197,194-STRUCT_L):$H197),"")</f>
        <v>6569</v>
      </c>
      <c r="AM197" s="46" t="n">
        <f aca="false">IF($A197&lt;&gt;$A198,1,0)</f>
        <v>0</v>
      </c>
      <c r="AN197" s="47" t="str">
        <f aca="false">IF($AM197=1,$A197,"")</f>
        <v/>
      </c>
    </row>
    <row r="198" customFormat="false" ht="15" hidden="false" customHeight="false" outlineLevel="0" collapsed="false">
      <c r="A198" s="43" t="s">
        <v>130</v>
      </c>
      <c r="B198" s="44" t="s">
        <v>132</v>
      </c>
      <c r="C198" s="45" t="n">
        <v>46175</v>
      </c>
      <c r="D198" s="46" t="n">
        <v>20260602</v>
      </c>
      <c r="E198" s="47" t="s">
        <v>481</v>
      </c>
      <c r="F198" s="48" t="n">
        <v>6754</v>
      </c>
      <c r="G198" s="48" t="n">
        <v>6900</v>
      </c>
      <c r="H198" s="48" t="n">
        <v>6576</v>
      </c>
      <c r="I198" s="48" t="n">
        <v>6809</v>
      </c>
      <c r="J198" s="48" t="n">
        <v>6827</v>
      </c>
      <c r="K198" s="48" t="n">
        <v>6665</v>
      </c>
      <c r="L198" s="48" t="n">
        <v>48474843</v>
      </c>
      <c r="M198" s="48" t="n">
        <v>330065205987</v>
      </c>
      <c r="N198" s="48" t="n">
        <v>2889</v>
      </c>
      <c r="O198" s="48" t="n">
        <v>29791728</v>
      </c>
      <c r="P198" s="48" t="n">
        <v>16524407</v>
      </c>
      <c r="Q198" s="48" t="n">
        <v>678</v>
      </c>
      <c r="R198" s="48" t="n">
        <v>1953</v>
      </c>
      <c r="S198" s="48" t="n">
        <v>18683115</v>
      </c>
      <c r="T198" s="48" t="n">
        <v>31950436</v>
      </c>
      <c r="U198" s="46" t="n">
        <f aca="false">IF($A198=$A197,$U197+1,1)</f>
        <v>194</v>
      </c>
      <c r="V198" s="48" t="n">
        <f aca="false">IF($U198&gt;=MA_SHORT,AVERAGE(INDEX($I$5:$I198,195-MA_SHORT):$I198),"")</f>
        <v>6930.6</v>
      </c>
      <c r="W198" s="48" t="n">
        <f aca="false">IF($U198&gt;=MA_MED,AVERAGE(INDEX($I$5:$I198,195-MA_MED):$I198),"")</f>
        <v>7124.64</v>
      </c>
      <c r="X198" s="48" t="n">
        <f aca="false">IF($U198&gt;=MA_LONG1,AVERAGE(INDEX($I$5:$I198,195-MA_LONG1):$I198),"")</f>
        <v>6972.46</v>
      </c>
      <c r="Y198" s="48" t="str">
        <f aca="false">IF($U198&gt;=MA_LONG2,AVERAGE(INDEX($I$5:$I198,195-MA_LONG2):$I198),"")</f>
        <v/>
      </c>
      <c r="Z198" s="48" t="n">
        <f aca="false">IF($U198&gt;=MA_SHORT,AVERAGE(INDEX($L$78:$L198,122-MA_SHORT):$L198),"")</f>
        <v>54851706.35</v>
      </c>
      <c r="AA198" s="48" t="n">
        <f aca="false">IF($U198=1,$G198-$H198,MAX($G198-$H198,ABS($G198-$I197),ABS($H198-$I197)))</f>
        <v>324</v>
      </c>
      <c r="AB198" s="48" t="n">
        <f aca="false">IF($U198&gt;=ATR_PER,AVERAGE(INDEX($AA$78:$AA198,122-ATR_PER):$AA198),"")</f>
        <v>244.357142857143</v>
      </c>
      <c r="AC198" s="48" t="n">
        <f aca="false">$O198-$P198</f>
        <v>13267321</v>
      </c>
      <c r="AD198" s="48" t="n">
        <f aca="false">$AC198*$I198</f>
        <v>90337188689</v>
      </c>
      <c r="AE198" s="49" t="n">
        <f aca="false">IF($Q198&gt;0,$O198*$I198/$Q198/1000000,"")</f>
        <v>299.191557451327</v>
      </c>
      <c r="AF198" s="49" t="n">
        <f aca="false">IF($R198&gt;0,$P198*$I198/$R198/1000000,"")</f>
        <v>57.6112069959037</v>
      </c>
      <c r="AG198" s="50" t="n">
        <f aca="false">IF(AND(ISNUMBER($AE198),ISNUMBER($AF198),$AF198&gt;0),$AE198/$AF198,"")</f>
        <v>5.19328743576923</v>
      </c>
      <c r="AH198" s="48" t="n">
        <f aca="false">IF($U198&gt;=5,SUM(INDEX($AD$168:$AD198,32-5):$AD198),"")</f>
        <v>369886057759</v>
      </c>
      <c r="AI198" s="48" t="n">
        <f aca="false">IF($U198&gt;=STRUCT_S,MAX(INDEX($G$48:$G198,152-STRUCT_S):$G198),"")</f>
        <v>7580</v>
      </c>
      <c r="AJ198" s="48" t="n">
        <f aca="false">IF($U198&gt;=STRUCT_S,MIN(INDEX($H$48:$H198,152-STRUCT_S):$H198),"")</f>
        <v>6569</v>
      </c>
      <c r="AK198" s="48" t="n">
        <f aca="false">IF($U198&gt;=STRUCT_L,MAX(INDEX($G$5:$G198,195-STRUCT_L):$G198),"")</f>
        <v>7732</v>
      </c>
      <c r="AL198" s="48" t="n">
        <f aca="false">IF($U198&gt;=STRUCT_L,MIN(INDEX($H$5:$H198,195-STRUCT_L):$H198),"")</f>
        <v>6569</v>
      </c>
      <c r="AM198" s="46" t="n">
        <f aca="false">IF($A198&lt;&gt;$A199,1,0)</f>
        <v>0</v>
      </c>
      <c r="AN198" s="47" t="str">
        <f aca="false">IF($AM198=1,$A198,"")</f>
        <v/>
      </c>
    </row>
    <row r="199" customFormat="false" ht="15" hidden="false" customHeight="false" outlineLevel="0" collapsed="false">
      <c r="A199" s="43" t="s">
        <v>130</v>
      </c>
      <c r="B199" s="44" t="s">
        <v>132</v>
      </c>
      <c r="C199" s="45" t="n">
        <v>46176</v>
      </c>
      <c r="D199" s="46" t="n">
        <v>20260603</v>
      </c>
      <c r="E199" s="47" t="s">
        <v>482</v>
      </c>
      <c r="F199" s="48" t="n">
        <v>6817</v>
      </c>
      <c r="G199" s="48" t="n">
        <v>6829</v>
      </c>
      <c r="H199" s="48" t="n">
        <v>6764</v>
      </c>
      <c r="I199" s="48" t="n">
        <v>6784</v>
      </c>
      <c r="J199" s="48" t="n">
        <v>6782</v>
      </c>
      <c r="K199" s="48" t="n">
        <v>6809</v>
      </c>
      <c r="L199" s="48" t="n">
        <v>43953031</v>
      </c>
      <c r="M199" s="48" t="n">
        <v>298177362304</v>
      </c>
      <c r="N199" s="48" t="n">
        <v>1091</v>
      </c>
      <c r="O199" s="48" t="n">
        <v>24094867</v>
      </c>
      <c r="P199" s="48" t="n">
        <v>20434585</v>
      </c>
      <c r="Q199" s="48" t="n">
        <v>477</v>
      </c>
      <c r="R199" s="48" t="n">
        <v>413</v>
      </c>
      <c r="S199" s="48" t="n">
        <v>19858164</v>
      </c>
      <c r="T199" s="48" t="n">
        <v>23518446</v>
      </c>
      <c r="U199" s="46" t="n">
        <f aca="false">IF($A199=$A198,$U198+1,1)</f>
        <v>195</v>
      </c>
      <c r="V199" s="48" t="n">
        <f aca="false">IF($U199&gt;=MA_SHORT,AVERAGE(INDEX($I$5:$I199,196-MA_SHORT):$I199),"")</f>
        <v>6904.95</v>
      </c>
      <c r="W199" s="48" t="n">
        <f aca="false">IF($U199&gt;=MA_MED,AVERAGE(INDEX($I$5:$I199,196-MA_MED):$I199),"")</f>
        <v>7118.56</v>
      </c>
      <c r="X199" s="48" t="n">
        <f aca="false">IF($U199&gt;=MA_LONG1,AVERAGE(INDEX($I$5:$I199,196-MA_LONG1):$I199),"")</f>
        <v>6972.34</v>
      </c>
      <c r="Y199" s="48" t="str">
        <f aca="false">IF($U199&gt;=MA_LONG2,AVERAGE(INDEX($I$5:$I199,196-MA_LONG2):$I199),"")</f>
        <v/>
      </c>
      <c r="Z199" s="48" t="n">
        <f aca="false">IF($U199&gt;=MA_SHORT,AVERAGE(INDEX($L$79:$L199,122-MA_SHORT):$L199),"")</f>
        <v>54259981.35</v>
      </c>
      <c r="AA199" s="48" t="n">
        <f aca="false">IF($U199=1,$G199-$H199,MAX($G199-$H199,ABS($G199-$I198),ABS($H199-$I198)))</f>
        <v>65</v>
      </c>
      <c r="AB199" s="48" t="n">
        <f aca="false">IF($U199&gt;=ATR_PER,AVERAGE(INDEX($AA$79:$AA199,122-ATR_PER):$AA199),"")</f>
        <v>235.214285714286</v>
      </c>
      <c r="AC199" s="48" t="n">
        <f aca="false">$O199-$P199</f>
        <v>3660282</v>
      </c>
      <c r="AD199" s="48" t="n">
        <f aca="false">$AC199*$I199</f>
        <v>24831353088</v>
      </c>
      <c r="AE199" s="49" t="n">
        <f aca="false">IF($Q199&gt;0,$O199*$I199/$Q199/1000000,"")</f>
        <v>342.682552888889</v>
      </c>
      <c r="AF199" s="49" t="n">
        <f aca="false">IF($R199&gt;0,$P199*$I199/$R199/1000000,"")</f>
        <v>335.661560871671</v>
      </c>
      <c r="AG199" s="50" t="n">
        <f aca="false">IF(AND(ISNUMBER($AE199),ISNUMBER($AF199),$AF199&gt;0),$AE199/$AF199,"")</f>
        <v>1.02091687829546</v>
      </c>
      <c r="AH199" s="48" t="n">
        <f aca="false">IF($U199&gt;=5,SUM(INDEX($AD$169:$AD199,32-5):$AD199),"")</f>
        <v>374763922687</v>
      </c>
      <c r="AI199" s="48" t="n">
        <f aca="false">IF($U199&gt;=STRUCT_S,MAX(INDEX($G$49:$G199,152-STRUCT_S):$G199),"")</f>
        <v>7580</v>
      </c>
      <c r="AJ199" s="48" t="n">
        <f aca="false">IF($U199&gt;=STRUCT_S,MIN(INDEX($H$49:$H199,152-STRUCT_S):$H199),"")</f>
        <v>6569</v>
      </c>
      <c r="AK199" s="48" t="n">
        <f aca="false">IF($U199&gt;=STRUCT_L,MAX(INDEX($G$5:$G199,196-STRUCT_L):$G199),"")</f>
        <v>7732</v>
      </c>
      <c r="AL199" s="48" t="n">
        <f aca="false">IF($U199&gt;=STRUCT_L,MIN(INDEX($H$5:$H199,196-STRUCT_L):$H199),"")</f>
        <v>6569</v>
      </c>
      <c r="AM199" s="46" t="n">
        <f aca="false">IF($A199&lt;&gt;$A200,1,0)</f>
        <v>0</v>
      </c>
      <c r="AN199" s="47" t="str">
        <f aca="false">IF($AM199=1,$A199,"")</f>
        <v/>
      </c>
    </row>
    <row r="200" customFormat="false" ht="15" hidden="false" customHeight="false" outlineLevel="0" collapsed="false">
      <c r="A200" s="43" t="s">
        <v>130</v>
      </c>
      <c r="B200" s="44" t="s">
        <v>132</v>
      </c>
      <c r="C200" s="45" t="n">
        <v>46179</v>
      </c>
      <c r="D200" s="46" t="n">
        <v>20260606</v>
      </c>
      <c r="E200" s="47" t="s">
        <v>483</v>
      </c>
      <c r="F200" s="48" t="n">
        <v>6745</v>
      </c>
      <c r="G200" s="48" t="n">
        <v>6870</v>
      </c>
      <c r="H200" s="48" t="n">
        <v>6695</v>
      </c>
      <c r="I200" s="48" t="n">
        <v>6781</v>
      </c>
      <c r="J200" s="48" t="n">
        <v>6830</v>
      </c>
      <c r="K200" s="48" t="n">
        <v>6784</v>
      </c>
      <c r="L200" s="48" t="n">
        <v>43025909</v>
      </c>
      <c r="M200" s="48" t="n">
        <v>291758688929</v>
      </c>
      <c r="N200" s="48" t="n">
        <v>2291</v>
      </c>
      <c r="O200" s="48" t="n">
        <v>27428389</v>
      </c>
      <c r="P200" s="48" t="n">
        <v>17867877</v>
      </c>
      <c r="Q200" s="48" t="n">
        <v>1029</v>
      </c>
      <c r="R200" s="48" t="n">
        <v>725</v>
      </c>
      <c r="S200" s="48" t="n">
        <v>15597520</v>
      </c>
      <c r="T200" s="48" t="n">
        <v>25158032</v>
      </c>
      <c r="U200" s="46" t="n">
        <f aca="false">IF($A200=$A199,$U199+1,1)</f>
        <v>196</v>
      </c>
      <c r="V200" s="48" t="n">
        <f aca="false">IF($U200&gt;=MA_SHORT,AVERAGE(INDEX($I$5:$I200,197-MA_SHORT):$I200),"")</f>
        <v>6872.85</v>
      </c>
      <c r="W200" s="48" t="n">
        <f aca="false">IF($U200&gt;=MA_MED,AVERAGE(INDEX($I$5:$I200,197-MA_MED):$I200),"")</f>
        <v>7112.88</v>
      </c>
      <c r="X200" s="48" t="n">
        <f aca="false">IF($U200&gt;=MA_LONG1,AVERAGE(INDEX($I$5:$I200,197-MA_LONG1):$I200),"")</f>
        <v>6972.52</v>
      </c>
      <c r="Y200" s="48" t="str">
        <f aca="false">IF($U200&gt;=MA_LONG2,AVERAGE(INDEX($I$5:$I200,197-MA_LONG2):$I200),"")</f>
        <v/>
      </c>
      <c r="Z200" s="48" t="n">
        <f aca="false">IF($U200&gt;=MA_SHORT,AVERAGE(INDEX($L$80:$L200,122-MA_SHORT):$L200),"")</f>
        <v>48479613.45</v>
      </c>
      <c r="AA200" s="48" t="n">
        <f aca="false">IF($U200=1,$G200-$H200,MAX($G200-$H200,ABS($G200-$I199),ABS($H200-$I199)))</f>
        <v>175</v>
      </c>
      <c r="AB200" s="48" t="n">
        <f aca="false">IF($U200&gt;=ATR_PER,AVERAGE(INDEX($AA$80:$AA200,122-ATR_PER):$AA200),"")</f>
        <v>226.642857142857</v>
      </c>
      <c r="AC200" s="48" t="n">
        <f aca="false">$O200-$P200</f>
        <v>9560512</v>
      </c>
      <c r="AD200" s="48" t="n">
        <f aca="false">$AC200*$I200</f>
        <v>64829831872</v>
      </c>
      <c r="AE200" s="49" t="n">
        <f aca="false">IF($Q200&gt;0,$O200*$I200/$Q200/1000000,"")</f>
        <v>180.750151417881</v>
      </c>
      <c r="AF200" s="49" t="n">
        <f aca="false">IF($R200&gt;0,$P200*$I200/$R200/1000000,"")</f>
        <v>167.120101982069</v>
      </c>
      <c r="AG200" s="50" t="n">
        <f aca="false">IF(AND(ISNUMBER($AE200),ISNUMBER($AF200),$AF200&gt;0),$AE200/$AF200,"")</f>
        <v>1.08155840784058</v>
      </c>
      <c r="AH200" s="48" t="n">
        <f aca="false">IF($U200&gt;=5,SUM(INDEX($AD$170:$AD200,32-5):$AD200),"")</f>
        <v>405085223359</v>
      </c>
      <c r="AI200" s="48" t="n">
        <f aca="false">IF($U200&gt;=STRUCT_S,MAX(INDEX($G$50:$G200,152-STRUCT_S):$G200),"")</f>
        <v>7580</v>
      </c>
      <c r="AJ200" s="48" t="n">
        <f aca="false">IF($U200&gt;=STRUCT_S,MIN(INDEX($H$50:$H200,152-STRUCT_S):$H200),"")</f>
        <v>6569</v>
      </c>
      <c r="AK200" s="48" t="n">
        <f aca="false">IF($U200&gt;=STRUCT_L,MAX(INDEX($G$5:$G200,197-STRUCT_L):$G200),"")</f>
        <v>7732</v>
      </c>
      <c r="AL200" s="48" t="n">
        <f aca="false">IF($U200&gt;=STRUCT_L,MIN(INDEX($H$5:$H200,197-STRUCT_L):$H200),"")</f>
        <v>6569</v>
      </c>
      <c r="AM200" s="46" t="n">
        <f aca="false">IF($A200&lt;&gt;$A201,1,0)</f>
        <v>0</v>
      </c>
      <c r="AN200" s="47" t="str">
        <f aca="false">IF($AM200=1,$A200,"")</f>
        <v/>
      </c>
    </row>
    <row r="201" customFormat="false" ht="15" hidden="false" customHeight="false" outlineLevel="0" collapsed="false">
      <c r="A201" s="43" t="s">
        <v>130</v>
      </c>
      <c r="B201" s="44" t="s">
        <v>132</v>
      </c>
      <c r="C201" s="45" t="n">
        <v>46180</v>
      </c>
      <c r="D201" s="46" t="n">
        <v>20260607</v>
      </c>
      <c r="E201" s="47" t="s">
        <v>484</v>
      </c>
      <c r="F201" s="48" t="n">
        <v>6916</v>
      </c>
      <c r="G201" s="48" t="n">
        <v>6921</v>
      </c>
      <c r="H201" s="48" t="n">
        <v>6758</v>
      </c>
      <c r="I201" s="48" t="n">
        <v>6898</v>
      </c>
      <c r="J201" s="48" t="n">
        <v>6813</v>
      </c>
      <c r="K201" s="48" t="n">
        <v>6781</v>
      </c>
      <c r="L201" s="48" t="n">
        <v>66926497</v>
      </c>
      <c r="M201" s="48" t="n">
        <v>461658976306</v>
      </c>
      <c r="N201" s="48" t="n">
        <v>1959</v>
      </c>
      <c r="O201" s="48" t="n">
        <v>43338190</v>
      </c>
      <c r="P201" s="48" t="n">
        <v>24079125</v>
      </c>
      <c r="Q201" s="48" t="n">
        <v>595</v>
      </c>
      <c r="R201" s="48" t="n">
        <v>1390</v>
      </c>
      <c r="S201" s="48" t="n">
        <v>23588307</v>
      </c>
      <c r="T201" s="48" t="n">
        <v>42847372</v>
      </c>
      <c r="U201" s="46" t="n">
        <f aca="false">IF($A201=$A200,$U200+1,1)</f>
        <v>197</v>
      </c>
      <c r="V201" s="48" t="n">
        <f aca="false">IF($U201&gt;=MA_SHORT,AVERAGE(INDEX($I$5:$I201,198-MA_SHORT):$I201),"")</f>
        <v>6858.1</v>
      </c>
      <c r="W201" s="48" t="n">
        <f aca="false">IF($U201&gt;=MA_MED,AVERAGE(INDEX($I$5:$I201,198-MA_MED):$I201),"")</f>
        <v>7109.14</v>
      </c>
      <c r="X201" s="48" t="n">
        <f aca="false">IF($U201&gt;=MA_LONG1,AVERAGE(INDEX($I$5:$I201,198-MA_LONG1):$I201),"")</f>
        <v>6972.99</v>
      </c>
      <c r="Y201" s="48" t="str">
        <f aca="false">IF($U201&gt;=MA_LONG2,AVERAGE(INDEX($I$5:$I201,198-MA_LONG2):$I201),"")</f>
        <v/>
      </c>
      <c r="Z201" s="48" t="n">
        <f aca="false">IF($U201&gt;=MA_SHORT,AVERAGE(INDEX($L$81:$L201,122-MA_SHORT):$L201),"")</f>
        <v>49281449.65</v>
      </c>
      <c r="AA201" s="48" t="n">
        <f aca="false">IF($U201=1,$G201-$H201,MAX($G201-$H201,ABS($G201-$I200),ABS($H201-$I200)))</f>
        <v>163</v>
      </c>
      <c r="AB201" s="48" t="n">
        <f aca="false">IF($U201&gt;=ATR_PER,AVERAGE(INDEX($AA$81:$AA201,122-ATR_PER):$AA201),"")</f>
        <v>214.285714285714</v>
      </c>
      <c r="AC201" s="48" t="n">
        <f aca="false">$O201-$P201</f>
        <v>19259065</v>
      </c>
      <c r="AD201" s="48" t="n">
        <f aca="false">$AC201*$I201</f>
        <v>132849030370</v>
      </c>
      <c r="AE201" s="49" t="n">
        <f aca="false">IF($Q201&gt;0,$O201*$I201/$Q201/1000000,"")</f>
        <v>502.431654823529</v>
      </c>
      <c r="AF201" s="49" t="n">
        <f aca="false">IF($R201&gt;0,$P201*$I201/$R201/1000000,"")</f>
        <v>119.494823201439</v>
      </c>
      <c r="AG201" s="50" t="n">
        <f aca="false">IF(AND(ISNUMBER($AE201),ISNUMBER($AF201),$AF201&gt;0),$AE201/$AF201,"")</f>
        <v>4.20463114102067</v>
      </c>
      <c r="AH201" s="48" t="n">
        <f aca="false">IF($U201&gt;=5,SUM(INDEX($AD$171:$AD201,32-5):$AD201),"")</f>
        <v>348275798039</v>
      </c>
      <c r="AI201" s="48" t="n">
        <f aca="false">IF($U201&gt;=STRUCT_S,MAX(INDEX($G$51:$G201,152-STRUCT_S):$G201),"")</f>
        <v>7329</v>
      </c>
      <c r="AJ201" s="48" t="n">
        <f aca="false">IF($U201&gt;=STRUCT_S,MIN(INDEX($H$51:$H201,152-STRUCT_S):$H201),"")</f>
        <v>6569</v>
      </c>
      <c r="AK201" s="48" t="n">
        <f aca="false">IF($U201&gt;=STRUCT_L,MAX(INDEX($G$5:$G201,198-STRUCT_L):$G201),"")</f>
        <v>7732</v>
      </c>
      <c r="AL201" s="48" t="n">
        <f aca="false">IF($U201&gt;=STRUCT_L,MIN(INDEX($H$5:$H201,198-STRUCT_L):$H201),"")</f>
        <v>6569</v>
      </c>
      <c r="AM201" s="46" t="n">
        <f aca="false">IF($A201&lt;&gt;$A202,1,0)</f>
        <v>0</v>
      </c>
      <c r="AN201" s="47" t="str">
        <f aca="false">IF($AM201=1,$A201,"")</f>
        <v/>
      </c>
    </row>
    <row r="202" customFormat="false" ht="15" hidden="false" customHeight="false" outlineLevel="0" collapsed="false">
      <c r="A202" s="43" t="s">
        <v>130</v>
      </c>
      <c r="B202" s="44" t="s">
        <v>132</v>
      </c>
      <c r="C202" s="45" t="n">
        <v>46181</v>
      </c>
      <c r="D202" s="46" t="n">
        <v>20260608</v>
      </c>
      <c r="E202" s="47" t="s">
        <v>485</v>
      </c>
      <c r="F202" s="48" t="n">
        <v>6955</v>
      </c>
      <c r="G202" s="48" t="n">
        <v>7104</v>
      </c>
      <c r="H202" s="48" t="n">
        <v>6847</v>
      </c>
      <c r="I202" s="48" t="n">
        <v>7052</v>
      </c>
      <c r="J202" s="48" t="n">
        <v>6916</v>
      </c>
      <c r="K202" s="48" t="n">
        <v>6898</v>
      </c>
      <c r="L202" s="48" t="n">
        <v>48660200</v>
      </c>
      <c r="M202" s="48" t="n">
        <v>343151730400</v>
      </c>
      <c r="N202" s="48" t="n">
        <v>3409</v>
      </c>
      <c r="O202" s="48" t="n">
        <v>28660986</v>
      </c>
      <c r="P202" s="48" t="n">
        <v>20981513</v>
      </c>
      <c r="Q202" s="48" t="n">
        <v>883</v>
      </c>
      <c r="R202" s="48" t="n">
        <v>2324</v>
      </c>
      <c r="S202" s="48" t="n">
        <v>19999214</v>
      </c>
      <c r="T202" s="48" t="n">
        <v>27678687</v>
      </c>
      <c r="U202" s="46" t="n">
        <f aca="false">IF($A202=$A201,$U201+1,1)</f>
        <v>198</v>
      </c>
      <c r="V202" s="48" t="n">
        <f aca="false">IF($U202&gt;=MA_SHORT,AVERAGE(INDEX($I$5:$I202,199-MA_SHORT):$I202),"")</f>
        <v>6850.55</v>
      </c>
      <c r="W202" s="48" t="n">
        <f aca="false">IF($U202&gt;=MA_MED,AVERAGE(INDEX($I$5:$I202,199-MA_MED):$I202),"")</f>
        <v>7106.1</v>
      </c>
      <c r="X202" s="48" t="n">
        <f aca="false">IF($U202&gt;=MA_LONG1,AVERAGE(INDEX($I$5:$I202,199-MA_LONG1):$I202),"")</f>
        <v>6973.04</v>
      </c>
      <c r="Y202" s="48" t="str">
        <f aca="false">IF($U202&gt;=MA_LONG2,AVERAGE(INDEX($I$5:$I202,199-MA_LONG2):$I202),"")</f>
        <v/>
      </c>
      <c r="Z202" s="48" t="n">
        <f aca="false">IF($U202&gt;=MA_SHORT,AVERAGE(INDEX($L$82:$L202,122-MA_SHORT):$L202),"")</f>
        <v>49550959.7</v>
      </c>
      <c r="AA202" s="48" t="n">
        <f aca="false">IF($U202=1,$G202-$H202,MAX($G202-$H202,ABS($G202-$I201),ABS($H202-$I201)))</f>
        <v>257</v>
      </c>
      <c r="AB202" s="48" t="n">
        <f aca="false">IF($U202&gt;=ATR_PER,AVERAGE(INDEX($AA$82:$AA202,122-ATR_PER):$AA202),"")</f>
        <v>210.357142857143</v>
      </c>
      <c r="AC202" s="48" t="n">
        <f aca="false">$O202-$P202</f>
        <v>7679473</v>
      </c>
      <c r="AD202" s="48" t="n">
        <f aca="false">$AC202*$I202</f>
        <v>54155643596</v>
      </c>
      <c r="AE202" s="49" t="n">
        <f aca="false">IF($Q202&gt;0,$O202*$I202/$Q202/1000000,"")</f>
        <v>228.898384226501</v>
      </c>
      <c r="AF202" s="49" t="n">
        <f aca="false">IF($R202&gt;0,$P202*$I202/$R202/1000000,"")</f>
        <v>63.6667941807229</v>
      </c>
      <c r="AG202" s="50" t="n">
        <f aca="false">IF(AND(ISNUMBER($AE202),ISNUMBER($AF202),$AF202&gt;0),$AE202/$AF202,"")</f>
        <v>3.59525537875766</v>
      </c>
      <c r="AH202" s="48" t="n">
        <f aca="false">IF($U202&gt;=5,SUM(INDEX($AD$172:$AD202,32-5):$AD202),"")</f>
        <v>367003047615</v>
      </c>
      <c r="AI202" s="48" t="n">
        <f aca="false">IF($U202&gt;=STRUCT_S,MAX(INDEX($G$52:$G202,152-STRUCT_S):$G202),"")</f>
        <v>7265</v>
      </c>
      <c r="AJ202" s="48" t="n">
        <f aca="false">IF($U202&gt;=STRUCT_S,MIN(INDEX($H$52:$H202,152-STRUCT_S):$H202),"")</f>
        <v>6569</v>
      </c>
      <c r="AK202" s="48" t="n">
        <f aca="false">IF($U202&gt;=STRUCT_L,MAX(INDEX($G$5:$G202,199-STRUCT_L):$G202),"")</f>
        <v>7732</v>
      </c>
      <c r="AL202" s="48" t="n">
        <f aca="false">IF($U202&gt;=STRUCT_L,MIN(INDEX($H$5:$H202,199-STRUCT_L):$H202),"")</f>
        <v>6569</v>
      </c>
      <c r="AM202" s="46" t="n">
        <f aca="false">IF($A202&lt;&gt;$A203,1,0)</f>
        <v>0</v>
      </c>
      <c r="AN202" s="47" t="str">
        <f aca="false">IF($AM202=1,$A202,"")</f>
        <v/>
      </c>
    </row>
    <row r="203" customFormat="false" ht="15" hidden="false" customHeight="false" outlineLevel="0" collapsed="false">
      <c r="A203" s="43" t="s">
        <v>130</v>
      </c>
      <c r="B203" s="44" t="s">
        <v>132</v>
      </c>
      <c r="C203" s="45" t="n">
        <v>46182</v>
      </c>
      <c r="D203" s="46" t="n">
        <v>20260609</v>
      </c>
      <c r="E203" s="47" t="s">
        <v>486</v>
      </c>
      <c r="F203" s="48" t="n">
        <v>6832</v>
      </c>
      <c r="G203" s="48" t="n">
        <v>7179</v>
      </c>
      <c r="H203" s="48" t="n">
        <v>6742</v>
      </c>
      <c r="I203" s="48" t="n">
        <v>6865</v>
      </c>
      <c r="J203" s="48" t="n">
        <v>6970</v>
      </c>
      <c r="K203" s="48" t="n">
        <v>7052</v>
      </c>
      <c r="L203" s="48" t="n">
        <v>51611675</v>
      </c>
      <c r="M203" s="48" t="n">
        <v>354314148875</v>
      </c>
      <c r="N203" s="48" t="n">
        <v>2497</v>
      </c>
      <c r="O203" s="48" t="n">
        <v>26648838</v>
      </c>
      <c r="P203" s="48" t="n">
        <v>23141171</v>
      </c>
      <c r="Q203" s="48" t="n">
        <v>1362</v>
      </c>
      <c r="R203" s="48" t="n">
        <v>781</v>
      </c>
      <c r="S203" s="48" t="n">
        <v>24962837</v>
      </c>
      <c r="T203" s="48" t="n">
        <v>28470504</v>
      </c>
      <c r="U203" s="46" t="n">
        <f aca="false">IF($A203=$A202,$U202+1,1)</f>
        <v>199</v>
      </c>
      <c r="V203" s="48" t="n">
        <f aca="false">IF($U203&gt;=MA_SHORT,AVERAGE(INDEX($I$5:$I203,200-MA_SHORT):$I203),"")</f>
        <v>6843.35</v>
      </c>
      <c r="W203" s="48" t="n">
        <f aca="false">IF($U203&gt;=MA_MED,AVERAGE(INDEX($I$5:$I203,200-MA_MED):$I203),"")</f>
        <v>7096.72</v>
      </c>
      <c r="X203" s="48" t="n">
        <f aca="false">IF($U203&gt;=MA_LONG1,AVERAGE(INDEX($I$5:$I203,200-MA_LONG1):$I203),"")</f>
        <v>6971.6</v>
      </c>
      <c r="Y203" s="48" t="str">
        <f aca="false">IF($U203&gt;=MA_LONG2,AVERAGE(INDEX($I$5:$I203,200-MA_LONG2):$I203),"")</f>
        <v/>
      </c>
      <c r="Z203" s="48" t="n">
        <f aca="false">IF($U203&gt;=MA_SHORT,AVERAGE(INDEX($L$83:$L203,122-MA_SHORT):$L203),"")</f>
        <v>49639212.95</v>
      </c>
      <c r="AA203" s="48" t="n">
        <f aca="false">IF($U203=1,$G203-$H203,MAX($G203-$H203,ABS($G203-$I202),ABS($H203-$I202)))</f>
        <v>437</v>
      </c>
      <c r="AB203" s="48" t="n">
        <f aca="false">IF($U203&gt;=ATR_PER,AVERAGE(INDEX($AA$83:$AA203,122-ATR_PER):$AA203),"")</f>
        <v>226.857142857143</v>
      </c>
      <c r="AC203" s="48" t="n">
        <f aca="false">$O203-$P203</f>
        <v>3507667</v>
      </c>
      <c r="AD203" s="48" t="n">
        <f aca="false">$AC203*$I203</f>
        <v>24080133955</v>
      </c>
      <c r="AE203" s="49" t="n">
        <f aca="false">IF($Q203&gt;0,$O203*$I203/$Q203/1000000,"")</f>
        <v>134.320317819383</v>
      </c>
      <c r="AF203" s="49" t="n">
        <f aca="false">IF($R203&gt;0,$P203*$I203/$R203/1000000,"")</f>
        <v>203.411189391805</v>
      </c>
      <c r="AG203" s="50" t="n">
        <f aca="false">IF(AND(ISNUMBER($AE203),ISNUMBER($AF203),$AF203&gt;0),$AE203/$AF203,"")</f>
        <v>0.660338884114477</v>
      </c>
      <c r="AH203" s="48" t="n">
        <f aca="false">IF($U203&gt;=5,SUM(INDEX($AD$173:$AD203,32-5):$AD203),"")</f>
        <v>300745992881</v>
      </c>
      <c r="AI203" s="48" t="n">
        <f aca="false">IF($U203&gt;=STRUCT_S,MAX(INDEX($G$53:$G203,152-STRUCT_S):$G203),"")</f>
        <v>7179</v>
      </c>
      <c r="AJ203" s="48" t="n">
        <f aca="false">IF($U203&gt;=STRUCT_S,MIN(INDEX($H$53:$H203,152-STRUCT_S):$H203),"")</f>
        <v>6569</v>
      </c>
      <c r="AK203" s="48" t="n">
        <f aca="false">IF($U203&gt;=STRUCT_L,MAX(INDEX($G$5:$G203,200-STRUCT_L):$G203),"")</f>
        <v>7732</v>
      </c>
      <c r="AL203" s="48" t="n">
        <f aca="false">IF($U203&gt;=STRUCT_L,MIN(INDEX($H$5:$H203,200-STRUCT_L):$H203),"")</f>
        <v>6569</v>
      </c>
      <c r="AM203" s="46" t="n">
        <f aca="false">IF($A203&lt;&gt;$A204,1,0)</f>
        <v>0</v>
      </c>
      <c r="AN203" s="47" t="str">
        <f aca="false">IF($AM203=1,$A203,"")</f>
        <v/>
      </c>
    </row>
    <row r="204" customFormat="false" ht="15" hidden="false" customHeight="false" outlineLevel="0" collapsed="false">
      <c r="A204" s="43" t="s">
        <v>130</v>
      </c>
      <c r="B204" s="44" t="s">
        <v>132</v>
      </c>
      <c r="C204" s="45" t="n">
        <v>46183</v>
      </c>
      <c r="D204" s="46" t="n">
        <v>20260610</v>
      </c>
      <c r="E204" s="47" t="s">
        <v>487</v>
      </c>
      <c r="F204" s="48" t="n">
        <v>6934</v>
      </c>
      <c r="G204" s="48" t="n">
        <v>7000</v>
      </c>
      <c r="H204" s="48" t="n">
        <v>6807</v>
      </c>
      <c r="I204" s="48" t="n">
        <v>6941</v>
      </c>
      <c r="J204" s="48" t="n">
        <v>6989</v>
      </c>
      <c r="K204" s="48" t="n">
        <v>6865</v>
      </c>
      <c r="L204" s="48" t="n">
        <v>45762436</v>
      </c>
      <c r="M204" s="48" t="n">
        <v>317637068276</v>
      </c>
      <c r="N204" s="48" t="n">
        <v>3675</v>
      </c>
      <c r="O204" s="48" t="n">
        <v>26511593</v>
      </c>
      <c r="P204" s="48" t="n">
        <v>19490691</v>
      </c>
      <c r="Q204" s="48" t="n">
        <v>787</v>
      </c>
      <c r="R204" s="48" t="n">
        <v>2105</v>
      </c>
      <c r="S204" s="48" t="n">
        <v>19250843</v>
      </c>
      <c r="T204" s="48" t="n">
        <v>26271745</v>
      </c>
      <c r="U204" s="46" t="n">
        <f aca="false">IF($A204=$A203,$U203+1,1)</f>
        <v>200</v>
      </c>
      <c r="V204" s="48" t="n">
        <f aca="false">IF($U204&gt;=MA_SHORT,AVERAGE(INDEX($I$5:$I204,201-MA_SHORT):$I204),"")</f>
        <v>6837.5</v>
      </c>
      <c r="W204" s="48" t="n">
        <f aca="false">IF($U204&gt;=MA_MED,AVERAGE(INDEX($I$5:$I204,201-MA_MED):$I204),"")</f>
        <v>7091.72</v>
      </c>
      <c r="X204" s="48" t="n">
        <f aca="false">IF($U204&gt;=MA_LONG1,AVERAGE(INDEX($I$5:$I204,201-MA_LONG1):$I204),"")</f>
        <v>6972.59</v>
      </c>
      <c r="Y204" s="48" t="n">
        <f aca="false">IF($U204&gt;=MA_LONG2,AVERAGE(INDEX($I$5:$I204,201-MA_LONG2):$I204),"")</f>
        <v>6607.18</v>
      </c>
      <c r="Z204" s="48" t="n">
        <f aca="false">IF($U204&gt;=MA_SHORT,AVERAGE(INDEX($L$84:$L204,122-MA_SHORT):$L204),"")</f>
        <v>49580656</v>
      </c>
      <c r="AA204" s="48" t="n">
        <f aca="false">IF($U204=1,$G204-$H204,MAX($G204-$H204,ABS($G204-$I203),ABS($H204-$I203)))</f>
        <v>193</v>
      </c>
      <c r="AB204" s="48" t="n">
        <f aca="false">IF($U204&gt;=ATR_PER,AVERAGE(INDEX($AA$84:$AA204,122-ATR_PER):$AA204),"")</f>
        <v>231.857142857143</v>
      </c>
      <c r="AC204" s="48" t="n">
        <f aca="false">$O204-$P204</f>
        <v>7020902</v>
      </c>
      <c r="AD204" s="48" t="n">
        <f aca="false">$AC204*$I204</f>
        <v>48732080782</v>
      </c>
      <c r="AE204" s="49" t="n">
        <f aca="false">IF($Q204&gt;0,$O204*$I204/$Q204/1000000,"")</f>
        <v>233.820796712834</v>
      </c>
      <c r="AF204" s="49" t="n">
        <f aca="false">IF($R204&gt;0,$P204*$I204/$R204/1000000,"")</f>
        <v>64.268354504038</v>
      </c>
      <c r="AG204" s="50" t="n">
        <f aca="false">IF(AND(ISNUMBER($AE204),ISNUMBER($AF204),$AF204&gt;0),$AE204/$AF204,"")</f>
        <v>3.63819485526337</v>
      </c>
      <c r="AH204" s="48" t="n">
        <f aca="false">IF($U204&gt;=5,SUM(INDEX($AD$174:$AD204,32-5):$AD204),"")</f>
        <v>324646720575</v>
      </c>
      <c r="AI204" s="48" t="n">
        <f aca="false">IF($U204&gt;=STRUCT_S,MAX(INDEX($G$54:$G204,152-STRUCT_S):$G204),"")</f>
        <v>7179</v>
      </c>
      <c r="AJ204" s="48" t="n">
        <f aca="false">IF($U204&gt;=STRUCT_S,MIN(INDEX($H$54:$H204,152-STRUCT_S):$H204),"")</f>
        <v>6569</v>
      </c>
      <c r="AK204" s="48" t="n">
        <f aca="false">IF($U204&gt;=STRUCT_L,MAX(INDEX($G$5:$G204,201-STRUCT_L):$G204),"")</f>
        <v>7732</v>
      </c>
      <c r="AL204" s="48" t="n">
        <f aca="false">IF($U204&gt;=STRUCT_L,MIN(INDEX($H$5:$H204,201-STRUCT_L):$H204),"")</f>
        <v>6569</v>
      </c>
      <c r="AM204" s="46" t="n">
        <f aca="false">IF($A204&lt;&gt;$A205,1,0)</f>
        <v>0</v>
      </c>
      <c r="AN204" s="47" t="str">
        <f aca="false">IF($AM204=1,$A204,"")</f>
        <v/>
      </c>
    </row>
    <row r="205" customFormat="false" ht="15" hidden="false" customHeight="false" outlineLevel="0" collapsed="false">
      <c r="A205" s="43" t="s">
        <v>130</v>
      </c>
      <c r="B205" s="44" t="s">
        <v>132</v>
      </c>
      <c r="C205" s="45" t="n">
        <v>46186</v>
      </c>
      <c r="D205" s="46" t="n">
        <v>20260613</v>
      </c>
      <c r="E205" s="47" t="s">
        <v>488</v>
      </c>
      <c r="F205" s="48" t="n">
        <v>7014</v>
      </c>
      <c r="G205" s="48" t="n">
        <v>7049</v>
      </c>
      <c r="H205" s="48" t="n">
        <v>6847</v>
      </c>
      <c r="I205" s="48" t="n">
        <v>6954</v>
      </c>
      <c r="J205" s="48" t="n">
        <v>6992</v>
      </c>
      <c r="K205" s="48" t="n">
        <v>6941</v>
      </c>
      <c r="L205" s="48" t="n">
        <v>43394278</v>
      </c>
      <c r="M205" s="48" t="n">
        <v>301763809212</v>
      </c>
      <c r="N205" s="48" t="n">
        <v>1110</v>
      </c>
      <c r="O205" s="48" t="n">
        <v>23322856</v>
      </c>
      <c r="P205" s="48" t="n">
        <v>17040345</v>
      </c>
      <c r="Q205" s="48" t="n">
        <v>304</v>
      </c>
      <c r="R205" s="48" t="n">
        <v>577</v>
      </c>
      <c r="S205" s="48" t="n">
        <v>20071422</v>
      </c>
      <c r="T205" s="48" t="n">
        <v>26353933</v>
      </c>
      <c r="U205" s="46" t="n">
        <f aca="false">IF($A205=$A204,$U204+1,1)</f>
        <v>201</v>
      </c>
      <c r="V205" s="48" t="n">
        <f aca="false">IF($U205&gt;=MA_SHORT,AVERAGE(INDEX($I$5:$I205,202-MA_SHORT):$I205),"")</f>
        <v>6834.55</v>
      </c>
      <c r="W205" s="48" t="n">
        <f aca="false">IF($U205&gt;=MA_MED,AVERAGE(INDEX($I$5:$I205,202-MA_MED):$I205),"")</f>
        <v>7082.82</v>
      </c>
      <c r="X205" s="48" t="n">
        <f aca="false">IF($U205&gt;=MA_LONG1,AVERAGE(INDEX($I$5:$I205,202-MA_LONG1):$I205),"")</f>
        <v>6973.52</v>
      </c>
      <c r="Y205" s="48" t="n">
        <f aca="false">IF($U205&gt;=MA_LONG2,AVERAGE(INDEX($I$5:$I205,202-MA_LONG2):$I205),"")</f>
        <v>6612.67</v>
      </c>
      <c r="Z205" s="48" t="n">
        <f aca="false">IF($U205&gt;=MA_SHORT,AVERAGE(INDEX($L$85:$L205,122-MA_SHORT):$L205),"")</f>
        <v>49522688.5</v>
      </c>
      <c r="AA205" s="48" t="n">
        <f aca="false">IF($U205=1,$G205-$H205,MAX($G205-$H205,ABS($G205-$I204),ABS($H205-$I204)))</f>
        <v>202</v>
      </c>
      <c r="AB205" s="48" t="n">
        <f aca="false">IF($U205&gt;=ATR_PER,AVERAGE(INDEX($AA$85:$AA205,122-ATR_PER):$AA205),"")</f>
        <v>231</v>
      </c>
      <c r="AC205" s="48" t="n">
        <f aca="false">$O205-$P205</f>
        <v>6282511</v>
      </c>
      <c r="AD205" s="48" t="n">
        <f aca="false">$AC205*$I205</f>
        <v>43688581494</v>
      </c>
      <c r="AE205" s="49" t="n">
        <f aca="false">IF($Q205&gt;0,$O205*$I205/$Q205/1000000,"")</f>
        <v>533.510331</v>
      </c>
      <c r="AF205" s="49" t="n">
        <f aca="false">IF($R205&gt;0,$P205*$I205/$R205/1000000,"")</f>
        <v>205.370119809359</v>
      </c>
      <c r="AG205" s="50" t="n">
        <f aca="false">IF(AND(ISNUMBER($AE205),ISNUMBER($AF205),$AF205&gt;0),$AE205/$AF205,"")</f>
        <v>2.59779919053097</v>
      </c>
      <c r="AH205" s="48" t="n">
        <f aca="false">IF($U205&gt;=5,SUM(INDEX($AD$175:$AD205,32-5):$AD205),"")</f>
        <v>303505470197</v>
      </c>
      <c r="AI205" s="48" t="n">
        <f aca="false">IF($U205&gt;=STRUCT_S,MAX(INDEX($G$55:$G205,152-STRUCT_S):$G205),"")</f>
        <v>7179</v>
      </c>
      <c r="AJ205" s="48" t="n">
        <f aca="false">IF($U205&gt;=STRUCT_S,MIN(INDEX($H$55:$H205,152-STRUCT_S):$H205),"")</f>
        <v>6569</v>
      </c>
      <c r="AK205" s="48" t="n">
        <f aca="false">IF($U205&gt;=STRUCT_L,MAX(INDEX($G$5:$G205,202-STRUCT_L):$G205),"")</f>
        <v>7732</v>
      </c>
      <c r="AL205" s="48" t="n">
        <f aca="false">IF($U205&gt;=STRUCT_L,MIN(INDEX($H$5:$H205,202-STRUCT_L):$H205),"")</f>
        <v>6569</v>
      </c>
      <c r="AM205" s="46" t="n">
        <f aca="false">IF($A205&lt;&gt;$A206,1,0)</f>
        <v>0</v>
      </c>
      <c r="AN205" s="47" t="str">
        <f aca="false">IF($AM205=1,$A205,"")</f>
        <v/>
      </c>
    </row>
    <row r="206" customFormat="false" ht="15" hidden="false" customHeight="false" outlineLevel="0" collapsed="false">
      <c r="A206" s="43" t="s">
        <v>130</v>
      </c>
      <c r="B206" s="44" t="s">
        <v>132</v>
      </c>
      <c r="C206" s="45" t="n">
        <v>46187</v>
      </c>
      <c r="D206" s="46" t="n">
        <v>20260614</v>
      </c>
      <c r="E206" s="47" t="s">
        <v>489</v>
      </c>
      <c r="F206" s="48" t="n">
        <v>6941</v>
      </c>
      <c r="G206" s="48" t="n">
        <v>7035</v>
      </c>
      <c r="H206" s="48" t="n">
        <v>6916</v>
      </c>
      <c r="I206" s="48" t="n">
        <v>6996</v>
      </c>
      <c r="J206" s="48" t="n">
        <v>7033</v>
      </c>
      <c r="K206" s="48" t="n">
        <v>6954</v>
      </c>
      <c r="L206" s="48" t="n">
        <v>47376883</v>
      </c>
      <c r="M206" s="48" t="n">
        <v>331448673468</v>
      </c>
      <c r="N206" s="48" t="n">
        <v>1384</v>
      </c>
      <c r="O206" s="48" t="n">
        <v>29628569</v>
      </c>
      <c r="P206" s="48" t="n">
        <v>18965772</v>
      </c>
      <c r="Q206" s="48" t="n">
        <v>403</v>
      </c>
      <c r="R206" s="48" t="n">
        <v>901</v>
      </c>
      <c r="S206" s="48" t="n">
        <v>17748314</v>
      </c>
      <c r="T206" s="48" t="n">
        <v>28411111</v>
      </c>
      <c r="U206" s="46" t="n">
        <f aca="false">IF($A206=$A205,$U205+1,1)</f>
        <v>202</v>
      </c>
      <c r="V206" s="48" t="n">
        <f aca="false">IF($U206&gt;=MA_SHORT,AVERAGE(INDEX($I$5:$I206,203-MA_SHORT):$I206),"")</f>
        <v>6839.7</v>
      </c>
      <c r="W206" s="48" t="n">
        <f aca="false">IF($U206&gt;=MA_MED,AVERAGE(INDEX($I$5:$I206,203-MA_MED):$I206),"")</f>
        <v>7071.04</v>
      </c>
      <c r="X206" s="48" t="n">
        <f aca="false">IF($U206&gt;=MA_LONG1,AVERAGE(INDEX($I$5:$I206,203-MA_LONG1):$I206),"")</f>
        <v>6976.2</v>
      </c>
      <c r="Y206" s="48" t="n">
        <f aca="false">IF($U206&gt;=MA_LONG2,AVERAGE(INDEX($I$5:$I206,203-MA_LONG2):$I206),"")</f>
        <v>6617.975</v>
      </c>
      <c r="Z206" s="48" t="n">
        <f aca="false">IF($U206&gt;=MA_SHORT,AVERAGE(INDEX($L$86:$L206,122-MA_SHORT):$L206),"")</f>
        <v>49525648.65</v>
      </c>
      <c r="AA206" s="48" t="n">
        <f aca="false">IF($U206=1,$G206-$H206,MAX($G206-$H206,ABS($G206-$I205),ABS($H206-$I205)))</f>
        <v>119</v>
      </c>
      <c r="AB206" s="48" t="n">
        <f aca="false">IF($U206&gt;=ATR_PER,AVERAGE(INDEX($AA$86:$AA206,122-ATR_PER):$AA206),"")</f>
        <v>232.357142857143</v>
      </c>
      <c r="AC206" s="48" t="n">
        <f aca="false">$O206-$P206</f>
        <v>10662797</v>
      </c>
      <c r="AD206" s="48" t="n">
        <f aca="false">$AC206*$I206</f>
        <v>74596927812</v>
      </c>
      <c r="AE206" s="49" t="n">
        <f aca="false">IF($Q206&gt;0,$O206*$I206/$Q206/1000000,"")</f>
        <v>514.346076238213</v>
      </c>
      <c r="AF206" s="49" t="n">
        <f aca="false">IF($R206&gt;0,$P206*$I206/$R206/1000000,"")</f>
        <v>147.263641411765</v>
      </c>
      <c r="AG206" s="50" t="n">
        <f aca="false">IF(AND(ISNUMBER($AE206),ISNUMBER($AF206),$AF206&gt;0),$AE206/$AF206,"")</f>
        <v>3.49268883552898</v>
      </c>
      <c r="AH206" s="48" t="n">
        <f aca="false">IF($U206&gt;=5,SUM(INDEX($AD$176:$AD206,32-5):$AD206),"")</f>
        <v>245253367639</v>
      </c>
      <c r="AI206" s="48" t="n">
        <f aca="false">IF($U206&gt;=STRUCT_S,MAX(INDEX($G$56:$G206,152-STRUCT_S):$G206),"")</f>
        <v>7179</v>
      </c>
      <c r="AJ206" s="48" t="n">
        <f aca="false">IF($U206&gt;=STRUCT_S,MIN(INDEX($H$56:$H206,152-STRUCT_S):$H206),"")</f>
        <v>6569</v>
      </c>
      <c r="AK206" s="48" t="n">
        <f aca="false">IF($U206&gt;=STRUCT_L,MAX(INDEX($G$5:$G206,203-STRUCT_L):$G206),"")</f>
        <v>7732</v>
      </c>
      <c r="AL206" s="48" t="n">
        <f aca="false">IF($U206&gt;=STRUCT_L,MIN(INDEX($H$5:$H206,203-STRUCT_L):$H206),"")</f>
        <v>6569</v>
      </c>
      <c r="AM206" s="46" t="n">
        <f aca="false">IF($A206&lt;&gt;$A207,1,0)</f>
        <v>0</v>
      </c>
      <c r="AN206" s="47" t="str">
        <f aca="false">IF($AM206=1,$A206,"")</f>
        <v/>
      </c>
    </row>
    <row r="207" customFormat="false" ht="15" hidden="false" customHeight="false" outlineLevel="0" collapsed="false">
      <c r="A207" s="43" t="s">
        <v>130</v>
      </c>
      <c r="B207" s="44" t="s">
        <v>132</v>
      </c>
      <c r="C207" s="45" t="n">
        <v>46188</v>
      </c>
      <c r="D207" s="46" t="n">
        <v>20260615</v>
      </c>
      <c r="E207" s="47" t="s">
        <v>490</v>
      </c>
      <c r="F207" s="48" t="n">
        <v>6979</v>
      </c>
      <c r="G207" s="48" t="n">
        <v>7018</v>
      </c>
      <c r="H207" s="48" t="n">
        <v>6896</v>
      </c>
      <c r="I207" s="48" t="n">
        <v>6918</v>
      </c>
      <c r="J207" s="48" t="n">
        <v>6911</v>
      </c>
      <c r="K207" s="48" t="n">
        <v>6996</v>
      </c>
      <c r="L207" s="48" t="n">
        <v>63708777</v>
      </c>
      <c r="M207" s="48" t="n">
        <v>440737319286</v>
      </c>
      <c r="N207" s="48" t="n">
        <v>1502</v>
      </c>
      <c r="O207" s="48" t="n">
        <v>38892210</v>
      </c>
      <c r="P207" s="48" t="n">
        <v>25707252</v>
      </c>
      <c r="Q207" s="48" t="n">
        <v>799</v>
      </c>
      <c r="R207" s="48" t="n">
        <v>630</v>
      </c>
      <c r="S207" s="48" t="n">
        <v>24816567</v>
      </c>
      <c r="T207" s="48" t="n">
        <v>38001525</v>
      </c>
      <c r="U207" s="46" t="n">
        <f aca="false">IF($A207=$A206,$U206+1,1)</f>
        <v>203</v>
      </c>
      <c r="V207" s="48" t="n">
        <f aca="false">IF($U207&gt;=MA_SHORT,AVERAGE(INDEX($I$5:$I207,204-MA_SHORT):$I207),"")</f>
        <v>6848.45</v>
      </c>
      <c r="W207" s="48" t="n">
        <f aca="false">IF($U207&gt;=MA_MED,AVERAGE(INDEX($I$5:$I207,204-MA_MED):$I207),"")</f>
        <v>7056.68</v>
      </c>
      <c r="X207" s="48" t="n">
        <f aca="false">IF($U207&gt;=MA_LONG1,AVERAGE(INDEX($I$5:$I207,204-MA_LONG1):$I207),"")</f>
        <v>6978.96</v>
      </c>
      <c r="Y207" s="48" t="n">
        <f aca="false">IF($U207&gt;=MA_LONG2,AVERAGE(INDEX($I$5:$I207,204-MA_LONG2):$I207),"")</f>
        <v>6623.575</v>
      </c>
      <c r="Z207" s="48" t="n">
        <f aca="false">IF($U207&gt;=MA_SHORT,AVERAGE(INDEX($L$87:$L207,122-MA_SHORT):$L207),"")</f>
        <v>49984235.15</v>
      </c>
      <c r="AA207" s="48" t="n">
        <f aca="false">IF($U207=1,$G207-$H207,MAX($G207-$H207,ABS($G207-$I206),ABS($H207-$I206)))</f>
        <v>122</v>
      </c>
      <c r="AB207" s="48" t="n">
        <f aca="false">IF($U207&gt;=ATR_PER,AVERAGE(INDEX($AA$87:$AA207,122-ATR_PER):$AA207),"")</f>
        <v>229.714285714286</v>
      </c>
      <c r="AC207" s="48" t="n">
        <f aca="false">$O207-$P207</f>
        <v>13184958</v>
      </c>
      <c r="AD207" s="48" t="n">
        <f aca="false">$AC207*$I207</f>
        <v>91213539444</v>
      </c>
      <c r="AE207" s="49" t="n">
        <f aca="false">IF($Q207&gt;0,$O207*$I207/$Q207/1000000,"")</f>
        <v>336.74131261577</v>
      </c>
      <c r="AF207" s="49" t="n">
        <f aca="false">IF($R207&gt;0,$P207*$I207/$R207/1000000,"")</f>
        <v>282.290110057143</v>
      </c>
      <c r="AG207" s="50" t="n">
        <f aca="false">IF(AND(ISNUMBER($AE207),ISNUMBER($AF207),$AF207&gt;0),$AE207/$AF207,"")</f>
        <v>1.19289093247937</v>
      </c>
      <c r="AH207" s="48" t="n">
        <f aca="false">IF($U207&gt;=5,SUM(INDEX($AD$177:$AD207,32-5):$AD207),"")</f>
        <v>282311263487</v>
      </c>
      <c r="AI207" s="48" t="n">
        <f aca="false">IF($U207&gt;=STRUCT_S,MAX(INDEX($G$57:$G207,152-STRUCT_S):$G207),"")</f>
        <v>7179</v>
      </c>
      <c r="AJ207" s="48" t="n">
        <f aca="false">IF($U207&gt;=STRUCT_S,MIN(INDEX($H$57:$H207,152-STRUCT_S):$H207),"")</f>
        <v>6569</v>
      </c>
      <c r="AK207" s="48" t="n">
        <f aca="false">IF($U207&gt;=STRUCT_L,MAX(INDEX($G$5:$G207,204-STRUCT_L):$G207),"")</f>
        <v>7732</v>
      </c>
      <c r="AL207" s="48" t="n">
        <f aca="false">IF($U207&gt;=STRUCT_L,MIN(INDEX($H$5:$H207,204-STRUCT_L):$H207),"")</f>
        <v>6569</v>
      </c>
      <c r="AM207" s="46" t="n">
        <f aca="false">IF($A207&lt;&gt;$A208,1,0)</f>
        <v>0</v>
      </c>
      <c r="AN207" s="47" t="str">
        <f aca="false">IF($AM207=1,$A207,"")</f>
        <v/>
      </c>
    </row>
    <row r="208" customFormat="false" ht="15" hidden="false" customHeight="false" outlineLevel="0" collapsed="false">
      <c r="A208" s="43" t="s">
        <v>130</v>
      </c>
      <c r="B208" s="44" t="s">
        <v>132</v>
      </c>
      <c r="C208" s="45" t="n">
        <v>46189</v>
      </c>
      <c r="D208" s="46" t="n">
        <v>20260616</v>
      </c>
      <c r="E208" s="47" t="s">
        <v>491</v>
      </c>
      <c r="F208" s="48" t="n">
        <v>7039</v>
      </c>
      <c r="G208" s="48" t="n">
        <v>7057</v>
      </c>
      <c r="H208" s="48" t="n">
        <v>6829</v>
      </c>
      <c r="I208" s="48" t="n">
        <v>6967</v>
      </c>
      <c r="J208" s="48" t="n">
        <v>7018</v>
      </c>
      <c r="K208" s="48" t="n">
        <v>6918</v>
      </c>
      <c r="L208" s="48" t="n">
        <v>66714152</v>
      </c>
      <c r="M208" s="48" t="n">
        <v>464797496984</v>
      </c>
      <c r="N208" s="48" t="n">
        <v>1509</v>
      </c>
      <c r="O208" s="48" t="n">
        <v>43176846</v>
      </c>
      <c r="P208" s="48" t="n">
        <v>22836834</v>
      </c>
      <c r="Q208" s="48" t="n">
        <v>537</v>
      </c>
      <c r="R208" s="48" t="n">
        <v>968</v>
      </c>
      <c r="S208" s="48" t="n">
        <v>23537306</v>
      </c>
      <c r="T208" s="48" t="n">
        <v>43877318</v>
      </c>
      <c r="U208" s="46" t="n">
        <f aca="false">IF($A208=$A207,$U207+1,1)</f>
        <v>204</v>
      </c>
      <c r="V208" s="48" t="n">
        <f aca="false">IF($U208&gt;=MA_SHORT,AVERAGE(INDEX($I$5:$I208,205-MA_SHORT):$I208),"")</f>
        <v>6854.5</v>
      </c>
      <c r="W208" s="48" t="n">
        <f aca="false">IF($U208&gt;=MA_MED,AVERAGE(INDEX($I$5:$I208,205-MA_MED):$I208),"")</f>
        <v>7045.2</v>
      </c>
      <c r="X208" s="48" t="n">
        <f aca="false">IF($U208&gt;=MA_LONG1,AVERAGE(INDEX($I$5:$I208,205-MA_LONG1):$I208),"")</f>
        <v>6983.06</v>
      </c>
      <c r="Y208" s="48" t="n">
        <f aca="false">IF($U208&gt;=MA_LONG2,AVERAGE(INDEX($I$5:$I208,205-MA_LONG2):$I208),"")</f>
        <v>6630.025</v>
      </c>
      <c r="Z208" s="48" t="n">
        <f aca="false">IF($U208&gt;=MA_SHORT,AVERAGE(INDEX($L$88:$L208,122-MA_SHORT):$L208),"")</f>
        <v>50977694.45</v>
      </c>
      <c r="AA208" s="48" t="n">
        <f aca="false">IF($U208=1,$G208-$H208,MAX($G208-$H208,ABS($G208-$I207),ABS($H208-$I207)))</f>
        <v>228</v>
      </c>
      <c r="AB208" s="48" t="n">
        <f aca="false">IF($U208&gt;=ATR_PER,AVERAGE(INDEX($AA$88:$AA208,122-ATR_PER):$AA208),"")</f>
        <v>215.142857142857</v>
      </c>
      <c r="AC208" s="48" t="n">
        <f aca="false">$O208-$P208</f>
        <v>20340012</v>
      </c>
      <c r="AD208" s="48" t="n">
        <f aca="false">$AC208*$I208</f>
        <v>141708863604</v>
      </c>
      <c r="AE208" s="49" t="n">
        <f aca="false">IF($Q208&gt;0,$O208*$I208/$Q208/1000000,"")</f>
        <v>560.173344659218</v>
      </c>
      <c r="AF208" s="49" t="n">
        <f aca="false">IF($R208&gt;0,$P208*$I208/$R208/1000000,"")</f>
        <v>164.363866196281</v>
      </c>
      <c r="AG208" s="50" t="n">
        <f aca="false">IF(AND(ISNUMBER($AE208),ISNUMBER($AF208),$AF208&gt;0),$AE208/$AF208,"")</f>
        <v>3.40812952154744</v>
      </c>
      <c r="AH208" s="48" t="n">
        <f aca="false">IF($U208&gt;=5,SUM(INDEX($AD$178:$AD208,32-5):$AD208),"")</f>
        <v>399939993136</v>
      </c>
      <c r="AI208" s="48" t="n">
        <f aca="false">IF($U208&gt;=STRUCT_S,MAX(INDEX($G$58:$G208,152-STRUCT_S):$G208),"")</f>
        <v>7179</v>
      </c>
      <c r="AJ208" s="48" t="n">
        <f aca="false">IF($U208&gt;=STRUCT_S,MIN(INDEX($H$58:$H208,152-STRUCT_S):$H208),"")</f>
        <v>6569</v>
      </c>
      <c r="AK208" s="48" t="n">
        <f aca="false">IF($U208&gt;=STRUCT_L,MAX(INDEX($G$5:$G208,205-STRUCT_L):$G208),"")</f>
        <v>7732</v>
      </c>
      <c r="AL208" s="48" t="n">
        <f aca="false">IF($U208&gt;=STRUCT_L,MIN(INDEX($H$5:$H208,205-STRUCT_L):$H208),"")</f>
        <v>6569</v>
      </c>
      <c r="AM208" s="46" t="n">
        <f aca="false">IF($A208&lt;&gt;$A209,1,0)</f>
        <v>0</v>
      </c>
      <c r="AN208" s="47" t="str">
        <f aca="false">IF($AM208=1,$A208,"")</f>
        <v/>
      </c>
    </row>
    <row r="209" customFormat="false" ht="15" hidden="false" customHeight="false" outlineLevel="0" collapsed="false">
      <c r="A209" s="43" t="s">
        <v>130</v>
      </c>
      <c r="B209" s="44" t="s">
        <v>132</v>
      </c>
      <c r="C209" s="45" t="n">
        <v>46190</v>
      </c>
      <c r="D209" s="46" t="n">
        <v>20260617</v>
      </c>
      <c r="E209" s="47" t="s">
        <v>492</v>
      </c>
      <c r="F209" s="48" t="n">
        <v>6951</v>
      </c>
      <c r="G209" s="48" t="n">
        <v>7045</v>
      </c>
      <c r="H209" s="48" t="n">
        <v>6894</v>
      </c>
      <c r="I209" s="48" t="n">
        <v>6972</v>
      </c>
      <c r="J209" s="48" t="n">
        <v>6969</v>
      </c>
      <c r="K209" s="48" t="n">
        <v>6967</v>
      </c>
      <c r="L209" s="48" t="n">
        <v>54227744</v>
      </c>
      <c r="M209" s="48" t="n">
        <v>378075831168</v>
      </c>
      <c r="N209" s="48" t="n">
        <v>1502</v>
      </c>
      <c r="O209" s="48" t="n">
        <v>32696502</v>
      </c>
      <c r="P209" s="48" t="n">
        <v>21235196</v>
      </c>
      <c r="Q209" s="48" t="n">
        <v>514</v>
      </c>
      <c r="R209" s="48" t="n">
        <v>1148</v>
      </c>
      <c r="S209" s="48" t="n">
        <v>21531242</v>
      </c>
      <c r="T209" s="48" t="n">
        <v>32992548</v>
      </c>
      <c r="U209" s="46" t="n">
        <f aca="false">IF($A209=$A208,$U208+1,1)</f>
        <v>205</v>
      </c>
      <c r="V209" s="48" t="n">
        <f aca="false">IF($U209&gt;=MA_SHORT,AVERAGE(INDEX($I$5:$I209,206-MA_SHORT):$I209),"")</f>
        <v>6863.25</v>
      </c>
      <c r="W209" s="48" t="n">
        <f aca="false">IF($U209&gt;=MA_MED,AVERAGE(INDEX($I$5:$I209,206-MA_MED):$I209),"")</f>
        <v>7034.28</v>
      </c>
      <c r="X209" s="48" t="n">
        <f aca="false">IF($U209&gt;=MA_LONG1,AVERAGE(INDEX($I$5:$I209,206-MA_LONG1):$I209),"")</f>
        <v>6987.62</v>
      </c>
      <c r="Y209" s="48" t="n">
        <f aca="false">IF($U209&gt;=MA_LONG2,AVERAGE(INDEX($I$5:$I209,206-MA_LONG2):$I209),"")</f>
        <v>6636.375</v>
      </c>
      <c r="Z209" s="48" t="n">
        <f aca="false">IF($U209&gt;=MA_SHORT,AVERAGE(INDEX($L$89:$L209,122-MA_SHORT):$L209),"")</f>
        <v>51021840.8</v>
      </c>
      <c r="AA209" s="48" t="n">
        <f aca="false">IF($U209=1,$G209-$H209,MAX($G209-$H209,ABS($G209-$I208),ABS($H209-$I208)))</f>
        <v>151</v>
      </c>
      <c r="AB209" s="48" t="n">
        <f aca="false">IF($U209&gt;=ATR_PER,AVERAGE(INDEX($AA$89:$AA209,122-ATR_PER):$AA209),"")</f>
        <v>207.785714285714</v>
      </c>
      <c r="AC209" s="48" t="n">
        <f aca="false">$O209-$P209</f>
        <v>11461306</v>
      </c>
      <c r="AD209" s="48" t="n">
        <f aca="false">$AC209*$I209</f>
        <v>79908225432</v>
      </c>
      <c r="AE209" s="49" t="n">
        <f aca="false">IF($Q209&gt;0,$O209*$I209/$Q209/1000000,"")</f>
        <v>443.501968762646</v>
      </c>
      <c r="AF209" s="49" t="n">
        <f aca="false">IF($R209&gt;0,$P209*$I209/$R209/1000000,"")</f>
        <v>128.964970829268</v>
      </c>
      <c r="AG209" s="50" t="n">
        <f aca="false">IF(AND(ISNUMBER($AE209),ISNUMBER($AF209),$AF209&gt;0),$AE209/$AF209,"")</f>
        <v>3.43893357948943</v>
      </c>
      <c r="AH209" s="48" t="n">
        <f aca="false">IF($U209&gt;=5,SUM(INDEX($AD$179:$AD209,32-5):$AD209),"")</f>
        <v>431116137786</v>
      </c>
      <c r="AI209" s="48" t="n">
        <f aca="false">IF($U209&gt;=STRUCT_S,MAX(INDEX($G$59:$G209,152-STRUCT_S):$G209),"")</f>
        <v>7179</v>
      </c>
      <c r="AJ209" s="48" t="n">
        <f aca="false">IF($U209&gt;=STRUCT_S,MIN(INDEX($H$59:$H209,152-STRUCT_S):$H209),"")</f>
        <v>6569</v>
      </c>
      <c r="AK209" s="48" t="n">
        <f aca="false">IF($U209&gt;=STRUCT_L,MAX(INDEX($G$5:$G209,206-STRUCT_L):$G209),"")</f>
        <v>7732</v>
      </c>
      <c r="AL209" s="48" t="n">
        <f aca="false">IF($U209&gt;=STRUCT_L,MIN(INDEX($H$5:$H209,206-STRUCT_L):$H209),"")</f>
        <v>6569</v>
      </c>
      <c r="AM209" s="46" t="n">
        <f aca="false">IF($A209&lt;&gt;$A210,1,0)</f>
        <v>0</v>
      </c>
      <c r="AN209" s="47" t="str">
        <f aca="false">IF($AM209=1,$A209,"")</f>
        <v/>
      </c>
    </row>
    <row r="210" customFormat="false" ht="15" hidden="false" customHeight="false" outlineLevel="0" collapsed="false">
      <c r="A210" s="43" t="s">
        <v>130</v>
      </c>
      <c r="B210" s="44" t="s">
        <v>132</v>
      </c>
      <c r="C210" s="45" t="n">
        <v>46193</v>
      </c>
      <c r="D210" s="46" t="n">
        <v>20260620</v>
      </c>
      <c r="E210" s="47" t="s">
        <v>493</v>
      </c>
      <c r="F210" s="48" t="n">
        <v>7190</v>
      </c>
      <c r="G210" s="48" t="n">
        <v>7243</v>
      </c>
      <c r="H210" s="48" t="n">
        <v>6888</v>
      </c>
      <c r="I210" s="48" t="n">
        <v>7157</v>
      </c>
      <c r="J210" s="48" t="n">
        <v>7134</v>
      </c>
      <c r="K210" s="48" t="n">
        <v>6972</v>
      </c>
      <c r="L210" s="48" t="n">
        <v>49744004</v>
      </c>
      <c r="M210" s="48" t="n">
        <v>356017836628</v>
      </c>
      <c r="N210" s="48" t="n">
        <v>1266</v>
      </c>
      <c r="O210" s="48" t="n">
        <v>37854668</v>
      </c>
      <c r="P210" s="48" t="n">
        <v>10367597</v>
      </c>
      <c r="Q210" s="48" t="n">
        <v>270</v>
      </c>
      <c r="R210" s="48" t="n">
        <v>550</v>
      </c>
      <c r="S210" s="48" t="n">
        <v>11889336</v>
      </c>
      <c r="T210" s="48" t="n">
        <v>39376407</v>
      </c>
      <c r="U210" s="46" t="n">
        <f aca="false">IF($A210=$A209,$U209+1,1)</f>
        <v>206</v>
      </c>
      <c r="V210" s="48" t="n">
        <f aca="false">IF($U210&gt;=MA_SHORT,AVERAGE(INDEX($I$5:$I210,207-MA_SHORT):$I210),"")</f>
        <v>6883</v>
      </c>
      <c r="W210" s="48" t="n">
        <f aca="false">IF($U210&gt;=MA_MED,AVERAGE(INDEX($I$5:$I210,207-MA_MED):$I210),"")</f>
        <v>7024.74</v>
      </c>
      <c r="X210" s="48" t="n">
        <f aca="false">IF($U210&gt;=MA_LONG1,AVERAGE(INDEX($I$5:$I210,207-MA_LONG1):$I210),"")</f>
        <v>6994.46</v>
      </c>
      <c r="Y210" s="48" t="n">
        <f aca="false">IF($U210&gt;=MA_LONG2,AVERAGE(INDEX($I$5:$I210,207-MA_LONG2):$I210),"")</f>
        <v>6643.885</v>
      </c>
      <c r="Z210" s="48" t="n">
        <f aca="false">IF($U210&gt;=MA_SHORT,AVERAGE(INDEX($L$90:$L210,122-MA_SHORT):$L210),"")</f>
        <v>51124865.25</v>
      </c>
      <c r="AA210" s="48" t="n">
        <f aca="false">IF($U210=1,$G210-$H210,MAX($G210-$H210,ABS($G210-$I209),ABS($H210-$I209)))</f>
        <v>355</v>
      </c>
      <c r="AB210" s="48" t="n">
        <f aca="false">IF($U210&gt;=ATR_PER,AVERAGE(INDEX($AA$90:$AA210,122-ATR_PER):$AA210),"")</f>
        <v>213.357142857143</v>
      </c>
      <c r="AC210" s="48" t="n">
        <f aca="false">$O210-$P210</f>
        <v>27487071</v>
      </c>
      <c r="AD210" s="48" t="n">
        <f aca="false">$AC210*$I210</f>
        <v>196724967147</v>
      </c>
      <c r="AE210" s="49" t="n">
        <f aca="false">IF($Q210&gt;0,$O210*$I210/$Q210/1000000,"")</f>
        <v>1003.42910694815</v>
      </c>
      <c r="AF210" s="49" t="n">
        <f aca="false">IF($R210&gt;0,$P210*$I210/$R210/1000000,"")</f>
        <v>134.910712234545</v>
      </c>
      <c r="AG210" s="50" t="n">
        <f aca="false">IF(AND(ISNUMBER($AE210),ISNUMBER($AF210),$AF210&gt;0),$AE210/$AF210,"")</f>
        <v>7.43772744453134</v>
      </c>
      <c r="AH210" s="48" t="n">
        <f aca="false">IF($U210&gt;=5,SUM(INDEX($AD$180:$AD210,32-5):$AD210),"")</f>
        <v>584152523439</v>
      </c>
      <c r="AI210" s="48" t="n">
        <f aca="false">IF($U210&gt;=STRUCT_S,MAX(INDEX($G$60:$G210,152-STRUCT_S):$G210),"")</f>
        <v>7243</v>
      </c>
      <c r="AJ210" s="48" t="n">
        <f aca="false">IF($U210&gt;=STRUCT_S,MIN(INDEX($H$60:$H210,152-STRUCT_S):$H210),"")</f>
        <v>6569</v>
      </c>
      <c r="AK210" s="48" t="n">
        <f aca="false">IF($U210&gt;=STRUCT_L,MAX(INDEX($G$5:$G210,207-STRUCT_L):$G210),"")</f>
        <v>7732</v>
      </c>
      <c r="AL210" s="48" t="n">
        <f aca="false">IF($U210&gt;=STRUCT_L,MIN(INDEX($H$5:$H210,207-STRUCT_L):$H210),"")</f>
        <v>6569</v>
      </c>
      <c r="AM210" s="46" t="n">
        <f aca="false">IF($A210&lt;&gt;$A211,1,0)</f>
        <v>0</v>
      </c>
      <c r="AN210" s="47" t="str">
        <f aca="false">IF($AM210=1,$A210,"")</f>
        <v/>
      </c>
    </row>
    <row r="211" customFormat="false" ht="15" hidden="false" customHeight="false" outlineLevel="0" collapsed="false">
      <c r="A211" s="43" t="s">
        <v>130</v>
      </c>
      <c r="B211" s="44" t="s">
        <v>132</v>
      </c>
      <c r="C211" s="45" t="n">
        <v>46194</v>
      </c>
      <c r="D211" s="46" t="n">
        <v>20260621</v>
      </c>
      <c r="E211" s="47" t="s">
        <v>494</v>
      </c>
      <c r="F211" s="48" t="n">
        <v>7258</v>
      </c>
      <c r="G211" s="48" t="n">
        <v>7428</v>
      </c>
      <c r="H211" s="48" t="n">
        <v>7110</v>
      </c>
      <c r="I211" s="48" t="n">
        <v>7380</v>
      </c>
      <c r="J211" s="48" t="n">
        <v>7165</v>
      </c>
      <c r="K211" s="48" t="n">
        <v>7157</v>
      </c>
      <c r="L211" s="48" t="n">
        <v>64333757</v>
      </c>
      <c r="M211" s="48" t="n">
        <v>474783126660</v>
      </c>
      <c r="N211" s="48" t="n">
        <v>3066</v>
      </c>
      <c r="O211" s="48" t="n">
        <v>49305803</v>
      </c>
      <c r="P211" s="48" t="n">
        <v>17371027</v>
      </c>
      <c r="Q211" s="48" t="n">
        <v>726</v>
      </c>
      <c r="R211" s="48" t="n">
        <v>2212</v>
      </c>
      <c r="S211" s="48" t="n">
        <v>15027954</v>
      </c>
      <c r="T211" s="48" t="n">
        <v>46962730</v>
      </c>
      <c r="U211" s="46" t="n">
        <f aca="false">IF($A211=$A210,$U210+1,1)</f>
        <v>207</v>
      </c>
      <c r="V211" s="48" t="n">
        <f aca="false">IF($U211&gt;=MA_SHORT,AVERAGE(INDEX($I$5:$I211,208-MA_SHORT):$I211),"")</f>
        <v>6906.25</v>
      </c>
      <c r="W211" s="48" t="n">
        <f aca="false">IF($U211&gt;=MA_MED,AVERAGE(INDEX($I$5:$I211,208-MA_MED):$I211),"")</f>
        <v>7022.24</v>
      </c>
      <c r="X211" s="48" t="n">
        <f aca="false">IF($U211&gt;=MA_LONG1,AVERAGE(INDEX($I$5:$I211,208-MA_LONG1):$I211),"")</f>
        <v>7003.47</v>
      </c>
      <c r="Y211" s="48" t="n">
        <f aca="false">IF($U211&gt;=MA_LONG2,AVERAGE(INDEX($I$5:$I211,208-MA_LONG2):$I211),"")</f>
        <v>6651.725</v>
      </c>
      <c r="Z211" s="48" t="n">
        <f aca="false">IF($U211&gt;=MA_SHORT,AVERAGE(INDEX($L$91:$L211,122-MA_SHORT):$L211),"")</f>
        <v>50783098.75</v>
      </c>
      <c r="AA211" s="48" t="n">
        <f aca="false">IF($U211=1,$G211-$H211,MAX($G211-$H211,ABS($G211-$I210),ABS($H211-$I210)))</f>
        <v>318</v>
      </c>
      <c r="AB211" s="48" t="n">
        <f aca="false">IF($U211&gt;=ATR_PER,AVERAGE(INDEX($AA$91:$AA211,122-ATR_PER):$AA211),"")</f>
        <v>222.071428571429</v>
      </c>
      <c r="AC211" s="48" t="n">
        <f aca="false">$O211-$P211</f>
        <v>31934776</v>
      </c>
      <c r="AD211" s="48" t="n">
        <f aca="false">$AC211*$I211</f>
        <v>235678646880</v>
      </c>
      <c r="AE211" s="49" t="n">
        <f aca="false">IF($Q211&gt;0,$O211*$I211/$Q211/1000000,"")</f>
        <v>501.207749504132</v>
      </c>
      <c r="AF211" s="49" t="n">
        <f aca="false">IF($R211&gt;0,$P211*$I211/$R211/1000000,"")</f>
        <v>57.9557772423146</v>
      </c>
      <c r="AG211" s="50" t="n">
        <f aca="false">IF(AND(ISNUMBER($AE211),ISNUMBER($AF211),$AF211&gt;0),$AE211/$AF211,"")</f>
        <v>8.64810676955585</v>
      </c>
      <c r="AH211" s="48" t="n">
        <f aca="false">IF($U211&gt;=5,SUM(INDEX($AD$181:$AD211,32-5):$AD211),"")</f>
        <v>745234242507</v>
      </c>
      <c r="AI211" s="48" t="n">
        <f aca="false">IF($U211&gt;=STRUCT_S,MAX(INDEX($G$61:$G211,152-STRUCT_S):$G211),"")</f>
        <v>7428</v>
      </c>
      <c r="AJ211" s="48" t="n">
        <f aca="false">IF($U211&gt;=STRUCT_S,MIN(INDEX($H$61:$H211,152-STRUCT_S):$H211),"")</f>
        <v>6569</v>
      </c>
      <c r="AK211" s="48" t="n">
        <f aca="false">IF($U211&gt;=STRUCT_L,MAX(INDEX($G$5:$G211,208-STRUCT_L):$G211),"")</f>
        <v>7732</v>
      </c>
      <c r="AL211" s="48" t="n">
        <f aca="false">IF($U211&gt;=STRUCT_L,MIN(INDEX($H$5:$H211,208-STRUCT_L):$H211),"")</f>
        <v>6569</v>
      </c>
      <c r="AM211" s="46" t="n">
        <f aca="false">IF($A211&lt;&gt;$A212,1,0)</f>
        <v>0</v>
      </c>
      <c r="AN211" s="47" t="str">
        <f aca="false">IF($AM211=1,$A211,"")</f>
        <v/>
      </c>
    </row>
    <row r="212" customFormat="false" ht="15" hidden="false" customHeight="false" outlineLevel="0" collapsed="false">
      <c r="A212" s="43" t="s">
        <v>130</v>
      </c>
      <c r="B212" s="44" t="s">
        <v>132</v>
      </c>
      <c r="C212" s="45" t="n">
        <v>46195</v>
      </c>
      <c r="D212" s="46" t="n">
        <v>20260622</v>
      </c>
      <c r="E212" s="47" t="s">
        <v>495</v>
      </c>
      <c r="F212" s="48" t="n">
        <v>7447</v>
      </c>
      <c r="G212" s="48" t="n">
        <v>7459</v>
      </c>
      <c r="H212" s="48" t="n">
        <v>7320</v>
      </c>
      <c r="I212" s="48" t="n">
        <v>7399</v>
      </c>
      <c r="J212" s="48" t="n">
        <v>7437</v>
      </c>
      <c r="K212" s="48" t="n">
        <v>7380</v>
      </c>
      <c r="L212" s="48" t="n">
        <v>54843623</v>
      </c>
      <c r="M212" s="48" t="n">
        <v>405787966577</v>
      </c>
      <c r="N212" s="48" t="n">
        <v>1355</v>
      </c>
      <c r="O212" s="48" t="n">
        <v>33343029</v>
      </c>
      <c r="P212" s="48" t="n">
        <v>20656455</v>
      </c>
      <c r="Q212" s="48" t="n">
        <v>429</v>
      </c>
      <c r="R212" s="48" t="n">
        <v>834</v>
      </c>
      <c r="S212" s="48" t="n">
        <v>21500594</v>
      </c>
      <c r="T212" s="48" t="n">
        <v>34187168</v>
      </c>
      <c r="U212" s="46" t="n">
        <f aca="false">IF($A212=$A211,$U211+1,1)</f>
        <v>208</v>
      </c>
      <c r="V212" s="48" t="n">
        <f aca="false">IF($U212&gt;=MA_SHORT,AVERAGE(INDEX($I$5:$I212,209-MA_SHORT):$I212),"")</f>
        <v>6930.75</v>
      </c>
      <c r="W212" s="48" t="n">
        <f aca="false">IF($U212&gt;=MA_MED,AVERAGE(INDEX($I$5:$I212,209-MA_MED):$I212),"")</f>
        <v>7018.24</v>
      </c>
      <c r="X212" s="48" t="n">
        <f aca="false">IF($U212&gt;=MA_LONG1,AVERAGE(INDEX($I$5:$I212,209-MA_LONG1):$I212),"")</f>
        <v>7014.75</v>
      </c>
      <c r="Y212" s="48" t="n">
        <f aca="false">IF($U212&gt;=MA_LONG2,AVERAGE(INDEX($I$5:$I212,209-MA_LONG2):$I212),"")</f>
        <v>6659.3</v>
      </c>
      <c r="Z212" s="48" t="n">
        <f aca="false">IF($U212&gt;=MA_SHORT,AVERAGE(INDEX($L$92:$L212,122-MA_SHORT):$L212),"")</f>
        <v>51368507.2</v>
      </c>
      <c r="AA212" s="48" t="n">
        <f aca="false">IF($U212=1,$G212-$H212,MAX($G212-$H212,ABS($G212-$I211),ABS($H212-$I211)))</f>
        <v>139</v>
      </c>
      <c r="AB212" s="48" t="n">
        <f aca="false">IF($U212&gt;=ATR_PER,AVERAGE(INDEX($AA$92:$AA212,122-ATR_PER):$AA212),"")</f>
        <v>208.857142857143</v>
      </c>
      <c r="AC212" s="48" t="n">
        <f aca="false">$O212-$P212</f>
        <v>12686574</v>
      </c>
      <c r="AD212" s="48" t="n">
        <f aca="false">$AC212*$I212</f>
        <v>93867961026</v>
      </c>
      <c r="AE212" s="49" t="n">
        <f aca="false">IF($Q212&gt;0,$O212*$I212/$Q212/1000000,"")</f>
        <v>575.070096902098</v>
      </c>
      <c r="AF212" s="49" t="n">
        <f aca="false">IF($R212&gt;0,$P212*$I212/$R212/1000000,"")</f>
        <v>183.25792631295</v>
      </c>
      <c r="AG212" s="50" t="n">
        <f aca="false">IF(AND(ISNUMBER($AE212),ISNUMBER($AF212),$AF212&gt;0),$AE212/$AF212,"")</f>
        <v>3.13803669217587</v>
      </c>
      <c r="AH212" s="48" t="n">
        <f aca="false">IF($U212&gt;=5,SUM(INDEX($AD$182:$AD212,32-5):$AD212),"")</f>
        <v>747888664089</v>
      </c>
      <c r="AI212" s="48" t="n">
        <f aca="false">IF($U212&gt;=STRUCT_S,MAX(INDEX($G$62:$G212,152-STRUCT_S):$G212),"")</f>
        <v>7459</v>
      </c>
      <c r="AJ212" s="48" t="n">
        <f aca="false">IF($U212&gt;=STRUCT_S,MIN(INDEX($H$62:$H212,152-STRUCT_S):$H212),"")</f>
        <v>6569</v>
      </c>
      <c r="AK212" s="48" t="n">
        <f aca="false">IF($U212&gt;=STRUCT_L,MAX(INDEX($G$5:$G212,209-STRUCT_L):$G212),"")</f>
        <v>7732</v>
      </c>
      <c r="AL212" s="48" t="n">
        <f aca="false">IF($U212&gt;=STRUCT_L,MIN(INDEX($H$5:$H212,209-STRUCT_L):$H212),"")</f>
        <v>6569</v>
      </c>
      <c r="AM212" s="46" t="n">
        <f aca="false">IF($A212&lt;&gt;$A213,1,0)</f>
        <v>0</v>
      </c>
      <c r="AN212" s="47" t="str">
        <f aca="false">IF($AM212=1,$A212,"")</f>
        <v/>
      </c>
    </row>
    <row r="213" customFormat="false" ht="15" hidden="false" customHeight="false" outlineLevel="0" collapsed="false">
      <c r="A213" s="43" t="s">
        <v>130</v>
      </c>
      <c r="B213" s="44" t="s">
        <v>132</v>
      </c>
      <c r="C213" s="45" t="n">
        <v>46196</v>
      </c>
      <c r="D213" s="46" t="n">
        <v>20260623</v>
      </c>
      <c r="E213" s="47" t="s">
        <v>496</v>
      </c>
      <c r="F213" s="48" t="n">
        <v>7411</v>
      </c>
      <c r="G213" s="48" t="n">
        <v>7468</v>
      </c>
      <c r="H213" s="48" t="n">
        <v>7335</v>
      </c>
      <c r="I213" s="48" t="n">
        <v>7404</v>
      </c>
      <c r="J213" s="48" t="n">
        <v>7462</v>
      </c>
      <c r="K213" s="48" t="n">
        <v>7399</v>
      </c>
      <c r="L213" s="48" t="n">
        <v>43086042</v>
      </c>
      <c r="M213" s="48" t="n">
        <v>319009054968</v>
      </c>
      <c r="N213" s="48" t="n">
        <v>1093</v>
      </c>
      <c r="O213" s="48" t="n">
        <v>22487022</v>
      </c>
      <c r="P213" s="48" t="n">
        <v>20441923</v>
      </c>
      <c r="Q213" s="48" t="n">
        <v>339</v>
      </c>
      <c r="R213" s="48" t="n">
        <v>738</v>
      </c>
      <c r="S213" s="48" t="n">
        <v>20599020</v>
      </c>
      <c r="T213" s="48" t="n">
        <v>22644119</v>
      </c>
      <c r="U213" s="46" t="n">
        <f aca="false">IF($A213=$A212,$U212+1,1)</f>
        <v>209</v>
      </c>
      <c r="V213" s="48" t="n">
        <f aca="false">IF($U213&gt;=MA_SHORT,AVERAGE(INDEX($I$5:$I213,210-MA_SHORT):$I213),"")</f>
        <v>6956.55</v>
      </c>
      <c r="W213" s="48" t="n">
        <f aca="false">IF($U213&gt;=MA_MED,AVERAGE(INDEX($I$5:$I213,210-MA_MED):$I213),"")</f>
        <v>7019.34</v>
      </c>
      <c r="X213" s="48" t="n">
        <f aca="false">IF($U213&gt;=MA_LONG1,AVERAGE(INDEX($I$5:$I213,210-MA_LONG1):$I213),"")</f>
        <v>7027.05</v>
      </c>
      <c r="Y213" s="48" t="n">
        <f aca="false">IF($U213&gt;=MA_LONG2,AVERAGE(INDEX($I$5:$I213,210-MA_LONG2):$I213),"")</f>
        <v>6666.67</v>
      </c>
      <c r="Z213" s="48" t="n">
        <f aca="false">IF($U213&gt;=MA_SHORT,AVERAGE(INDEX($L$93:$L213,122-MA_SHORT):$L213),"")</f>
        <v>51338077.25</v>
      </c>
      <c r="AA213" s="48" t="n">
        <f aca="false">IF($U213=1,$G213-$H213,MAX($G213-$H213,ABS($G213-$I212),ABS($H213-$I212)))</f>
        <v>133</v>
      </c>
      <c r="AB213" s="48" t="n">
        <f aca="false">IF($U213&gt;=ATR_PER,AVERAGE(INDEX($AA$93:$AA213,122-ATR_PER):$AA213),"")</f>
        <v>213.714285714286</v>
      </c>
      <c r="AC213" s="48" t="n">
        <f aca="false">$O213-$P213</f>
        <v>2045099</v>
      </c>
      <c r="AD213" s="48" t="n">
        <f aca="false">$AC213*$I213</f>
        <v>15141912996</v>
      </c>
      <c r="AE213" s="49" t="n">
        <f aca="false">IF($Q213&gt;0,$O213*$I213/$Q213/1000000,"")</f>
        <v>491.132480495575</v>
      </c>
      <c r="AF213" s="49" t="n">
        <f aca="false">IF($R213&gt;0,$P213*$I213/$R213/1000000,"")</f>
        <v>205.08400798374</v>
      </c>
      <c r="AG213" s="50" t="n">
        <f aca="false">IF(AND(ISNUMBER($AE213),ISNUMBER($AF213),$AF213&gt;0),$AE213/$AF213,"")</f>
        <v>2.39478682577003</v>
      </c>
      <c r="AH213" s="48" t="n">
        <f aca="false">IF($U213&gt;=5,SUM(INDEX($AD$183:$AD213,32-5):$AD213),"")</f>
        <v>621321713481</v>
      </c>
      <c r="AI213" s="48" t="n">
        <f aca="false">IF($U213&gt;=STRUCT_S,MAX(INDEX($G$63:$G213,152-STRUCT_S):$G213),"")</f>
        <v>7468</v>
      </c>
      <c r="AJ213" s="48" t="n">
        <f aca="false">IF($U213&gt;=STRUCT_S,MIN(INDEX($H$63:$H213,152-STRUCT_S):$H213),"")</f>
        <v>6569</v>
      </c>
      <c r="AK213" s="48" t="n">
        <f aca="false">IF($U213&gt;=STRUCT_L,MAX(INDEX($G$5:$G213,210-STRUCT_L):$G213),"")</f>
        <v>7732</v>
      </c>
      <c r="AL213" s="48" t="n">
        <f aca="false">IF($U213&gt;=STRUCT_L,MIN(INDEX($H$5:$H213,210-STRUCT_L):$H213),"")</f>
        <v>6569</v>
      </c>
      <c r="AM213" s="46" t="n">
        <f aca="false">IF($A213&lt;&gt;$A214,1,0)</f>
        <v>0</v>
      </c>
      <c r="AN213" s="47" t="str">
        <f aca="false">IF($AM213=1,$A213,"")</f>
        <v/>
      </c>
    </row>
    <row r="214" customFormat="false" ht="15" hidden="false" customHeight="false" outlineLevel="0" collapsed="false">
      <c r="A214" s="43" t="s">
        <v>130</v>
      </c>
      <c r="B214" s="44" t="s">
        <v>132</v>
      </c>
      <c r="C214" s="45" t="n">
        <v>46197</v>
      </c>
      <c r="D214" s="46" t="n">
        <v>20260624</v>
      </c>
      <c r="E214" s="47" t="s">
        <v>497</v>
      </c>
      <c r="F214" s="48" t="n">
        <v>7415</v>
      </c>
      <c r="G214" s="48" t="n">
        <v>7545</v>
      </c>
      <c r="H214" s="48" t="n">
        <v>7334</v>
      </c>
      <c r="I214" s="48" t="n">
        <v>7474</v>
      </c>
      <c r="J214" s="48" t="n">
        <v>7444</v>
      </c>
      <c r="K214" s="48" t="n">
        <v>7404</v>
      </c>
      <c r="L214" s="48" t="n">
        <v>54879736</v>
      </c>
      <c r="M214" s="48" t="n">
        <v>410171146864</v>
      </c>
      <c r="N214" s="48" t="n">
        <v>1478</v>
      </c>
      <c r="O214" s="48" t="n">
        <v>34579795</v>
      </c>
      <c r="P214" s="48" t="n">
        <v>19369824</v>
      </c>
      <c r="Q214" s="48" t="n">
        <v>383</v>
      </c>
      <c r="R214" s="48" t="n">
        <v>1150</v>
      </c>
      <c r="S214" s="48" t="n">
        <v>20299941</v>
      </c>
      <c r="T214" s="48" t="n">
        <v>35509912</v>
      </c>
      <c r="U214" s="46" t="n">
        <f aca="false">IF($A214=$A213,$U213+1,1)</f>
        <v>210</v>
      </c>
      <c r="V214" s="48" t="n">
        <f aca="false">IF($U214&gt;=MA_SHORT,AVERAGE(INDEX($I$5:$I214,211-MA_SHORT):$I214),"")</f>
        <v>6993.5</v>
      </c>
      <c r="W214" s="48" t="n">
        <f aca="false">IF($U214&gt;=MA_MED,AVERAGE(INDEX($I$5:$I214,211-MA_MED):$I214),"")</f>
        <v>7024.94</v>
      </c>
      <c r="X214" s="48" t="n">
        <f aca="false">IF($U214&gt;=MA_LONG1,AVERAGE(INDEX($I$5:$I214,211-MA_LONG1):$I214),"")</f>
        <v>7038.9</v>
      </c>
      <c r="Y214" s="48" t="n">
        <f aca="false">IF($U214&gt;=MA_LONG2,AVERAGE(INDEX($I$5:$I214,211-MA_LONG2):$I214),"")</f>
        <v>6674.485</v>
      </c>
      <c r="Z214" s="48" t="n">
        <f aca="false">IF($U214&gt;=MA_SHORT,AVERAGE(INDEX($L$94:$L214,122-MA_SHORT):$L214),"")</f>
        <v>51650505.8</v>
      </c>
      <c r="AA214" s="48" t="n">
        <f aca="false">IF($U214=1,$G214-$H214,MAX($G214-$H214,ABS($G214-$I213),ABS($H214-$I213)))</f>
        <v>211</v>
      </c>
      <c r="AB214" s="48" t="n">
        <f aca="false">IF($U214&gt;=ATR_PER,AVERAGE(INDEX($AA$94:$AA214,122-ATR_PER):$AA214),"")</f>
        <v>216.285714285714</v>
      </c>
      <c r="AC214" s="48" t="n">
        <f aca="false">$O214-$P214</f>
        <v>15209971</v>
      </c>
      <c r="AD214" s="48" t="n">
        <f aca="false">$AC214*$I214</f>
        <v>113679323254</v>
      </c>
      <c r="AE214" s="49" t="n">
        <f aca="false">IF($Q214&gt;0,$O214*$I214/$Q214/1000000,"")</f>
        <v>674.802579190601</v>
      </c>
      <c r="AF214" s="49" t="n">
        <f aca="false">IF($R214&gt;0,$P214*$I214/$R214/1000000,"")</f>
        <v>125.887012674783</v>
      </c>
      <c r="AG214" s="50" t="n">
        <f aca="false">IF(AND(ISNUMBER($AE214),ISNUMBER($AF214),$AF214&gt;0),$AE214/$AF214,"")</f>
        <v>5.36038281354638</v>
      </c>
      <c r="AH214" s="48" t="n">
        <f aca="false">IF($U214&gt;=5,SUM(INDEX($AD$184:$AD214,32-5):$AD214),"")</f>
        <v>655092811303</v>
      </c>
      <c r="AI214" s="48" t="n">
        <f aca="false">IF($U214&gt;=STRUCT_S,MAX(INDEX($G$64:$G214,152-STRUCT_S):$G214),"")</f>
        <v>7545</v>
      </c>
      <c r="AJ214" s="48" t="n">
        <f aca="false">IF($U214&gt;=STRUCT_S,MIN(INDEX($H$64:$H214,152-STRUCT_S):$H214),"")</f>
        <v>6569</v>
      </c>
      <c r="AK214" s="48" t="n">
        <f aca="false">IF($U214&gt;=STRUCT_L,MAX(INDEX($G$5:$G214,211-STRUCT_L):$G214),"")</f>
        <v>7732</v>
      </c>
      <c r="AL214" s="48" t="n">
        <f aca="false">IF($U214&gt;=STRUCT_L,MIN(INDEX($H$5:$H214,211-STRUCT_L):$H214),"")</f>
        <v>6569</v>
      </c>
      <c r="AM214" s="46" t="n">
        <f aca="false">IF($A214&lt;&gt;$A215,1,0)</f>
        <v>0</v>
      </c>
      <c r="AN214" s="47" t="str">
        <f aca="false">IF($AM214=1,$A214,"")</f>
        <v/>
      </c>
    </row>
    <row r="215" customFormat="false" ht="15" hidden="false" customHeight="false" outlineLevel="0" collapsed="false">
      <c r="A215" s="43" t="s">
        <v>130</v>
      </c>
      <c r="B215" s="44" t="s">
        <v>132</v>
      </c>
      <c r="C215" s="45" t="n">
        <v>46200</v>
      </c>
      <c r="D215" s="46" t="n">
        <v>20260627</v>
      </c>
      <c r="E215" s="47" t="s">
        <v>498</v>
      </c>
      <c r="F215" s="48" t="n">
        <v>7497</v>
      </c>
      <c r="G215" s="48" t="n">
        <v>7582</v>
      </c>
      <c r="H215" s="48" t="n">
        <v>7272</v>
      </c>
      <c r="I215" s="48" t="n">
        <v>7378</v>
      </c>
      <c r="J215" s="48" t="n">
        <v>7519</v>
      </c>
      <c r="K215" s="48" t="n">
        <v>7474</v>
      </c>
      <c r="L215" s="48" t="n">
        <v>67793744</v>
      </c>
      <c r="M215" s="48" t="n">
        <v>500182243232</v>
      </c>
      <c r="N215" s="48" t="n">
        <v>2423</v>
      </c>
      <c r="O215" s="48" t="n">
        <v>34343155</v>
      </c>
      <c r="P215" s="48" t="n">
        <v>33607158</v>
      </c>
      <c r="Q215" s="48" t="n">
        <v>1091</v>
      </c>
      <c r="R215" s="48" t="n">
        <v>619</v>
      </c>
      <c r="S215" s="48" t="n">
        <v>33450589</v>
      </c>
      <c r="T215" s="48" t="n">
        <v>34186586</v>
      </c>
      <c r="U215" s="46" t="n">
        <f aca="false">IF($A215=$A214,$U214+1,1)</f>
        <v>211</v>
      </c>
      <c r="V215" s="48" t="n">
        <f aca="false">IF($U215&gt;=MA_SHORT,AVERAGE(INDEX($I$5:$I215,212-MA_SHORT):$I215),"")</f>
        <v>7029.6</v>
      </c>
      <c r="W215" s="48" t="n">
        <f aca="false">IF($U215&gt;=MA_MED,AVERAGE(INDEX($I$5:$I215,212-MA_MED):$I215),"")</f>
        <v>7028.08</v>
      </c>
      <c r="X215" s="48" t="n">
        <f aca="false">IF($U215&gt;=MA_LONG1,AVERAGE(INDEX($I$5:$I215,212-MA_LONG1):$I215),"")</f>
        <v>7050.13</v>
      </c>
      <c r="Y215" s="48" t="n">
        <f aca="false">IF($U215&gt;=MA_LONG2,AVERAGE(INDEX($I$5:$I215,212-MA_LONG2):$I215),"")</f>
        <v>6681.905</v>
      </c>
      <c r="Z215" s="48" t="n">
        <f aca="false">IF($U215&gt;=MA_SHORT,AVERAGE(INDEX($L$95:$L215,122-MA_SHORT):$L215),"")</f>
        <v>52743585.9</v>
      </c>
      <c r="AA215" s="48" t="n">
        <f aca="false">IF($U215=1,$G215-$H215,MAX($G215-$H215,ABS($G215-$I214),ABS($H215-$I214)))</f>
        <v>310</v>
      </c>
      <c r="AB215" s="48" t="n">
        <f aca="false">IF($U215&gt;=ATR_PER,AVERAGE(INDEX($AA$95:$AA215,122-ATR_PER):$AA215),"")</f>
        <v>226.785714285714</v>
      </c>
      <c r="AC215" s="48" t="n">
        <f aca="false">$O215-$P215</f>
        <v>735997</v>
      </c>
      <c r="AD215" s="48" t="n">
        <f aca="false">$AC215*$I215</f>
        <v>5430185866</v>
      </c>
      <c r="AE215" s="49" t="n">
        <f aca="false">IF($Q215&gt;0,$O215*$I215/$Q215/1000000,"")</f>
        <v>232.249127030247</v>
      </c>
      <c r="AF215" s="49" t="n">
        <f aca="false">IF($R215&gt;0,$P215*$I215/$R215/1000000,"")</f>
        <v>400.571262882068</v>
      </c>
      <c r="AG215" s="50" t="n">
        <f aca="false">IF(AND(ISNUMBER($AE215),ISNUMBER($AF215),$AF215&gt;0),$AE215/$AF215,"")</f>
        <v>0.579794779483779</v>
      </c>
      <c r="AH215" s="48" t="n">
        <f aca="false">IF($U215&gt;=5,SUM(INDEX($AD$185:$AD215,32-5):$AD215),"")</f>
        <v>463798030022</v>
      </c>
      <c r="AI215" s="48" t="n">
        <f aca="false">IF($U215&gt;=STRUCT_S,MAX(INDEX($G$65:$G215,152-STRUCT_S):$G215),"")</f>
        <v>7582</v>
      </c>
      <c r="AJ215" s="48" t="n">
        <f aca="false">IF($U215&gt;=STRUCT_S,MIN(INDEX($H$65:$H215,152-STRUCT_S):$H215),"")</f>
        <v>6576</v>
      </c>
      <c r="AK215" s="48" t="n">
        <f aca="false">IF($U215&gt;=STRUCT_L,MAX(INDEX($G$5:$G215,212-STRUCT_L):$G215),"")</f>
        <v>7732</v>
      </c>
      <c r="AL215" s="48" t="n">
        <f aca="false">IF($U215&gt;=STRUCT_L,MIN(INDEX($H$5:$H215,212-STRUCT_L):$H215),"")</f>
        <v>6569</v>
      </c>
      <c r="AM215" s="46" t="n">
        <f aca="false">IF($A215&lt;&gt;$A216,1,0)</f>
        <v>0</v>
      </c>
      <c r="AN215" s="47" t="str">
        <f aca="false">IF($AM215=1,$A215,"")</f>
        <v/>
      </c>
    </row>
    <row r="216" customFormat="false" ht="15" hidden="false" customHeight="false" outlineLevel="0" collapsed="false">
      <c r="A216" s="43" t="s">
        <v>130</v>
      </c>
      <c r="B216" s="44" t="s">
        <v>132</v>
      </c>
      <c r="C216" s="45" t="n">
        <v>46201</v>
      </c>
      <c r="D216" s="46" t="n">
        <v>20260628</v>
      </c>
      <c r="E216" s="47" t="s">
        <v>499</v>
      </c>
      <c r="F216" s="48" t="n">
        <v>7362</v>
      </c>
      <c r="G216" s="48" t="n">
        <v>7550</v>
      </c>
      <c r="H216" s="48" t="n">
        <v>7295</v>
      </c>
      <c r="I216" s="48" t="n">
        <v>7466</v>
      </c>
      <c r="J216" s="48" t="n">
        <v>7536</v>
      </c>
      <c r="K216" s="48" t="n">
        <v>7378</v>
      </c>
      <c r="L216" s="48" t="n">
        <v>58198618</v>
      </c>
      <c r="M216" s="48" t="n">
        <v>434510881988</v>
      </c>
      <c r="N216" s="48" t="n">
        <v>3712</v>
      </c>
      <c r="O216" s="48" t="n">
        <v>37057488</v>
      </c>
      <c r="P216" s="48" t="n">
        <v>22341274</v>
      </c>
      <c r="Q216" s="48" t="n">
        <v>940</v>
      </c>
      <c r="R216" s="48" t="n">
        <v>2757</v>
      </c>
      <c r="S216" s="48" t="n">
        <v>21141130</v>
      </c>
      <c r="T216" s="48" t="n">
        <v>35857344</v>
      </c>
      <c r="U216" s="46" t="n">
        <f aca="false">IF($A216=$A215,$U215+1,1)</f>
        <v>212</v>
      </c>
      <c r="V216" s="48" t="n">
        <f aca="false">IF($U216&gt;=MA_SHORT,AVERAGE(INDEX($I$5:$I216,213-MA_SHORT):$I216),"")</f>
        <v>7063</v>
      </c>
      <c r="W216" s="48" t="n">
        <f aca="false">IF($U216&gt;=MA_MED,AVERAGE(INDEX($I$5:$I216,213-MA_MED):$I216),"")</f>
        <v>7034.06</v>
      </c>
      <c r="X216" s="48" t="n">
        <f aca="false">IF($U216&gt;=MA_LONG1,AVERAGE(INDEX($I$5:$I216,213-MA_LONG1):$I216),"")</f>
        <v>7062</v>
      </c>
      <c r="Y216" s="48" t="n">
        <f aca="false">IF($U216&gt;=MA_LONG2,AVERAGE(INDEX($I$5:$I216,213-MA_LONG2):$I216),"")</f>
        <v>6689.19</v>
      </c>
      <c r="Z216" s="48" t="n">
        <f aca="false">IF($U216&gt;=MA_SHORT,AVERAGE(INDEX($L$96:$L216,122-MA_SHORT):$L216),"")</f>
        <v>53233266.85</v>
      </c>
      <c r="AA216" s="48" t="n">
        <f aca="false">IF($U216=1,$G216-$H216,MAX($G216-$H216,ABS($G216-$I215),ABS($H216-$I215)))</f>
        <v>255</v>
      </c>
      <c r="AB216" s="48" t="n">
        <f aca="false">IF($U216&gt;=ATR_PER,AVERAGE(INDEX($AA$96:$AA216,122-ATR_PER):$AA216),"")</f>
        <v>226.642857142857</v>
      </c>
      <c r="AC216" s="48" t="n">
        <f aca="false">$O216-$P216</f>
        <v>14716214</v>
      </c>
      <c r="AD216" s="48" t="n">
        <f aca="false">$AC216*$I216</f>
        <v>109871253724</v>
      </c>
      <c r="AE216" s="49" t="n">
        <f aca="false">IF($Q216&gt;0,$O216*$I216/$Q216/1000000,"")</f>
        <v>294.331069582979</v>
      </c>
      <c r="AF216" s="49" t="n">
        <f aca="false">IF($R216&gt;0,$P216*$I216/$R216/1000000,"")</f>
        <v>60.5005265447951</v>
      </c>
      <c r="AG216" s="50" t="n">
        <f aca="false">IF(AND(ISNUMBER($AE216),ISNUMBER($AF216),$AF216&gt;0),$AE216/$AF216,"")</f>
        <v>4.86493401615362</v>
      </c>
      <c r="AH216" s="48" t="n">
        <f aca="false">IF($U216&gt;=5,SUM(INDEX($AD$186:$AD216,32-5):$AD216),"")</f>
        <v>337990636866</v>
      </c>
      <c r="AI216" s="48" t="n">
        <f aca="false">IF($U216&gt;=STRUCT_S,MAX(INDEX($G$66:$G216,152-STRUCT_S):$G216),"")</f>
        <v>7582</v>
      </c>
      <c r="AJ216" s="48" t="n">
        <f aca="false">IF($U216&gt;=STRUCT_S,MIN(INDEX($H$66:$H216,152-STRUCT_S):$H216),"")</f>
        <v>6576</v>
      </c>
      <c r="AK216" s="48" t="n">
        <f aca="false">IF($U216&gt;=STRUCT_L,MAX(INDEX($G$5:$G216,213-STRUCT_L):$G216),"")</f>
        <v>7732</v>
      </c>
      <c r="AL216" s="48" t="n">
        <f aca="false">IF($U216&gt;=STRUCT_L,MIN(INDEX($H$5:$H216,213-STRUCT_L):$H216),"")</f>
        <v>6569</v>
      </c>
      <c r="AM216" s="46" t="n">
        <f aca="false">IF($A216&lt;&gt;$A217,1,0)</f>
        <v>0</v>
      </c>
      <c r="AN216" s="47" t="str">
        <f aca="false">IF($AM216=1,$A216,"")</f>
        <v/>
      </c>
    </row>
    <row r="217" customFormat="false" ht="15" hidden="false" customHeight="false" outlineLevel="0" collapsed="false">
      <c r="A217" s="43" t="s">
        <v>130</v>
      </c>
      <c r="B217" s="44" t="s">
        <v>132</v>
      </c>
      <c r="C217" s="45" t="n">
        <v>46202</v>
      </c>
      <c r="D217" s="46" t="n">
        <v>20260629</v>
      </c>
      <c r="E217" s="47" t="s">
        <v>500</v>
      </c>
      <c r="F217" s="48" t="n">
        <v>7519</v>
      </c>
      <c r="G217" s="48" t="n">
        <v>7665</v>
      </c>
      <c r="H217" s="48" t="n">
        <v>7375</v>
      </c>
      <c r="I217" s="48" t="n">
        <v>7573</v>
      </c>
      <c r="J217" s="48" t="n">
        <v>7561</v>
      </c>
      <c r="K217" s="48" t="n">
        <v>7466</v>
      </c>
      <c r="L217" s="48" t="n">
        <v>46602050</v>
      </c>
      <c r="M217" s="48" t="n">
        <v>352917324650</v>
      </c>
      <c r="N217" s="48" t="n">
        <v>4474</v>
      </c>
      <c r="O217" s="48" t="n">
        <v>32533905</v>
      </c>
      <c r="P217" s="48" t="n">
        <v>14004472</v>
      </c>
      <c r="Q217" s="48" t="n">
        <v>1429</v>
      </c>
      <c r="R217" s="48" t="n">
        <v>2262</v>
      </c>
      <c r="S217" s="48" t="n">
        <v>14068145</v>
      </c>
      <c r="T217" s="48" t="n">
        <v>32597578</v>
      </c>
      <c r="U217" s="46" t="n">
        <f aca="false">IF($A217=$A216,$U216+1,1)</f>
        <v>213</v>
      </c>
      <c r="V217" s="48" t="n">
        <f aca="false">IF($U217&gt;=MA_SHORT,AVERAGE(INDEX($I$5:$I217,214-MA_SHORT):$I217),"")</f>
        <v>7108.4</v>
      </c>
      <c r="W217" s="48" t="n">
        <f aca="false">IF($U217&gt;=MA_MED,AVERAGE(INDEX($I$5:$I217,214-MA_MED):$I217),"")</f>
        <v>7044</v>
      </c>
      <c r="X217" s="48" t="n">
        <f aca="false">IF($U217&gt;=MA_LONG1,AVERAGE(INDEX($I$5:$I217,214-MA_LONG1):$I217),"")</f>
        <v>7073.52</v>
      </c>
      <c r="Y217" s="48" t="n">
        <f aca="false">IF($U217&gt;=MA_LONG2,AVERAGE(INDEX($I$5:$I217,214-MA_LONG2):$I217),"")</f>
        <v>6697.13</v>
      </c>
      <c r="Z217" s="48" t="n">
        <f aca="false">IF($U217&gt;=MA_SHORT,AVERAGE(INDEX($L$97:$L217,122-MA_SHORT):$L217),"")</f>
        <v>53165899.95</v>
      </c>
      <c r="AA217" s="48" t="n">
        <f aca="false">IF($U217=1,$G217-$H217,MAX($G217-$H217,ABS($G217-$I216),ABS($H217-$I216)))</f>
        <v>290</v>
      </c>
      <c r="AB217" s="48" t="n">
        <f aca="false">IF($U217&gt;=ATR_PER,AVERAGE(INDEX($AA$97:$AA217,122-ATR_PER):$AA217),"")</f>
        <v>216.142857142857</v>
      </c>
      <c r="AC217" s="48" t="n">
        <f aca="false">$O217-$P217</f>
        <v>18529433</v>
      </c>
      <c r="AD217" s="48" t="n">
        <f aca="false">$AC217*$I217</f>
        <v>140323396109</v>
      </c>
      <c r="AE217" s="49" t="n">
        <f aca="false">IF($Q217&gt;0,$O217*$I217/$Q217/1000000,"")</f>
        <v>172.4137596676</v>
      </c>
      <c r="AF217" s="49" t="n">
        <f aca="false">IF($R217&gt;0,$P217*$I217/$R217/1000000,"")</f>
        <v>46.8858826065429</v>
      </c>
      <c r="AG217" s="50" t="n">
        <f aca="false">IF(AND(ISNUMBER($AE217),ISNUMBER($AF217),$AF217&gt;0),$AE217/$AF217,"")</f>
        <v>3.67730647441282</v>
      </c>
      <c r="AH217" s="48" t="n">
        <f aca="false">IF($U217&gt;=5,SUM(INDEX($AD$187:$AD217,32-5):$AD217),"")</f>
        <v>384446071949</v>
      </c>
      <c r="AI217" s="48" t="n">
        <f aca="false">IF($U217&gt;=STRUCT_S,MAX(INDEX($G$67:$G217,152-STRUCT_S):$G217),"")</f>
        <v>7665</v>
      </c>
      <c r="AJ217" s="48" t="n">
        <f aca="false">IF($U217&gt;=STRUCT_S,MIN(INDEX($H$67:$H217,152-STRUCT_S):$H217),"")</f>
        <v>6576</v>
      </c>
      <c r="AK217" s="48" t="n">
        <f aca="false">IF($U217&gt;=STRUCT_L,MAX(INDEX($G$5:$G217,214-STRUCT_L):$G217),"")</f>
        <v>7732</v>
      </c>
      <c r="AL217" s="48" t="n">
        <f aca="false">IF($U217&gt;=STRUCT_L,MIN(INDEX($H$5:$H217,214-STRUCT_L):$H217),"")</f>
        <v>6569</v>
      </c>
      <c r="AM217" s="46" t="n">
        <f aca="false">IF($A217&lt;&gt;$A218,1,0)</f>
        <v>0</v>
      </c>
      <c r="AN217" s="47" t="str">
        <f aca="false">IF($AM217=1,$A217,"")</f>
        <v/>
      </c>
    </row>
    <row r="218" customFormat="false" ht="15" hidden="false" customHeight="false" outlineLevel="0" collapsed="false">
      <c r="A218" s="43" t="s">
        <v>130</v>
      </c>
      <c r="B218" s="44" t="s">
        <v>132</v>
      </c>
      <c r="C218" s="45" t="n">
        <v>46203</v>
      </c>
      <c r="D218" s="46" t="n">
        <v>20260630</v>
      </c>
      <c r="E218" s="47" t="s">
        <v>501</v>
      </c>
      <c r="F218" s="48" t="n">
        <v>7599</v>
      </c>
      <c r="G218" s="48" t="n">
        <v>7658</v>
      </c>
      <c r="H218" s="48" t="n">
        <v>7451</v>
      </c>
      <c r="I218" s="48" t="n">
        <v>7535</v>
      </c>
      <c r="J218" s="48" t="n">
        <v>7545</v>
      </c>
      <c r="K218" s="48" t="n">
        <v>7573</v>
      </c>
      <c r="L218" s="48" t="n">
        <v>45872863</v>
      </c>
      <c r="M218" s="48" t="n">
        <v>345652022705</v>
      </c>
      <c r="N218" s="48" t="n">
        <v>2313</v>
      </c>
      <c r="O218" s="48" t="n">
        <v>25916975</v>
      </c>
      <c r="P218" s="48" t="n">
        <v>20484742</v>
      </c>
      <c r="Q218" s="48" t="n">
        <v>1582</v>
      </c>
      <c r="R218" s="48" t="n">
        <v>642</v>
      </c>
      <c r="S218" s="48" t="n">
        <v>19955888</v>
      </c>
      <c r="T218" s="48" t="n">
        <v>25388121</v>
      </c>
      <c r="U218" s="46" t="n">
        <f aca="false">IF($A218=$A217,$U217+1,1)</f>
        <v>214</v>
      </c>
      <c r="V218" s="48" t="n">
        <f aca="false">IF($U218&gt;=MA_SHORT,AVERAGE(INDEX($I$5:$I218,215-MA_SHORT):$I218),"")</f>
        <v>7144.7</v>
      </c>
      <c r="W218" s="48" t="n">
        <f aca="false">IF($U218&gt;=MA_MED,AVERAGE(INDEX($I$5:$I218,215-MA_MED):$I218),"")</f>
        <v>7052.36</v>
      </c>
      <c r="X218" s="48" t="n">
        <f aca="false">IF($U218&gt;=MA_LONG1,AVERAGE(INDEX($I$5:$I218,215-MA_LONG1):$I218),"")</f>
        <v>7084.02</v>
      </c>
      <c r="Y218" s="48" t="n">
        <f aca="false">IF($U218&gt;=MA_LONG2,AVERAGE(INDEX($I$5:$I218,215-MA_LONG2):$I218),"")</f>
        <v>6704.815</v>
      </c>
      <c r="Z218" s="48" t="n">
        <f aca="false">IF($U218&gt;=MA_SHORT,AVERAGE(INDEX($L$98:$L218,122-MA_SHORT):$L218),"")</f>
        <v>53035800.95</v>
      </c>
      <c r="AA218" s="48" t="n">
        <f aca="false">IF($U218=1,$G218-$H218,MAX($G218-$H218,ABS($G218-$I217),ABS($H218-$I217)))</f>
        <v>207</v>
      </c>
      <c r="AB218" s="48" t="n">
        <f aca="false">IF($U218&gt;=ATR_PER,AVERAGE(INDEX($AA$98:$AA218,122-ATR_PER):$AA218),"")</f>
        <v>217.142857142857</v>
      </c>
      <c r="AC218" s="48" t="n">
        <f aca="false">$O218-$P218</f>
        <v>5432233</v>
      </c>
      <c r="AD218" s="48" t="n">
        <f aca="false">$AC218*$I218</f>
        <v>40931875655</v>
      </c>
      <c r="AE218" s="49" t="n">
        <f aca="false">IF($Q218&gt;0,$O218*$I218/$Q218/1000000,"")</f>
        <v>123.441470685841</v>
      </c>
      <c r="AF218" s="49" t="n">
        <f aca="false">IF($R218&gt;0,$P218*$I218/$R218/1000000,"")</f>
        <v>240.424503068536</v>
      </c>
      <c r="AG218" s="50" t="n">
        <f aca="false">IF(AND(ISNUMBER($AE218),ISNUMBER($AF218),$AF218&gt;0),$AE218/$AF218,"")</f>
        <v>0.513431322973983</v>
      </c>
      <c r="AH218" s="48" t="n">
        <f aca="false">IF($U218&gt;=5,SUM(INDEX($AD$188:$AD218,32-5):$AD218),"")</f>
        <v>410236034608</v>
      </c>
      <c r="AI218" s="48" t="n">
        <f aca="false">IF($U218&gt;=STRUCT_S,MAX(INDEX($G$68:$G218,152-STRUCT_S):$G218),"")</f>
        <v>7665</v>
      </c>
      <c r="AJ218" s="48" t="n">
        <f aca="false">IF($U218&gt;=STRUCT_S,MIN(INDEX($H$68:$H218,152-STRUCT_S):$H218),"")</f>
        <v>6695</v>
      </c>
      <c r="AK218" s="48" t="n">
        <f aca="false">IF($U218&gt;=STRUCT_L,MAX(INDEX($G$5:$G218,215-STRUCT_L):$G218),"")</f>
        <v>7732</v>
      </c>
      <c r="AL218" s="48" t="n">
        <f aca="false">IF($U218&gt;=STRUCT_L,MIN(INDEX($H$5:$H218,215-STRUCT_L):$H218),"")</f>
        <v>6569</v>
      </c>
      <c r="AM218" s="46" t="n">
        <f aca="false">IF($A218&lt;&gt;$A219,1,0)</f>
        <v>0</v>
      </c>
      <c r="AN218" s="47" t="str">
        <f aca="false">IF($AM218=1,$A218,"")</f>
        <v/>
      </c>
    </row>
    <row r="219" customFormat="false" ht="15" hidden="false" customHeight="false" outlineLevel="0" collapsed="false">
      <c r="A219" s="43" t="s">
        <v>130</v>
      </c>
      <c r="B219" s="44" t="s">
        <v>132</v>
      </c>
      <c r="C219" s="45" t="n">
        <v>46204</v>
      </c>
      <c r="D219" s="46" t="n">
        <v>20260701</v>
      </c>
      <c r="E219" s="47" t="s">
        <v>502</v>
      </c>
      <c r="F219" s="48" t="n">
        <v>7433</v>
      </c>
      <c r="G219" s="48" t="n">
        <v>7691</v>
      </c>
      <c r="H219" s="48" t="n">
        <v>7242</v>
      </c>
      <c r="I219" s="48" t="n">
        <v>7395</v>
      </c>
      <c r="J219" s="48" t="n">
        <v>7331</v>
      </c>
      <c r="K219" s="48" t="n">
        <v>7535</v>
      </c>
      <c r="L219" s="48" t="n">
        <v>47695876</v>
      </c>
      <c r="M219" s="48" t="n">
        <v>352711003020</v>
      </c>
      <c r="N219" s="48" t="n">
        <v>2757</v>
      </c>
      <c r="O219" s="48" t="n">
        <v>25700522</v>
      </c>
      <c r="P219" s="48" t="n">
        <v>21721528</v>
      </c>
      <c r="Q219" s="48" t="n">
        <v>1783</v>
      </c>
      <c r="R219" s="48" t="n">
        <v>705</v>
      </c>
      <c r="S219" s="48" t="n">
        <v>21995354</v>
      </c>
      <c r="T219" s="48" t="n">
        <v>25974348</v>
      </c>
      <c r="U219" s="46" t="n">
        <f aca="false">IF($A219=$A218,$U218+1,1)</f>
        <v>215</v>
      </c>
      <c r="V219" s="48" t="n">
        <f aca="false">IF($U219&gt;=MA_SHORT,AVERAGE(INDEX($I$5:$I219,216-MA_SHORT):$I219),"")</f>
        <v>7175.25</v>
      </c>
      <c r="W219" s="48" t="n">
        <f aca="false">IF($U219&gt;=MA_MED,AVERAGE(INDEX($I$5:$I219,216-MA_MED):$I219),"")</f>
        <v>7058.98</v>
      </c>
      <c r="X219" s="48" t="n">
        <f aca="false">IF($U219&gt;=MA_LONG1,AVERAGE(INDEX($I$5:$I219,216-MA_LONG1):$I219),"")</f>
        <v>7092.17</v>
      </c>
      <c r="Y219" s="48" t="n">
        <f aca="false">IF($U219&gt;=MA_LONG2,AVERAGE(INDEX($I$5:$I219,216-MA_LONG2):$I219),"")</f>
        <v>6712.265</v>
      </c>
      <c r="Z219" s="48" t="n">
        <f aca="false">IF($U219&gt;=MA_SHORT,AVERAGE(INDEX($L$99:$L219,122-MA_SHORT):$L219),"")</f>
        <v>53222943.2</v>
      </c>
      <c r="AA219" s="48" t="n">
        <f aca="false">IF($U219=1,$G219-$H219,MAX($G219-$H219,ABS($G219-$I218),ABS($H219-$I218)))</f>
        <v>449</v>
      </c>
      <c r="AB219" s="48" t="n">
        <f aca="false">IF($U219&gt;=ATR_PER,AVERAGE(INDEX($AA$99:$AA219,122-ATR_PER):$AA219),"")</f>
        <v>234.785714285714</v>
      </c>
      <c r="AC219" s="48" t="n">
        <f aca="false">$O219-$P219</f>
        <v>3978994</v>
      </c>
      <c r="AD219" s="48" t="n">
        <f aca="false">$AC219*$I219</f>
        <v>29424660630</v>
      </c>
      <c r="AE219" s="49" t="n">
        <f aca="false">IF($Q219&gt;0,$O219*$I219/$Q219/1000000,"")</f>
        <v>106.593023101514</v>
      </c>
      <c r="AF219" s="49" t="n">
        <f aca="false">IF($R219&gt;0,$P219*$I219/$R219/1000000,"")</f>
        <v>227.844963914894</v>
      </c>
      <c r="AG219" s="50" t="n">
        <f aca="false">IF(AND(ISNUMBER($AE219),ISNUMBER($AF219),$AF219&gt;0),$AE219/$AF219,"")</f>
        <v>0.467831376520263</v>
      </c>
      <c r="AH219" s="48" t="n">
        <f aca="false">IF($U219&gt;=5,SUM(INDEX($AD$189:$AD219,32-5):$AD219),"")</f>
        <v>325981371984</v>
      </c>
      <c r="AI219" s="48" t="n">
        <f aca="false">IF($U219&gt;=STRUCT_S,MAX(INDEX($G$69:$G219,152-STRUCT_S):$G219),"")</f>
        <v>7691</v>
      </c>
      <c r="AJ219" s="48" t="n">
        <f aca="false">IF($U219&gt;=STRUCT_S,MIN(INDEX($H$69:$H219,152-STRUCT_S):$H219),"")</f>
        <v>6695</v>
      </c>
      <c r="AK219" s="48" t="n">
        <f aca="false">IF($U219&gt;=STRUCT_L,MAX(INDEX($G$5:$G219,216-STRUCT_L):$G219),"")</f>
        <v>7732</v>
      </c>
      <c r="AL219" s="48" t="n">
        <f aca="false">IF($U219&gt;=STRUCT_L,MIN(INDEX($H$5:$H219,216-STRUCT_L):$H219),"")</f>
        <v>6569</v>
      </c>
      <c r="AM219" s="46" t="n">
        <f aca="false">IF($A219&lt;&gt;$A220,1,0)</f>
        <v>0</v>
      </c>
      <c r="AN219" s="47" t="str">
        <f aca="false">IF($AM219=1,$A219,"")</f>
        <v/>
      </c>
    </row>
    <row r="220" customFormat="false" ht="15" hidden="false" customHeight="false" outlineLevel="0" collapsed="false">
      <c r="A220" s="43" t="s">
        <v>130</v>
      </c>
      <c r="B220" s="44" t="s">
        <v>132</v>
      </c>
      <c r="C220" s="45" t="n">
        <v>46207</v>
      </c>
      <c r="D220" s="46" t="n">
        <v>20260704</v>
      </c>
      <c r="E220" s="47" t="s">
        <v>503</v>
      </c>
      <c r="F220" s="48" t="n">
        <v>7581</v>
      </c>
      <c r="G220" s="48" t="n">
        <v>7699</v>
      </c>
      <c r="H220" s="48" t="n">
        <v>7334</v>
      </c>
      <c r="I220" s="48" t="n">
        <v>7636</v>
      </c>
      <c r="J220" s="48" t="n">
        <v>7611</v>
      </c>
      <c r="K220" s="48" t="n">
        <v>7395</v>
      </c>
      <c r="L220" s="48" t="n">
        <v>72511200</v>
      </c>
      <c r="M220" s="48" t="n">
        <v>553695523200</v>
      </c>
      <c r="N220" s="48" t="n">
        <v>2014</v>
      </c>
      <c r="O220" s="48" t="n">
        <v>58008960</v>
      </c>
      <c r="P220" s="48" t="n">
        <v>15944762</v>
      </c>
      <c r="Q220" s="48" t="n">
        <v>592</v>
      </c>
      <c r="R220" s="48" t="n">
        <v>1005</v>
      </c>
      <c r="S220" s="48" t="n">
        <v>14502240</v>
      </c>
      <c r="T220" s="48" t="n">
        <v>56566438</v>
      </c>
      <c r="U220" s="46" t="n">
        <f aca="false">IF($A220=$A219,$U219+1,1)</f>
        <v>216</v>
      </c>
      <c r="V220" s="48" t="n">
        <f aca="false">IF($U220&gt;=MA_SHORT,AVERAGE(INDEX($I$5:$I220,217-MA_SHORT):$I220),"")</f>
        <v>7218</v>
      </c>
      <c r="W220" s="48" t="n">
        <f aca="false">IF($U220&gt;=MA_MED,AVERAGE(INDEX($I$5:$I220,217-MA_MED):$I220),"")</f>
        <v>7074.26</v>
      </c>
      <c r="X220" s="48" t="n">
        <f aca="false">IF($U220&gt;=MA_LONG1,AVERAGE(INDEX($I$5:$I220,217-MA_LONG1):$I220),"")</f>
        <v>7103.08</v>
      </c>
      <c r="Y220" s="48" t="n">
        <f aca="false">IF($U220&gt;=MA_LONG2,AVERAGE(INDEX($I$5:$I220,217-MA_LONG2):$I220),"")</f>
        <v>6720.46</v>
      </c>
      <c r="Z220" s="48" t="n">
        <f aca="false">IF($U220&gt;=MA_SHORT,AVERAGE(INDEX($L$100:$L220,122-MA_SHORT):$L220),"")</f>
        <v>54697207.75</v>
      </c>
      <c r="AA220" s="48" t="n">
        <f aca="false">IF($U220=1,$G220-$H220,MAX($G220-$H220,ABS($G220-$I219),ABS($H220-$I219)))</f>
        <v>365</v>
      </c>
      <c r="AB220" s="48" t="n">
        <f aca="false">IF($U220&gt;=ATR_PER,AVERAGE(INDEX($AA$100:$AA220,122-ATR_PER):$AA220),"")</f>
        <v>252.357142857143</v>
      </c>
      <c r="AC220" s="48" t="n">
        <f aca="false">$O220-$P220</f>
        <v>42064198</v>
      </c>
      <c r="AD220" s="48" t="n">
        <f aca="false">$AC220*$I220</f>
        <v>321202215928</v>
      </c>
      <c r="AE220" s="49" t="n">
        <f aca="false">IF($Q220&gt;0,$O220*$I220/$Q220/1000000,"")</f>
        <v>748.237193513514</v>
      </c>
      <c r="AF220" s="49" t="n">
        <f aca="false">IF($R220&gt;0,$P220*$I220/$R220/1000000,"")</f>
        <v>121.148460330348</v>
      </c>
      <c r="AG220" s="50" t="n">
        <f aca="false">IF(AND(ISNUMBER($AE220),ISNUMBER($AF220),$AF220&gt;0),$AE220/$AF220,"")</f>
        <v>6.17620060109073</v>
      </c>
      <c r="AH220" s="48" t="n">
        <f aca="false">IF($U220&gt;=5,SUM(INDEX($AD$190:$AD220,32-5):$AD220),"")</f>
        <v>641753402046</v>
      </c>
      <c r="AI220" s="48" t="n">
        <f aca="false">IF($U220&gt;=STRUCT_S,MAX(INDEX($G$70:$G220,152-STRUCT_S):$G220),"")</f>
        <v>7699</v>
      </c>
      <c r="AJ220" s="48" t="n">
        <f aca="false">IF($U220&gt;=STRUCT_S,MIN(INDEX($H$70:$H220,152-STRUCT_S):$H220),"")</f>
        <v>6742</v>
      </c>
      <c r="AK220" s="48" t="n">
        <f aca="false">IF($U220&gt;=STRUCT_L,MAX(INDEX($G$5:$G220,217-STRUCT_L):$G220),"")</f>
        <v>7732</v>
      </c>
      <c r="AL220" s="48" t="n">
        <f aca="false">IF($U220&gt;=STRUCT_L,MIN(INDEX($H$5:$H220,217-STRUCT_L):$H220),"")</f>
        <v>6569</v>
      </c>
      <c r="AM220" s="46" t="n">
        <f aca="false">IF($A220&lt;&gt;$A221,1,0)</f>
        <v>0</v>
      </c>
      <c r="AN220" s="47" t="str">
        <f aca="false">IF($AM220=1,$A220,"")</f>
        <v/>
      </c>
    </row>
    <row r="221" customFormat="false" ht="15" hidden="false" customHeight="false" outlineLevel="0" collapsed="false">
      <c r="A221" s="43" t="s">
        <v>130</v>
      </c>
      <c r="B221" s="44" t="s">
        <v>132</v>
      </c>
      <c r="C221" s="45" t="n">
        <v>46208</v>
      </c>
      <c r="D221" s="46" t="n">
        <v>20260705</v>
      </c>
      <c r="E221" s="47" t="s">
        <v>504</v>
      </c>
      <c r="F221" s="48" t="n">
        <v>7631</v>
      </c>
      <c r="G221" s="48" t="n">
        <v>7764</v>
      </c>
      <c r="H221" s="48" t="n">
        <v>7614</v>
      </c>
      <c r="I221" s="48" t="n">
        <v>7742</v>
      </c>
      <c r="J221" s="48" t="n">
        <v>7665</v>
      </c>
      <c r="K221" s="48" t="n">
        <v>7636</v>
      </c>
      <c r="L221" s="48" t="n">
        <v>46486182</v>
      </c>
      <c r="M221" s="48" t="n">
        <v>359896021044</v>
      </c>
      <c r="N221" s="48" t="n">
        <v>1346</v>
      </c>
      <c r="O221" s="48" t="n">
        <v>32434117</v>
      </c>
      <c r="P221" s="48" t="n">
        <v>11671991</v>
      </c>
      <c r="Q221" s="48" t="n">
        <v>427</v>
      </c>
      <c r="R221" s="48" t="n">
        <v>678</v>
      </c>
      <c r="S221" s="48" t="n">
        <v>14052065</v>
      </c>
      <c r="T221" s="48" t="n">
        <v>34814191</v>
      </c>
      <c r="U221" s="46" t="n">
        <f aca="false">IF($A221=$A220,$U220+1,1)</f>
        <v>217</v>
      </c>
      <c r="V221" s="48" t="n">
        <f aca="false">IF($U221&gt;=MA_SHORT,AVERAGE(INDEX($I$5:$I221,218-MA_SHORT):$I221),"")</f>
        <v>7260.2</v>
      </c>
      <c r="W221" s="48" t="n">
        <f aca="false">IF($U221&gt;=MA_MED,AVERAGE(INDEX($I$5:$I221,218-MA_MED):$I221),"")</f>
        <v>7090.72</v>
      </c>
      <c r="X221" s="48" t="n">
        <f aca="false">IF($U221&gt;=MA_LONG1,AVERAGE(INDEX($I$5:$I221,218-MA_LONG1):$I221),"")</f>
        <v>7114.75</v>
      </c>
      <c r="Y221" s="48" t="n">
        <f aca="false">IF($U221&gt;=MA_LONG2,AVERAGE(INDEX($I$5:$I221,218-MA_LONG2):$I221),"")</f>
        <v>6728.585</v>
      </c>
      <c r="Z221" s="48" t="n">
        <f aca="false">IF($U221&gt;=MA_SHORT,AVERAGE(INDEX($L$101:$L221,122-MA_SHORT):$L221),"")</f>
        <v>53675192</v>
      </c>
      <c r="AA221" s="48" t="n">
        <f aca="false">IF($U221=1,$G221-$H221,MAX($G221-$H221,ABS($G221-$I220),ABS($H221-$I220)))</f>
        <v>150</v>
      </c>
      <c r="AB221" s="48" t="n">
        <f aca="false">IF($U221&gt;=ATR_PER,AVERAGE(INDEX($AA$101:$AA221,122-ATR_PER):$AA221),"")</f>
        <v>254.357142857143</v>
      </c>
      <c r="AC221" s="48" t="n">
        <f aca="false">$O221-$P221</f>
        <v>20762126</v>
      </c>
      <c r="AD221" s="48" t="n">
        <f aca="false">$AC221*$I221</f>
        <v>160740379492</v>
      </c>
      <c r="AE221" s="49" t="n">
        <f aca="false">IF($Q221&gt;0,$O221*$I221/$Q221/1000000,"")</f>
        <v>588.067760688525</v>
      </c>
      <c r="AF221" s="49" t="n">
        <f aca="false">IF($R221&gt;0,$P221*$I221/$R221/1000000,"")</f>
        <v>133.281053572271</v>
      </c>
      <c r="AG221" s="50" t="n">
        <f aca="false">IF(AND(ISNUMBER($AE221),ISNUMBER($AF221),$AF221&gt;0),$AE221/$AF221,"")</f>
        <v>4.41223823586933</v>
      </c>
      <c r="AH221" s="48" t="n">
        <f aca="false">IF($U221&gt;=5,SUM(INDEX($AD$191:$AD221,32-5):$AD221),"")</f>
        <v>692622527814</v>
      </c>
      <c r="AI221" s="48" t="n">
        <f aca="false">IF($U221&gt;=STRUCT_S,MAX(INDEX($G$71:$G221,152-STRUCT_S):$G221),"")</f>
        <v>7764</v>
      </c>
      <c r="AJ221" s="48" t="n">
        <f aca="false">IF($U221&gt;=STRUCT_S,MIN(INDEX($H$71:$H221,152-STRUCT_S):$H221),"")</f>
        <v>6742</v>
      </c>
      <c r="AK221" s="48" t="n">
        <f aca="false">IF($U221&gt;=STRUCT_L,MAX(INDEX($G$5:$G221,218-STRUCT_L):$G221),"")</f>
        <v>7764</v>
      </c>
      <c r="AL221" s="48" t="n">
        <f aca="false">IF($U221&gt;=STRUCT_L,MIN(INDEX($H$5:$H221,218-STRUCT_L):$H221),"")</f>
        <v>6569</v>
      </c>
      <c r="AM221" s="46" t="n">
        <f aca="false">IF($A221&lt;&gt;$A222,1,0)</f>
        <v>0</v>
      </c>
      <c r="AN221" s="47" t="str">
        <f aca="false">IF($AM221=1,$A221,"")</f>
        <v/>
      </c>
    </row>
    <row r="222" customFormat="false" ht="15" hidden="false" customHeight="false" outlineLevel="0" collapsed="false">
      <c r="A222" s="43" t="s">
        <v>130</v>
      </c>
      <c r="B222" s="44" t="s">
        <v>132</v>
      </c>
      <c r="C222" s="45" t="n">
        <v>46209</v>
      </c>
      <c r="D222" s="46" t="n">
        <v>20260706</v>
      </c>
      <c r="E222" s="47" t="s">
        <v>505</v>
      </c>
      <c r="F222" s="48" t="n">
        <v>7806</v>
      </c>
      <c r="G222" s="48" t="n">
        <v>7856</v>
      </c>
      <c r="H222" s="48" t="n">
        <v>7679</v>
      </c>
      <c r="I222" s="48" t="n">
        <v>7792</v>
      </c>
      <c r="J222" s="48" t="n">
        <v>7816</v>
      </c>
      <c r="K222" s="48" t="n">
        <v>7742</v>
      </c>
      <c r="L222" s="48" t="n">
        <v>58078812</v>
      </c>
      <c r="M222" s="48" t="n">
        <v>452550103104</v>
      </c>
      <c r="N222" s="48" t="n">
        <v>1404</v>
      </c>
      <c r="O222" s="48" t="n">
        <v>34266743</v>
      </c>
      <c r="P222" s="48" t="n">
        <v>21133482</v>
      </c>
      <c r="Q222" s="48" t="n">
        <v>391</v>
      </c>
      <c r="R222" s="48" t="n">
        <v>780</v>
      </c>
      <c r="S222" s="48" t="n">
        <v>23812069</v>
      </c>
      <c r="T222" s="48" t="n">
        <v>36945330</v>
      </c>
      <c r="U222" s="46" t="n">
        <f aca="false">IF($A222=$A221,$U221+1,1)</f>
        <v>218</v>
      </c>
      <c r="V222" s="48" t="n">
        <f aca="false">IF($U222&gt;=MA_SHORT,AVERAGE(INDEX($I$5:$I222,219-MA_SHORT):$I222),"")</f>
        <v>7297.2</v>
      </c>
      <c r="W222" s="48" t="n">
        <f aca="false">IF($U222&gt;=MA_MED,AVERAGE(INDEX($I$5:$I222,219-MA_MED):$I222),"")</f>
        <v>7105.04</v>
      </c>
      <c r="X222" s="48" t="n">
        <f aca="false">IF($U222&gt;=MA_LONG1,AVERAGE(INDEX($I$5:$I222,219-MA_LONG1):$I222),"")</f>
        <v>7125.5</v>
      </c>
      <c r="Y222" s="48" t="n">
        <f aca="false">IF($U222&gt;=MA_LONG2,AVERAGE(INDEX($I$5:$I222,219-MA_LONG2):$I222),"")</f>
        <v>6737.215</v>
      </c>
      <c r="Z222" s="48" t="n">
        <f aca="false">IF($U222&gt;=MA_SHORT,AVERAGE(INDEX($L$102:$L222,122-MA_SHORT):$L222),"")</f>
        <v>54146122.6</v>
      </c>
      <c r="AA222" s="48" t="n">
        <f aca="false">IF($U222=1,$G222-$H222,MAX($G222-$H222,ABS($G222-$I221),ABS($H222-$I221)))</f>
        <v>177</v>
      </c>
      <c r="AB222" s="48" t="n">
        <f aca="false">IF($U222&gt;=ATR_PER,AVERAGE(INDEX($AA$102:$AA222,122-ATR_PER):$AA222),"")</f>
        <v>250.714285714286</v>
      </c>
      <c r="AC222" s="48" t="n">
        <f aca="false">$O222-$P222</f>
        <v>13133261</v>
      </c>
      <c r="AD222" s="48" t="n">
        <f aca="false">$AC222*$I222</f>
        <v>102334369712</v>
      </c>
      <c r="AE222" s="49" t="n">
        <f aca="false">IF($Q222&gt;0,$O222*$I222/$Q222/1000000,"")</f>
        <v>682.880975590793</v>
      </c>
      <c r="AF222" s="49" t="n">
        <f aca="false">IF($R222&gt;0,$P222*$I222/$R222/1000000,"")</f>
        <v>211.118066338462</v>
      </c>
      <c r="AG222" s="50" t="n">
        <f aca="false">IF(AND(ISNUMBER($AE222),ISNUMBER($AF222),$AF222&gt;0),$AE222/$AF222,"")</f>
        <v>3.23459279176993</v>
      </c>
      <c r="AH222" s="48" t="n">
        <f aca="false">IF($U222&gt;=5,SUM(INDEX($AD$192:$AD222,32-5):$AD222),"")</f>
        <v>654633501417</v>
      </c>
      <c r="AI222" s="48" t="n">
        <f aca="false">IF($U222&gt;=STRUCT_S,MAX(INDEX($G$72:$G222,152-STRUCT_S):$G222),"")</f>
        <v>7856</v>
      </c>
      <c r="AJ222" s="48" t="n">
        <f aca="false">IF($U222&gt;=STRUCT_S,MIN(INDEX($H$72:$H222,152-STRUCT_S):$H222),"")</f>
        <v>6742</v>
      </c>
      <c r="AK222" s="48" t="n">
        <f aca="false">IF($U222&gt;=STRUCT_L,MAX(INDEX($G$5:$G222,219-STRUCT_L):$G222),"")</f>
        <v>7856</v>
      </c>
      <c r="AL222" s="48" t="n">
        <f aca="false">IF($U222&gt;=STRUCT_L,MIN(INDEX($H$5:$H222,219-STRUCT_L):$H222),"")</f>
        <v>6569</v>
      </c>
      <c r="AM222" s="46" t="n">
        <f aca="false">IF($A222&lt;&gt;$A223,1,0)</f>
        <v>0</v>
      </c>
      <c r="AN222" s="47" t="str">
        <f aca="false">IF($AM222=1,$A222,"")</f>
        <v/>
      </c>
    </row>
    <row r="223" customFormat="false" ht="15" hidden="false" customHeight="false" outlineLevel="0" collapsed="false">
      <c r="A223" s="43" t="s">
        <v>130</v>
      </c>
      <c r="B223" s="44" t="s">
        <v>132</v>
      </c>
      <c r="C223" s="45" t="n">
        <v>46210</v>
      </c>
      <c r="D223" s="46" t="n">
        <v>20260707</v>
      </c>
      <c r="E223" s="47" t="s">
        <v>506</v>
      </c>
      <c r="F223" s="48" t="n">
        <v>7770</v>
      </c>
      <c r="G223" s="48" t="n">
        <v>8228</v>
      </c>
      <c r="H223" s="48" t="n">
        <v>7739</v>
      </c>
      <c r="I223" s="48" t="n">
        <v>8173</v>
      </c>
      <c r="J223" s="48" t="n">
        <v>8218</v>
      </c>
      <c r="K223" s="48" t="n">
        <v>7792</v>
      </c>
      <c r="L223" s="48" t="n">
        <v>84977057</v>
      </c>
      <c r="M223" s="48" t="n">
        <v>694517486861</v>
      </c>
      <c r="N223" s="48" t="n">
        <v>6898</v>
      </c>
      <c r="O223" s="48" t="n">
        <v>66130123</v>
      </c>
      <c r="P223" s="48" t="n">
        <v>16995411</v>
      </c>
      <c r="Q223" s="48" t="n">
        <v>1577</v>
      </c>
      <c r="R223" s="48" t="n">
        <v>5263</v>
      </c>
      <c r="S223" s="48" t="n">
        <v>18846934</v>
      </c>
      <c r="T223" s="48" t="n">
        <v>67981646</v>
      </c>
      <c r="U223" s="46" t="n">
        <f aca="false">IF($A223=$A222,$U222+1,1)</f>
        <v>219</v>
      </c>
      <c r="V223" s="48" t="n">
        <f aca="false">IF($U223&gt;=MA_SHORT,AVERAGE(INDEX($I$5:$I223,220-MA_SHORT):$I223),"")</f>
        <v>7362.6</v>
      </c>
      <c r="W223" s="48" t="n">
        <f aca="false">IF($U223&gt;=MA_MED,AVERAGE(INDEX($I$5:$I223,220-MA_MED):$I223),"")</f>
        <v>7124.52</v>
      </c>
      <c r="X223" s="48" t="n">
        <f aca="false">IF($U223&gt;=MA_LONG1,AVERAGE(INDEX($I$5:$I223,220-MA_LONG1):$I223),"")</f>
        <v>7138.83</v>
      </c>
      <c r="Y223" s="48" t="n">
        <f aca="false">IF($U223&gt;=MA_LONG2,AVERAGE(INDEX($I$5:$I223,220-MA_LONG2):$I223),"")</f>
        <v>6747.56</v>
      </c>
      <c r="Z223" s="48" t="n">
        <f aca="false">IF($U223&gt;=MA_SHORT,AVERAGE(INDEX($L$103:$L223,122-MA_SHORT):$L223),"")</f>
        <v>55814391.7</v>
      </c>
      <c r="AA223" s="48" t="n">
        <f aca="false">IF($U223=1,$G223-$H223,MAX($G223-$H223,ABS($G223-$I222),ABS($H223-$I222)))</f>
        <v>489</v>
      </c>
      <c r="AB223" s="48" t="n">
        <f aca="false">IF($U223&gt;=ATR_PER,AVERAGE(INDEX($AA$103:$AA223,122-ATR_PER):$AA223),"")</f>
        <v>274.857142857143</v>
      </c>
      <c r="AC223" s="48" t="n">
        <f aca="false">$O223-$P223</f>
        <v>49134712</v>
      </c>
      <c r="AD223" s="48" t="n">
        <f aca="false">$AC223*$I223</f>
        <v>401578001176</v>
      </c>
      <c r="AE223" s="49" t="n">
        <f aca="false">IF($Q223&gt;0,$O223*$I223/$Q223/1000000,"")</f>
        <v>342.727644438174</v>
      </c>
      <c r="AF223" s="49" t="n">
        <f aca="false">IF($R223&gt;0,$P223*$I223/$R223/1000000,"")</f>
        <v>26.3924556532396</v>
      </c>
      <c r="AG223" s="50" t="n">
        <f aca="false">IF(AND(ISNUMBER($AE223),ISNUMBER($AF223),$AF223&gt;0),$AE223/$AF223,"")</f>
        <v>12.9858187105111</v>
      </c>
      <c r="AH223" s="48" t="n">
        <f aca="false">IF($U223&gt;=5,SUM(INDEX($AD$193:$AD223,32-5):$AD223),"")</f>
        <v>1015279626938</v>
      </c>
      <c r="AI223" s="48" t="n">
        <f aca="false">IF($U223&gt;=STRUCT_S,MAX(INDEX($G$73:$G223,152-STRUCT_S):$G223),"")</f>
        <v>8228</v>
      </c>
      <c r="AJ223" s="48" t="n">
        <f aca="false">IF($U223&gt;=STRUCT_S,MIN(INDEX($H$73:$H223,152-STRUCT_S):$H223),"")</f>
        <v>6807</v>
      </c>
      <c r="AK223" s="48" t="n">
        <f aca="false">IF($U223&gt;=STRUCT_L,MAX(INDEX($G$5:$G223,220-STRUCT_L):$G223),"")</f>
        <v>8228</v>
      </c>
      <c r="AL223" s="48" t="n">
        <f aca="false">IF($U223&gt;=STRUCT_L,MIN(INDEX($H$5:$H223,220-STRUCT_L):$H223),"")</f>
        <v>6569</v>
      </c>
      <c r="AM223" s="46" t="n">
        <f aca="false">IF($A223&lt;&gt;$A224,1,0)</f>
        <v>0</v>
      </c>
      <c r="AN223" s="47" t="str">
        <f aca="false">IF($AM223=1,$A223,"")</f>
        <v/>
      </c>
    </row>
    <row r="224" customFormat="false" ht="15" hidden="false" customHeight="false" outlineLevel="0" collapsed="false">
      <c r="A224" s="43" t="s">
        <v>130</v>
      </c>
      <c r="B224" s="44" t="s">
        <v>132</v>
      </c>
      <c r="C224" s="45" t="n">
        <v>46211</v>
      </c>
      <c r="D224" s="46" t="n">
        <v>20260708</v>
      </c>
      <c r="E224" s="47" t="s">
        <v>507</v>
      </c>
      <c r="F224" s="48" t="n">
        <v>8127</v>
      </c>
      <c r="G224" s="48" t="n">
        <v>8309</v>
      </c>
      <c r="H224" s="48" t="n">
        <v>7890</v>
      </c>
      <c r="I224" s="48" t="n">
        <v>8023</v>
      </c>
      <c r="J224" s="48" t="n">
        <v>8263</v>
      </c>
      <c r="K224" s="48" t="n">
        <v>8173</v>
      </c>
      <c r="L224" s="48" t="n">
        <v>47637469</v>
      </c>
      <c r="M224" s="48" t="n">
        <v>382195413787</v>
      </c>
      <c r="N224" s="48" t="n">
        <v>1207</v>
      </c>
      <c r="O224" s="48" t="n">
        <v>20832850</v>
      </c>
      <c r="P224" s="48" t="n">
        <v>27861536</v>
      </c>
      <c r="Q224" s="48" t="n">
        <v>859</v>
      </c>
      <c r="R224" s="48" t="n">
        <v>312</v>
      </c>
      <c r="S224" s="48" t="n">
        <v>26804619</v>
      </c>
      <c r="T224" s="48" t="n">
        <v>19775933</v>
      </c>
      <c r="U224" s="46" t="n">
        <f aca="false">IF($A224=$A223,$U223+1,1)</f>
        <v>220</v>
      </c>
      <c r="V224" s="48" t="n">
        <f aca="false">IF($U224&gt;=MA_SHORT,AVERAGE(INDEX($I$5:$I224,221-MA_SHORT):$I224),"")</f>
        <v>7416.7</v>
      </c>
      <c r="W224" s="48" t="n">
        <f aca="false">IF($U224&gt;=MA_MED,AVERAGE(INDEX($I$5:$I224,221-MA_MED):$I224),"")</f>
        <v>7142.72</v>
      </c>
      <c r="X224" s="48" t="n">
        <f aca="false">IF($U224&gt;=MA_LONG1,AVERAGE(INDEX($I$5:$I224,221-MA_LONG1):$I224),"")</f>
        <v>7150.89</v>
      </c>
      <c r="Y224" s="48" t="n">
        <f aca="false">IF($U224&gt;=MA_LONG2,AVERAGE(INDEX($I$5:$I224,221-MA_LONG2):$I224),"")</f>
        <v>6758.07</v>
      </c>
      <c r="Z224" s="48" t="n">
        <f aca="false">IF($U224&gt;=MA_SHORT,AVERAGE(INDEX($L$104:$L224,122-MA_SHORT):$L224),"")</f>
        <v>55908143.35</v>
      </c>
      <c r="AA224" s="48" t="n">
        <f aca="false">IF($U224=1,$G224-$H224,MAX($G224-$H224,ABS($G224-$I223),ABS($H224-$I223)))</f>
        <v>419</v>
      </c>
      <c r="AB224" s="48" t="n">
        <f aca="false">IF($U224&gt;=ATR_PER,AVERAGE(INDEX($AA$104:$AA224,122-ATR_PER):$AA224),"")</f>
        <v>279.428571428571</v>
      </c>
      <c r="AC224" s="48" t="n">
        <f aca="false">$O224-$P224</f>
        <v>-7028686</v>
      </c>
      <c r="AD224" s="48" t="n">
        <f aca="false">$AC224*$I224</f>
        <v>-56391147778</v>
      </c>
      <c r="AE224" s="49" t="n">
        <f aca="false">IF($Q224&gt;0,$O224*$I224/$Q224/1000000,"")</f>
        <v>194.577363853318</v>
      </c>
      <c r="AF224" s="49" t="n">
        <f aca="false">IF($R224&gt;0,$P224*$I224/$R224/1000000,"")</f>
        <v>716.45225425641</v>
      </c>
      <c r="AG224" s="50" t="n">
        <f aca="false">IF(AND(ISNUMBER($AE224),ISNUMBER($AF224),$AF224&gt;0),$AE224/$AF224,"")</f>
        <v>0.271584551095125</v>
      </c>
      <c r="AH224" s="48" t="n">
        <f aca="false">IF($U224&gt;=5,SUM(INDEX($AD$194:$AD224,32-5):$AD224),"")</f>
        <v>929463818530</v>
      </c>
      <c r="AI224" s="48" t="n">
        <f aca="false">IF($U224&gt;=STRUCT_S,MAX(INDEX($G$74:$G224,152-STRUCT_S):$G224),"")</f>
        <v>8309</v>
      </c>
      <c r="AJ224" s="48" t="n">
        <f aca="false">IF($U224&gt;=STRUCT_S,MIN(INDEX($H$74:$H224,152-STRUCT_S):$H224),"")</f>
        <v>6829</v>
      </c>
      <c r="AK224" s="48" t="n">
        <f aca="false">IF($U224&gt;=STRUCT_L,MAX(INDEX($G$5:$G224,221-STRUCT_L):$G224),"")</f>
        <v>8309</v>
      </c>
      <c r="AL224" s="48" t="n">
        <f aca="false">IF($U224&gt;=STRUCT_L,MIN(INDEX($H$5:$H224,221-STRUCT_L):$H224),"")</f>
        <v>6569</v>
      </c>
      <c r="AM224" s="46" t="n">
        <f aca="false">IF($A224&lt;&gt;$A225,1,0)</f>
        <v>0</v>
      </c>
      <c r="AN224" s="47" t="str">
        <f aca="false">IF($AM224=1,$A224,"")</f>
        <v/>
      </c>
    </row>
    <row r="225" customFormat="false" ht="15" hidden="false" customHeight="false" outlineLevel="0" collapsed="false">
      <c r="A225" s="43" t="s">
        <v>130</v>
      </c>
      <c r="B225" s="44" t="s">
        <v>132</v>
      </c>
      <c r="C225" s="45" t="n">
        <v>46214</v>
      </c>
      <c r="D225" s="46" t="n">
        <v>20260711</v>
      </c>
      <c r="E225" s="47" t="s">
        <v>508</v>
      </c>
      <c r="F225" s="48" t="n">
        <v>8205</v>
      </c>
      <c r="G225" s="48" t="n">
        <v>8245</v>
      </c>
      <c r="H225" s="48" t="n">
        <v>7842</v>
      </c>
      <c r="I225" s="48" t="n">
        <v>8063</v>
      </c>
      <c r="J225" s="48" t="n">
        <v>7964</v>
      </c>
      <c r="K225" s="48" t="n">
        <v>8023</v>
      </c>
      <c r="L225" s="48" t="n">
        <v>44195722</v>
      </c>
      <c r="M225" s="48" t="n">
        <v>356350106486</v>
      </c>
      <c r="N225" s="48" t="n">
        <v>1650</v>
      </c>
      <c r="O225" s="48" t="n">
        <v>28049286</v>
      </c>
      <c r="P225" s="48" t="n">
        <v>16608848</v>
      </c>
      <c r="Q225" s="48" t="n">
        <v>630</v>
      </c>
      <c r="R225" s="48" t="n">
        <v>978</v>
      </c>
      <c r="S225" s="48" t="n">
        <v>16146436</v>
      </c>
      <c r="T225" s="48" t="n">
        <v>27586874</v>
      </c>
      <c r="U225" s="46" t="n">
        <f aca="false">IF($A225=$A224,$U224+1,1)</f>
        <v>221</v>
      </c>
      <c r="V225" s="48" t="n">
        <f aca="false">IF($U225&gt;=MA_SHORT,AVERAGE(INDEX($I$5:$I225,222-MA_SHORT):$I225),"")</f>
        <v>7472.15</v>
      </c>
      <c r="W225" s="48" t="n">
        <f aca="false">IF($U225&gt;=MA_MED,AVERAGE(INDEX($I$5:$I225,222-MA_MED):$I225),"")</f>
        <v>7158.12</v>
      </c>
      <c r="X225" s="48" t="n">
        <f aca="false">IF($U225&gt;=MA_LONG1,AVERAGE(INDEX($I$5:$I225,222-MA_LONG1):$I225),"")</f>
        <v>7162.69</v>
      </c>
      <c r="Y225" s="48" t="n">
        <f aca="false">IF($U225&gt;=MA_LONG2,AVERAGE(INDEX($I$5:$I225,222-MA_LONG2):$I225),"")</f>
        <v>6768.525</v>
      </c>
      <c r="Z225" s="48" t="n">
        <f aca="false">IF($U225&gt;=MA_SHORT,AVERAGE(INDEX($L$105:$L225,122-MA_SHORT):$L225),"")</f>
        <v>55948215.55</v>
      </c>
      <c r="AA225" s="48" t="n">
        <f aca="false">IF($U225=1,$G225-$H225,MAX($G225-$H225,ABS($G225-$I224),ABS($H225-$I224)))</f>
        <v>403</v>
      </c>
      <c r="AB225" s="48" t="n">
        <f aca="false">IF($U225&gt;=ATR_PER,AVERAGE(INDEX($AA$105:$AA225,122-ATR_PER):$AA225),"")</f>
        <v>285.5</v>
      </c>
      <c r="AC225" s="48" t="n">
        <f aca="false">$O225-$P225</f>
        <v>11440438</v>
      </c>
      <c r="AD225" s="48" t="n">
        <f aca="false">$AC225*$I225</f>
        <v>92244251594</v>
      </c>
      <c r="AE225" s="49" t="n">
        <f aca="false">IF($Q225&gt;0,$O225*$I225/$Q225/1000000,"")</f>
        <v>358.98633812381</v>
      </c>
      <c r="AF225" s="49" t="n">
        <f aca="false">IF($R225&gt;0,$P225*$I225/$R225/1000000,"")</f>
        <v>136.929592458078</v>
      </c>
      <c r="AG225" s="50" t="n">
        <f aca="false">IF(AND(ISNUMBER($AE225),ISNUMBER($AF225),$AF225&gt;0),$AE225/$AF225,"")</f>
        <v>2.621685580739</v>
      </c>
      <c r="AH225" s="48" t="n">
        <f aca="false">IF($U225&gt;=5,SUM(INDEX($AD$195:$AD225,32-5):$AD225),"")</f>
        <v>700505854196</v>
      </c>
      <c r="AI225" s="48" t="n">
        <f aca="false">IF($U225&gt;=STRUCT_S,MAX(INDEX($G$75:$G225,152-STRUCT_S):$G225),"")</f>
        <v>8309</v>
      </c>
      <c r="AJ225" s="48" t="n">
        <f aca="false">IF($U225&gt;=STRUCT_S,MIN(INDEX($H$75:$H225,152-STRUCT_S):$H225),"")</f>
        <v>6829</v>
      </c>
      <c r="AK225" s="48" t="n">
        <f aca="false">IF($U225&gt;=STRUCT_L,MAX(INDEX($G$5:$G225,222-STRUCT_L):$G225),"")</f>
        <v>8309</v>
      </c>
      <c r="AL225" s="48" t="n">
        <f aca="false">IF($U225&gt;=STRUCT_L,MIN(INDEX($H$5:$H225,222-STRUCT_L):$H225),"")</f>
        <v>6569</v>
      </c>
      <c r="AM225" s="46" t="n">
        <f aca="false">IF($A225&lt;&gt;$A226,1,0)</f>
        <v>0</v>
      </c>
      <c r="AN225" s="47" t="str">
        <f aca="false">IF($AM225=1,$A225,"")</f>
        <v/>
      </c>
    </row>
    <row r="226" customFormat="false" ht="15" hidden="false" customHeight="false" outlineLevel="0" collapsed="false">
      <c r="A226" s="43" t="s">
        <v>130</v>
      </c>
      <c r="B226" s="44" t="s">
        <v>132</v>
      </c>
      <c r="C226" s="45" t="n">
        <v>46215</v>
      </c>
      <c r="D226" s="46" t="n">
        <v>20260712</v>
      </c>
      <c r="E226" s="47" t="s">
        <v>509</v>
      </c>
      <c r="F226" s="48" t="n">
        <v>8078</v>
      </c>
      <c r="G226" s="48" t="n">
        <v>8132</v>
      </c>
      <c r="H226" s="48" t="n">
        <v>8013</v>
      </c>
      <c r="I226" s="48" t="n">
        <v>8082</v>
      </c>
      <c r="J226" s="48" t="n">
        <v>8092</v>
      </c>
      <c r="K226" s="48" t="n">
        <v>8063</v>
      </c>
      <c r="L226" s="48" t="n">
        <v>43518769</v>
      </c>
      <c r="M226" s="48" t="n">
        <v>351718691058</v>
      </c>
      <c r="N226" s="48" t="n">
        <v>3728</v>
      </c>
      <c r="O226" s="48" t="n">
        <v>21971732</v>
      </c>
      <c r="P226" s="48" t="n">
        <v>20655434</v>
      </c>
      <c r="Q226" s="48" t="n">
        <v>985</v>
      </c>
      <c r="R226" s="48" t="n">
        <v>2347</v>
      </c>
      <c r="S226" s="48" t="n">
        <v>21547037</v>
      </c>
      <c r="T226" s="48" t="n">
        <v>22863335</v>
      </c>
      <c r="U226" s="46" t="n">
        <f aca="false">IF($A226=$A225,$U225+1,1)</f>
        <v>222</v>
      </c>
      <c r="V226" s="48" t="n">
        <f aca="false">IF($U226&gt;=MA_SHORT,AVERAGE(INDEX($I$5:$I226,223-MA_SHORT):$I226),"")</f>
        <v>7526.45</v>
      </c>
      <c r="W226" s="48" t="n">
        <f aca="false">IF($U226&gt;=MA_MED,AVERAGE(INDEX($I$5:$I226,223-MA_MED):$I226),"")</f>
        <v>7175.82</v>
      </c>
      <c r="X226" s="48" t="n">
        <f aca="false">IF($U226&gt;=MA_LONG1,AVERAGE(INDEX($I$5:$I226,223-MA_LONG1):$I226),"")</f>
        <v>7173.72</v>
      </c>
      <c r="Y226" s="48" t="n">
        <f aca="false">IF($U226&gt;=MA_LONG2,AVERAGE(INDEX($I$5:$I226,223-MA_LONG2):$I226),"")</f>
        <v>6778.485</v>
      </c>
      <c r="Z226" s="48" t="n">
        <f aca="false">IF($U226&gt;=MA_SHORT,AVERAGE(INDEX($L$106:$L226,122-MA_SHORT):$L226),"")</f>
        <v>55755309.85</v>
      </c>
      <c r="AA226" s="48" t="n">
        <f aca="false">IF($U226=1,$G226-$H226,MAX($G226-$H226,ABS($G226-$I225),ABS($H226-$I225)))</f>
        <v>119</v>
      </c>
      <c r="AB226" s="48" t="n">
        <f aca="false">IF($U226&gt;=ATR_PER,AVERAGE(INDEX($AA$106:$AA226,122-ATR_PER):$AA226),"")</f>
        <v>284.071428571429</v>
      </c>
      <c r="AC226" s="48" t="n">
        <f aca="false">$O226-$P226</f>
        <v>1316298</v>
      </c>
      <c r="AD226" s="48" t="n">
        <f aca="false">$AC226*$I226</f>
        <v>10638320436</v>
      </c>
      <c r="AE226" s="49" t="n">
        <f aca="false">IF($Q226&gt;0,$O226*$I226/$Q226/1000000,"")</f>
        <v>180.279734034518</v>
      </c>
      <c r="AF226" s="49" t="n">
        <f aca="false">IF($R226&gt;0,$P226*$I226/$R226/1000000,"")</f>
        <v>71.1279154614401</v>
      </c>
      <c r="AG226" s="50" t="n">
        <f aca="false">IF(AND(ISNUMBER($AE226),ISNUMBER($AF226),$AF226&gt;0),$AE226/$AF226,"")</f>
        <v>2.53458480914221</v>
      </c>
      <c r="AH226" s="48" t="n">
        <f aca="false">IF($U226&gt;=5,SUM(INDEX($AD$196:$AD226,32-5):$AD226),"")</f>
        <v>550403795140</v>
      </c>
      <c r="AI226" s="48" t="n">
        <f aca="false">IF($U226&gt;=STRUCT_S,MAX(INDEX($G$76:$G226,152-STRUCT_S):$G226),"")</f>
        <v>8309</v>
      </c>
      <c r="AJ226" s="48" t="n">
        <f aca="false">IF($U226&gt;=STRUCT_S,MIN(INDEX($H$76:$H226,152-STRUCT_S):$H226),"")</f>
        <v>6829</v>
      </c>
      <c r="AK226" s="48" t="n">
        <f aca="false">IF($U226&gt;=STRUCT_L,MAX(INDEX($G$5:$G226,223-STRUCT_L):$G226),"")</f>
        <v>8309</v>
      </c>
      <c r="AL226" s="48" t="n">
        <f aca="false">IF($U226&gt;=STRUCT_L,MIN(INDEX($H$5:$H226,223-STRUCT_L):$H226),"")</f>
        <v>6569</v>
      </c>
      <c r="AM226" s="46" t="n">
        <f aca="false">IF($A226&lt;&gt;$A227,1,0)</f>
        <v>0</v>
      </c>
      <c r="AN226" s="47" t="str">
        <f aca="false">IF($AM226=1,$A226,"")</f>
        <v/>
      </c>
    </row>
    <row r="227" customFormat="false" ht="15" hidden="false" customHeight="false" outlineLevel="0" collapsed="false">
      <c r="A227" s="43" t="s">
        <v>130</v>
      </c>
      <c r="B227" s="44" t="s">
        <v>132</v>
      </c>
      <c r="C227" s="45" t="n">
        <v>46216</v>
      </c>
      <c r="D227" s="46" t="n">
        <v>20260713</v>
      </c>
      <c r="E227" s="47" t="s">
        <v>510</v>
      </c>
      <c r="F227" s="48" t="n">
        <v>8032</v>
      </c>
      <c r="G227" s="48" t="n">
        <v>8183</v>
      </c>
      <c r="H227" s="48" t="n">
        <v>7988</v>
      </c>
      <c r="I227" s="48" t="n">
        <v>8089</v>
      </c>
      <c r="J227" s="48" t="n">
        <v>8175</v>
      </c>
      <c r="K227" s="48" t="n">
        <v>8082</v>
      </c>
      <c r="L227" s="48" t="n">
        <v>52475637</v>
      </c>
      <c r="M227" s="48" t="n">
        <v>424475427693</v>
      </c>
      <c r="N227" s="48" t="n">
        <v>4630</v>
      </c>
      <c r="O227" s="48" t="n">
        <v>31987741</v>
      </c>
      <c r="P227" s="48" t="n">
        <v>21201466</v>
      </c>
      <c r="Q227" s="48" t="n">
        <v>1587</v>
      </c>
      <c r="R227" s="48" t="n">
        <v>2147</v>
      </c>
      <c r="S227" s="48" t="n">
        <v>20487896</v>
      </c>
      <c r="T227" s="48" t="n">
        <v>31274171</v>
      </c>
      <c r="U227" s="46" t="n">
        <f aca="false">IF($A227=$A226,$U226+1,1)</f>
        <v>223</v>
      </c>
      <c r="V227" s="48" t="n">
        <f aca="false">IF($U227&gt;=MA_SHORT,AVERAGE(INDEX($I$5:$I227,224-MA_SHORT):$I227),"")</f>
        <v>7585</v>
      </c>
      <c r="W227" s="48" t="n">
        <f aca="false">IF($U227&gt;=MA_MED,AVERAGE(INDEX($I$5:$I227,224-MA_MED):$I227),"")</f>
        <v>7195.26</v>
      </c>
      <c r="X227" s="48" t="n">
        <f aca="false">IF($U227&gt;=MA_LONG1,AVERAGE(INDEX($I$5:$I227,224-MA_LONG1):$I227),"")</f>
        <v>7184.16</v>
      </c>
      <c r="Y227" s="48" t="n">
        <f aca="false">IF($U227&gt;=MA_LONG2,AVERAGE(INDEX($I$5:$I227,224-MA_LONG2):$I227),"")</f>
        <v>6788.515</v>
      </c>
      <c r="Z227" s="48" t="n">
        <f aca="false">IF($U227&gt;=MA_SHORT,AVERAGE(INDEX($L$107:$L227,122-MA_SHORT):$L227),"")</f>
        <v>55193652.85</v>
      </c>
      <c r="AA227" s="48" t="n">
        <f aca="false">IF($U227=1,$G227-$H227,MAX($G227-$H227,ABS($G227-$I226),ABS($H227-$I226)))</f>
        <v>195</v>
      </c>
      <c r="AB227" s="48" t="n">
        <f aca="false">IF($U227&gt;=ATR_PER,AVERAGE(INDEX($AA$107:$AA227,122-ATR_PER):$AA227),"")</f>
        <v>288.5</v>
      </c>
      <c r="AC227" s="48" t="n">
        <f aca="false">$O227-$P227</f>
        <v>10786275</v>
      </c>
      <c r="AD227" s="48" t="n">
        <f aca="false">$AC227*$I227</f>
        <v>87250178475</v>
      </c>
      <c r="AE227" s="49" t="n">
        <f aca="false">IF($Q227&gt;0,$O227*$I227/$Q227/1000000,"")</f>
        <v>163.042745399496</v>
      </c>
      <c r="AF227" s="49" t="n">
        <f aca="false">IF($R227&gt;0,$P227*$I227/$R227/1000000,"")</f>
        <v>79.8782759543549</v>
      </c>
      <c r="AG227" s="50" t="n">
        <f aca="false">IF(AND(ISNUMBER($AE227),ISNUMBER($AF227),$AF227&gt;0),$AE227/$AF227,"")</f>
        <v>2.0411400152485</v>
      </c>
      <c r="AH227" s="48" t="n">
        <f aca="false">IF($U227&gt;=5,SUM(INDEX($AD$197:$AD227,32-5):$AD227),"")</f>
        <v>535319603903</v>
      </c>
      <c r="AI227" s="48" t="n">
        <f aca="false">IF($U227&gt;=STRUCT_S,MAX(INDEX($G$77:$G227,152-STRUCT_S):$G227),"")</f>
        <v>8309</v>
      </c>
      <c r="AJ227" s="48" t="n">
        <f aca="false">IF($U227&gt;=STRUCT_S,MIN(INDEX($H$77:$H227,152-STRUCT_S):$H227),"")</f>
        <v>6829</v>
      </c>
      <c r="AK227" s="48" t="n">
        <f aca="false">IF($U227&gt;=STRUCT_L,MAX(INDEX($G$5:$G227,224-STRUCT_L):$G227),"")</f>
        <v>8309</v>
      </c>
      <c r="AL227" s="48" t="n">
        <f aca="false">IF($U227&gt;=STRUCT_L,MIN(INDEX($H$5:$H227,224-STRUCT_L):$H227),"")</f>
        <v>6569</v>
      </c>
      <c r="AM227" s="46" t="n">
        <f aca="false">IF($A227&lt;&gt;$A228,1,0)</f>
        <v>0</v>
      </c>
      <c r="AN227" s="47" t="str">
        <f aca="false">IF($AM227=1,$A227,"")</f>
        <v/>
      </c>
    </row>
    <row r="228" customFormat="false" ht="15" hidden="false" customHeight="false" outlineLevel="0" collapsed="false">
      <c r="A228" s="43" t="s">
        <v>130</v>
      </c>
      <c r="B228" s="44" t="s">
        <v>132</v>
      </c>
      <c r="C228" s="45" t="n">
        <v>46217</v>
      </c>
      <c r="D228" s="46" t="n">
        <v>20260714</v>
      </c>
      <c r="E228" s="47" t="s">
        <v>511</v>
      </c>
      <c r="F228" s="48" t="n">
        <v>8227</v>
      </c>
      <c r="G228" s="48" t="n">
        <v>8328</v>
      </c>
      <c r="H228" s="48" t="n">
        <v>7929</v>
      </c>
      <c r="I228" s="48" t="n">
        <v>8166</v>
      </c>
      <c r="J228" s="48" t="n">
        <v>8250</v>
      </c>
      <c r="K228" s="48" t="n">
        <v>8089</v>
      </c>
      <c r="L228" s="48" t="n">
        <v>54251646</v>
      </c>
      <c r="M228" s="48" t="n">
        <v>443018941236</v>
      </c>
      <c r="N228" s="48" t="n">
        <v>2399</v>
      </c>
      <c r="O228" s="48" t="n">
        <v>30875820</v>
      </c>
      <c r="P228" s="48" t="n">
        <v>25094759</v>
      </c>
      <c r="Q228" s="48" t="n">
        <v>785</v>
      </c>
      <c r="R228" s="48" t="n">
        <v>1209</v>
      </c>
      <c r="S228" s="48" t="n">
        <v>23375826</v>
      </c>
      <c r="T228" s="48" t="n">
        <v>29156887</v>
      </c>
      <c r="U228" s="46" t="n">
        <f aca="false">IF($A228=$A227,$U227+1,1)</f>
        <v>224</v>
      </c>
      <c r="V228" s="48" t="n">
        <f aca="false">IF($U228&gt;=MA_SHORT,AVERAGE(INDEX($I$5:$I228,225-MA_SHORT):$I228),"")</f>
        <v>7644.95</v>
      </c>
      <c r="W228" s="48" t="n">
        <f aca="false">IF($U228&gt;=MA_MED,AVERAGE(INDEX($I$5:$I228,225-MA_MED):$I228),"")</f>
        <v>7213.34</v>
      </c>
      <c r="X228" s="48" t="n">
        <f aca="false">IF($U228&gt;=MA_LONG1,AVERAGE(INDEX($I$5:$I228,225-MA_LONG1):$I228),"")</f>
        <v>7196.17</v>
      </c>
      <c r="Y228" s="48" t="n">
        <f aca="false">IF($U228&gt;=MA_LONG2,AVERAGE(INDEX($I$5:$I228,225-MA_LONG2):$I228),"")</f>
        <v>6799.305</v>
      </c>
      <c r="Z228" s="48" t="n">
        <f aca="false">IF($U228&gt;=MA_SHORT,AVERAGE(INDEX($L$108:$L228,122-MA_SHORT):$L228),"")</f>
        <v>54570527.55</v>
      </c>
      <c r="AA228" s="48" t="n">
        <f aca="false">IF($U228=1,$G228-$H228,MAX($G228-$H228,ABS($G228-$I227),ABS($H228-$I227)))</f>
        <v>399</v>
      </c>
      <c r="AB228" s="48" t="n">
        <f aca="false">IF($U228&gt;=ATR_PER,AVERAGE(INDEX($AA$108:$AA228,122-ATR_PER):$AA228),"")</f>
        <v>301.928571428571</v>
      </c>
      <c r="AC228" s="48" t="n">
        <f aca="false">$O228-$P228</f>
        <v>5781061</v>
      </c>
      <c r="AD228" s="48" t="n">
        <f aca="false">$AC228*$I228</f>
        <v>47208144126</v>
      </c>
      <c r="AE228" s="49" t="n">
        <f aca="false">IF($Q228&gt;0,$O228*$I228/$Q228/1000000,"")</f>
        <v>321.187192509554</v>
      </c>
      <c r="AF228" s="49" t="n">
        <f aca="false">IF($R228&gt;0,$P228*$I228/$R228/1000000,"")</f>
        <v>169.498595528536</v>
      </c>
      <c r="AG228" s="50" t="n">
        <f aca="false">IF(AND(ISNUMBER($AE228),ISNUMBER($AF228),$AF228&gt;0),$AE228/$AF228,"")</f>
        <v>1.89492539161176</v>
      </c>
      <c r="AH228" s="48" t="n">
        <f aca="false">IF($U228&gt;=5,SUM(INDEX($AD$198:$AD228,32-5):$AD228),"")</f>
        <v>180949746853</v>
      </c>
      <c r="AI228" s="48" t="n">
        <f aca="false">IF($U228&gt;=STRUCT_S,MAX(INDEX($G$78:$G228,152-STRUCT_S):$G228),"")</f>
        <v>8328</v>
      </c>
      <c r="AJ228" s="48" t="n">
        <f aca="false">IF($U228&gt;=STRUCT_S,MIN(INDEX($H$78:$H228,152-STRUCT_S):$H228),"")</f>
        <v>6888</v>
      </c>
      <c r="AK228" s="48" t="n">
        <f aca="false">IF($U228&gt;=STRUCT_L,MAX(INDEX($G$5:$G228,225-STRUCT_L):$G228),"")</f>
        <v>8328</v>
      </c>
      <c r="AL228" s="48" t="n">
        <f aca="false">IF($U228&gt;=STRUCT_L,MIN(INDEX($H$5:$H228,225-STRUCT_L):$H228),"")</f>
        <v>6569</v>
      </c>
      <c r="AM228" s="46" t="n">
        <f aca="false">IF($A228&lt;&gt;$A229,1,0)</f>
        <v>0</v>
      </c>
      <c r="AN228" s="47" t="str">
        <f aca="false">IF($AM228=1,$A228,"")</f>
        <v/>
      </c>
    </row>
    <row r="229" customFormat="false" ht="15" hidden="false" customHeight="false" outlineLevel="0" collapsed="false">
      <c r="A229" s="43" t="s">
        <v>130</v>
      </c>
      <c r="B229" s="44" t="s">
        <v>132</v>
      </c>
      <c r="C229" s="45" t="n">
        <v>46218</v>
      </c>
      <c r="D229" s="46" t="n">
        <v>20260715</v>
      </c>
      <c r="E229" s="47" t="s">
        <v>512</v>
      </c>
      <c r="F229" s="48" t="n">
        <v>8195</v>
      </c>
      <c r="G229" s="48" t="n">
        <v>8279</v>
      </c>
      <c r="H229" s="48" t="n">
        <v>7962</v>
      </c>
      <c r="I229" s="48" t="n">
        <v>8074</v>
      </c>
      <c r="J229" s="48" t="n">
        <v>8059</v>
      </c>
      <c r="K229" s="48" t="n">
        <v>8166</v>
      </c>
      <c r="L229" s="48" t="n">
        <v>45812792</v>
      </c>
      <c r="M229" s="48" t="n">
        <v>369892482608</v>
      </c>
      <c r="N229" s="48" t="n">
        <v>1246</v>
      </c>
      <c r="O229" s="48" t="n">
        <v>25605627</v>
      </c>
      <c r="P229" s="48" t="n">
        <v>25042809</v>
      </c>
      <c r="Q229" s="48" t="n">
        <v>711</v>
      </c>
      <c r="R229" s="48" t="n">
        <v>488</v>
      </c>
      <c r="S229" s="48" t="n">
        <v>20207165</v>
      </c>
      <c r="T229" s="48" t="n">
        <v>20769983</v>
      </c>
      <c r="U229" s="46" t="n">
        <f aca="false">IF($A229=$A228,$U228+1,1)</f>
        <v>225</v>
      </c>
      <c r="V229" s="48" t="n">
        <f aca="false">IF($U229&gt;=MA_SHORT,AVERAGE(INDEX($I$5:$I229,226-MA_SHORT):$I229),"")</f>
        <v>7700.05</v>
      </c>
      <c r="W229" s="48" t="n">
        <f aca="false">IF($U229&gt;=MA_MED,AVERAGE(INDEX($I$5:$I229,226-MA_MED):$I229),"")</f>
        <v>7228.88</v>
      </c>
      <c r="X229" s="48" t="n">
        <f aca="false">IF($U229&gt;=MA_LONG1,AVERAGE(INDEX($I$5:$I229,226-MA_LONG1):$I229),"")</f>
        <v>7207.39</v>
      </c>
      <c r="Y229" s="48" t="n">
        <f aca="false">IF($U229&gt;=MA_LONG2,AVERAGE(INDEX($I$5:$I229,226-MA_LONG2):$I229),"")</f>
        <v>6809.465</v>
      </c>
      <c r="Z229" s="48" t="n">
        <f aca="false">IF($U229&gt;=MA_SHORT,AVERAGE(INDEX($L$109:$L229,122-MA_SHORT):$L229),"")</f>
        <v>54149779.95</v>
      </c>
      <c r="AA229" s="48" t="n">
        <f aca="false">IF($U229=1,$G229-$H229,MAX($G229-$H229,ABS($G229-$I228),ABS($H229-$I228)))</f>
        <v>317</v>
      </c>
      <c r="AB229" s="48" t="n">
        <f aca="false">IF($U229&gt;=ATR_PER,AVERAGE(INDEX($AA$109:$AA229,122-ATR_PER):$AA229),"")</f>
        <v>302.428571428571</v>
      </c>
      <c r="AC229" s="48" t="n">
        <f aca="false">$O229-$P229</f>
        <v>562818</v>
      </c>
      <c r="AD229" s="48" t="n">
        <f aca="false">$AC229*$I229</f>
        <v>4544192532</v>
      </c>
      <c r="AE229" s="49" t="n">
        <f aca="false">IF($Q229&gt;0,$O229*$I229/$Q229/1000000,"")</f>
        <v>290.77332264135</v>
      </c>
      <c r="AF229" s="49" t="n">
        <f aca="false">IF($R229&gt;0,$P229*$I229/$R229/1000000,"")</f>
        <v>414.335327594262</v>
      </c>
      <c r="AG229" s="50" t="n">
        <f aca="false">IF(AND(ISNUMBER($AE229),ISNUMBER($AF229),$AF229&gt;0),$AE229/$AF229,"")</f>
        <v>0.70178259799775</v>
      </c>
      <c r="AH229" s="48" t="n">
        <f aca="false">IF($U229&gt;=5,SUM(INDEX($AD$199:$AD229,32-5):$AD229),"")</f>
        <v>241885087163</v>
      </c>
      <c r="AI229" s="48" t="n">
        <f aca="false">IF($U229&gt;=STRUCT_S,MAX(INDEX($G$79:$G229,152-STRUCT_S):$G229),"")</f>
        <v>8328</v>
      </c>
      <c r="AJ229" s="48" t="n">
        <f aca="false">IF($U229&gt;=STRUCT_S,MIN(INDEX($H$79:$H229,152-STRUCT_S):$H229),"")</f>
        <v>6888</v>
      </c>
      <c r="AK229" s="48" t="n">
        <f aca="false">IF($U229&gt;=STRUCT_L,MAX(INDEX($G$5:$G229,226-STRUCT_L):$G229),"")</f>
        <v>8328</v>
      </c>
      <c r="AL229" s="48" t="n">
        <f aca="false">IF($U229&gt;=STRUCT_L,MIN(INDEX($H$5:$H229,226-STRUCT_L):$H229),"")</f>
        <v>6569</v>
      </c>
      <c r="AM229" s="46" t="n">
        <f aca="false">IF($A229&lt;&gt;$A230,1,0)</f>
        <v>0</v>
      </c>
      <c r="AN229" s="47" t="str">
        <f aca="false">IF($AM229=1,$A229,"")</f>
        <v/>
      </c>
    </row>
    <row r="230" customFormat="false" ht="15" hidden="false" customHeight="false" outlineLevel="0" collapsed="false">
      <c r="A230" s="43" t="s">
        <v>130</v>
      </c>
      <c r="B230" s="44" t="s">
        <v>132</v>
      </c>
      <c r="C230" s="45" t="n">
        <v>46221</v>
      </c>
      <c r="D230" s="46" t="n">
        <v>20260718</v>
      </c>
      <c r="E230" s="47" t="s">
        <v>513</v>
      </c>
      <c r="F230" s="48" t="n">
        <v>8097</v>
      </c>
      <c r="G230" s="48" t="n">
        <v>8097</v>
      </c>
      <c r="H230" s="48" t="n">
        <v>8028</v>
      </c>
      <c r="I230" s="48" t="n">
        <v>8051</v>
      </c>
      <c r="J230" s="48" t="n">
        <v>8057</v>
      </c>
      <c r="K230" s="48" t="n">
        <v>8074</v>
      </c>
      <c r="L230" s="48" t="n">
        <v>43645499</v>
      </c>
      <c r="M230" s="48" t="n">
        <v>351389912449</v>
      </c>
      <c r="N230" s="48" t="n">
        <v>1656</v>
      </c>
      <c r="O230" s="48" t="n">
        <v>24232413</v>
      </c>
      <c r="P230" s="48" t="n">
        <v>20171267</v>
      </c>
      <c r="Q230" s="48" t="n">
        <v>1045</v>
      </c>
      <c r="R230" s="48" t="n">
        <v>633</v>
      </c>
      <c r="S230" s="48" t="n">
        <v>19413086</v>
      </c>
      <c r="T230" s="48" t="n">
        <v>23474232</v>
      </c>
      <c r="U230" s="46" t="n">
        <f aca="false">IF($A230=$A229,$U229+1,1)</f>
        <v>226</v>
      </c>
      <c r="V230" s="48" t="n">
        <f aca="false">IF($U230&gt;=MA_SHORT,AVERAGE(INDEX($I$5:$I230,227-MA_SHORT):$I230),"")</f>
        <v>7744.75</v>
      </c>
      <c r="W230" s="48" t="n">
        <f aca="false">IF($U230&gt;=MA_MED,AVERAGE(INDEX($I$5:$I230,227-MA_MED):$I230),"")</f>
        <v>7241.44</v>
      </c>
      <c r="X230" s="48" t="n">
        <f aca="false">IF($U230&gt;=MA_LONG1,AVERAGE(INDEX($I$5:$I230,227-MA_LONG1):$I230),"")</f>
        <v>7217.27</v>
      </c>
      <c r="Y230" s="48" t="n">
        <f aca="false">IF($U230&gt;=MA_LONG2,AVERAGE(INDEX($I$5:$I230,227-MA_LONG2):$I230),"")</f>
        <v>6819.71</v>
      </c>
      <c r="Z230" s="48" t="n">
        <f aca="false">IF($U230&gt;=MA_SHORT,AVERAGE(INDEX($L$110:$L230,122-MA_SHORT):$L230),"")</f>
        <v>53844854.7</v>
      </c>
      <c r="AA230" s="48" t="n">
        <f aca="false">IF($U230=1,$G230-$H230,MAX($G230-$H230,ABS($G230-$I229),ABS($H230-$I229)))</f>
        <v>69</v>
      </c>
      <c r="AB230" s="48" t="n">
        <f aca="false">IF($U230&gt;=ATR_PER,AVERAGE(INDEX($AA$110:$AA230,122-ATR_PER):$AA230),"")</f>
        <v>289.142857142857</v>
      </c>
      <c r="AC230" s="48" t="n">
        <f aca="false">$O230-$P230</f>
        <v>4061146</v>
      </c>
      <c r="AD230" s="48" t="n">
        <f aca="false">$AC230*$I230</f>
        <v>32696286446</v>
      </c>
      <c r="AE230" s="49" t="n">
        <f aca="false">IF($Q230&gt;0,$O230*$I230/$Q230/1000000,"")</f>
        <v>186.693930203828</v>
      </c>
      <c r="AF230" s="49" t="n">
        <f aca="false">IF($R230&gt;0,$P230*$I230/$R230/1000000,"")</f>
        <v>256.554297973144</v>
      </c>
      <c r="AG230" s="50" t="n">
        <f aca="false">IF(AND(ISNUMBER($AE230),ISNUMBER($AF230),$AF230&gt;0),$AE230/$AF230,"")</f>
        <v>0.727697534903005</v>
      </c>
      <c r="AH230" s="48" t="n">
        <f aca="false">IF($U230&gt;=5,SUM(INDEX($AD$200:$AD230,32-5):$AD230),"")</f>
        <v>182337122015</v>
      </c>
      <c r="AI230" s="48" t="n">
        <f aca="false">IF($U230&gt;=STRUCT_S,MAX(INDEX($G$80:$G230,152-STRUCT_S):$G230),"")</f>
        <v>8328</v>
      </c>
      <c r="AJ230" s="48" t="n">
        <f aca="false">IF($U230&gt;=STRUCT_S,MIN(INDEX($H$80:$H230,152-STRUCT_S):$H230),"")</f>
        <v>7110</v>
      </c>
      <c r="AK230" s="48" t="n">
        <f aca="false">IF($U230&gt;=STRUCT_L,MAX(INDEX($G$5:$G230,227-STRUCT_L):$G230),"")</f>
        <v>8328</v>
      </c>
      <c r="AL230" s="48" t="n">
        <f aca="false">IF($U230&gt;=STRUCT_L,MIN(INDEX($H$5:$H230,227-STRUCT_L):$H230),"")</f>
        <v>6569</v>
      </c>
      <c r="AM230" s="46" t="n">
        <f aca="false">IF($A230&lt;&gt;$A231,1,0)</f>
        <v>0</v>
      </c>
      <c r="AN230" s="47" t="str">
        <f aca="false">IF($AM230=1,$A230,"")</f>
        <v/>
      </c>
    </row>
    <row r="231" customFormat="false" ht="15" hidden="false" customHeight="false" outlineLevel="0" collapsed="false">
      <c r="A231" s="43" t="s">
        <v>130</v>
      </c>
      <c r="B231" s="44" t="s">
        <v>132</v>
      </c>
      <c r="C231" s="45" t="n">
        <v>46222</v>
      </c>
      <c r="D231" s="46" t="n">
        <v>20260719</v>
      </c>
      <c r="E231" s="47" t="s">
        <v>514</v>
      </c>
      <c r="F231" s="48" t="n">
        <v>8003</v>
      </c>
      <c r="G231" s="48" t="n">
        <v>8125</v>
      </c>
      <c r="H231" s="48" t="n">
        <v>7953</v>
      </c>
      <c r="I231" s="48" t="n">
        <v>8027</v>
      </c>
      <c r="J231" s="48" t="n">
        <v>8099</v>
      </c>
      <c r="K231" s="48" t="n">
        <v>8051</v>
      </c>
      <c r="L231" s="48" t="n">
        <v>43679575</v>
      </c>
      <c r="M231" s="48" t="n">
        <v>350615948525</v>
      </c>
      <c r="N231" s="48" t="n">
        <v>1098</v>
      </c>
      <c r="O231" s="48" t="n">
        <v>20449836</v>
      </c>
      <c r="P231" s="48" t="n">
        <v>21713773</v>
      </c>
      <c r="Q231" s="48" t="n">
        <v>632</v>
      </c>
      <c r="R231" s="48" t="n">
        <v>317</v>
      </c>
      <c r="S231" s="48" t="n">
        <v>23229739</v>
      </c>
      <c r="T231" s="48" t="n">
        <v>21965802</v>
      </c>
      <c r="U231" s="46" t="n">
        <f aca="false">IF($A231=$A230,$U230+1,1)</f>
        <v>227</v>
      </c>
      <c r="V231" s="48" t="n">
        <f aca="false">IF($U231&gt;=MA_SHORT,AVERAGE(INDEX($I$5:$I231,228-MA_SHORT):$I231),"")</f>
        <v>7777.1</v>
      </c>
      <c r="W231" s="48" t="n">
        <f aca="false">IF($U231&gt;=MA_MED,AVERAGE(INDEX($I$5:$I231,228-MA_MED):$I231),"")</f>
        <v>7258.12</v>
      </c>
      <c r="X231" s="48" t="n">
        <f aca="false">IF($U231&gt;=MA_LONG1,AVERAGE(INDEX($I$5:$I231,228-MA_LONG1):$I231),"")</f>
        <v>7225.98</v>
      </c>
      <c r="Y231" s="48" t="n">
        <f aca="false">IF($U231&gt;=MA_LONG2,AVERAGE(INDEX($I$5:$I231,228-MA_LONG2):$I231),"")</f>
        <v>6828.925</v>
      </c>
      <c r="Z231" s="48" t="n">
        <f aca="false">IF($U231&gt;=MA_SHORT,AVERAGE(INDEX($L$111:$L231,122-MA_SHORT):$L231),"")</f>
        <v>52812145.6</v>
      </c>
      <c r="AA231" s="48" t="n">
        <f aca="false">IF($U231=1,$G231-$H231,MAX($G231-$H231,ABS($G231-$I230),ABS($H231-$I230)))</f>
        <v>172</v>
      </c>
      <c r="AB231" s="48" t="n">
        <f aca="false">IF($U231&gt;=ATR_PER,AVERAGE(INDEX($AA$111:$AA231,122-ATR_PER):$AA231),"")</f>
        <v>280.714285714286</v>
      </c>
      <c r="AC231" s="48" t="n">
        <f aca="false">$O231-$P231</f>
        <v>-1263937</v>
      </c>
      <c r="AD231" s="48" t="n">
        <f aca="false">$AC231*$I231</f>
        <v>-10145622299</v>
      </c>
      <c r="AE231" s="49" t="n">
        <f aca="false">IF($Q231&gt;0,$O231*$I231/$Q231/1000000,"")</f>
        <v>259.732331601266</v>
      </c>
      <c r="AF231" s="49" t="n">
        <f aca="false">IF($R231&gt;0,$P231*$I231/$R231/1000000,"")</f>
        <v>549.83109107571</v>
      </c>
      <c r="AG231" s="50" t="n">
        <f aca="false">IF(AND(ISNUMBER($AE231),ISNUMBER($AF231),$AF231&gt;0),$AE231/$AF231,"")</f>
        <v>0.472385675922975</v>
      </c>
      <c r="AH231" s="48" t="n">
        <f aca="false">IF($U231&gt;=5,SUM(INDEX($AD$201:$AD231,32-5):$AD231),"")</f>
        <v>161553179280</v>
      </c>
      <c r="AI231" s="48" t="n">
        <f aca="false">IF($U231&gt;=STRUCT_S,MAX(INDEX($G$81:$G231,152-STRUCT_S):$G231),"")</f>
        <v>8328</v>
      </c>
      <c r="AJ231" s="48" t="n">
        <f aca="false">IF($U231&gt;=STRUCT_S,MIN(INDEX($H$81:$H231,152-STRUCT_S):$H231),"")</f>
        <v>7242</v>
      </c>
      <c r="AK231" s="48" t="n">
        <f aca="false">IF($U231&gt;=STRUCT_L,MAX(INDEX($G$5:$G231,228-STRUCT_L):$G231),"")</f>
        <v>8328</v>
      </c>
      <c r="AL231" s="48" t="n">
        <f aca="false">IF($U231&gt;=STRUCT_L,MIN(INDEX($H$5:$H231,228-STRUCT_L):$H231),"")</f>
        <v>6569</v>
      </c>
      <c r="AM231" s="46" t="n">
        <f aca="false">IF($A231&lt;&gt;$A232,1,0)</f>
        <v>0</v>
      </c>
      <c r="AN231" s="47" t="str">
        <f aca="false">IF($AM231=1,$A231,"")</f>
        <v/>
      </c>
    </row>
    <row r="232" customFormat="false" ht="15" hidden="false" customHeight="false" outlineLevel="0" collapsed="false">
      <c r="A232" s="43" t="s">
        <v>130</v>
      </c>
      <c r="B232" s="44" t="s">
        <v>132</v>
      </c>
      <c r="C232" s="45" t="n">
        <v>46223</v>
      </c>
      <c r="D232" s="46" t="n">
        <v>20260720</v>
      </c>
      <c r="E232" s="47" t="s">
        <v>515</v>
      </c>
      <c r="F232" s="48" t="n">
        <v>8044</v>
      </c>
      <c r="G232" s="48" t="n">
        <v>8108</v>
      </c>
      <c r="H232" s="48" t="n">
        <v>7973</v>
      </c>
      <c r="I232" s="48" t="n">
        <v>8053</v>
      </c>
      <c r="J232" s="48" t="n">
        <v>8076</v>
      </c>
      <c r="K232" s="48" t="n">
        <v>8027</v>
      </c>
      <c r="L232" s="48" t="n">
        <v>43746021</v>
      </c>
      <c r="M232" s="48" t="n">
        <v>352286707113</v>
      </c>
      <c r="N232" s="48" t="n">
        <v>1840</v>
      </c>
      <c r="O232" s="48" t="n">
        <v>26599197</v>
      </c>
      <c r="P232" s="48" t="n">
        <v>14668730</v>
      </c>
      <c r="Q232" s="48" t="n">
        <v>587</v>
      </c>
      <c r="R232" s="48" t="n">
        <v>1233</v>
      </c>
      <c r="S232" s="48" t="n">
        <v>17146824</v>
      </c>
      <c r="T232" s="48" t="n">
        <v>29077291</v>
      </c>
      <c r="U232" s="46" t="n">
        <f aca="false">IF($A232=$A231,$U231+1,1)</f>
        <v>228</v>
      </c>
      <c r="V232" s="48" t="n">
        <f aca="false">IF($U232&gt;=MA_SHORT,AVERAGE(INDEX($I$5:$I232,229-MA_SHORT):$I232),"")</f>
        <v>7809.8</v>
      </c>
      <c r="W232" s="48" t="n">
        <f aca="false">IF($U232&gt;=MA_MED,AVERAGE(INDEX($I$5:$I232,229-MA_MED):$I232),"")</f>
        <v>7275.12</v>
      </c>
      <c r="X232" s="48" t="n">
        <f aca="false">IF($U232&gt;=MA_LONG1,AVERAGE(INDEX($I$5:$I232,229-MA_LONG1):$I232),"")</f>
        <v>7233.87</v>
      </c>
      <c r="Y232" s="48" t="n">
        <f aca="false">IF($U232&gt;=MA_LONG2,AVERAGE(INDEX($I$5:$I232,229-MA_LONG2):$I232),"")</f>
        <v>6837.985</v>
      </c>
      <c r="Z232" s="48" t="n">
        <f aca="false">IF($U232&gt;=MA_SHORT,AVERAGE(INDEX($L$112:$L232,122-MA_SHORT):$L232),"")</f>
        <v>52257265.5</v>
      </c>
      <c r="AA232" s="48" t="n">
        <f aca="false">IF($U232=1,$G232-$H232,MAX($G232-$H232,ABS($G232-$I231),ABS($H232-$I231)))</f>
        <v>135</v>
      </c>
      <c r="AB232" s="48" t="n">
        <f aca="false">IF($U232&gt;=ATR_PER,AVERAGE(INDEX($AA$112:$AA232,122-ATR_PER):$AA232),"")</f>
        <v>275.571428571429</v>
      </c>
      <c r="AC232" s="48" t="n">
        <f aca="false">$O232-$P232</f>
        <v>11930467</v>
      </c>
      <c r="AD232" s="48" t="n">
        <f aca="false">$AC232*$I232</f>
        <v>96076050751</v>
      </c>
      <c r="AE232" s="49" t="n">
        <f aca="false">IF($Q232&gt;0,$O232*$I232/$Q232/1000000,"")</f>
        <v>364.911982011925</v>
      </c>
      <c r="AF232" s="49" t="n">
        <f aca="false">IF($R232&gt;0,$P232*$I232/$R232/1000000,"")</f>
        <v>95.8047710381184</v>
      </c>
      <c r="AG232" s="50" t="n">
        <f aca="false">IF(AND(ISNUMBER($AE232),ISNUMBER($AF232),$AF232&gt;0),$AE232/$AF232,"")</f>
        <v>3.80891241696862</v>
      </c>
      <c r="AH232" s="48" t="n">
        <f aca="false">IF($U232&gt;=5,SUM(INDEX($AD$202:$AD232,32-5):$AD232),"")</f>
        <v>170379051556</v>
      </c>
      <c r="AI232" s="48" t="n">
        <f aca="false">IF($U232&gt;=STRUCT_S,MAX(INDEX($G$82:$G232,152-STRUCT_S):$G232),"")</f>
        <v>8328</v>
      </c>
      <c r="AJ232" s="48" t="n">
        <f aca="false">IF($U232&gt;=STRUCT_S,MIN(INDEX($H$82:$H232,152-STRUCT_S):$H232),"")</f>
        <v>7242</v>
      </c>
      <c r="AK232" s="48" t="n">
        <f aca="false">IF($U232&gt;=STRUCT_L,MAX(INDEX($G$5:$G232,229-STRUCT_L):$G232),"")</f>
        <v>8328</v>
      </c>
      <c r="AL232" s="48" t="n">
        <f aca="false">IF($U232&gt;=STRUCT_L,MIN(INDEX($H$5:$H232,229-STRUCT_L):$H232),"")</f>
        <v>6569</v>
      </c>
      <c r="AM232" s="46" t="n">
        <f aca="false">IF($A232&lt;&gt;$A233,1,0)</f>
        <v>0</v>
      </c>
      <c r="AN232" s="47" t="str">
        <f aca="false">IF($AM232=1,$A232,"")</f>
        <v/>
      </c>
    </row>
    <row r="233" customFormat="false" ht="15" hidden="false" customHeight="false" outlineLevel="0" collapsed="false">
      <c r="A233" s="43" t="s">
        <v>130</v>
      </c>
      <c r="B233" s="44" t="s">
        <v>132</v>
      </c>
      <c r="C233" s="45" t="n">
        <v>46224</v>
      </c>
      <c r="D233" s="46" t="n">
        <v>20260721</v>
      </c>
      <c r="E233" s="47" t="s">
        <v>516</v>
      </c>
      <c r="F233" s="48" t="n">
        <v>8035</v>
      </c>
      <c r="G233" s="48" t="n">
        <v>8162</v>
      </c>
      <c r="H233" s="48" t="n">
        <v>7862</v>
      </c>
      <c r="I233" s="48" t="n">
        <v>7970</v>
      </c>
      <c r="J233" s="48" t="n">
        <v>7971</v>
      </c>
      <c r="K233" s="48" t="n">
        <v>8053</v>
      </c>
      <c r="L233" s="48" t="n">
        <v>57704223</v>
      </c>
      <c r="M233" s="48" t="n">
        <v>459902657310</v>
      </c>
      <c r="N233" s="48" t="n">
        <v>1747</v>
      </c>
      <c r="O233" s="48" t="n">
        <v>31742411</v>
      </c>
      <c r="P233" s="48" t="n">
        <v>27156868</v>
      </c>
      <c r="Q233" s="48" t="n">
        <v>866</v>
      </c>
      <c r="R233" s="48" t="n">
        <v>627</v>
      </c>
      <c r="S233" s="48" t="n">
        <v>25961812</v>
      </c>
      <c r="T233" s="48" t="n">
        <v>30547355</v>
      </c>
      <c r="U233" s="46" t="n">
        <f aca="false">IF($A233=$A232,$U232+1,1)</f>
        <v>229</v>
      </c>
      <c r="V233" s="48" t="n">
        <f aca="false">IF($U233&gt;=MA_SHORT,AVERAGE(INDEX($I$5:$I233,230-MA_SHORT):$I233),"")</f>
        <v>7838.1</v>
      </c>
      <c r="W233" s="48" t="n">
        <f aca="false">IF($U233&gt;=MA_MED,AVERAGE(INDEX($I$5:$I233,230-MA_MED):$I233),"")</f>
        <v>7294.34</v>
      </c>
      <c r="X233" s="48" t="n">
        <f aca="false">IF($U233&gt;=MA_LONG1,AVERAGE(INDEX($I$5:$I233,230-MA_LONG1):$I233),"")</f>
        <v>7241.76</v>
      </c>
      <c r="Y233" s="48" t="n">
        <f aca="false">IF($U233&gt;=MA_LONG2,AVERAGE(INDEX($I$5:$I233,230-MA_LONG2):$I233),"")</f>
        <v>6845.945</v>
      </c>
      <c r="Z233" s="48" t="n">
        <f aca="false">IF($U233&gt;=MA_SHORT,AVERAGE(INDEX($L$113:$L233,122-MA_SHORT):$L233),"")</f>
        <v>52988174.55</v>
      </c>
      <c r="AA233" s="48" t="n">
        <f aca="false">IF($U233=1,$G233-$H233,MAX($G233-$H233,ABS($G233-$I232),ABS($H233-$I232)))</f>
        <v>300</v>
      </c>
      <c r="AB233" s="48" t="n">
        <f aca="false">IF($U233&gt;=ATR_PER,AVERAGE(INDEX($AA$113:$AA233,122-ATR_PER):$AA233),"")</f>
        <v>264.928571428571</v>
      </c>
      <c r="AC233" s="48" t="n">
        <f aca="false">$O233-$P233</f>
        <v>4585543</v>
      </c>
      <c r="AD233" s="48" t="n">
        <f aca="false">$AC233*$I233</f>
        <v>36546777710</v>
      </c>
      <c r="AE233" s="49" t="n">
        <f aca="false">IF($Q233&gt;0,$O233*$I233/$Q233/1000000,"")</f>
        <v>292.132812551963</v>
      </c>
      <c r="AF233" s="49" t="n">
        <f aca="false">IF($R233&gt;0,$P233*$I233/$R233/1000000,"")</f>
        <v>345.199741562998</v>
      </c>
      <c r="AG233" s="50" t="n">
        <f aca="false">IF(AND(ISNUMBER($AE233),ISNUMBER($AF233),$AF233&gt;0),$AE233/$AF233,"")</f>
        <v>0.846271817091292</v>
      </c>
      <c r="AH233" s="48" t="n">
        <f aca="false">IF($U233&gt;=5,SUM(INDEX($AD$203:$AD233,32-5):$AD233),"")</f>
        <v>159717685140</v>
      </c>
      <c r="AI233" s="48" t="n">
        <f aca="false">IF($U233&gt;=STRUCT_S,MAX(INDEX($G$83:$G233,152-STRUCT_S):$G233),"")</f>
        <v>8328</v>
      </c>
      <c r="AJ233" s="48" t="n">
        <f aca="false">IF($U233&gt;=STRUCT_S,MIN(INDEX($H$83:$H233,152-STRUCT_S):$H233),"")</f>
        <v>7242</v>
      </c>
      <c r="AK233" s="48" t="n">
        <f aca="false">IF($U233&gt;=STRUCT_L,MAX(INDEX($G$5:$G233,230-STRUCT_L):$G233),"")</f>
        <v>8328</v>
      </c>
      <c r="AL233" s="48" t="n">
        <f aca="false">IF($U233&gt;=STRUCT_L,MIN(INDEX($H$5:$H233,230-STRUCT_L):$H233),"")</f>
        <v>6569</v>
      </c>
      <c r="AM233" s="46" t="n">
        <f aca="false">IF($A233&lt;&gt;$A234,1,0)</f>
        <v>0</v>
      </c>
      <c r="AN233" s="47" t="str">
        <f aca="false">IF($AM233=1,$A233,"")</f>
        <v/>
      </c>
    </row>
    <row r="234" customFormat="false" ht="15" hidden="false" customHeight="false" outlineLevel="0" collapsed="false">
      <c r="A234" s="43" t="s">
        <v>130</v>
      </c>
      <c r="B234" s="44" t="s">
        <v>132</v>
      </c>
      <c r="C234" s="45" t="n">
        <v>46225</v>
      </c>
      <c r="D234" s="46" t="n">
        <v>20260722</v>
      </c>
      <c r="E234" s="47" t="s">
        <v>517</v>
      </c>
      <c r="F234" s="48" t="n">
        <v>7988</v>
      </c>
      <c r="G234" s="48" t="n">
        <v>8055</v>
      </c>
      <c r="H234" s="48" t="n">
        <v>7752</v>
      </c>
      <c r="I234" s="48" t="n">
        <v>7835</v>
      </c>
      <c r="J234" s="48" t="n">
        <v>8011</v>
      </c>
      <c r="K234" s="48" t="n">
        <v>7970</v>
      </c>
      <c r="L234" s="48" t="n">
        <v>47273250</v>
      </c>
      <c r="M234" s="48" t="n">
        <v>370385913750</v>
      </c>
      <c r="N234" s="48" t="n">
        <v>1106</v>
      </c>
      <c r="O234" s="48" t="n">
        <v>22412609</v>
      </c>
      <c r="P234" s="48" t="n">
        <v>25960805</v>
      </c>
      <c r="Q234" s="48" t="n">
        <v>472</v>
      </c>
      <c r="R234" s="48" t="n">
        <v>419</v>
      </c>
      <c r="S234" s="48" t="n">
        <v>24860641</v>
      </c>
      <c r="T234" s="48" t="n">
        <v>21312445</v>
      </c>
      <c r="U234" s="46" t="n">
        <f aca="false">IF($A234=$A233,$U233+1,1)</f>
        <v>230</v>
      </c>
      <c r="V234" s="48" t="n">
        <f aca="false">IF($U234&gt;=MA_SHORT,AVERAGE(INDEX($I$5:$I234,231-MA_SHORT):$I234),"")</f>
        <v>7856.15</v>
      </c>
      <c r="W234" s="48" t="n">
        <f aca="false">IF($U234&gt;=MA_MED,AVERAGE(INDEX($I$5:$I234,231-MA_MED):$I234),"")</f>
        <v>7309.88</v>
      </c>
      <c r="X234" s="48" t="n">
        <f aca="false">IF($U234&gt;=MA_LONG1,AVERAGE(INDEX($I$5:$I234,231-MA_LONG1):$I234),"")</f>
        <v>7249.25</v>
      </c>
      <c r="Y234" s="48" t="n">
        <f aca="false">IF($U234&gt;=MA_LONG2,AVERAGE(INDEX($I$5:$I234,231-MA_LONG2):$I234),"")</f>
        <v>6854.035</v>
      </c>
      <c r="Z234" s="48" t="n">
        <f aca="false">IF($U234&gt;=MA_SHORT,AVERAGE(INDEX($L$114:$L234,122-MA_SHORT):$L234),"")</f>
        <v>52607850.25</v>
      </c>
      <c r="AA234" s="48" t="n">
        <f aca="false">IF($U234=1,$G234-$H234,MAX($G234-$H234,ABS($G234-$I233),ABS($H234-$I233)))</f>
        <v>303</v>
      </c>
      <c r="AB234" s="48" t="n">
        <f aca="false">IF($U234&gt;=ATR_PER,AVERAGE(INDEX($AA$114:$AA234,122-ATR_PER):$AA234),"")</f>
        <v>260.5</v>
      </c>
      <c r="AC234" s="48" t="n">
        <f aca="false">$O234-$P234</f>
        <v>-3548196</v>
      </c>
      <c r="AD234" s="48" t="n">
        <f aca="false">$AC234*$I234</f>
        <v>-27800115660</v>
      </c>
      <c r="AE234" s="49" t="n">
        <f aca="false">IF($Q234&gt;0,$O234*$I234/$Q234/1000000,"")</f>
        <v>372.03981253178</v>
      </c>
      <c r="AF234" s="49" t="n">
        <f aca="false">IF($R234&gt;0,$P234*$I234/$R234/1000000,"")</f>
        <v>485.448465811456</v>
      </c>
      <c r="AG234" s="50" t="n">
        <f aca="false">IF(AND(ISNUMBER($AE234),ISNUMBER($AF234),$AF234&gt;0),$AE234/$AF234,"")</f>
        <v>0.766383743555339</v>
      </c>
      <c r="AH234" s="48" t="n">
        <f aca="false">IF($U234&gt;=5,SUM(INDEX($AD$204:$AD234,32-5):$AD234),"")</f>
        <v>127373376948</v>
      </c>
      <c r="AI234" s="48" t="n">
        <f aca="false">IF($U234&gt;=STRUCT_S,MAX(INDEX($G$84:$G234,152-STRUCT_S):$G234),"")</f>
        <v>8328</v>
      </c>
      <c r="AJ234" s="48" t="n">
        <f aca="false">IF($U234&gt;=STRUCT_S,MIN(INDEX($H$84:$H234,152-STRUCT_S):$H234),"")</f>
        <v>7242</v>
      </c>
      <c r="AK234" s="48" t="n">
        <f aca="false">IF($U234&gt;=STRUCT_L,MAX(INDEX($G$5:$G234,231-STRUCT_L):$G234),"")</f>
        <v>8328</v>
      </c>
      <c r="AL234" s="48" t="n">
        <f aca="false">IF($U234&gt;=STRUCT_L,MIN(INDEX($H$5:$H234,231-STRUCT_L):$H234),"")</f>
        <v>6569</v>
      </c>
      <c r="AM234" s="46" t="n">
        <f aca="false">IF($A234&lt;&gt;$A235,1,0)</f>
        <v>0</v>
      </c>
      <c r="AN234" s="47" t="str">
        <f aca="false">IF($AM234=1,$A234,"")</f>
        <v/>
      </c>
    </row>
    <row r="235" customFormat="false" ht="15" hidden="false" customHeight="false" outlineLevel="0" collapsed="false">
      <c r="A235" s="43" t="s">
        <v>130</v>
      </c>
      <c r="B235" s="44" t="s">
        <v>132</v>
      </c>
      <c r="C235" s="45" t="n">
        <v>46228</v>
      </c>
      <c r="D235" s="46" t="n">
        <v>20260725</v>
      </c>
      <c r="E235" s="47" t="s">
        <v>518</v>
      </c>
      <c r="F235" s="48" t="n">
        <v>7874</v>
      </c>
      <c r="G235" s="48" t="n">
        <v>8015</v>
      </c>
      <c r="H235" s="48" t="n">
        <v>7816</v>
      </c>
      <c r="I235" s="48" t="n">
        <v>7995</v>
      </c>
      <c r="J235" s="48" t="n">
        <v>7913</v>
      </c>
      <c r="K235" s="48" t="n">
        <v>7835</v>
      </c>
      <c r="L235" s="48" t="n">
        <v>48169941</v>
      </c>
      <c r="M235" s="48" t="n">
        <v>385118678295</v>
      </c>
      <c r="N235" s="48" t="n">
        <v>3413</v>
      </c>
      <c r="O235" s="48" t="n">
        <v>36065357</v>
      </c>
      <c r="P235" s="48" t="n">
        <v>12998140</v>
      </c>
      <c r="Q235" s="48" t="n">
        <v>1138</v>
      </c>
      <c r="R235" s="48" t="n">
        <v>1570</v>
      </c>
      <c r="S235" s="48" t="n">
        <v>12104584</v>
      </c>
      <c r="T235" s="48" t="n">
        <v>35171801</v>
      </c>
      <c r="U235" s="46" t="n">
        <f aca="false">IF($A235=$A234,$U234+1,1)</f>
        <v>231</v>
      </c>
      <c r="V235" s="48" t="n">
        <f aca="false">IF($U235&gt;=MA_SHORT,AVERAGE(INDEX($I$5:$I235,232-MA_SHORT):$I235),"")</f>
        <v>7887</v>
      </c>
      <c r="W235" s="48" t="n">
        <f aca="false">IF($U235&gt;=MA_MED,AVERAGE(INDEX($I$5:$I235,232-MA_MED):$I235),"")</f>
        <v>7329.52</v>
      </c>
      <c r="X235" s="48" t="n">
        <f aca="false">IF($U235&gt;=MA_LONG1,AVERAGE(INDEX($I$5:$I235,232-MA_LONG1):$I235),"")</f>
        <v>7258.82</v>
      </c>
      <c r="Y235" s="48" t="n">
        <f aca="false">IF($U235&gt;=MA_LONG2,AVERAGE(INDEX($I$5:$I235,232-MA_LONG2):$I235),"")</f>
        <v>6863.055</v>
      </c>
      <c r="Z235" s="48" t="n">
        <f aca="false">IF($U235&gt;=MA_SHORT,AVERAGE(INDEX($L$115:$L235,122-MA_SHORT):$L235),"")</f>
        <v>51626660.1</v>
      </c>
      <c r="AA235" s="48" t="n">
        <f aca="false">IF($U235=1,$G235-$H235,MAX($G235-$H235,ABS($G235-$I234),ABS($H235-$I234)))</f>
        <v>199</v>
      </c>
      <c r="AB235" s="48" t="n">
        <f aca="false">IF($U235&gt;=ATR_PER,AVERAGE(INDEX($AA$115:$AA235,122-ATR_PER):$AA235),"")</f>
        <v>264</v>
      </c>
      <c r="AC235" s="48" t="n">
        <f aca="false">$O235-$P235</f>
        <v>23067217</v>
      </c>
      <c r="AD235" s="48" t="n">
        <f aca="false">$AC235*$I235</f>
        <v>184422399915</v>
      </c>
      <c r="AE235" s="49" t="n">
        <f aca="false">IF($Q235&gt;0,$O235*$I235/$Q235/1000000,"")</f>
        <v>253.376563457821</v>
      </c>
      <c r="AF235" s="49" t="n">
        <f aca="false">IF($R235&gt;0,$P235*$I235/$R235/1000000,"")</f>
        <v>66.1911651592357</v>
      </c>
      <c r="AG235" s="50" t="n">
        <f aca="false">IF(AND(ISNUMBER($AE235),ISNUMBER($AF235),$AF235&gt;0),$AE235/$AF235,"")</f>
        <v>3.82795140179621</v>
      </c>
      <c r="AH235" s="48" t="n">
        <f aca="false">IF($U235&gt;=5,SUM(INDEX($AD$205:$AD235,32-5):$AD235),"")</f>
        <v>279099490417</v>
      </c>
      <c r="AI235" s="48" t="n">
        <f aca="false">IF($U235&gt;=STRUCT_S,MAX(INDEX($G$85:$G235,152-STRUCT_S):$G235),"")</f>
        <v>8328</v>
      </c>
      <c r="AJ235" s="48" t="n">
        <f aca="false">IF($U235&gt;=STRUCT_S,MIN(INDEX($H$85:$H235,152-STRUCT_S):$H235),"")</f>
        <v>7242</v>
      </c>
      <c r="AK235" s="48" t="n">
        <f aca="false">IF($U235&gt;=STRUCT_L,MAX(INDEX($G$5:$G235,232-STRUCT_L):$G235),"")</f>
        <v>8328</v>
      </c>
      <c r="AL235" s="48" t="n">
        <f aca="false">IF($U235&gt;=STRUCT_L,MIN(INDEX($H$5:$H235,232-STRUCT_L):$H235),"")</f>
        <v>6569</v>
      </c>
      <c r="AM235" s="46" t="n">
        <f aca="false">IF($A235&lt;&gt;$A236,1,0)</f>
        <v>0</v>
      </c>
      <c r="AN235" s="47" t="str">
        <f aca="false">IF($AM235=1,$A235,"")</f>
        <v/>
      </c>
    </row>
    <row r="236" customFormat="false" ht="15" hidden="false" customHeight="false" outlineLevel="0" collapsed="false">
      <c r="A236" s="43" t="s">
        <v>130</v>
      </c>
      <c r="B236" s="44" t="s">
        <v>132</v>
      </c>
      <c r="C236" s="45" t="n">
        <v>46229</v>
      </c>
      <c r="D236" s="46" t="n">
        <v>20260726</v>
      </c>
      <c r="E236" s="47" t="s">
        <v>519</v>
      </c>
      <c r="F236" s="48" t="n">
        <v>7986</v>
      </c>
      <c r="G236" s="48" t="n">
        <v>8254</v>
      </c>
      <c r="H236" s="48" t="n">
        <v>7841</v>
      </c>
      <c r="I236" s="48" t="n">
        <v>8098</v>
      </c>
      <c r="J236" s="48" t="n">
        <v>7962</v>
      </c>
      <c r="K236" s="48" t="n">
        <v>7995</v>
      </c>
      <c r="L236" s="48" t="n">
        <v>54086325</v>
      </c>
      <c r="M236" s="48" t="n">
        <v>437991059850</v>
      </c>
      <c r="N236" s="48" t="n">
        <v>1673</v>
      </c>
      <c r="O236" s="48" t="n">
        <v>32160835</v>
      </c>
      <c r="P236" s="48" t="n">
        <v>23315404</v>
      </c>
      <c r="Q236" s="48" t="n">
        <v>465</v>
      </c>
      <c r="R236" s="48" t="n">
        <v>829</v>
      </c>
      <c r="S236" s="48" t="n">
        <v>21925490</v>
      </c>
      <c r="T236" s="48" t="n">
        <v>30770921</v>
      </c>
      <c r="U236" s="46" t="n">
        <f aca="false">IF($A236=$A235,$U235+1,1)</f>
        <v>232</v>
      </c>
      <c r="V236" s="48" t="n">
        <f aca="false">IF($U236&gt;=MA_SHORT,AVERAGE(INDEX($I$5:$I236,233-MA_SHORT):$I236),"")</f>
        <v>7918.6</v>
      </c>
      <c r="W236" s="48" t="n">
        <f aca="false">IF($U236&gt;=MA_MED,AVERAGE(INDEX($I$5:$I236,233-MA_MED):$I236),"")</f>
        <v>7353.62</v>
      </c>
      <c r="X236" s="48" t="n">
        <f aca="false">IF($U236&gt;=MA_LONG1,AVERAGE(INDEX($I$5:$I236,233-MA_LONG1):$I236),"")</f>
        <v>7270.49</v>
      </c>
      <c r="Y236" s="48" t="n">
        <f aca="false">IF($U236&gt;=MA_LONG2,AVERAGE(INDEX($I$5:$I236,233-MA_LONG2):$I236),"")</f>
        <v>6871.93</v>
      </c>
      <c r="Z236" s="48" t="n">
        <f aca="false">IF($U236&gt;=MA_SHORT,AVERAGE(INDEX($L$116:$L236,122-MA_SHORT):$L236),"")</f>
        <v>51421045.45</v>
      </c>
      <c r="AA236" s="48" t="n">
        <f aca="false">IF($U236=1,$G236-$H236,MAX($G236-$H236,ABS($G236-$I235),ABS($H236-$I235)))</f>
        <v>413</v>
      </c>
      <c r="AB236" s="48" t="n">
        <f aca="false">IF($U236&gt;=ATR_PER,AVERAGE(INDEX($AA$116:$AA236,122-ATR_PER):$AA236),"")</f>
        <v>280.857142857143</v>
      </c>
      <c r="AC236" s="48" t="n">
        <f aca="false">$O236-$P236</f>
        <v>8845431</v>
      </c>
      <c r="AD236" s="48" t="n">
        <f aca="false">$AC236*$I236</f>
        <v>71630300238</v>
      </c>
      <c r="AE236" s="49" t="n">
        <f aca="false">IF($Q236&gt;0,$O236*$I236/$Q236/1000000,"")</f>
        <v>560.082670602151</v>
      </c>
      <c r="AF236" s="49" t="n">
        <f aca="false">IF($R236&gt;0,$P236*$I236/$R236/1000000,"")</f>
        <v>227.75409118456</v>
      </c>
      <c r="AG236" s="50" t="n">
        <f aca="false">IF(AND(ISNUMBER($AE236),ISNUMBER($AF236),$AF236&gt;0),$AE236/$AF236,"")</f>
        <v>2.45915525683484</v>
      </c>
      <c r="AH236" s="48" t="n">
        <f aca="false">IF($U236&gt;=5,SUM(INDEX($AD$206:$AD236,32-5):$AD236),"")</f>
        <v>360875412954</v>
      </c>
      <c r="AI236" s="48" t="n">
        <f aca="false">IF($U236&gt;=STRUCT_S,MAX(INDEX($G$86:$G236,152-STRUCT_S):$G236),"")</f>
        <v>8328</v>
      </c>
      <c r="AJ236" s="48" t="n">
        <f aca="false">IF($U236&gt;=STRUCT_S,MIN(INDEX($H$86:$H236,152-STRUCT_S):$H236),"")</f>
        <v>7242</v>
      </c>
      <c r="AK236" s="48" t="n">
        <f aca="false">IF($U236&gt;=STRUCT_L,MAX(INDEX($G$5:$G236,233-STRUCT_L):$G236),"")</f>
        <v>8328</v>
      </c>
      <c r="AL236" s="48" t="n">
        <f aca="false">IF($U236&gt;=STRUCT_L,MIN(INDEX($H$5:$H236,233-STRUCT_L):$H236),"")</f>
        <v>6569</v>
      </c>
      <c r="AM236" s="46" t="n">
        <f aca="false">IF($A236&lt;&gt;$A237,1,0)</f>
        <v>0</v>
      </c>
      <c r="AN236" s="47" t="str">
        <f aca="false">IF($AM236=1,$A236,"")</f>
        <v/>
      </c>
    </row>
    <row r="237" customFormat="false" ht="15" hidden="false" customHeight="false" outlineLevel="0" collapsed="false">
      <c r="A237" s="43" t="s">
        <v>130</v>
      </c>
      <c r="B237" s="44" t="s">
        <v>132</v>
      </c>
      <c r="C237" s="45" t="n">
        <v>46230</v>
      </c>
      <c r="D237" s="46" t="n">
        <v>20260727</v>
      </c>
      <c r="E237" s="47" t="s">
        <v>520</v>
      </c>
      <c r="F237" s="48" t="n">
        <v>8148</v>
      </c>
      <c r="G237" s="48" t="n">
        <v>8160</v>
      </c>
      <c r="H237" s="48" t="n">
        <v>8054</v>
      </c>
      <c r="I237" s="48" t="n">
        <v>8116</v>
      </c>
      <c r="J237" s="48" t="n">
        <v>8057</v>
      </c>
      <c r="K237" s="48" t="n">
        <v>8098</v>
      </c>
      <c r="L237" s="48" t="n">
        <v>43484353</v>
      </c>
      <c r="M237" s="48" t="n">
        <v>352919008948</v>
      </c>
      <c r="N237" s="48" t="n">
        <v>1753</v>
      </c>
      <c r="O237" s="48" t="n">
        <v>25661343</v>
      </c>
      <c r="P237" s="48" t="n">
        <v>18557730</v>
      </c>
      <c r="Q237" s="48" t="n">
        <v>675</v>
      </c>
      <c r="R237" s="48" t="n">
        <v>883</v>
      </c>
      <c r="S237" s="48" t="n">
        <v>17823010</v>
      </c>
      <c r="T237" s="48" t="n">
        <v>24926623</v>
      </c>
      <c r="U237" s="46" t="n">
        <f aca="false">IF($A237=$A236,$U236+1,1)</f>
        <v>233</v>
      </c>
      <c r="V237" s="48" t="n">
        <f aca="false">IF($U237&gt;=MA_SHORT,AVERAGE(INDEX($I$5:$I237,234-MA_SHORT):$I237),"")</f>
        <v>7945.75</v>
      </c>
      <c r="W237" s="48" t="n">
        <f aca="false">IF($U237&gt;=MA_MED,AVERAGE(INDEX($I$5:$I237,234-MA_MED):$I237),"")</f>
        <v>7381.08</v>
      </c>
      <c r="X237" s="48" t="n">
        <f aca="false">IF($U237&gt;=MA_LONG1,AVERAGE(INDEX($I$5:$I237,234-MA_LONG1):$I237),"")</f>
        <v>7283.63</v>
      </c>
      <c r="Y237" s="48" t="n">
        <f aca="false">IF($U237&gt;=MA_LONG2,AVERAGE(INDEX($I$5:$I237,234-MA_LONG2):$I237),"")</f>
        <v>6880.5</v>
      </c>
      <c r="Z237" s="48" t="n">
        <f aca="false">IF($U237&gt;=MA_SHORT,AVERAGE(INDEX($L$117:$L237,122-MA_SHORT):$L237),"")</f>
        <v>51265160.6</v>
      </c>
      <c r="AA237" s="48" t="n">
        <f aca="false">IF($U237=1,$G237-$H237,MAX($G237-$H237,ABS($G237-$I236),ABS($H237-$I236)))</f>
        <v>106</v>
      </c>
      <c r="AB237" s="48" t="n">
        <f aca="false">IF($U237&gt;=ATR_PER,AVERAGE(INDEX($AA$117:$AA237,122-ATR_PER):$AA237),"")</f>
        <v>253.5</v>
      </c>
      <c r="AC237" s="48" t="n">
        <f aca="false">$O237-$P237</f>
        <v>7103613</v>
      </c>
      <c r="AD237" s="48" t="n">
        <f aca="false">$AC237*$I237</f>
        <v>57652923108</v>
      </c>
      <c r="AE237" s="49" t="n">
        <f aca="false">IF($Q237&gt;0,$O237*$I237/$Q237/1000000,"")</f>
        <v>308.544384871111</v>
      </c>
      <c r="AF237" s="49" t="n">
        <f aca="false">IF($R237&gt;0,$P237*$I237/$R237/1000000,"")</f>
        <v>170.571389218573</v>
      </c>
      <c r="AG237" s="50" t="n">
        <f aca="false">IF(AND(ISNUMBER($AE237),ISNUMBER($AF237),$AF237&gt;0),$AE237/$AF237,"")</f>
        <v>1.8088870958056</v>
      </c>
      <c r="AH237" s="48" t="n">
        <f aca="false">IF($U237&gt;=5,SUM(INDEX($AD$207:$AD237,32-5):$AD237),"")</f>
        <v>322452285311</v>
      </c>
      <c r="AI237" s="48" t="n">
        <f aca="false">IF($U237&gt;=STRUCT_S,MAX(INDEX($G$87:$G237,152-STRUCT_S):$G237),"")</f>
        <v>8328</v>
      </c>
      <c r="AJ237" s="48" t="n">
        <f aca="false">IF($U237&gt;=STRUCT_S,MIN(INDEX($H$87:$H237,152-STRUCT_S):$H237),"")</f>
        <v>7242</v>
      </c>
      <c r="AK237" s="48" t="n">
        <f aca="false">IF($U237&gt;=STRUCT_L,MAX(INDEX($G$5:$G237,234-STRUCT_L):$G237),"")</f>
        <v>8328</v>
      </c>
      <c r="AL237" s="48" t="n">
        <f aca="false">IF($U237&gt;=STRUCT_L,MIN(INDEX($H$5:$H237,234-STRUCT_L):$H237),"")</f>
        <v>6569</v>
      </c>
      <c r="AM237" s="46" t="n">
        <f aca="false">IF($A237&lt;&gt;$A238,1,0)</f>
        <v>0</v>
      </c>
      <c r="AN237" s="47" t="str">
        <f aca="false">IF($AM237=1,$A237,"")</f>
        <v/>
      </c>
    </row>
    <row r="238" customFormat="false" ht="15" hidden="false" customHeight="false" outlineLevel="0" collapsed="false">
      <c r="A238" s="43" t="s">
        <v>130</v>
      </c>
      <c r="B238" s="44" t="s">
        <v>132</v>
      </c>
      <c r="C238" s="45" t="n">
        <v>46231</v>
      </c>
      <c r="D238" s="46" t="n">
        <v>20260728</v>
      </c>
      <c r="E238" s="47" t="s">
        <v>521</v>
      </c>
      <c r="F238" s="48" t="n">
        <v>8113</v>
      </c>
      <c r="G238" s="48" t="n">
        <v>8157</v>
      </c>
      <c r="H238" s="48" t="n">
        <v>8074</v>
      </c>
      <c r="I238" s="48" t="n">
        <v>8115</v>
      </c>
      <c r="J238" s="48" t="n">
        <v>8122</v>
      </c>
      <c r="K238" s="48" t="n">
        <v>8116</v>
      </c>
      <c r="L238" s="48" t="n">
        <v>53549176</v>
      </c>
      <c r="M238" s="48" t="n">
        <v>434551563240</v>
      </c>
      <c r="N238" s="48" t="n">
        <v>4321</v>
      </c>
      <c r="O238" s="48" t="n">
        <v>28826589</v>
      </c>
      <c r="P238" s="48" t="n">
        <v>25479220</v>
      </c>
      <c r="Q238" s="48" t="n">
        <v>2291</v>
      </c>
      <c r="R238" s="48" t="n">
        <v>1380</v>
      </c>
      <c r="S238" s="48" t="n">
        <v>24722587</v>
      </c>
      <c r="T238" s="48" t="n">
        <v>28069956</v>
      </c>
      <c r="U238" s="46" t="n">
        <f aca="false">IF($A238=$A237,$U237+1,1)</f>
        <v>234</v>
      </c>
      <c r="V238" s="48" t="n">
        <f aca="false">IF($U238&gt;=MA_SHORT,AVERAGE(INDEX($I$5:$I238,235-MA_SHORT):$I238),"")</f>
        <v>7974.75</v>
      </c>
      <c r="W238" s="48" t="n">
        <f aca="false">IF($U238&gt;=MA_MED,AVERAGE(INDEX($I$5:$I238,235-MA_MED):$I238),"")</f>
        <v>7406.46</v>
      </c>
      <c r="X238" s="48" t="n">
        <f aca="false">IF($U238&gt;=MA_LONG1,AVERAGE(INDEX($I$5:$I238,235-MA_LONG1):$I238),"")</f>
        <v>7296.6</v>
      </c>
      <c r="Y238" s="48" t="n">
        <f aca="false">IF($U238&gt;=MA_LONG2,AVERAGE(INDEX($I$5:$I238,235-MA_LONG2):$I238),"")</f>
        <v>6888.79</v>
      </c>
      <c r="Z238" s="48" t="n">
        <f aca="false">IF($U238&gt;=MA_SHORT,AVERAGE(INDEX($L$118:$L238,122-MA_SHORT):$L238),"")</f>
        <v>51648976.25</v>
      </c>
      <c r="AA238" s="48" t="n">
        <f aca="false">IF($U238=1,$G238-$H238,MAX($G238-$H238,ABS($G238-$I237),ABS($H238-$I237)))</f>
        <v>83</v>
      </c>
      <c r="AB238" s="48" t="n">
        <f aca="false">IF($U238&gt;=ATR_PER,AVERAGE(INDEX($AA$118:$AA238,122-ATR_PER):$AA238),"")</f>
        <v>229.5</v>
      </c>
      <c r="AC238" s="48" t="n">
        <f aca="false">$O238-$P238</f>
        <v>3347369</v>
      </c>
      <c r="AD238" s="48" t="n">
        <f aca="false">$AC238*$I238</f>
        <v>27163899435</v>
      </c>
      <c r="AE238" s="49" t="n">
        <f aca="false">IF($Q238&gt;0,$O238*$I238/$Q238/1000000,"")</f>
        <v>102.10727618289</v>
      </c>
      <c r="AF238" s="49" t="n">
        <f aca="false">IF($R238&gt;0,$P238*$I238/$R238/1000000,"")</f>
        <v>149.828891521739</v>
      </c>
      <c r="AG238" s="50" t="n">
        <f aca="false">IF(AND(ISNUMBER($AE238),ISNUMBER($AF238),$AF238&gt;0),$AE238/$AF238,"")</f>
        <v>0.6814925689287</v>
      </c>
      <c r="AH238" s="48" t="n">
        <f aca="false">IF($U238&gt;=5,SUM(INDEX($AD$208:$AD238,32-5):$AD238),"")</f>
        <v>313069407036</v>
      </c>
      <c r="AI238" s="48" t="n">
        <f aca="false">IF($U238&gt;=STRUCT_S,MAX(INDEX($G$88:$G238,152-STRUCT_S):$G238),"")</f>
        <v>8328</v>
      </c>
      <c r="AJ238" s="48" t="n">
        <f aca="false">IF($U238&gt;=STRUCT_S,MIN(INDEX($H$88:$H238,152-STRUCT_S):$H238),"")</f>
        <v>7242</v>
      </c>
      <c r="AK238" s="48" t="n">
        <f aca="false">IF($U238&gt;=STRUCT_L,MAX(INDEX($G$5:$G238,235-STRUCT_L):$G238),"")</f>
        <v>8328</v>
      </c>
      <c r="AL238" s="48" t="n">
        <f aca="false">IF($U238&gt;=STRUCT_L,MIN(INDEX($H$5:$H238,235-STRUCT_L):$H238),"")</f>
        <v>6569</v>
      </c>
      <c r="AM238" s="46" t="n">
        <f aca="false">IF($A238&lt;&gt;$A239,1,0)</f>
        <v>0</v>
      </c>
      <c r="AN238" s="47" t="str">
        <f aca="false">IF($AM238=1,$A238,"")</f>
        <v/>
      </c>
    </row>
    <row r="239" customFormat="false" ht="15" hidden="false" customHeight="false" outlineLevel="0" collapsed="false">
      <c r="A239" s="43" t="s">
        <v>130</v>
      </c>
      <c r="B239" s="44" t="s">
        <v>132</v>
      </c>
      <c r="C239" s="45" t="n">
        <v>46232</v>
      </c>
      <c r="D239" s="46" t="n">
        <v>20260729</v>
      </c>
      <c r="E239" s="47" t="s">
        <v>522</v>
      </c>
      <c r="F239" s="48" t="n">
        <v>8249</v>
      </c>
      <c r="G239" s="48" t="n">
        <v>8284</v>
      </c>
      <c r="H239" s="48" t="n">
        <v>8095</v>
      </c>
      <c r="I239" s="48" t="n">
        <v>8264</v>
      </c>
      <c r="J239" s="48" t="n">
        <v>8159</v>
      </c>
      <c r="K239" s="48" t="n">
        <v>8115</v>
      </c>
      <c r="L239" s="48" t="n">
        <v>47639515</v>
      </c>
      <c r="M239" s="48" t="n">
        <v>393692951960</v>
      </c>
      <c r="N239" s="48" t="n">
        <v>1211</v>
      </c>
      <c r="O239" s="48" t="n">
        <v>31621693</v>
      </c>
      <c r="P239" s="48" t="n">
        <v>18845012</v>
      </c>
      <c r="Q239" s="48" t="n">
        <v>395</v>
      </c>
      <c r="R239" s="48" t="n">
        <v>572</v>
      </c>
      <c r="S239" s="48" t="n">
        <v>16017822</v>
      </c>
      <c r="T239" s="48" t="n">
        <v>28794503</v>
      </c>
      <c r="U239" s="46" t="n">
        <f aca="false">IF($A239=$A238,$U238+1,1)</f>
        <v>235</v>
      </c>
      <c r="V239" s="48" t="n">
        <f aca="false">IF($U239&gt;=MA_SHORT,AVERAGE(INDEX($I$5:$I239,236-MA_SHORT):$I239),"")</f>
        <v>8018.2</v>
      </c>
      <c r="W239" s="48" t="n">
        <f aca="false">IF($U239&gt;=MA_MED,AVERAGE(INDEX($I$5:$I239,236-MA_MED):$I239),"")</f>
        <v>7435.8</v>
      </c>
      <c r="X239" s="48" t="n">
        <f aca="false">IF($U239&gt;=MA_LONG1,AVERAGE(INDEX($I$5:$I239,236-MA_LONG1):$I239),"")</f>
        <v>7310.63</v>
      </c>
      <c r="Y239" s="48" t="n">
        <f aca="false">IF($U239&gt;=MA_LONG2,AVERAGE(INDEX($I$5:$I239,236-MA_LONG2):$I239),"")</f>
        <v>6897.815</v>
      </c>
      <c r="Z239" s="48" t="n">
        <f aca="false">IF($U239&gt;=MA_SHORT,AVERAGE(INDEX($L$119:$L239,122-MA_SHORT):$L239),"")</f>
        <v>51646158.2</v>
      </c>
      <c r="AA239" s="48" t="n">
        <f aca="false">IF($U239=1,$G239-$H239,MAX($G239-$H239,ABS($G239-$I238),ABS($H239-$I238)))</f>
        <v>189</v>
      </c>
      <c r="AB239" s="48" t="n">
        <f aca="false">IF($U239&gt;=ATR_PER,AVERAGE(INDEX($AA$119:$AA239,122-ATR_PER):$AA239),"")</f>
        <v>214.214285714286</v>
      </c>
      <c r="AC239" s="48" t="n">
        <f aca="false">$O239-$P239</f>
        <v>12776681</v>
      </c>
      <c r="AD239" s="48" t="n">
        <f aca="false">$AC239*$I239</f>
        <v>105586491784</v>
      </c>
      <c r="AE239" s="49" t="n">
        <f aca="false">IF($Q239&gt;0,$O239*$I239/$Q239/1000000,"")</f>
        <v>661.573850511392</v>
      </c>
      <c r="AF239" s="49" t="n">
        <f aca="false">IF($R239&gt;0,$P239*$I239/$R239/1000000,"")</f>
        <v>272.264299244755</v>
      </c>
      <c r="AG239" s="50" t="n">
        <f aca="false">IF(AND(ISNUMBER($AE239),ISNUMBER($AF239),$AF239&gt;0),$AE239/$AF239,"")</f>
        <v>2.42989570188438</v>
      </c>
      <c r="AH239" s="48" t="n">
        <f aca="false">IF($U239&gt;=5,SUM(INDEX($AD$209:$AD239,32-5):$AD239),"")</f>
        <v>446456014480</v>
      </c>
      <c r="AI239" s="48" t="n">
        <f aca="false">IF($U239&gt;=STRUCT_S,MAX(INDEX($G$89:$G239,152-STRUCT_S):$G239),"")</f>
        <v>8328</v>
      </c>
      <c r="AJ239" s="48" t="n">
        <f aca="false">IF($U239&gt;=STRUCT_S,MIN(INDEX($H$89:$H239,152-STRUCT_S):$H239),"")</f>
        <v>7334</v>
      </c>
      <c r="AK239" s="48" t="n">
        <f aca="false">IF($U239&gt;=STRUCT_L,MAX(INDEX($G$5:$G239,236-STRUCT_L):$G239),"")</f>
        <v>8328</v>
      </c>
      <c r="AL239" s="48" t="n">
        <f aca="false">IF($U239&gt;=STRUCT_L,MIN(INDEX($H$5:$H239,236-STRUCT_L):$H239),"")</f>
        <v>6569</v>
      </c>
      <c r="AM239" s="46" t="n">
        <f aca="false">IF($A239&lt;&gt;$A240,1,0)</f>
        <v>0</v>
      </c>
      <c r="AN239" s="47" t="str">
        <f aca="false">IF($AM239=1,$A239,"")</f>
        <v/>
      </c>
    </row>
    <row r="240" customFormat="false" ht="15" hidden="false" customHeight="false" outlineLevel="0" collapsed="false">
      <c r="A240" s="43" t="s">
        <v>130</v>
      </c>
      <c r="B240" s="44" t="s">
        <v>132</v>
      </c>
      <c r="C240" s="45" t="n">
        <v>46235</v>
      </c>
      <c r="D240" s="46" t="n">
        <v>20260801</v>
      </c>
      <c r="E240" s="47" t="s">
        <v>523</v>
      </c>
      <c r="F240" s="48" t="n">
        <v>8198</v>
      </c>
      <c r="G240" s="48" t="n">
        <v>8415</v>
      </c>
      <c r="H240" s="48" t="n">
        <v>8187</v>
      </c>
      <c r="I240" s="48" t="n">
        <v>8337</v>
      </c>
      <c r="J240" s="48" t="n">
        <v>8195</v>
      </c>
      <c r="K240" s="48" t="n">
        <v>8264</v>
      </c>
      <c r="L240" s="48" t="n">
        <v>45186431</v>
      </c>
      <c r="M240" s="48" t="n">
        <v>376719275247</v>
      </c>
      <c r="N240" s="48" t="n">
        <v>1070</v>
      </c>
      <c r="O240" s="48" t="n">
        <v>26493798</v>
      </c>
      <c r="P240" s="48" t="n">
        <v>18090571</v>
      </c>
      <c r="Q240" s="48" t="n">
        <v>368</v>
      </c>
      <c r="R240" s="48" t="n">
        <v>675</v>
      </c>
      <c r="S240" s="48" t="n">
        <v>18692633</v>
      </c>
      <c r="T240" s="48" t="n">
        <v>27095860</v>
      </c>
      <c r="U240" s="46" t="n">
        <f aca="false">IF($A240=$A239,$U239+1,1)</f>
        <v>236</v>
      </c>
      <c r="V240" s="48" t="n">
        <f aca="false">IF($U240&gt;=MA_SHORT,AVERAGE(INDEX($I$5:$I240,237-MA_SHORT):$I240),"")</f>
        <v>8053.25</v>
      </c>
      <c r="W240" s="48" t="n">
        <f aca="false">IF($U240&gt;=MA_MED,AVERAGE(INDEX($I$5:$I240,237-MA_MED):$I240),"")</f>
        <v>7467.3</v>
      </c>
      <c r="X240" s="48" t="n">
        <f aca="false">IF($U240&gt;=MA_LONG1,AVERAGE(INDEX($I$5:$I240,237-MA_LONG1):$I240),"")</f>
        <v>7323.95</v>
      </c>
      <c r="Y240" s="48" t="n">
        <f aca="false">IF($U240&gt;=MA_LONG2,AVERAGE(INDEX($I$5:$I240,237-MA_LONG2):$I240),"")</f>
        <v>6907.22</v>
      </c>
      <c r="Z240" s="48" t="n">
        <f aca="false">IF($U240&gt;=MA_SHORT,AVERAGE(INDEX($L$120:$L240,122-MA_SHORT):$L240),"")</f>
        <v>50279919.75</v>
      </c>
      <c r="AA240" s="48" t="n">
        <f aca="false">IF($U240=1,$G240-$H240,MAX($G240-$H240,ABS($G240-$I239),ABS($H240-$I239)))</f>
        <v>228</v>
      </c>
      <c r="AB240" s="48" t="n">
        <f aca="false">IF($U240&gt;=ATR_PER,AVERAGE(INDEX($AA$120:$AA240,122-ATR_PER):$AA240),"")</f>
        <v>222</v>
      </c>
      <c r="AC240" s="48" t="n">
        <f aca="false">$O240-$P240</f>
        <v>8403227</v>
      </c>
      <c r="AD240" s="48" t="n">
        <f aca="false">$AC240*$I240</f>
        <v>70057703499</v>
      </c>
      <c r="AE240" s="49" t="n">
        <f aca="false">IF($Q240&gt;0,$O240*$I240/$Q240/1000000,"")</f>
        <v>600.214113929348</v>
      </c>
      <c r="AF240" s="49" t="n">
        <f aca="false">IF($R240&gt;0,$P240*$I240/$R240/1000000,"")</f>
        <v>223.438652484444</v>
      </c>
      <c r="AG240" s="50" t="n">
        <f aca="false">IF(AND(ISNUMBER($AE240),ISNUMBER($AF240),$AF240&gt;0),$AE240/$AF240,"")</f>
        <v>2.68625910179589</v>
      </c>
      <c r="AH240" s="48" t="n">
        <f aca="false">IF($U240&gt;=5,SUM(INDEX($AD$210:$AD240,32-5):$AD240),"")</f>
        <v>332091318064</v>
      </c>
      <c r="AI240" s="48" t="n">
        <f aca="false">IF($U240&gt;=STRUCT_S,MAX(INDEX($G$90:$G240,152-STRUCT_S):$G240),"")</f>
        <v>8415</v>
      </c>
      <c r="AJ240" s="48" t="n">
        <f aca="false">IF($U240&gt;=STRUCT_S,MIN(INDEX($H$90:$H240,152-STRUCT_S):$H240),"")</f>
        <v>7614</v>
      </c>
      <c r="AK240" s="48" t="n">
        <f aca="false">IF($U240&gt;=STRUCT_L,MAX(INDEX($G$5:$G240,237-STRUCT_L):$G240),"")</f>
        <v>8415</v>
      </c>
      <c r="AL240" s="48" t="n">
        <f aca="false">IF($U240&gt;=STRUCT_L,MIN(INDEX($H$5:$H240,237-STRUCT_L):$H240),"")</f>
        <v>6569</v>
      </c>
      <c r="AM240" s="46" t="n">
        <f aca="false">IF($A240&lt;&gt;$A241,1,0)</f>
        <v>0</v>
      </c>
      <c r="AN240" s="47" t="str">
        <f aca="false">IF($AM240=1,$A240,"")</f>
        <v/>
      </c>
    </row>
    <row r="241" customFormat="false" ht="15" hidden="false" customHeight="false" outlineLevel="0" collapsed="false">
      <c r="A241" s="43" t="s">
        <v>130</v>
      </c>
      <c r="B241" s="44" t="s">
        <v>132</v>
      </c>
      <c r="C241" s="45" t="n">
        <v>46236</v>
      </c>
      <c r="D241" s="46" t="n">
        <v>20260802</v>
      </c>
      <c r="E241" s="47" t="s">
        <v>524</v>
      </c>
      <c r="F241" s="48" t="n">
        <v>8342</v>
      </c>
      <c r="G241" s="48" t="n">
        <v>8357</v>
      </c>
      <c r="H241" s="48" t="n">
        <v>8300</v>
      </c>
      <c r="I241" s="48" t="n">
        <v>8320</v>
      </c>
      <c r="J241" s="48" t="n">
        <v>8341</v>
      </c>
      <c r="K241" s="48" t="n">
        <v>8337</v>
      </c>
      <c r="L241" s="48" t="n">
        <v>81239163</v>
      </c>
      <c r="M241" s="48" t="n">
        <v>675909836160</v>
      </c>
      <c r="N241" s="48" t="n">
        <v>2704</v>
      </c>
      <c r="O241" s="48" t="n">
        <v>47596015</v>
      </c>
      <c r="P241" s="48" t="n">
        <v>28699031</v>
      </c>
      <c r="Q241" s="48" t="n">
        <v>1597</v>
      </c>
      <c r="R241" s="48" t="n">
        <v>976</v>
      </c>
      <c r="S241" s="48" t="n">
        <v>33643148</v>
      </c>
      <c r="T241" s="48" t="n">
        <v>52540132</v>
      </c>
      <c r="U241" s="46" t="n">
        <f aca="false">IF($A241=$A240,$U240+1,1)</f>
        <v>237</v>
      </c>
      <c r="V241" s="48" t="n">
        <f aca="false">IF($U241&gt;=MA_SHORT,AVERAGE(INDEX($I$5:$I241,238-MA_SHORT):$I241),"")</f>
        <v>8082.15</v>
      </c>
      <c r="W241" s="48" t="n">
        <f aca="false">IF($U241&gt;=MA_MED,AVERAGE(INDEX($I$5:$I241,238-MA_MED):$I241),"")</f>
        <v>7495.4</v>
      </c>
      <c r="X241" s="48" t="n">
        <f aca="false">IF($U241&gt;=MA_LONG1,AVERAGE(INDEX($I$5:$I241,238-MA_LONG1):$I241),"")</f>
        <v>7337.2</v>
      </c>
      <c r="Y241" s="48" t="n">
        <f aca="false">IF($U241&gt;=MA_LONG2,AVERAGE(INDEX($I$5:$I241,238-MA_LONG2):$I241),"")</f>
        <v>6916.835</v>
      </c>
      <c r="Z241" s="48" t="n">
        <f aca="false">IF($U241&gt;=MA_SHORT,AVERAGE(INDEX($L$121:$L241,122-MA_SHORT):$L241),"")</f>
        <v>52017568.8</v>
      </c>
      <c r="AA241" s="48" t="n">
        <f aca="false">IF($U241=1,$G241-$H241,MAX($G241-$H241,ABS($G241-$I240),ABS($H241-$I240)))</f>
        <v>57</v>
      </c>
      <c r="AB241" s="48" t="n">
        <f aca="false">IF($U241&gt;=ATR_PER,AVERAGE(INDEX($AA$121:$AA241,122-ATR_PER):$AA241),"")</f>
        <v>212.142857142857</v>
      </c>
      <c r="AC241" s="48" t="n">
        <f aca="false">$O241-$P241</f>
        <v>18896984</v>
      </c>
      <c r="AD241" s="48" t="n">
        <f aca="false">$AC241*$I241</f>
        <v>157222906880</v>
      </c>
      <c r="AE241" s="49" t="n">
        <f aca="false">IF($Q241&gt;0,$O241*$I241/$Q241/1000000,"")</f>
        <v>247.964210895429</v>
      </c>
      <c r="AF241" s="49" t="n">
        <f aca="false">IF($R241&gt;0,$P241*$I241/$R241/1000000,"")</f>
        <v>244.647477377049</v>
      </c>
      <c r="AG241" s="50" t="n">
        <f aca="false">IF(AND(ISNUMBER($AE241),ISNUMBER($AF241),$AF241&gt;0),$AE241/$AF241,"")</f>
        <v>1.0135571948419</v>
      </c>
      <c r="AH241" s="48" t="n">
        <f aca="false">IF($U241&gt;=5,SUM(INDEX($AD$211:$AD241,32-5):$AD241),"")</f>
        <v>417683924706</v>
      </c>
      <c r="AI241" s="48" t="n">
        <f aca="false">IF($U241&gt;=STRUCT_S,MAX(INDEX($G$91:$G241,152-STRUCT_S):$G241),"")</f>
        <v>8415</v>
      </c>
      <c r="AJ241" s="48" t="n">
        <f aca="false">IF($U241&gt;=STRUCT_S,MIN(INDEX($H$91:$H241,152-STRUCT_S):$H241),"")</f>
        <v>7679</v>
      </c>
      <c r="AK241" s="48" t="n">
        <f aca="false">IF($U241&gt;=STRUCT_L,MAX(INDEX($G$5:$G241,238-STRUCT_L):$G241),"")</f>
        <v>8415</v>
      </c>
      <c r="AL241" s="48" t="n">
        <f aca="false">IF($U241&gt;=STRUCT_L,MIN(INDEX($H$5:$H241,238-STRUCT_L):$H241),"")</f>
        <v>6569</v>
      </c>
      <c r="AM241" s="46" t="n">
        <f aca="false">IF($A241&lt;&gt;$A242,1,0)</f>
        <v>0</v>
      </c>
      <c r="AN241" s="47" t="str">
        <f aca="false">IF($AM241=1,$A241,"")</f>
        <v/>
      </c>
    </row>
    <row r="242" customFormat="false" ht="15" hidden="false" customHeight="false" outlineLevel="0" collapsed="false">
      <c r="A242" s="43" t="s">
        <v>130</v>
      </c>
      <c r="B242" s="44" t="s">
        <v>132</v>
      </c>
      <c r="C242" s="45" t="n">
        <v>46237</v>
      </c>
      <c r="D242" s="46" t="n">
        <v>20260803</v>
      </c>
      <c r="E242" s="47" t="s">
        <v>525</v>
      </c>
      <c r="F242" s="48" t="n">
        <v>8355</v>
      </c>
      <c r="G242" s="48" t="n">
        <v>8482</v>
      </c>
      <c r="H242" s="48" t="n">
        <v>8268</v>
      </c>
      <c r="I242" s="48" t="n">
        <v>8429</v>
      </c>
      <c r="J242" s="48" t="n">
        <v>8293</v>
      </c>
      <c r="K242" s="48" t="n">
        <v>8320</v>
      </c>
      <c r="L242" s="48" t="n">
        <v>46285185</v>
      </c>
      <c r="M242" s="48" t="n">
        <v>390137824365</v>
      </c>
      <c r="N242" s="48" t="n">
        <v>1182</v>
      </c>
      <c r="O242" s="48" t="n">
        <v>32084209</v>
      </c>
      <c r="P242" s="48" t="n">
        <v>15682656</v>
      </c>
      <c r="Q242" s="48" t="n">
        <v>268</v>
      </c>
      <c r="R242" s="48" t="n">
        <v>867</v>
      </c>
      <c r="S242" s="48" t="n">
        <v>14200976</v>
      </c>
      <c r="T242" s="48" t="n">
        <v>30602529</v>
      </c>
      <c r="U242" s="46" t="n">
        <f aca="false">IF($A242=$A241,$U241+1,1)</f>
        <v>238</v>
      </c>
      <c r="V242" s="48" t="n">
        <f aca="false">IF($U242&gt;=MA_SHORT,AVERAGE(INDEX($I$5:$I242,239-MA_SHORT):$I242),"")</f>
        <v>8114</v>
      </c>
      <c r="W242" s="48" t="n">
        <f aca="false">IF($U242&gt;=MA_MED,AVERAGE(INDEX($I$5:$I242,239-MA_MED):$I242),"")</f>
        <v>7525.8</v>
      </c>
      <c r="X242" s="48" t="n">
        <f aca="false">IF($U242&gt;=MA_LONG1,AVERAGE(INDEX($I$5:$I242,239-MA_LONG1):$I242),"")</f>
        <v>7349.37</v>
      </c>
      <c r="Y242" s="48" t="n">
        <f aca="false">IF($U242&gt;=MA_LONG2,AVERAGE(INDEX($I$5:$I242,239-MA_LONG2):$I242),"")</f>
        <v>6927.14</v>
      </c>
      <c r="Z242" s="48" t="n">
        <f aca="false">IF($U242&gt;=MA_SHORT,AVERAGE(INDEX($L$122:$L242,122-MA_SHORT):$L242),"")</f>
        <v>51427887.45</v>
      </c>
      <c r="AA242" s="48" t="n">
        <f aca="false">IF($U242=1,$G242-$H242,MAX($G242-$H242,ABS($G242-$I241),ABS($H242-$I241)))</f>
        <v>214</v>
      </c>
      <c r="AB242" s="48" t="n">
        <f aca="false">IF($U242&gt;=ATR_PER,AVERAGE(INDEX($AA$122:$AA242,122-ATR_PER):$AA242),"")</f>
        <v>198.928571428571</v>
      </c>
      <c r="AC242" s="48" t="n">
        <f aca="false">$O242-$P242</f>
        <v>16401553</v>
      </c>
      <c r="AD242" s="48" t="n">
        <f aca="false">$AC242*$I242</f>
        <v>138248690237</v>
      </c>
      <c r="AE242" s="49" t="n">
        <f aca="false">IF($Q242&gt;0,$O242*$I242/$Q242/1000000,"")</f>
        <v>1009.0962599291</v>
      </c>
      <c r="AF242" s="49" t="n">
        <f aca="false">IF($R242&gt;0,$P242*$I242/$R242/1000000,"")</f>
        <v>152.467251930796</v>
      </c>
      <c r="AG242" s="50" t="n">
        <f aca="false">IF(AND(ISNUMBER($AE242),ISNUMBER($AF242),$AF242&gt;0),$AE242/$AF242,"")</f>
        <v>6.61844590986088</v>
      </c>
      <c r="AH242" s="48" t="n">
        <f aca="false">IF($U242&gt;=5,SUM(INDEX($AD$212:$AD242,32-5):$AD242),"")</f>
        <v>498279691835</v>
      </c>
      <c r="AI242" s="48" t="n">
        <f aca="false">IF($U242&gt;=STRUCT_S,MAX(INDEX($G$92:$G242,152-STRUCT_S):$G242),"")</f>
        <v>8482</v>
      </c>
      <c r="AJ242" s="48" t="n">
        <f aca="false">IF($U242&gt;=STRUCT_S,MIN(INDEX($H$92:$H242,152-STRUCT_S):$H242),"")</f>
        <v>7739</v>
      </c>
      <c r="AK242" s="48" t="n">
        <f aca="false">IF($U242&gt;=STRUCT_L,MAX(INDEX($G$5:$G242,239-STRUCT_L):$G242),"")</f>
        <v>8482</v>
      </c>
      <c r="AL242" s="48" t="n">
        <f aca="false">IF($U242&gt;=STRUCT_L,MIN(INDEX($H$5:$H242,239-STRUCT_L):$H242),"")</f>
        <v>6569</v>
      </c>
      <c r="AM242" s="46" t="n">
        <f aca="false">IF($A242&lt;&gt;$A243,1,0)</f>
        <v>0</v>
      </c>
      <c r="AN242" s="47" t="str">
        <f aca="false">IF($AM242=1,$A242,"")</f>
        <v/>
      </c>
    </row>
    <row r="243" customFormat="false" ht="15" hidden="false" customHeight="false" outlineLevel="0" collapsed="false">
      <c r="A243" s="43" t="s">
        <v>130</v>
      </c>
      <c r="B243" s="44" t="s">
        <v>132</v>
      </c>
      <c r="C243" s="45" t="n">
        <v>46238</v>
      </c>
      <c r="D243" s="46" t="n">
        <v>20260804</v>
      </c>
      <c r="E243" s="47" t="s">
        <v>526</v>
      </c>
      <c r="F243" s="48" t="n">
        <v>8522</v>
      </c>
      <c r="G243" s="48" t="n">
        <v>8587</v>
      </c>
      <c r="H243" s="48" t="n">
        <v>8397</v>
      </c>
      <c r="I243" s="48" t="n">
        <v>8554</v>
      </c>
      <c r="J243" s="48" t="n">
        <v>8419</v>
      </c>
      <c r="K243" s="48" t="n">
        <v>8429</v>
      </c>
      <c r="L243" s="48" t="n">
        <v>60140481</v>
      </c>
      <c r="M243" s="48" t="n">
        <v>514441674474</v>
      </c>
      <c r="N243" s="48" t="n">
        <v>2487</v>
      </c>
      <c r="O243" s="48" t="n">
        <v>34890307</v>
      </c>
      <c r="P243" s="48" t="n">
        <v>26158430</v>
      </c>
      <c r="Q243" s="48" t="n">
        <v>617</v>
      </c>
      <c r="R243" s="48" t="n">
        <v>1103</v>
      </c>
      <c r="S243" s="48" t="n">
        <v>25250174</v>
      </c>
      <c r="T243" s="48" t="n">
        <v>33982051</v>
      </c>
      <c r="U243" s="46" t="n">
        <f aca="false">IF($A243=$A242,$U242+1,1)</f>
        <v>239</v>
      </c>
      <c r="V243" s="48" t="n">
        <f aca="false">IF($U243&gt;=MA_SHORT,AVERAGE(INDEX($I$5:$I243,240-MA_SHORT):$I243),"")</f>
        <v>8133.05</v>
      </c>
      <c r="W243" s="48" t="n">
        <f aca="false">IF($U243&gt;=MA_MED,AVERAGE(INDEX($I$5:$I243,240-MA_MED):$I243),"")</f>
        <v>7559.12</v>
      </c>
      <c r="X243" s="48" t="n">
        <f aca="false">IF($U243&gt;=MA_LONG1,AVERAGE(INDEX($I$5:$I243,240-MA_LONG1):$I243),"")</f>
        <v>7362.99</v>
      </c>
      <c r="Y243" s="48" t="n">
        <f aca="false">IF($U243&gt;=MA_LONG2,AVERAGE(INDEX($I$5:$I243,240-MA_LONG2):$I243),"")</f>
        <v>6937.955</v>
      </c>
      <c r="Z243" s="48" t="n">
        <f aca="false">IF($U243&gt;=MA_SHORT,AVERAGE(INDEX($L$123:$L243,122-MA_SHORT):$L243),"")</f>
        <v>50186058.65</v>
      </c>
      <c r="AA243" s="48" t="n">
        <f aca="false">IF($U243=1,$G243-$H243,MAX($G243-$H243,ABS($G243-$I242),ABS($H243-$I242)))</f>
        <v>190</v>
      </c>
      <c r="AB243" s="48" t="n">
        <f aca="false">IF($U243&gt;=ATR_PER,AVERAGE(INDEX($AA$123:$AA243,122-ATR_PER):$AA243),"")</f>
        <v>189.857142857143</v>
      </c>
      <c r="AC243" s="48" t="n">
        <f aca="false">$O243-$P243</f>
        <v>8731877</v>
      </c>
      <c r="AD243" s="48" t="n">
        <f aca="false">$AC243*$I243</f>
        <v>74692475858</v>
      </c>
      <c r="AE243" s="49" t="n">
        <f aca="false">IF($Q243&gt;0,$O243*$I243/$Q243/1000000,"")</f>
        <v>483.714239996759</v>
      </c>
      <c r="AF243" s="49" t="n">
        <f aca="false">IF($R243&gt;0,$P243*$I243/$R243/1000000,"")</f>
        <v>202.864197842248</v>
      </c>
      <c r="AG243" s="50" t="n">
        <f aca="false">IF(AND(ISNUMBER($AE243),ISNUMBER($AF243),$AF243&gt;0),$AE243/$AF243,"")</f>
        <v>2.38442389116341</v>
      </c>
      <c r="AH243" s="48" t="n">
        <f aca="false">IF($U243&gt;=5,SUM(INDEX($AD$213:$AD243,32-5):$AD243),"")</f>
        <v>545808268258</v>
      </c>
      <c r="AI243" s="48" t="n">
        <f aca="false">IF($U243&gt;=STRUCT_S,MAX(INDEX($G$93:$G243,152-STRUCT_S):$G243),"")</f>
        <v>8587</v>
      </c>
      <c r="AJ243" s="48" t="n">
        <f aca="false">IF($U243&gt;=STRUCT_S,MIN(INDEX($H$93:$H243,152-STRUCT_S):$H243),"")</f>
        <v>7752</v>
      </c>
      <c r="AK243" s="48" t="n">
        <f aca="false">IF($U243&gt;=STRUCT_L,MAX(INDEX($G$5:$G243,240-STRUCT_L):$G243),"")</f>
        <v>8587</v>
      </c>
      <c r="AL243" s="48" t="n">
        <f aca="false">IF($U243&gt;=STRUCT_L,MIN(INDEX($H$5:$H243,240-STRUCT_L):$H243),"")</f>
        <v>6569</v>
      </c>
      <c r="AM243" s="46" t="n">
        <f aca="false">IF($A243&lt;&gt;$A244,1,0)</f>
        <v>0</v>
      </c>
      <c r="AN243" s="47" t="str">
        <f aca="false">IF($AM243=1,$A243,"")</f>
        <v/>
      </c>
    </row>
    <row r="244" customFormat="false" ht="15" hidden="false" customHeight="false" outlineLevel="0" collapsed="false">
      <c r="A244" s="43" t="s">
        <v>130</v>
      </c>
      <c r="B244" s="44" t="s">
        <v>132</v>
      </c>
      <c r="C244" s="45" t="n">
        <v>46239</v>
      </c>
      <c r="D244" s="46" t="n">
        <v>20260805</v>
      </c>
      <c r="E244" s="47" t="s">
        <v>527</v>
      </c>
      <c r="F244" s="48" t="n">
        <v>8779</v>
      </c>
      <c r="G244" s="48" t="n">
        <v>8984</v>
      </c>
      <c r="H244" s="48" t="n">
        <v>8361</v>
      </c>
      <c r="I244" s="48" t="n">
        <v>8786</v>
      </c>
      <c r="J244" s="48" t="n">
        <v>8525</v>
      </c>
      <c r="K244" s="48" t="n">
        <v>8554</v>
      </c>
      <c r="L244" s="48" t="n">
        <v>49895167</v>
      </c>
      <c r="M244" s="48" t="n">
        <v>438378937262</v>
      </c>
      <c r="N244" s="48" t="n">
        <v>2097</v>
      </c>
      <c r="O244" s="48" t="n">
        <v>36174348</v>
      </c>
      <c r="P244" s="48" t="n">
        <v>13281891</v>
      </c>
      <c r="Q244" s="48" t="n">
        <v>510</v>
      </c>
      <c r="R244" s="48" t="n">
        <v>1146</v>
      </c>
      <c r="S244" s="48" t="n">
        <v>13720819</v>
      </c>
      <c r="T244" s="48" t="n">
        <v>36613276</v>
      </c>
      <c r="U244" s="46" t="n">
        <f aca="false">IF($A244=$A243,$U243+1,1)</f>
        <v>240</v>
      </c>
      <c r="V244" s="48" t="n">
        <f aca="false">IF($U244&gt;=MA_SHORT,AVERAGE(INDEX($I$5:$I244,241-MA_SHORT):$I244),"")</f>
        <v>8171.2</v>
      </c>
      <c r="W244" s="48" t="n">
        <f aca="false">IF($U244&gt;=MA_MED,AVERAGE(INDEX($I$5:$I244,241-MA_MED):$I244),"")</f>
        <v>7600.14</v>
      </c>
      <c r="X244" s="48" t="n">
        <f aca="false">IF($U244&gt;=MA_LONG1,AVERAGE(INDEX($I$5:$I244,241-MA_LONG1):$I244),"")</f>
        <v>7378.25</v>
      </c>
      <c r="Y244" s="48" t="n">
        <f aca="false">IF($U244&gt;=MA_LONG2,AVERAGE(INDEX($I$5:$I244,241-MA_LONG2):$I244),"")</f>
        <v>6949.845</v>
      </c>
      <c r="Z244" s="48" t="n">
        <f aca="false">IF($U244&gt;=MA_SHORT,AVERAGE(INDEX($L$124:$L244,122-MA_SHORT):$L244),"")</f>
        <v>50298943.55</v>
      </c>
      <c r="AA244" s="48" t="n">
        <f aca="false">IF($U244=1,$G244-$H244,MAX($G244-$H244,ABS($G244-$I243),ABS($H244-$I243)))</f>
        <v>623</v>
      </c>
      <c r="AB244" s="48" t="n">
        <f aca="false">IF($U244&gt;=ATR_PER,AVERAGE(INDEX($AA$124:$AA244,122-ATR_PER):$AA244),"")</f>
        <v>229.428571428571</v>
      </c>
      <c r="AC244" s="48" t="n">
        <f aca="false">$O244-$P244</f>
        <v>22892457</v>
      </c>
      <c r="AD244" s="48" t="n">
        <f aca="false">$AC244*$I244</f>
        <v>201133127202</v>
      </c>
      <c r="AE244" s="49" t="n">
        <f aca="false">IF($Q244&gt;0,$O244*$I244/$Q244/1000000,"")</f>
        <v>623.191806917647</v>
      </c>
      <c r="AF244" s="49" t="n">
        <f aca="false">IF($R244&gt;0,$P244*$I244/$R244/1000000,"")</f>
        <v>101.827831</v>
      </c>
      <c r="AG244" s="50" t="n">
        <f aca="false">IF(AND(ISNUMBER($AE244),ISNUMBER($AF244),$AF244&gt;0),$AE244/$AF244,"")</f>
        <v>6.12005382808996</v>
      </c>
      <c r="AH244" s="48" t="n">
        <f aca="false">IF($U244&gt;=5,SUM(INDEX($AD$214:$AD244,32-5):$AD244),"")</f>
        <v>641354903676</v>
      </c>
      <c r="AI244" s="48" t="n">
        <f aca="false">IF($U244&gt;=STRUCT_S,MAX(INDEX($G$94:$G244,152-STRUCT_S):$G244),"")</f>
        <v>8984</v>
      </c>
      <c r="AJ244" s="48" t="n">
        <f aca="false">IF($U244&gt;=STRUCT_S,MIN(INDEX($H$94:$H244,152-STRUCT_S):$H244),"")</f>
        <v>7752</v>
      </c>
      <c r="AK244" s="48" t="n">
        <f aca="false">IF($U244&gt;=STRUCT_L,MAX(INDEX($G$5:$G244,241-STRUCT_L):$G244),"")</f>
        <v>8984</v>
      </c>
      <c r="AL244" s="48" t="n">
        <f aca="false">IF($U244&gt;=STRUCT_L,MIN(INDEX($H$5:$H244,241-STRUCT_L):$H244),"")</f>
        <v>6569</v>
      </c>
      <c r="AM244" s="46" t="n">
        <f aca="false">IF($A244&lt;&gt;$A245,1,0)</f>
        <v>0</v>
      </c>
      <c r="AN244" s="47" t="str">
        <f aca="false">IF($AM244=1,$A244,"")</f>
        <v/>
      </c>
    </row>
    <row r="245" customFormat="false" ht="15" hidden="false" customHeight="false" outlineLevel="0" collapsed="false">
      <c r="A245" s="43" t="s">
        <v>130</v>
      </c>
      <c r="B245" s="44" t="s">
        <v>132</v>
      </c>
      <c r="C245" s="45" t="n">
        <v>46242</v>
      </c>
      <c r="D245" s="46" t="n">
        <v>20260808</v>
      </c>
      <c r="E245" s="47" t="s">
        <v>528</v>
      </c>
      <c r="F245" s="48" t="n">
        <v>8548</v>
      </c>
      <c r="G245" s="48" t="n">
        <v>8879</v>
      </c>
      <c r="H245" s="48" t="n">
        <v>8497</v>
      </c>
      <c r="I245" s="48" t="n">
        <v>8588</v>
      </c>
      <c r="J245" s="48" t="n">
        <v>8540</v>
      </c>
      <c r="K245" s="48" t="n">
        <v>8786</v>
      </c>
      <c r="L245" s="48" t="n">
        <v>74922452</v>
      </c>
      <c r="M245" s="48" t="n">
        <v>643434017776</v>
      </c>
      <c r="N245" s="48" t="n">
        <v>5324</v>
      </c>
      <c r="O245" s="48" t="n">
        <v>39472832</v>
      </c>
      <c r="P245" s="48" t="n">
        <v>32078945</v>
      </c>
      <c r="Q245" s="48" t="n">
        <v>3589</v>
      </c>
      <c r="R245" s="48" t="n">
        <v>2208</v>
      </c>
      <c r="S245" s="48" t="n">
        <v>35449620</v>
      </c>
      <c r="T245" s="48" t="n">
        <v>42843507</v>
      </c>
      <c r="U245" s="46" t="n">
        <f aca="false">IF($A245=$A244,$U244+1,1)</f>
        <v>241</v>
      </c>
      <c r="V245" s="48" t="n">
        <f aca="false">IF($U245&gt;=MA_SHORT,AVERAGE(INDEX($I$5:$I245,242-MA_SHORT):$I245),"")</f>
        <v>8197.45</v>
      </c>
      <c r="W245" s="48" t="n">
        <f aca="false">IF($U245&gt;=MA_MED,AVERAGE(INDEX($I$5:$I245,242-MA_MED):$I245),"")</f>
        <v>7638.78</v>
      </c>
      <c r="X245" s="48" t="n">
        <f aca="false">IF($U245&gt;=MA_LONG1,AVERAGE(INDEX($I$5:$I245,242-MA_LONG1):$I245),"")</f>
        <v>7391.63</v>
      </c>
      <c r="Y245" s="48" t="n">
        <f aca="false">IF($U245&gt;=MA_LONG2,AVERAGE(INDEX($I$5:$I245,242-MA_LONG2):$I245),"")</f>
        <v>6961.02</v>
      </c>
      <c r="Z245" s="48" t="n">
        <f aca="false">IF($U245&gt;=MA_SHORT,AVERAGE(INDEX($L$125:$L245,122-MA_SHORT):$L245),"")</f>
        <v>51835280.05</v>
      </c>
      <c r="AA245" s="48" t="n">
        <f aca="false">IF($U245=1,$G245-$H245,MAX($G245-$H245,ABS($G245-$I244),ABS($H245-$I244)))</f>
        <v>382</v>
      </c>
      <c r="AB245" s="48" t="n">
        <f aca="false">IF($U245&gt;=ATR_PER,AVERAGE(INDEX($AA$125:$AA245,122-ATR_PER):$AA245),"")</f>
        <v>244.428571428571</v>
      </c>
      <c r="AC245" s="48" t="n">
        <f aca="false">$O245-$P245</f>
        <v>7393887</v>
      </c>
      <c r="AD245" s="48" t="n">
        <f aca="false">$AC245*$I245</f>
        <v>63498701556</v>
      </c>
      <c r="AE245" s="49" t="n">
        <f aca="false">IF($Q245&gt;0,$O245*$I245/$Q245/1000000,"")</f>
        <v>94.4532407957648</v>
      </c>
      <c r="AF245" s="49" t="n">
        <f aca="false">IF($R245&gt;0,$P245*$I245/$R245/1000000,"")</f>
        <v>124.770824121377</v>
      </c>
      <c r="AG245" s="50" t="n">
        <f aca="false">IF(AND(ISNUMBER($AE245),ISNUMBER($AF245),$AF245&gt;0),$AE245/$AF245,"")</f>
        <v>0.757013840862996</v>
      </c>
      <c r="AH245" s="48" t="n">
        <f aca="false">IF($U245&gt;=5,SUM(INDEX($AD$215:$AD245,32-5):$AD245),"")</f>
        <v>634795901733</v>
      </c>
      <c r="AI245" s="48" t="n">
        <f aca="false">IF($U245&gt;=STRUCT_S,MAX(INDEX($G$95:$G245,152-STRUCT_S):$G245),"")</f>
        <v>8984</v>
      </c>
      <c r="AJ245" s="48" t="n">
        <f aca="false">IF($U245&gt;=STRUCT_S,MIN(INDEX($H$95:$H245,152-STRUCT_S):$H245),"")</f>
        <v>7752</v>
      </c>
      <c r="AK245" s="48" t="n">
        <f aca="false">IF($U245&gt;=STRUCT_L,MAX(INDEX($G$5:$G245,242-STRUCT_L):$G245),"")</f>
        <v>8984</v>
      </c>
      <c r="AL245" s="48" t="n">
        <f aca="false">IF($U245&gt;=STRUCT_L,MIN(INDEX($H$5:$H245,242-STRUCT_L):$H245),"")</f>
        <v>6569</v>
      </c>
      <c r="AM245" s="46" t="n">
        <f aca="false">IF($A245&lt;&gt;$A246,1,0)</f>
        <v>0</v>
      </c>
      <c r="AN245" s="47" t="str">
        <f aca="false">IF($AM245=1,$A245,"")</f>
        <v/>
      </c>
    </row>
    <row r="246" customFormat="false" ht="15" hidden="false" customHeight="false" outlineLevel="0" collapsed="false">
      <c r="A246" s="43" t="s">
        <v>130</v>
      </c>
      <c r="B246" s="44" t="s">
        <v>132</v>
      </c>
      <c r="C246" s="45" t="n">
        <v>46243</v>
      </c>
      <c r="D246" s="46" t="n">
        <v>20260809</v>
      </c>
      <c r="E246" s="47" t="s">
        <v>529</v>
      </c>
      <c r="F246" s="48" t="n">
        <v>8687</v>
      </c>
      <c r="G246" s="48" t="n">
        <v>8722</v>
      </c>
      <c r="H246" s="48" t="n">
        <v>8456</v>
      </c>
      <c r="I246" s="48" t="n">
        <v>8590</v>
      </c>
      <c r="J246" s="48" t="n">
        <v>8721</v>
      </c>
      <c r="K246" s="48" t="n">
        <v>8588</v>
      </c>
      <c r="L246" s="48" t="n">
        <v>43228188</v>
      </c>
      <c r="M246" s="48" t="n">
        <v>371330134920</v>
      </c>
      <c r="N246" s="48" t="n">
        <v>4335</v>
      </c>
      <c r="O246" s="48" t="n">
        <v>24458807</v>
      </c>
      <c r="P246" s="48" t="n">
        <v>16685932</v>
      </c>
      <c r="Q246" s="48" t="n">
        <v>1460</v>
      </c>
      <c r="R246" s="48" t="n">
        <v>2661</v>
      </c>
      <c r="S246" s="48" t="n">
        <v>18769381</v>
      </c>
      <c r="T246" s="48" t="n">
        <v>26542256</v>
      </c>
      <c r="U246" s="46" t="n">
        <f aca="false">IF($A246=$A245,$U245+1,1)</f>
        <v>242</v>
      </c>
      <c r="V246" s="48" t="n">
        <f aca="false">IF($U246&gt;=MA_SHORT,AVERAGE(INDEX($I$5:$I246,243-MA_SHORT):$I246),"")</f>
        <v>8222.85</v>
      </c>
      <c r="W246" s="48" t="n">
        <f aca="false">IF($U246&gt;=MA_MED,AVERAGE(INDEX($I$5:$I246,243-MA_MED):$I246),"")</f>
        <v>7674.62</v>
      </c>
      <c r="X246" s="48" t="n">
        <f aca="false">IF($U246&gt;=MA_LONG1,AVERAGE(INDEX($I$5:$I246,243-MA_LONG1):$I246),"")</f>
        <v>7405.91</v>
      </c>
      <c r="Y246" s="48" t="n">
        <f aca="false">IF($U246&gt;=MA_LONG2,AVERAGE(INDEX($I$5:$I246,243-MA_LONG2):$I246),"")</f>
        <v>6971.545</v>
      </c>
      <c r="Z246" s="48" t="n">
        <f aca="false">IF($U246&gt;=MA_SHORT,AVERAGE(INDEX($L$126:$L246,122-MA_SHORT):$L246),"")</f>
        <v>51820751</v>
      </c>
      <c r="AA246" s="48" t="n">
        <f aca="false">IF($U246=1,$G246-$H246,MAX($G246-$H246,ABS($G246-$I245),ABS($H246-$I245)))</f>
        <v>266</v>
      </c>
      <c r="AB246" s="48" t="n">
        <f aca="false">IF($U246&gt;=ATR_PER,AVERAGE(INDEX($AA$126:$AA246,122-ATR_PER):$AA246),"")</f>
        <v>253.785714285714</v>
      </c>
      <c r="AC246" s="48" t="n">
        <f aca="false">$O246-$P246</f>
        <v>7772875</v>
      </c>
      <c r="AD246" s="48" t="n">
        <f aca="false">$AC246*$I246</f>
        <v>66768996250</v>
      </c>
      <c r="AE246" s="49" t="n">
        <f aca="false">IF($Q246&gt;0,$O246*$I246/$Q246/1000000,"")</f>
        <v>143.904898719178</v>
      </c>
      <c r="AF246" s="49" t="n">
        <f aca="false">IF($R246&gt;0,$P246*$I246/$R246/1000000,"")</f>
        <v>53.8640194964299</v>
      </c>
      <c r="AG246" s="50" t="n">
        <f aca="false">IF(AND(ISNUMBER($AE246),ISNUMBER($AF246),$AF246&gt;0),$AE246/$AF246,"")</f>
        <v>2.67163312475624</v>
      </c>
      <c r="AH246" s="48" t="n">
        <f aca="false">IF($U246&gt;=5,SUM(INDEX($AD$216:$AD246,32-5):$AD246),"")</f>
        <v>544341991103</v>
      </c>
      <c r="AI246" s="48" t="n">
        <f aca="false">IF($U246&gt;=STRUCT_S,MAX(INDEX($G$96:$G246,152-STRUCT_S):$G246),"")</f>
        <v>8984</v>
      </c>
      <c r="AJ246" s="48" t="n">
        <f aca="false">IF($U246&gt;=STRUCT_S,MIN(INDEX($H$96:$H246,152-STRUCT_S):$H246),"")</f>
        <v>7752</v>
      </c>
      <c r="AK246" s="48" t="n">
        <f aca="false">IF($U246&gt;=STRUCT_L,MAX(INDEX($G$5:$G246,243-STRUCT_L):$G246),"")</f>
        <v>8984</v>
      </c>
      <c r="AL246" s="48" t="n">
        <f aca="false">IF($U246&gt;=STRUCT_L,MIN(INDEX($H$5:$H246,243-STRUCT_L):$H246),"")</f>
        <v>6569</v>
      </c>
      <c r="AM246" s="46" t="n">
        <f aca="false">IF($A246&lt;&gt;$A247,1,0)</f>
        <v>0</v>
      </c>
      <c r="AN246" s="47" t="str">
        <f aca="false">IF($AM246=1,$A246,"")</f>
        <v/>
      </c>
    </row>
    <row r="247" customFormat="false" ht="15" hidden="false" customHeight="false" outlineLevel="0" collapsed="false">
      <c r="A247" s="43" t="s">
        <v>130</v>
      </c>
      <c r="B247" s="44" t="s">
        <v>132</v>
      </c>
      <c r="C247" s="45" t="n">
        <v>46244</v>
      </c>
      <c r="D247" s="46" t="n">
        <v>20260810</v>
      </c>
      <c r="E247" s="47" t="s">
        <v>530</v>
      </c>
      <c r="F247" s="48" t="n">
        <v>8468</v>
      </c>
      <c r="G247" s="48" t="n">
        <v>8655</v>
      </c>
      <c r="H247" s="48" t="n">
        <v>8437</v>
      </c>
      <c r="I247" s="48" t="n">
        <v>8501</v>
      </c>
      <c r="J247" s="48" t="n">
        <v>8585</v>
      </c>
      <c r="K247" s="48" t="n">
        <v>8590</v>
      </c>
      <c r="L247" s="48" t="n">
        <v>68144313</v>
      </c>
      <c r="M247" s="48" t="n">
        <v>579294804813</v>
      </c>
      <c r="N247" s="48" t="n">
        <v>4180</v>
      </c>
      <c r="O247" s="48" t="n">
        <v>36024088</v>
      </c>
      <c r="P247" s="48" t="n">
        <v>32330742</v>
      </c>
      <c r="Q247" s="48" t="n">
        <v>2474</v>
      </c>
      <c r="R247" s="48" t="n">
        <v>1198</v>
      </c>
      <c r="S247" s="48" t="n">
        <v>32120225</v>
      </c>
      <c r="T247" s="48" t="n">
        <v>35813571</v>
      </c>
      <c r="U247" s="46" t="n">
        <f aca="false">IF($A247=$A246,$U246+1,1)</f>
        <v>243</v>
      </c>
      <c r="V247" s="48" t="n">
        <f aca="false">IF($U247&gt;=MA_SHORT,AVERAGE(INDEX($I$5:$I247,244-MA_SHORT):$I247),"")</f>
        <v>8243.45</v>
      </c>
      <c r="W247" s="48" t="n">
        <f aca="false">IF($U247&gt;=MA_MED,AVERAGE(INDEX($I$5:$I247,244-MA_MED):$I247),"")</f>
        <v>7711.34</v>
      </c>
      <c r="X247" s="48" t="n">
        <f aca="false">IF($U247&gt;=MA_LONG1,AVERAGE(INDEX($I$5:$I247,244-MA_LONG1):$I247),"")</f>
        <v>7420.43</v>
      </c>
      <c r="Y247" s="48" t="n">
        <f aca="false">IF($U247&gt;=MA_LONG2,AVERAGE(INDEX($I$5:$I247,244-MA_LONG2):$I247),"")</f>
        <v>6982.465</v>
      </c>
      <c r="Z247" s="48" t="n">
        <f aca="false">IF($U247&gt;=MA_SHORT,AVERAGE(INDEX($L$127:$L247,122-MA_SHORT):$L247),"")</f>
        <v>52604184.8</v>
      </c>
      <c r="AA247" s="48" t="n">
        <f aca="false">IF($U247=1,$G247-$H247,MAX($G247-$H247,ABS($G247-$I246),ABS($H247-$I246)))</f>
        <v>218</v>
      </c>
      <c r="AB247" s="48" t="n">
        <f aca="false">IF($U247&gt;=ATR_PER,AVERAGE(INDEX($AA$127:$AA247,122-ATR_PER):$AA247),"")</f>
        <v>247.928571428571</v>
      </c>
      <c r="AC247" s="48" t="n">
        <f aca="false">$O247-$P247</f>
        <v>3693346</v>
      </c>
      <c r="AD247" s="48" t="n">
        <f aca="false">$AC247*$I247</f>
        <v>31397134346</v>
      </c>
      <c r="AE247" s="49" t="n">
        <f aca="false">IF($Q247&gt;0,$O247*$I247/$Q247/1000000,"")</f>
        <v>123.783658887631</v>
      </c>
      <c r="AF247" s="49" t="n">
        <f aca="false">IF($R247&gt;0,$P247*$I247/$R247/1000000,"")</f>
        <v>229.41872933389</v>
      </c>
      <c r="AG247" s="50" t="n">
        <f aca="false">IF(AND(ISNUMBER($AE247),ISNUMBER($AF247),$AF247&gt;0),$AE247/$AF247,"")</f>
        <v>0.539553415046075</v>
      </c>
      <c r="AH247" s="48" t="n">
        <f aca="false">IF($U247&gt;=5,SUM(INDEX($AD$217:$AD247,32-5):$AD247),"")</f>
        <v>437490435212</v>
      </c>
      <c r="AI247" s="48" t="n">
        <f aca="false">IF($U247&gt;=STRUCT_S,MAX(INDEX($G$97:$G247,152-STRUCT_S):$G247),"")</f>
        <v>8984</v>
      </c>
      <c r="AJ247" s="48" t="n">
        <f aca="false">IF($U247&gt;=STRUCT_S,MIN(INDEX($H$97:$H247,152-STRUCT_S):$H247),"")</f>
        <v>7752</v>
      </c>
      <c r="AK247" s="48" t="n">
        <f aca="false">IF($U247&gt;=STRUCT_L,MAX(INDEX($G$5:$G247,244-STRUCT_L):$G247),"")</f>
        <v>8984</v>
      </c>
      <c r="AL247" s="48" t="n">
        <f aca="false">IF($U247&gt;=STRUCT_L,MIN(INDEX($H$5:$H247,244-STRUCT_L):$H247),"")</f>
        <v>6569</v>
      </c>
      <c r="AM247" s="46" t="n">
        <f aca="false">IF($A247&lt;&gt;$A248,1,0)</f>
        <v>0</v>
      </c>
      <c r="AN247" s="47" t="str">
        <f aca="false">IF($AM247=1,$A247,"")</f>
        <v/>
      </c>
    </row>
    <row r="248" customFormat="false" ht="15" hidden="false" customHeight="false" outlineLevel="0" collapsed="false">
      <c r="A248" s="43" t="s">
        <v>130</v>
      </c>
      <c r="B248" s="44" t="s">
        <v>132</v>
      </c>
      <c r="C248" s="45" t="n">
        <v>46245</v>
      </c>
      <c r="D248" s="46" t="n">
        <v>20260811</v>
      </c>
      <c r="E248" s="47" t="s">
        <v>531</v>
      </c>
      <c r="F248" s="48" t="n">
        <v>8579</v>
      </c>
      <c r="G248" s="48" t="n">
        <v>8604</v>
      </c>
      <c r="H248" s="48" t="n">
        <v>8284</v>
      </c>
      <c r="I248" s="48" t="n">
        <v>8386</v>
      </c>
      <c r="J248" s="48" t="n">
        <v>8579</v>
      </c>
      <c r="K248" s="48" t="n">
        <v>8501</v>
      </c>
      <c r="L248" s="48" t="n">
        <v>74428702</v>
      </c>
      <c r="M248" s="48" t="n">
        <v>624159094972</v>
      </c>
      <c r="N248" s="48" t="n">
        <v>3871</v>
      </c>
      <c r="O248" s="48" t="n">
        <v>39844118</v>
      </c>
      <c r="P248" s="48" t="n">
        <v>34417432</v>
      </c>
      <c r="Q248" s="48" t="n">
        <v>2093</v>
      </c>
      <c r="R248" s="48" t="n">
        <v>1201</v>
      </c>
      <c r="S248" s="48" t="n">
        <v>34584584</v>
      </c>
      <c r="T248" s="48" t="n">
        <v>40011270</v>
      </c>
      <c r="U248" s="46" t="n">
        <f aca="false">IF($A248=$A247,$U247+1,1)</f>
        <v>244</v>
      </c>
      <c r="V248" s="48" t="n">
        <f aca="false">IF($U248&gt;=MA_SHORT,AVERAGE(INDEX($I$5:$I248,245-MA_SHORT):$I248),"")</f>
        <v>8254.45</v>
      </c>
      <c r="W248" s="48" t="n">
        <f aca="false">IF($U248&gt;=MA_MED,AVERAGE(INDEX($I$5:$I248,245-MA_MED):$I248),"")</f>
        <v>7742.88</v>
      </c>
      <c r="X248" s="48" t="n">
        <f aca="false">IF($U248&gt;=MA_LONG1,AVERAGE(INDEX($I$5:$I248,245-MA_LONG1):$I248),"")</f>
        <v>7433.76</v>
      </c>
      <c r="Y248" s="48" t="n">
        <f aca="false">IF($U248&gt;=MA_LONG2,AVERAGE(INDEX($I$5:$I248,245-MA_LONG2):$I248),"")</f>
        <v>6992.59</v>
      </c>
      <c r="Z248" s="48" t="n">
        <f aca="false">IF($U248&gt;=MA_SHORT,AVERAGE(INDEX($L$128:$L248,122-MA_SHORT):$L248),"")</f>
        <v>53613037.6</v>
      </c>
      <c r="AA248" s="48" t="n">
        <f aca="false">IF($U248=1,$G248-$H248,MAX($G248-$H248,ABS($G248-$I247),ABS($H248-$I247)))</f>
        <v>320</v>
      </c>
      <c r="AB248" s="48" t="n">
        <f aca="false">IF($U248&gt;=ATR_PER,AVERAGE(INDEX($AA$128:$AA248,122-ATR_PER):$AA248),"")</f>
        <v>249.142857142857</v>
      </c>
      <c r="AC248" s="48" t="n">
        <f aca="false">$O248-$P248</f>
        <v>5426686</v>
      </c>
      <c r="AD248" s="48" t="n">
        <f aca="false">$AC248*$I248</f>
        <v>45508188796</v>
      </c>
      <c r="AE248" s="49" t="n">
        <f aca="false">IF($Q248&gt;0,$O248*$I248/$Q248/1000000,"")</f>
        <v>159.642987839465</v>
      </c>
      <c r="AF248" s="49" t="n">
        <f aca="false">IF($R248&gt;0,$P248*$I248/$R248/1000000,"")</f>
        <v>240.320220442964</v>
      </c>
      <c r="AG248" s="50" t="n">
        <f aca="false">IF(AND(ISNUMBER($AE248),ISNUMBER($AF248),$AF248&gt;0),$AE248/$AF248,"")</f>
        <v>0.664292782127143</v>
      </c>
      <c r="AH248" s="48" t="n">
        <f aca="false">IF($U248&gt;=5,SUM(INDEX($AD$218:$AD248,32-5):$AD248),"")</f>
        <v>408306148150</v>
      </c>
      <c r="AI248" s="48" t="n">
        <f aca="false">IF($U248&gt;=STRUCT_S,MAX(INDEX($G$98:$G248,152-STRUCT_S):$G248),"")</f>
        <v>8984</v>
      </c>
      <c r="AJ248" s="48" t="n">
        <f aca="false">IF($U248&gt;=STRUCT_S,MIN(INDEX($H$98:$H248,152-STRUCT_S):$H248),"")</f>
        <v>7752</v>
      </c>
      <c r="AK248" s="48" t="n">
        <f aca="false">IF($U248&gt;=STRUCT_L,MAX(INDEX($G$5:$G248,245-STRUCT_L):$G248),"")</f>
        <v>8984</v>
      </c>
      <c r="AL248" s="48" t="n">
        <f aca="false">IF($U248&gt;=STRUCT_L,MIN(INDEX($H$5:$H248,245-STRUCT_L):$H248),"")</f>
        <v>6569</v>
      </c>
      <c r="AM248" s="46" t="n">
        <f aca="false">IF($A248&lt;&gt;$A249,1,0)</f>
        <v>0</v>
      </c>
      <c r="AN248" s="47" t="str">
        <f aca="false">IF($AM248=1,$A248,"")</f>
        <v/>
      </c>
    </row>
    <row r="249" customFormat="false" ht="15" hidden="false" customHeight="false" outlineLevel="0" collapsed="false">
      <c r="A249" s="43" t="s">
        <v>130</v>
      </c>
      <c r="B249" s="44" t="s">
        <v>132</v>
      </c>
      <c r="C249" s="45" t="n">
        <v>46246</v>
      </c>
      <c r="D249" s="46" t="n">
        <v>20260812</v>
      </c>
      <c r="E249" s="47" t="s">
        <v>532</v>
      </c>
      <c r="F249" s="48" t="n">
        <v>8425</v>
      </c>
      <c r="G249" s="48" t="n">
        <v>8451</v>
      </c>
      <c r="H249" s="48" t="n">
        <v>8109</v>
      </c>
      <c r="I249" s="48" t="n">
        <v>8173</v>
      </c>
      <c r="J249" s="48" t="n">
        <v>8362</v>
      </c>
      <c r="K249" s="48" t="n">
        <v>8386</v>
      </c>
      <c r="L249" s="48" t="n">
        <v>49451712</v>
      </c>
      <c r="M249" s="48" t="n">
        <v>404168842176</v>
      </c>
      <c r="N249" s="48" t="n">
        <v>1176</v>
      </c>
      <c r="O249" s="48" t="n">
        <v>21675055</v>
      </c>
      <c r="P249" s="48" t="n">
        <v>29744889</v>
      </c>
      <c r="Q249" s="48" t="n">
        <v>583</v>
      </c>
      <c r="R249" s="48" t="n">
        <v>463</v>
      </c>
      <c r="S249" s="48" t="n">
        <v>27776657</v>
      </c>
      <c r="T249" s="48" t="n">
        <v>19706823</v>
      </c>
      <c r="U249" s="46" t="n">
        <f aca="false">IF($A249=$A248,$U248+1,1)</f>
        <v>245</v>
      </c>
      <c r="V249" s="48" t="n">
        <f aca="false">IF($U249&gt;=MA_SHORT,AVERAGE(INDEX($I$5:$I249,246-MA_SHORT):$I249),"")</f>
        <v>8259.4</v>
      </c>
      <c r="W249" s="48" t="n">
        <f aca="false">IF($U249&gt;=MA_MED,AVERAGE(INDEX($I$5:$I249,246-MA_MED):$I249),"")</f>
        <v>7770.66</v>
      </c>
      <c r="X249" s="48" t="n">
        <f aca="false">IF($U249&gt;=MA_LONG1,AVERAGE(INDEX($I$5:$I249,246-MA_LONG1):$I249),"")</f>
        <v>7444.61</v>
      </c>
      <c r="Y249" s="48" t="n">
        <f aca="false">IF($U249&gt;=MA_LONG2,AVERAGE(INDEX($I$5:$I249,246-MA_LONG2):$I249),"")</f>
        <v>7002.395</v>
      </c>
      <c r="Z249" s="48" t="n">
        <f aca="false">IF($U249&gt;=MA_SHORT,AVERAGE(INDEX($L$129:$L249,122-MA_SHORT):$L249),"")</f>
        <v>53794983.6</v>
      </c>
      <c r="AA249" s="48" t="n">
        <f aca="false">IF($U249=1,$G249-$H249,MAX($G249-$H249,ABS($G249-$I248),ABS($H249-$I248)))</f>
        <v>342</v>
      </c>
      <c r="AB249" s="48" t="n">
        <f aca="false">IF($U249&gt;=ATR_PER,AVERAGE(INDEX($AA$129:$AA249,122-ATR_PER):$AA249),"")</f>
        <v>259.357142857143</v>
      </c>
      <c r="AC249" s="48" t="n">
        <f aca="false">$O249-$P249</f>
        <v>-8069834</v>
      </c>
      <c r="AD249" s="48" t="n">
        <f aca="false">$AC249*$I249</f>
        <v>-65954753282</v>
      </c>
      <c r="AE249" s="49" t="n">
        <f aca="false">IF($Q249&gt;0,$O249*$I249/$Q249/1000000,"")</f>
        <v>303.859733301887</v>
      </c>
      <c r="AF249" s="49" t="n">
        <f aca="false">IF($R249&gt;0,$P249*$I249/$R249/1000000,"")</f>
        <v>525.064746861771</v>
      </c>
      <c r="AG249" s="50" t="n">
        <f aca="false">IF(AND(ISNUMBER($AE249),ISNUMBER($AF249),$AF249&gt;0),$AE249/$AF249,"")</f>
        <v>0.578709073724733</v>
      </c>
      <c r="AH249" s="48" t="n">
        <f aca="false">IF($U249&gt;=5,SUM(INDEX($AD$219:$AD249,32-5):$AD249),"")</f>
        <v>141218267666</v>
      </c>
      <c r="AI249" s="48" t="n">
        <f aca="false">IF($U249&gt;=STRUCT_S,MAX(INDEX($G$99:$G249,152-STRUCT_S):$G249),"")</f>
        <v>8984</v>
      </c>
      <c r="AJ249" s="48" t="n">
        <f aca="false">IF($U249&gt;=STRUCT_S,MIN(INDEX($H$99:$H249,152-STRUCT_S):$H249),"")</f>
        <v>7752</v>
      </c>
      <c r="AK249" s="48" t="n">
        <f aca="false">IF($U249&gt;=STRUCT_L,MAX(INDEX($G$5:$G249,246-STRUCT_L):$G249),"")</f>
        <v>8984</v>
      </c>
      <c r="AL249" s="48" t="n">
        <f aca="false">IF($U249&gt;=STRUCT_L,MIN(INDEX($H$5:$H249,246-STRUCT_L):$H249),"")</f>
        <v>6569</v>
      </c>
      <c r="AM249" s="46" t="n">
        <f aca="false">IF($A249&lt;&gt;$A250,1,0)</f>
        <v>0</v>
      </c>
      <c r="AN249" s="47" t="str">
        <f aca="false">IF($AM249=1,$A249,"")</f>
        <v/>
      </c>
    </row>
    <row r="250" customFormat="false" ht="15" hidden="false" customHeight="false" outlineLevel="0" collapsed="false">
      <c r="A250" s="43" t="s">
        <v>130</v>
      </c>
      <c r="B250" s="44" t="s">
        <v>132</v>
      </c>
      <c r="C250" s="45" t="n">
        <v>46249</v>
      </c>
      <c r="D250" s="46" t="n">
        <v>20260815</v>
      </c>
      <c r="E250" s="47" t="s">
        <v>533</v>
      </c>
      <c r="F250" s="48" t="n">
        <v>8236</v>
      </c>
      <c r="G250" s="48" t="n">
        <v>8506</v>
      </c>
      <c r="H250" s="48" t="n">
        <v>8147</v>
      </c>
      <c r="I250" s="48" t="n">
        <v>8479</v>
      </c>
      <c r="J250" s="48" t="n">
        <v>8372</v>
      </c>
      <c r="K250" s="48" t="n">
        <v>8173</v>
      </c>
      <c r="L250" s="48" t="n">
        <v>52551905</v>
      </c>
      <c r="M250" s="48" t="n">
        <v>445587602495</v>
      </c>
      <c r="N250" s="48" t="n">
        <v>1242</v>
      </c>
      <c r="O250" s="48" t="n">
        <v>37081936</v>
      </c>
      <c r="P250" s="48" t="n">
        <v>18127331</v>
      </c>
      <c r="Q250" s="48" t="n">
        <v>342</v>
      </c>
      <c r="R250" s="48" t="n">
        <v>782</v>
      </c>
      <c r="S250" s="48" t="n">
        <v>15469969</v>
      </c>
      <c r="T250" s="48" t="n">
        <v>34424574</v>
      </c>
      <c r="U250" s="46" t="n">
        <f aca="false">IF($A250=$A249,$U249+1,1)</f>
        <v>246</v>
      </c>
      <c r="V250" s="48" t="n">
        <f aca="false">IF($U250&gt;=MA_SHORT,AVERAGE(INDEX($I$5:$I250,247-MA_SHORT):$I250),"")</f>
        <v>8280.8</v>
      </c>
      <c r="W250" s="48" t="n">
        <f aca="false">IF($U250&gt;=MA_MED,AVERAGE(INDEX($I$5:$I250,247-MA_MED):$I250),"")</f>
        <v>7804.62</v>
      </c>
      <c r="X250" s="48" t="n">
        <f aca="false">IF($U250&gt;=MA_LONG1,AVERAGE(INDEX($I$5:$I250,247-MA_LONG1):$I250),"")</f>
        <v>7458.75</v>
      </c>
      <c r="Y250" s="48" t="n">
        <f aca="false">IF($U250&gt;=MA_LONG2,AVERAGE(INDEX($I$5:$I250,247-MA_LONG2):$I250),"")</f>
        <v>7013.93</v>
      </c>
      <c r="Z250" s="48" t="n">
        <f aca="false">IF($U250&gt;=MA_SHORT,AVERAGE(INDEX($L$130:$L250,122-MA_SHORT):$L250),"")</f>
        <v>54240303.9</v>
      </c>
      <c r="AA250" s="48" t="n">
        <f aca="false">IF($U250=1,$G250-$H250,MAX($G250-$H250,ABS($G250-$I249),ABS($H250-$I249)))</f>
        <v>359</v>
      </c>
      <c r="AB250" s="48" t="n">
        <f aca="false">IF($U250&gt;=ATR_PER,AVERAGE(INDEX($AA$130:$AA250,122-ATR_PER):$AA250),"")</f>
        <v>255.5</v>
      </c>
      <c r="AC250" s="48" t="n">
        <f aca="false">$O250-$P250</f>
        <v>18954605</v>
      </c>
      <c r="AD250" s="48" t="n">
        <f aca="false">$AC250*$I250</f>
        <v>160716095795</v>
      </c>
      <c r="AE250" s="49" t="n">
        <f aca="false">IF($Q250&gt;0,$O250*$I250/$Q250/1000000,"")</f>
        <v>919.350103345029</v>
      </c>
      <c r="AF250" s="49" t="n">
        <f aca="false">IF($R250&gt;0,$P250*$I250/$R250/1000000,"")</f>
        <v>196.54941118798</v>
      </c>
      <c r="AG250" s="50" t="n">
        <f aca="false">IF(AND(ISNUMBER($AE250),ISNUMBER($AF250),$AF250&gt;0),$AE250/$AF250,"")</f>
        <v>4.6774503051844</v>
      </c>
      <c r="AH250" s="48" t="n">
        <f aca="false">IF($U250&gt;=5,SUM(INDEX($AD$220:$AD250,32-5):$AD250),"")</f>
        <v>238435661905</v>
      </c>
      <c r="AI250" s="48" t="n">
        <f aca="false">IF($U250&gt;=STRUCT_S,MAX(INDEX($G$100:$G250,152-STRUCT_S):$G250),"")</f>
        <v>8984</v>
      </c>
      <c r="AJ250" s="48" t="n">
        <f aca="false">IF($U250&gt;=STRUCT_S,MIN(INDEX($H$100:$H250,152-STRUCT_S):$H250),"")</f>
        <v>7752</v>
      </c>
      <c r="AK250" s="48" t="n">
        <f aca="false">IF($U250&gt;=STRUCT_L,MAX(INDEX($G$5:$G250,247-STRUCT_L):$G250),"")</f>
        <v>8984</v>
      </c>
      <c r="AL250" s="48" t="n">
        <f aca="false">IF($U250&gt;=STRUCT_L,MIN(INDEX($H$5:$H250,247-STRUCT_L):$H250),"")</f>
        <v>6569</v>
      </c>
      <c r="AM250" s="46" t="n">
        <f aca="false">IF($A250&lt;&gt;$A251,1,0)</f>
        <v>0</v>
      </c>
      <c r="AN250" s="47" t="str">
        <f aca="false">IF($AM250=1,$A250,"")</f>
        <v/>
      </c>
    </row>
    <row r="251" customFormat="false" ht="15" hidden="false" customHeight="false" outlineLevel="0" collapsed="false">
      <c r="A251" s="43" t="s">
        <v>130</v>
      </c>
      <c r="B251" s="44" t="s">
        <v>132</v>
      </c>
      <c r="C251" s="45" t="n">
        <v>46250</v>
      </c>
      <c r="D251" s="46" t="n">
        <v>20260816</v>
      </c>
      <c r="E251" s="47" t="s">
        <v>534</v>
      </c>
      <c r="F251" s="48" t="n">
        <v>8513</v>
      </c>
      <c r="G251" s="48" t="n">
        <v>8519</v>
      </c>
      <c r="H251" s="48" t="n">
        <v>8298</v>
      </c>
      <c r="I251" s="48" t="n">
        <v>8338</v>
      </c>
      <c r="J251" s="48" t="n">
        <v>8450</v>
      </c>
      <c r="K251" s="48" t="n">
        <v>8479</v>
      </c>
      <c r="L251" s="48" t="n">
        <v>48229215</v>
      </c>
      <c r="M251" s="48" t="n">
        <v>402135194670</v>
      </c>
      <c r="N251" s="48" t="n">
        <v>3313</v>
      </c>
      <c r="O251" s="48" t="n">
        <v>28272615</v>
      </c>
      <c r="P251" s="48" t="n">
        <v>21557848</v>
      </c>
      <c r="Q251" s="48" t="n">
        <v>2140</v>
      </c>
      <c r="R251" s="48" t="n">
        <v>853</v>
      </c>
      <c r="S251" s="48" t="n">
        <v>19956600</v>
      </c>
      <c r="T251" s="48" t="n">
        <v>26671367</v>
      </c>
      <c r="U251" s="46" t="n">
        <f aca="false">IF($A251=$A250,$U250+1,1)</f>
        <v>247</v>
      </c>
      <c r="V251" s="48" t="n">
        <f aca="false">IF($U251&gt;=MA_SHORT,AVERAGE(INDEX($I$5:$I251,248-MA_SHORT):$I251),"")</f>
        <v>8296.35</v>
      </c>
      <c r="W251" s="48" t="n">
        <f aca="false">IF($U251&gt;=MA_MED,AVERAGE(INDEX($I$5:$I251,248-MA_MED):$I251),"")</f>
        <v>7833.42</v>
      </c>
      <c r="X251" s="48" t="n">
        <f aca="false">IF($U251&gt;=MA_LONG1,AVERAGE(INDEX($I$5:$I251,248-MA_LONG1):$I251),"")</f>
        <v>7471.28</v>
      </c>
      <c r="Y251" s="48" t="n">
        <f aca="false">IF($U251&gt;=MA_LONG2,AVERAGE(INDEX($I$5:$I251,248-MA_LONG2):$I251),"")</f>
        <v>7024.93</v>
      </c>
      <c r="Z251" s="48" t="n">
        <f aca="false">IF($U251&gt;=MA_SHORT,AVERAGE(INDEX($L$131:$L251,122-MA_SHORT):$L251),"")</f>
        <v>54467785.9</v>
      </c>
      <c r="AA251" s="48" t="n">
        <f aca="false">IF($U251=1,$G251-$H251,MAX($G251-$H251,ABS($G251-$I250),ABS($H251-$I250)))</f>
        <v>221</v>
      </c>
      <c r="AB251" s="48" t="n">
        <f aca="false">IF($U251&gt;=ATR_PER,AVERAGE(INDEX($AA$131:$AA251,122-ATR_PER):$AA251),"")</f>
        <v>263.714285714286</v>
      </c>
      <c r="AC251" s="48" t="n">
        <f aca="false">$O251-$P251</f>
        <v>6714767</v>
      </c>
      <c r="AD251" s="48" t="n">
        <f aca="false">$AC251*$I251</f>
        <v>55987727246</v>
      </c>
      <c r="AE251" s="49" t="n">
        <f aca="false">IF($Q251&gt;0,$O251*$I251/$Q251/1000000,"")</f>
        <v>110.157506481308</v>
      </c>
      <c r="AF251" s="49" t="n">
        <f aca="false">IF($R251&gt;0,$P251*$I251/$R251/1000000,"")</f>
        <v>210.726068726846</v>
      </c>
      <c r="AG251" s="50" t="n">
        <f aca="false">IF(AND(ISNUMBER($AE251),ISNUMBER($AF251),$AF251&gt;0),$AE251/$AF251,"")</f>
        <v>0.522752154713711</v>
      </c>
      <c r="AH251" s="48" t="n">
        <f aca="false">IF($U251&gt;=5,SUM(INDEX($AD$221:$AD251,32-5):$AD251),"")</f>
        <v>227654392901</v>
      </c>
      <c r="AI251" s="48" t="n">
        <f aca="false">IF($U251&gt;=STRUCT_S,MAX(INDEX($G$101:$G251,152-STRUCT_S):$G251),"")</f>
        <v>8984</v>
      </c>
      <c r="AJ251" s="48" t="n">
        <f aca="false">IF($U251&gt;=STRUCT_S,MIN(INDEX($H$101:$H251,152-STRUCT_S):$H251),"")</f>
        <v>7752</v>
      </c>
      <c r="AK251" s="48" t="n">
        <f aca="false">IF($U251&gt;=STRUCT_L,MAX(INDEX($G$5:$G251,248-STRUCT_L):$G251),"")</f>
        <v>8984</v>
      </c>
      <c r="AL251" s="48" t="n">
        <f aca="false">IF($U251&gt;=STRUCT_L,MIN(INDEX($H$5:$H251,248-STRUCT_L):$H251),"")</f>
        <v>6569</v>
      </c>
      <c r="AM251" s="46" t="n">
        <f aca="false">IF($A251&lt;&gt;$A252,1,0)</f>
        <v>0</v>
      </c>
      <c r="AN251" s="47" t="str">
        <f aca="false">IF($AM251=1,$A251,"")</f>
        <v/>
      </c>
    </row>
    <row r="252" customFormat="false" ht="15" hidden="false" customHeight="false" outlineLevel="0" collapsed="false">
      <c r="A252" s="43" t="s">
        <v>130</v>
      </c>
      <c r="B252" s="44" t="s">
        <v>132</v>
      </c>
      <c r="C252" s="45" t="n">
        <v>46251</v>
      </c>
      <c r="D252" s="46" t="n">
        <v>20260817</v>
      </c>
      <c r="E252" s="47" t="s">
        <v>535</v>
      </c>
      <c r="F252" s="48" t="n">
        <v>8377</v>
      </c>
      <c r="G252" s="48" t="n">
        <v>8428</v>
      </c>
      <c r="H252" s="48" t="n">
        <v>8300</v>
      </c>
      <c r="I252" s="48" t="n">
        <v>8390</v>
      </c>
      <c r="J252" s="48" t="n">
        <v>8320</v>
      </c>
      <c r="K252" s="48" t="n">
        <v>8338</v>
      </c>
      <c r="L252" s="48" t="n">
        <v>44517779</v>
      </c>
      <c r="M252" s="48" t="n">
        <v>373504165810</v>
      </c>
      <c r="N252" s="48" t="n">
        <v>1197</v>
      </c>
      <c r="O252" s="48" t="n">
        <v>23811813</v>
      </c>
      <c r="P252" s="48" t="n">
        <v>22172600</v>
      </c>
      <c r="Q252" s="48" t="n">
        <v>318</v>
      </c>
      <c r="R252" s="48" t="n">
        <v>552</v>
      </c>
      <c r="S252" s="48" t="n">
        <v>20705966</v>
      </c>
      <c r="T252" s="48" t="n">
        <v>22345179</v>
      </c>
      <c r="U252" s="46" t="n">
        <f aca="false">IF($A252=$A251,$U251+1,1)</f>
        <v>248</v>
      </c>
      <c r="V252" s="48" t="n">
        <f aca="false">IF($U252&gt;=MA_SHORT,AVERAGE(INDEX($I$5:$I252,249-MA_SHORT):$I252),"")</f>
        <v>8313.2</v>
      </c>
      <c r="W252" s="48" t="n">
        <f aca="false">IF($U252&gt;=MA_MED,AVERAGE(INDEX($I$5:$I252,249-MA_MED):$I252),"")</f>
        <v>7860.18</v>
      </c>
      <c r="X252" s="48" t="n">
        <f aca="false">IF($U252&gt;=MA_LONG1,AVERAGE(INDEX($I$5:$I252,249-MA_LONG1):$I252),"")</f>
        <v>7483.14</v>
      </c>
      <c r="Y252" s="48" t="n">
        <f aca="false">IF($U252&gt;=MA_LONG2,AVERAGE(INDEX($I$5:$I252,249-MA_LONG2):$I252),"")</f>
        <v>7036.265</v>
      </c>
      <c r="Z252" s="48" t="n">
        <f aca="false">IF($U252&gt;=MA_SHORT,AVERAGE(INDEX($L$132:$L252,122-MA_SHORT):$L252),"")</f>
        <v>54506373.8</v>
      </c>
      <c r="AA252" s="48" t="n">
        <f aca="false">IF($U252=1,$G252-$H252,MAX($G252-$H252,ABS($G252-$I251),ABS($H252-$I251)))</f>
        <v>128</v>
      </c>
      <c r="AB252" s="48" t="n">
        <f aca="false">IF($U252&gt;=ATR_PER,AVERAGE(INDEX($AA$132:$AA252,122-ATR_PER):$AA252),"")</f>
        <v>266.928571428571</v>
      </c>
      <c r="AC252" s="48" t="n">
        <f aca="false">$O252-$P252</f>
        <v>1639213</v>
      </c>
      <c r="AD252" s="48" t="n">
        <f aca="false">$AC252*$I252</f>
        <v>13752997070</v>
      </c>
      <c r="AE252" s="49" t="n">
        <f aca="false">IF($Q252&gt;0,$O252*$I252/$Q252/1000000,"")</f>
        <v>628.24248764151</v>
      </c>
      <c r="AF252" s="49" t="n">
        <f aca="false">IF($R252&gt;0,$P252*$I252/$R252/1000000,"")</f>
        <v>337.007452898551</v>
      </c>
      <c r="AG252" s="50" t="n">
        <f aca="false">IF(AND(ISNUMBER($AE252),ISNUMBER($AF252),$AF252&gt;0),$AE252/$AF252,"")</f>
        <v>1.86417980444673</v>
      </c>
      <c r="AH252" s="48" t="n">
        <f aca="false">IF($U252&gt;=5,SUM(INDEX($AD$222:$AD252,32-5):$AD252),"")</f>
        <v>210010255625</v>
      </c>
      <c r="AI252" s="48" t="n">
        <f aca="false">IF($U252&gt;=STRUCT_S,MAX(INDEX($G$102:$G252,152-STRUCT_S):$G252),"")</f>
        <v>8984</v>
      </c>
      <c r="AJ252" s="48" t="n">
        <f aca="false">IF($U252&gt;=STRUCT_S,MIN(INDEX($H$102:$H252,152-STRUCT_S):$H252),"")</f>
        <v>7752</v>
      </c>
      <c r="AK252" s="48" t="n">
        <f aca="false">IF($U252&gt;=STRUCT_L,MAX(INDEX($G$5:$G252,249-STRUCT_L):$G252),"")</f>
        <v>8984</v>
      </c>
      <c r="AL252" s="48" t="n">
        <f aca="false">IF($U252&gt;=STRUCT_L,MIN(INDEX($H$5:$H252,249-STRUCT_L):$H252),"")</f>
        <v>6569</v>
      </c>
      <c r="AM252" s="46" t="n">
        <f aca="false">IF($A252&lt;&gt;$A253,1,0)</f>
        <v>0</v>
      </c>
      <c r="AN252" s="47" t="str">
        <f aca="false">IF($AM252=1,$A252,"")</f>
        <v/>
      </c>
    </row>
    <row r="253" customFormat="false" ht="15" hidden="false" customHeight="false" outlineLevel="0" collapsed="false">
      <c r="A253" s="43" t="s">
        <v>130</v>
      </c>
      <c r="B253" s="44" t="s">
        <v>132</v>
      </c>
      <c r="C253" s="45" t="n">
        <v>46252</v>
      </c>
      <c r="D253" s="46" t="n">
        <v>20260818</v>
      </c>
      <c r="E253" s="47" t="s">
        <v>536</v>
      </c>
      <c r="F253" s="48" t="n">
        <v>8412</v>
      </c>
      <c r="G253" s="48" t="n">
        <v>8514</v>
      </c>
      <c r="H253" s="48" t="n">
        <v>8239</v>
      </c>
      <c r="I253" s="48" t="n">
        <v>8363</v>
      </c>
      <c r="J253" s="48" t="n">
        <v>8277</v>
      </c>
      <c r="K253" s="48" t="n">
        <v>8390</v>
      </c>
      <c r="L253" s="48" t="n">
        <v>54440146</v>
      </c>
      <c r="M253" s="48" t="n">
        <v>455282940998</v>
      </c>
      <c r="N253" s="48" t="n">
        <v>1577</v>
      </c>
      <c r="O253" s="48" t="n">
        <v>29350685</v>
      </c>
      <c r="P253" s="48" t="n">
        <v>27740653</v>
      </c>
      <c r="Q253" s="48" t="n">
        <v>750</v>
      </c>
      <c r="R253" s="48" t="n">
        <v>440</v>
      </c>
      <c r="S253" s="48" t="n">
        <v>25089461</v>
      </c>
      <c r="T253" s="48" t="n">
        <v>26699493</v>
      </c>
      <c r="U253" s="46" t="n">
        <f aca="false">IF($A253=$A252,$U252+1,1)</f>
        <v>249</v>
      </c>
      <c r="V253" s="48" t="n">
        <f aca="false">IF($U253&gt;=MA_SHORT,AVERAGE(INDEX($I$5:$I253,250-MA_SHORT):$I253),"")</f>
        <v>8332.85</v>
      </c>
      <c r="W253" s="48" t="n">
        <f aca="false">IF($U253&gt;=MA_MED,AVERAGE(INDEX($I$5:$I253,250-MA_MED):$I253),"")</f>
        <v>7890.14</v>
      </c>
      <c r="X253" s="48" t="n">
        <f aca="false">IF($U253&gt;=MA_LONG1,AVERAGE(INDEX($I$5:$I253,250-MA_LONG1):$I253),"")</f>
        <v>7493.43</v>
      </c>
      <c r="Y253" s="48" t="n">
        <f aca="false">IF($U253&gt;=MA_LONG2,AVERAGE(INDEX($I$5:$I253,250-MA_LONG2):$I253),"")</f>
        <v>7047.875</v>
      </c>
      <c r="Z253" s="48" t="n">
        <f aca="false">IF($U253&gt;=MA_SHORT,AVERAGE(INDEX($L$133:$L253,122-MA_SHORT):$L253),"")</f>
        <v>54343169.95</v>
      </c>
      <c r="AA253" s="48" t="n">
        <f aca="false">IF($U253=1,$G253-$H253,MAX($G253-$H253,ABS($G253-$I252),ABS($H253-$I252)))</f>
        <v>275</v>
      </c>
      <c r="AB253" s="48" t="n">
        <f aca="false">IF($U253&gt;=ATR_PER,AVERAGE(INDEX($AA$133:$AA253,122-ATR_PER):$AA253),"")</f>
        <v>273.071428571429</v>
      </c>
      <c r="AC253" s="48" t="n">
        <f aca="false">$O253-$P253</f>
        <v>1610032</v>
      </c>
      <c r="AD253" s="48" t="n">
        <f aca="false">$AC253*$I253</f>
        <v>13464697616</v>
      </c>
      <c r="AE253" s="49" t="n">
        <f aca="false">IF($Q253&gt;0,$O253*$I253/$Q253/1000000,"")</f>
        <v>327.279704873333</v>
      </c>
      <c r="AF253" s="49" t="n">
        <f aca="false">IF($R253&gt;0,$P253*$I253/$R253/1000000,"")</f>
        <v>527.261547815909</v>
      </c>
      <c r="AG253" s="50" t="n">
        <f aca="false">IF(AND(ISNUMBER($AE253),ISNUMBER($AF253),$AF253&gt;0),$AE253/$AF253,"")</f>
        <v>0.620716049234073</v>
      </c>
      <c r="AH253" s="48" t="n">
        <f aca="false">IF($U253&gt;=5,SUM(INDEX($AD$223:$AD253,32-5):$AD253),"")</f>
        <v>177966764445</v>
      </c>
      <c r="AI253" s="48" t="n">
        <f aca="false">IF($U253&gt;=STRUCT_S,MAX(INDEX($G$103:$G253,152-STRUCT_S):$G253),"")</f>
        <v>8984</v>
      </c>
      <c r="AJ253" s="48" t="n">
        <f aca="false">IF($U253&gt;=STRUCT_S,MIN(INDEX($H$103:$H253,152-STRUCT_S):$H253),"")</f>
        <v>7752</v>
      </c>
      <c r="AK253" s="48" t="n">
        <f aca="false">IF($U253&gt;=STRUCT_L,MAX(INDEX($G$5:$G253,250-STRUCT_L):$G253),"")</f>
        <v>8984</v>
      </c>
      <c r="AL253" s="48" t="n">
        <f aca="false">IF($U253&gt;=STRUCT_L,MIN(INDEX($H$5:$H253,250-STRUCT_L):$H253),"")</f>
        <v>6569</v>
      </c>
      <c r="AM253" s="46" t="n">
        <f aca="false">IF($A253&lt;&gt;$A254,1,0)</f>
        <v>0</v>
      </c>
      <c r="AN253" s="47" t="str">
        <f aca="false">IF($AM253=1,$A253,"")</f>
        <v/>
      </c>
    </row>
    <row r="254" customFormat="false" ht="15" hidden="false" customHeight="false" outlineLevel="0" collapsed="false">
      <c r="A254" s="43" t="s">
        <v>130</v>
      </c>
      <c r="B254" s="44" t="s">
        <v>132</v>
      </c>
      <c r="C254" s="45" t="n">
        <v>46253</v>
      </c>
      <c r="D254" s="46" t="n">
        <v>20260819</v>
      </c>
      <c r="E254" s="47" t="s">
        <v>537</v>
      </c>
      <c r="F254" s="48" t="n">
        <v>8607</v>
      </c>
      <c r="G254" s="48" t="n">
        <v>8647</v>
      </c>
      <c r="H254" s="48" t="n">
        <v>8200</v>
      </c>
      <c r="I254" s="48" t="n">
        <v>8482</v>
      </c>
      <c r="J254" s="48" t="n">
        <v>8277</v>
      </c>
      <c r="K254" s="48" t="n">
        <v>8363</v>
      </c>
      <c r="L254" s="48" t="n">
        <v>48717804</v>
      </c>
      <c r="M254" s="48" t="n">
        <v>413224413528</v>
      </c>
      <c r="N254" s="48" t="n">
        <v>1133</v>
      </c>
      <c r="O254" s="48" t="n">
        <v>34142440</v>
      </c>
      <c r="P254" s="48" t="n">
        <v>13995043</v>
      </c>
      <c r="Q254" s="48" t="n">
        <v>374</v>
      </c>
      <c r="R254" s="48" t="n">
        <v>722</v>
      </c>
      <c r="S254" s="48" t="n">
        <v>14575364</v>
      </c>
      <c r="T254" s="48" t="n">
        <v>34722761</v>
      </c>
      <c r="U254" s="46" t="n">
        <f aca="false">IF($A254=$A253,$U253+1,1)</f>
        <v>250</v>
      </c>
      <c r="V254" s="48" t="n">
        <f aca="false">IF($U254&gt;=MA_SHORT,AVERAGE(INDEX($I$5:$I254,251-MA_SHORT):$I254),"")</f>
        <v>8365.2</v>
      </c>
      <c r="W254" s="48" t="n">
        <f aca="false">IF($U254&gt;=MA_MED,AVERAGE(INDEX($I$5:$I254,251-MA_MED):$I254),"")</f>
        <v>7920.96</v>
      </c>
      <c r="X254" s="48" t="n">
        <f aca="false">IF($U254&gt;=MA_LONG1,AVERAGE(INDEX($I$5:$I254,251-MA_LONG1):$I254),"")</f>
        <v>7506.34</v>
      </c>
      <c r="Y254" s="48" t="n">
        <f aca="false">IF($U254&gt;=MA_LONG2,AVERAGE(INDEX($I$5:$I254,251-MA_LONG2):$I254),"")</f>
        <v>7060.445</v>
      </c>
      <c r="Z254" s="48" t="n">
        <f aca="false">IF($U254&gt;=MA_SHORT,AVERAGE(INDEX($L$134:$L254,122-MA_SHORT):$L254),"")</f>
        <v>54415397.65</v>
      </c>
      <c r="AA254" s="48" t="n">
        <f aca="false">IF($U254=1,$G254-$H254,MAX($G254-$H254,ABS($G254-$I253),ABS($H254-$I253)))</f>
        <v>447</v>
      </c>
      <c r="AB254" s="48" t="n">
        <f aca="false">IF($U254&gt;=ATR_PER,AVERAGE(INDEX($AA$134:$AA254,122-ATR_PER):$AA254),"")</f>
        <v>288.714285714286</v>
      </c>
      <c r="AC254" s="48" t="n">
        <f aca="false">$O254-$P254</f>
        <v>20147397</v>
      </c>
      <c r="AD254" s="48" t="n">
        <f aca="false">$AC254*$I254</f>
        <v>170890221354</v>
      </c>
      <c r="AE254" s="49" t="n">
        <f aca="false">IF($Q254&gt;0,$O254*$I254/$Q254/1000000,"")</f>
        <v>774.321326417112</v>
      </c>
      <c r="AF254" s="49" t="n">
        <f aca="false">IF($R254&gt;0,$P254*$I254/$R254/1000000,"")</f>
        <v>164.4126796759</v>
      </c>
      <c r="AG254" s="50" t="n">
        <f aca="false">IF(AND(ISNUMBER($AE254),ISNUMBER($AF254),$AF254&gt;0),$AE254/$AF254,"")</f>
        <v>4.70962049851325</v>
      </c>
      <c r="AH254" s="48" t="n">
        <f aca="false">IF($U254&gt;=5,SUM(INDEX($AD$224:$AD254,32-5):$AD254),"")</f>
        <v>414811739081</v>
      </c>
      <c r="AI254" s="48" t="n">
        <f aca="false">IF($U254&gt;=STRUCT_S,MAX(INDEX($G$104:$G254,152-STRUCT_S):$G254),"")</f>
        <v>8984</v>
      </c>
      <c r="AJ254" s="48" t="n">
        <f aca="false">IF($U254&gt;=STRUCT_S,MIN(INDEX($H$104:$H254,152-STRUCT_S):$H254),"")</f>
        <v>7816</v>
      </c>
      <c r="AK254" s="48" t="n">
        <f aca="false">IF($U254&gt;=STRUCT_L,MAX(INDEX($G$5:$G254,251-STRUCT_L):$G254),"")</f>
        <v>8984</v>
      </c>
      <c r="AL254" s="48" t="n">
        <f aca="false">IF($U254&gt;=STRUCT_L,MIN(INDEX($H$5:$H254,251-STRUCT_L):$H254),"")</f>
        <v>6569</v>
      </c>
      <c r="AM254" s="46" t="n">
        <f aca="false">IF($A254&lt;&gt;$A255,1,0)</f>
        <v>0</v>
      </c>
      <c r="AN254" s="47" t="str">
        <f aca="false">IF($AM254=1,$A254,"")</f>
        <v/>
      </c>
    </row>
    <row r="255" customFormat="false" ht="15" hidden="false" customHeight="false" outlineLevel="0" collapsed="false">
      <c r="A255" s="43" t="s">
        <v>130</v>
      </c>
      <c r="B255" s="44" t="s">
        <v>132</v>
      </c>
      <c r="C255" s="45" t="n">
        <v>46256</v>
      </c>
      <c r="D255" s="46" t="n">
        <v>20260822</v>
      </c>
      <c r="E255" s="47" t="s">
        <v>538</v>
      </c>
      <c r="F255" s="48" t="n">
        <v>8432</v>
      </c>
      <c r="G255" s="48" t="n">
        <v>8503</v>
      </c>
      <c r="H255" s="48" t="n">
        <v>8413</v>
      </c>
      <c r="I255" s="48" t="n">
        <v>8434</v>
      </c>
      <c r="J255" s="48" t="n">
        <v>8446</v>
      </c>
      <c r="K255" s="48" t="n">
        <v>8482</v>
      </c>
      <c r="L255" s="48" t="n">
        <v>48925536</v>
      </c>
      <c r="M255" s="48" t="n">
        <v>412637970624</v>
      </c>
      <c r="N255" s="48" t="n">
        <v>1101</v>
      </c>
      <c r="O255" s="48" t="n">
        <v>28075051</v>
      </c>
      <c r="P255" s="48" t="n">
        <v>20704030</v>
      </c>
      <c r="Q255" s="48" t="n">
        <v>633</v>
      </c>
      <c r="R255" s="48" t="n">
        <v>292</v>
      </c>
      <c r="S255" s="48" t="n">
        <v>20850485</v>
      </c>
      <c r="T255" s="48" t="n">
        <v>28221506</v>
      </c>
      <c r="U255" s="46" t="n">
        <f aca="false">IF($A255=$A254,$U254+1,1)</f>
        <v>251</v>
      </c>
      <c r="V255" s="48" t="n">
        <f aca="false">IF($U255&gt;=MA_SHORT,AVERAGE(INDEX($I$5:$I255,252-MA_SHORT):$I255),"")</f>
        <v>8387.15</v>
      </c>
      <c r="W255" s="48" t="n">
        <f aca="false">IF($U255&gt;=MA_MED,AVERAGE(INDEX($I$5:$I255,252-MA_MED):$I255),"")</f>
        <v>7950.56</v>
      </c>
      <c r="X255" s="48" t="n">
        <f aca="false">IF($U255&gt;=MA_LONG1,AVERAGE(INDEX($I$5:$I255,252-MA_LONG1):$I255),"")</f>
        <v>7516.69</v>
      </c>
      <c r="Y255" s="48" t="n">
        <f aca="false">IF($U255&gt;=MA_LONG2,AVERAGE(INDEX($I$5:$I255,252-MA_LONG2):$I255),"")</f>
        <v>7073.145</v>
      </c>
      <c r="Z255" s="48" t="n">
        <f aca="false">IF($U255&gt;=MA_SHORT,AVERAGE(INDEX($L$135:$L255,122-MA_SHORT):$L255),"")</f>
        <v>54453177.4</v>
      </c>
      <c r="AA255" s="48" t="n">
        <f aca="false">IF($U255=1,$G255-$H255,MAX($G255-$H255,ABS($G255-$I254),ABS($H255-$I254)))</f>
        <v>90</v>
      </c>
      <c r="AB255" s="48" t="n">
        <f aca="false">IF($U255&gt;=ATR_PER,AVERAGE(INDEX($AA$135:$AA255,122-ATR_PER):$AA255),"")</f>
        <v>291.071428571429</v>
      </c>
      <c r="AC255" s="48" t="n">
        <f aca="false">$O255-$P255</f>
        <v>7371021</v>
      </c>
      <c r="AD255" s="48" t="n">
        <f aca="false">$AC255*$I255</f>
        <v>62167191114</v>
      </c>
      <c r="AE255" s="49" t="n">
        <f aca="false">IF($Q255&gt;0,$O255*$I255/$Q255/1000000,"")</f>
        <v>374.067899105845</v>
      </c>
      <c r="AF255" s="49" t="n">
        <f aca="false">IF($R255&gt;0,$P255*$I255/$R255/1000000,"")</f>
        <v>598.006126780822</v>
      </c>
      <c r="AG255" s="50" t="n">
        <f aca="false">IF(AND(ISNUMBER($AE255),ISNUMBER($AF255),$AF255&gt;0),$AE255/$AF255,"")</f>
        <v>0.625525195067017</v>
      </c>
      <c r="AH255" s="48" t="n">
        <f aca="false">IF($U255&gt;=5,SUM(INDEX($AD$225:$AD255,32-5):$AD255),"")</f>
        <v>316262834400</v>
      </c>
      <c r="AI255" s="48" t="n">
        <f aca="false">IF($U255&gt;=STRUCT_S,MAX(INDEX($G$105:$G255,152-STRUCT_S):$G255),"")</f>
        <v>8984</v>
      </c>
      <c r="AJ255" s="48" t="n">
        <f aca="false">IF($U255&gt;=STRUCT_S,MIN(INDEX($H$105:$H255,152-STRUCT_S):$H255),"")</f>
        <v>7841</v>
      </c>
      <c r="AK255" s="48" t="n">
        <f aca="false">IF($U255&gt;=STRUCT_L,MAX(INDEX($G$5:$G255,252-STRUCT_L):$G255),"")</f>
        <v>8984</v>
      </c>
      <c r="AL255" s="48" t="n">
        <f aca="false">IF($U255&gt;=STRUCT_L,MIN(INDEX($H$5:$H255,252-STRUCT_L):$H255),"")</f>
        <v>6576</v>
      </c>
      <c r="AM255" s="46" t="n">
        <f aca="false">IF($A255&lt;&gt;$A256,1,0)</f>
        <v>0</v>
      </c>
      <c r="AN255" s="47" t="str">
        <f aca="false">IF($AM255=1,$A255,"")</f>
        <v/>
      </c>
    </row>
    <row r="256" customFormat="false" ht="15" hidden="false" customHeight="false" outlineLevel="0" collapsed="false">
      <c r="A256" s="43" t="s">
        <v>130</v>
      </c>
      <c r="B256" s="44" t="s">
        <v>132</v>
      </c>
      <c r="C256" s="45" t="n">
        <v>46257</v>
      </c>
      <c r="D256" s="46" t="n">
        <v>20260823</v>
      </c>
      <c r="E256" s="47" t="s">
        <v>539</v>
      </c>
      <c r="F256" s="48" t="n">
        <v>8436</v>
      </c>
      <c r="G256" s="48" t="n">
        <v>8490</v>
      </c>
      <c r="H256" s="48" t="n">
        <v>8395</v>
      </c>
      <c r="I256" s="48" t="n">
        <v>8451</v>
      </c>
      <c r="J256" s="48" t="n">
        <v>8431</v>
      </c>
      <c r="K256" s="48" t="n">
        <v>8434</v>
      </c>
      <c r="L256" s="48" t="n">
        <v>80107498</v>
      </c>
      <c r="M256" s="48" t="n">
        <v>676988465598</v>
      </c>
      <c r="N256" s="48" t="n">
        <v>2162</v>
      </c>
      <c r="O256" s="48" t="n">
        <v>45422358</v>
      </c>
      <c r="P256" s="48" t="n">
        <v>26912624</v>
      </c>
      <c r="Q256" s="48" t="n">
        <v>594</v>
      </c>
      <c r="R256" s="48" t="n">
        <v>1497</v>
      </c>
      <c r="S256" s="48" t="n">
        <v>34685140</v>
      </c>
      <c r="T256" s="48" t="n">
        <v>53194874</v>
      </c>
      <c r="U256" s="46" t="n">
        <f aca="false">IF($A256=$A255,$U255+1,1)</f>
        <v>252</v>
      </c>
      <c r="V256" s="48" t="n">
        <f aca="false">IF($U256&gt;=MA_SHORT,AVERAGE(INDEX($I$5:$I256,253-MA_SHORT):$I256),"")</f>
        <v>8404.8</v>
      </c>
      <c r="W256" s="48" t="n">
        <f aca="false">IF($U256&gt;=MA_MED,AVERAGE(INDEX($I$5:$I256,253-MA_MED):$I256),"")</f>
        <v>7979.66</v>
      </c>
      <c r="X256" s="48" t="n">
        <f aca="false">IF($U256&gt;=MA_LONG1,AVERAGE(INDEX($I$5:$I256,253-MA_LONG1):$I256),"")</f>
        <v>7525.35</v>
      </c>
      <c r="Y256" s="48" t="n">
        <f aca="false">IF($U256&gt;=MA_LONG2,AVERAGE(INDEX($I$5:$I256,253-MA_LONG2):$I256),"")</f>
        <v>7086.255</v>
      </c>
      <c r="Z256" s="48" t="n">
        <f aca="false">IF($U256&gt;=MA_SHORT,AVERAGE(INDEX($L$136:$L256,122-MA_SHORT):$L256),"")</f>
        <v>55754236.05</v>
      </c>
      <c r="AA256" s="48" t="n">
        <f aca="false">IF($U256=1,$G256-$H256,MAX($G256-$H256,ABS($G256-$I255),ABS($H256-$I255)))</f>
        <v>95</v>
      </c>
      <c r="AB256" s="48" t="n">
        <f aca="false">IF($U256&gt;=ATR_PER,AVERAGE(INDEX($AA$136:$AA256,122-ATR_PER):$AA256),"")</f>
        <v>282.571428571429</v>
      </c>
      <c r="AC256" s="48" t="n">
        <f aca="false">$O256-$P256</f>
        <v>18509734</v>
      </c>
      <c r="AD256" s="48" t="n">
        <f aca="false">$AC256*$I256</f>
        <v>156425762034</v>
      </c>
      <c r="AE256" s="49" t="n">
        <f aca="false">IF($Q256&gt;0,$O256*$I256/$Q256/1000000,"")</f>
        <v>646.236275181818</v>
      </c>
      <c r="AF256" s="49" t="n">
        <f aca="false">IF($R256&gt;0,$P256*$I256/$R256/1000000,"")</f>
        <v>151.929582781563</v>
      </c>
      <c r="AG256" s="50" t="n">
        <f aca="false">IF(AND(ISNUMBER($AE256),ISNUMBER($AF256),$AF256&gt;0),$AE256/$AF256,"")</f>
        <v>4.2535249774953</v>
      </c>
      <c r="AH256" s="48" t="n">
        <f aca="false">IF($U256&gt;=5,SUM(INDEX($AD$226:$AD256,32-5):$AD256),"")</f>
        <v>416700869188</v>
      </c>
      <c r="AI256" s="48" t="n">
        <f aca="false">IF($U256&gt;=STRUCT_S,MAX(INDEX($G$106:$G256,152-STRUCT_S):$G256),"")</f>
        <v>8984</v>
      </c>
      <c r="AJ256" s="48" t="n">
        <f aca="false">IF($U256&gt;=STRUCT_S,MIN(INDEX($H$106:$H256,152-STRUCT_S):$H256),"")</f>
        <v>8054</v>
      </c>
      <c r="AK256" s="48" t="n">
        <f aca="false">IF($U256&gt;=STRUCT_L,MAX(INDEX($G$6:$G256,252-STRUCT_L):$G256),"")</f>
        <v>8984</v>
      </c>
      <c r="AL256" s="48" t="n">
        <f aca="false">IF($U256&gt;=STRUCT_L,MIN(INDEX($H$6:$H256,252-STRUCT_L):$H256),"")</f>
        <v>6576</v>
      </c>
      <c r="AM256" s="46" t="n">
        <f aca="false">IF($A256&lt;&gt;$A257,1,0)</f>
        <v>0</v>
      </c>
      <c r="AN256" s="47" t="str">
        <f aca="false">IF($AM256=1,$A256,"")</f>
        <v/>
      </c>
    </row>
    <row r="257" customFormat="false" ht="15" hidden="false" customHeight="false" outlineLevel="0" collapsed="false">
      <c r="A257" s="43" t="s">
        <v>130</v>
      </c>
      <c r="B257" s="44" t="s">
        <v>132</v>
      </c>
      <c r="C257" s="45" t="n">
        <v>46258</v>
      </c>
      <c r="D257" s="46" t="n">
        <v>20260824</v>
      </c>
      <c r="E257" s="47" t="s">
        <v>540</v>
      </c>
      <c r="F257" s="48" t="n">
        <v>8481</v>
      </c>
      <c r="G257" s="48" t="n">
        <v>8612</v>
      </c>
      <c r="H257" s="48" t="n">
        <v>8343</v>
      </c>
      <c r="I257" s="48" t="n">
        <v>8503</v>
      </c>
      <c r="J257" s="48" t="n">
        <v>8430</v>
      </c>
      <c r="K257" s="48" t="n">
        <v>8451</v>
      </c>
      <c r="L257" s="48" t="n">
        <v>55425696</v>
      </c>
      <c r="M257" s="48" t="n">
        <v>471284693088</v>
      </c>
      <c r="N257" s="48" t="n">
        <v>1485</v>
      </c>
      <c r="O257" s="48" t="n">
        <v>32733295</v>
      </c>
      <c r="P257" s="48" t="n">
        <v>22292003</v>
      </c>
      <c r="Q257" s="48" t="n">
        <v>318</v>
      </c>
      <c r="R257" s="48" t="n">
        <v>683</v>
      </c>
      <c r="S257" s="48" t="n">
        <v>22692401</v>
      </c>
      <c r="T257" s="48" t="n">
        <v>33133693</v>
      </c>
      <c r="U257" s="46" t="n">
        <f aca="false">IF($A257=$A256,$U256+1,1)</f>
        <v>253</v>
      </c>
      <c r="V257" s="48" t="n">
        <f aca="false">IF($U257&gt;=MA_SHORT,AVERAGE(INDEX($I$5:$I257,254-MA_SHORT):$I257),"")</f>
        <v>8424.15</v>
      </c>
      <c r="W257" s="48" t="n">
        <f aca="false">IF($U257&gt;=MA_MED,AVERAGE(INDEX($I$5:$I257,254-MA_MED):$I257),"")</f>
        <v>8011.36</v>
      </c>
      <c r="X257" s="48" t="n">
        <f aca="false">IF($U257&gt;=MA_LONG1,AVERAGE(INDEX($I$5:$I257,254-MA_LONG1):$I257),"")</f>
        <v>7534.02</v>
      </c>
      <c r="Y257" s="48" t="n">
        <f aca="false">IF($U257&gt;=MA_LONG2,AVERAGE(INDEX($I$5:$I257,254-MA_LONG2):$I257),"")</f>
        <v>7099.995</v>
      </c>
      <c r="Z257" s="48" t="n">
        <f aca="false">IF($U257&gt;=MA_SHORT,AVERAGE(INDEX($L$137:$L257,122-MA_SHORT):$L257),"")</f>
        <v>56351303.2</v>
      </c>
      <c r="AA257" s="48" t="n">
        <f aca="false">IF($U257=1,$G257-$H257,MAX($G257-$H257,ABS($G257-$I256),ABS($H257-$I256)))</f>
        <v>269</v>
      </c>
      <c r="AB257" s="48" t="n">
        <f aca="false">IF($U257&gt;=ATR_PER,AVERAGE(INDEX($AA$137:$AA257,122-ATR_PER):$AA257),"")</f>
        <v>288.214285714286</v>
      </c>
      <c r="AC257" s="48" t="n">
        <f aca="false">$O257-$P257</f>
        <v>10441292</v>
      </c>
      <c r="AD257" s="48" t="n">
        <f aca="false">$AC257*$I257</f>
        <v>88782305876</v>
      </c>
      <c r="AE257" s="49" t="n">
        <f aca="false">IF($Q257&gt;0,$O257*$I257/$Q257/1000000,"")</f>
        <v>875.25536913522</v>
      </c>
      <c r="AF257" s="49" t="n">
        <f aca="false">IF($R257&gt;0,$P257*$I257/$R257/1000000,"")</f>
        <v>277.524013922401</v>
      </c>
      <c r="AG257" s="50" t="n">
        <f aca="false">IF(AND(ISNUMBER($AE257),ISNUMBER($AF257),$AF257&gt;0),$AE257/$AF257,"")</f>
        <v>3.15380048293749</v>
      </c>
      <c r="AH257" s="48" t="n">
        <f aca="false">IF($U257&gt;=5,SUM(INDEX($AD$227:$AD257,32-5):$AD257),"")</f>
        <v>491730177994</v>
      </c>
      <c r="AI257" s="48" t="n">
        <f aca="false">IF($U257&gt;=STRUCT_S,MAX(INDEX($G$107:$G257,152-STRUCT_S):$G257),"")</f>
        <v>8984</v>
      </c>
      <c r="AJ257" s="48" t="n">
        <f aca="false">IF($U257&gt;=STRUCT_S,MIN(INDEX($H$107:$H257,152-STRUCT_S):$H257),"")</f>
        <v>8074</v>
      </c>
      <c r="AK257" s="48" t="n">
        <f aca="false">IF($U257&gt;=STRUCT_L,MAX(INDEX($G$7:$G257,252-STRUCT_L):$G257),"")</f>
        <v>8984</v>
      </c>
      <c r="AL257" s="48" t="n">
        <f aca="false">IF($U257&gt;=STRUCT_L,MIN(INDEX($H$7:$H257,252-STRUCT_L):$H257),"")</f>
        <v>6576</v>
      </c>
      <c r="AM257" s="46" t="n">
        <f aca="false">IF($A257&lt;&gt;$A258,1,0)</f>
        <v>0</v>
      </c>
      <c r="AN257" s="47" t="str">
        <f aca="false">IF($AM257=1,$A257,"")</f>
        <v/>
      </c>
    </row>
    <row r="258" customFormat="false" ht="15" hidden="false" customHeight="false" outlineLevel="0" collapsed="false">
      <c r="A258" s="43" t="s">
        <v>130</v>
      </c>
      <c r="B258" s="44" t="s">
        <v>132</v>
      </c>
      <c r="C258" s="45" t="n">
        <v>46259</v>
      </c>
      <c r="D258" s="46" t="n">
        <v>20260825</v>
      </c>
      <c r="E258" s="47" t="s">
        <v>541</v>
      </c>
      <c r="F258" s="48" t="n">
        <v>8472</v>
      </c>
      <c r="G258" s="48" t="n">
        <v>8581</v>
      </c>
      <c r="H258" s="48" t="n">
        <v>8453</v>
      </c>
      <c r="I258" s="48" t="n">
        <v>8531</v>
      </c>
      <c r="J258" s="48" t="n">
        <v>8461</v>
      </c>
      <c r="K258" s="48" t="n">
        <v>8503</v>
      </c>
      <c r="L258" s="48" t="n">
        <v>51422252</v>
      </c>
      <c r="M258" s="48" t="n">
        <v>438683231812</v>
      </c>
      <c r="N258" s="48" t="n">
        <v>3702</v>
      </c>
      <c r="O258" s="48" t="n">
        <v>30797900</v>
      </c>
      <c r="P258" s="48" t="n">
        <v>18456871</v>
      </c>
      <c r="Q258" s="48" t="n">
        <v>860</v>
      </c>
      <c r="R258" s="48" t="n">
        <v>2505</v>
      </c>
      <c r="S258" s="48" t="n">
        <v>20624352</v>
      </c>
      <c r="T258" s="48" t="n">
        <v>32965381</v>
      </c>
      <c r="U258" s="46" t="n">
        <f aca="false">IF($A258=$A257,$U257+1,1)</f>
        <v>254</v>
      </c>
      <c r="V258" s="48" t="n">
        <f aca="false">IF($U258&gt;=MA_SHORT,AVERAGE(INDEX($I$5:$I258,255-MA_SHORT):$I258),"")</f>
        <v>8444.95</v>
      </c>
      <c r="W258" s="48" t="n">
        <f aca="false">IF($U258&gt;=MA_MED,AVERAGE(INDEX($I$5:$I258,255-MA_MED):$I258),"")</f>
        <v>8042.64</v>
      </c>
      <c r="X258" s="48" t="n">
        <f aca="false">IF($U258&gt;=MA_LONG1,AVERAGE(INDEX($I$5:$I258,255-MA_LONG1):$I258),"")</f>
        <v>7543.92</v>
      </c>
      <c r="Y258" s="48" t="n">
        <f aca="false">IF($U258&gt;=MA_LONG2,AVERAGE(INDEX($I$5:$I258,255-MA_LONG2):$I258),"")</f>
        <v>7113.705</v>
      </c>
      <c r="Z258" s="48" t="n">
        <f aca="false">IF($U258&gt;=MA_SHORT,AVERAGE(INDEX($L$138:$L258,122-MA_SHORT):$L258),"")</f>
        <v>56244957</v>
      </c>
      <c r="AA258" s="48" t="n">
        <f aca="false">IF($U258=1,$G258-$H258,MAX($G258-$H258,ABS($G258-$I257),ABS($H258-$I257)))</f>
        <v>128</v>
      </c>
      <c r="AB258" s="48" t="n">
        <f aca="false">IF($U258&gt;=ATR_PER,AVERAGE(INDEX($AA$138:$AA258,122-ATR_PER):$AA258),"")</f>
        <v>252.857142857143</v>
      </c>
      <c r="AC258" s="48" t="n">
        <f aca="false">$O258-$P258</f>
        <v>12341029</v>
      </c>
      <c r="AD258" s="48" t="n">
        <f aca="false">$AC258*$I258</f>
        <v>105281318399</v>
      </c>
      <c r="AE258" s="49" t="n">
        <f aca="false">IF($Q258&gt;0,$O258*$I258/$Q258/1000000,"")</f>
        <v>305.508005697674</v>
      </c>
      <c r="AF258" s="49" t="n">
        <f aca="false">IF($R258&gt;0,$P258*$I258/$R258/1000000,"")</f>
        <v>62.8565135732535</v>
      </c>
      <c r="AG258" s="50" t="n">
        <f aca="false">IF(AND(ISNUMBER($AE258),ISNUMBER($AF258),$AF258&gt;0),$AE258/$AF258,"")</f>
        <v>4.86040329522306</v>
      </c>
      <c r="AH258" s="48" t="n">
        <f aca="false">IF($U258&gt;=5,SUM(INDEX($AD$228:$AD258,32-5):$AD258),"")</f>
        <v>583546798777</v>
      </c>
      <c r="AI258" s="48" t="n">
        <f aca="false">IF($U258&gt;=STRUCT_S,MAX(INDEX($G$108:$G258,152-STRUCT_S):$G258),"")</f>
        <v>8984</v>
      </c>
      <c r="AJ258" s="48" t="n">
        <f aca="false">IF($U258&gt;=STRUCT_S,MIN(INDEX($H$108:$H258,152-STRUCT_S):$H258),"")</f>
        <v>8095</v>
      </c>
      <c r="AK258" s="48" t="n">
        <f aca="false">IF($U258&gt;=STRUCT_L,MAX(INDEX($G$8:$G258,252-STRUCT_L):$G258),"")</f>
        <v>8984</v>
      </c>
      <c r="AL258" s="48" t="n">
        <f aca="false">IF($U258&gt;=STRUCT_L,MIN(INDEX($H$8:$H258,252-STRUCT_L):$H258),"")</f>
        <v>6695</v>
      </c>
      <c r="AM258" s="46" t="n">
        <f aca="false">IF($A258&lt;&gt;$A259,1,0)</f>
        <v>0</v>
      </c>
      <c r="AN258" s="47" t="str">
        <f aca="false">IF($AM258=1,$A258,"")</f>
        <v/>
      </c>
    </row>
    <row r="259" customFormat="false" ht="15" hidden="false" customHeight="false" outlineLevel="0" collapsed="false">
      <c r="A259" s="43" t="s">
        <v>130</v>
      </c>
      <c r="B259" s="44" t="s">
        <v>132</v>
      </c>
      <c r="C259" s="45" t="n">
        <v>46260</v>
      </c>
      <c r="D259" s="46" t="n">
        <v>20260826</v>
      </c>
      <c r="E259" s="47" t="s">
        <v>542</v>
      </c>
      <c r="F259" s="48" t="n">
        <v>8725</v>
      </c>
      <c r="G259" s="48" t="n">
        <v>8775</v>
      </c>
      <c r="H259" s="48" t="n">
        <v>8410</v>
      </c>
      <c r="I259" s="48" t="n">
        <v>8652</v>
      </c>
      <c r="J259" s="48" t="n">
        <v>8552</v>
      </c>
      <c r="K259" s="48" t="n">
        <v>8531</v>
      </c>
      <c r="L259" s="48" t="n">
        <v>61607119</v>
      </c>
      <c r="M259" s="48" t="n">
        <v>533024793588</v>
      </c>
      <c r="N259" s="48" t="n">
        <v>1609</v>
      </c>
      <c r="O259" s="48" t="n">
        <v>38332012</v>
      </c>
      <c r="P259" s="48" t="n">
        <v>25932779</v>
      </c>
      <c r="Q259" s="48" t="n">
        <v>588</v>
      </c>
      <c r="R259" s="48" t="n">
        <v>1100</v>
      </c>
      <c r="S259" s="48" t="n">
        <v>23275107</v>
      </c>
      <c r="T259" s="48" t="n">
        <v>35674340</v>
      </c>
      <c r="U259" s="46" t="n">
        <f aca="false">IF($A259=$A258,$U258+1,1)</f>
        <v>255</v>
      </c>
      <c r="V259" s="48" t="n">
        <f aca="false">IF($U259&gt;=MA_SHORT,AVERAGE(INDEX($I$5:$I259,256-MA_SHORT):$I259),"")</f>
        <v>8464.35</v>
      </c>
      <c r="W259" s="48" t="n">
        <f aca="false">IF($U259&gt;=MA_MED,AVERAGE(INDEX($I$5:$I259,256-MA_MED):$I259),"")</f>
        <v>8076.24</v>
      </c>
      <c r="X259" s="48" t="n">
        <f aca="false">IF($U259&gt;=MA_LONG1,AVERAGE(INDEX($I$5:$I259,256-MA_LONG1):$I259),"")</f>
        <v>7555.26</v>
      </c>
      <c r="Y259" s="48" t="n">
        <f aca="false">IF($U259&gt;=MA_LONG2,AVERAGE(INDEX($I$5:$I259,256-MA_LONG2):$I259),"")</f>
        <v>7127.38</v>
      </c>
      <c r="Z259" s="48" t="n">
        <f aca="false">IF($U259&gt;=MA_SHORT,AVERAGE(INDEX($L$139:$L259,122-MA_SHORT):$L259),"")</f>
        <v>56943337.2</v>
      </c>
      <c r="AA259" s="48" t="n">
        <f aca="false">IF($U259=1,$G259-$H259,MAX($G259-$H259,ABS($G259-$I258),ABS($H259-$I258)))</f>
        <v>365</v>
      </c>
      <c r="AB259" s="48" t="n">
        <f aca="false">IF($U259&gt;=ATR_PER,AVERAGE(INDEX($AA$139:$AA259,122-ATR_PER):$AA259),"")</f>
        <v>251.642857142857</v>
      </c>
      <c r="AC259" s="48" t="n">
        <f aca="false">$O259-$P259</f>
        <v>12399233</v>
      </c>
      <c r="AD259" s="48" t="n">
        <f aca="false">$AC259*$I259</f>
        <v>107278163916</v>
      </c>
      <c r="AE259" s="49" t="n">
        <f aca="false">IF($Q259&gt;0,$O259*$I259/$Q259/1000000,"")</f>
        <v>564.028176571429</v>
      </c>
      <c r="AF259" s="49" t="n">
        <f aca="false">IF($R259&gt;0,$P259*$I259/$R259/1000000,"")</f>
        <v>203.973094461818</v>
      </c>
      <c r="AG259" s="50" t="n">
        <f aca="false">IF(AND(ISNUMBER($AE259),ISNUMBER($AF259),$AF259&gt;0),$AE259/$AF259,"")</f>
        <v>2.76520870588159</v>
      </c>
      <c r="AH259" s="48" t="n">
        <f aca="false">IF($U259&gt;=5,SUM(INDEX($AD$229:$AD259,32-5):$AD259),"")</f>
        <v>519934741339</v>
      </c>
      <c r="AI259" s="48" t="n">
        <f aca="false">IF($U259&gt;=STRUCT_S,MAX(INDEX($G$109:$G259,152-STRUCT_S):$G259),"")</f>
        <v>8984</v>
      </c>
      <c r="AJ259" s="48" t="n">
        <f aca="false">IF($U259&gt;=STRUCT_S,MIN(INDEX($H$109:$H259,152-STRUCT_S):$H259),"")</f>
        <v>8109</v>
      </c>
      <c r="AK259" s="48" t="n">
        <f aca="false">IF($U259&gt;=STRUCT_L,MAX(INDEX($G$9:$G259,252-STRUCT_L):$G259),"")</f>
        <v>8984</v>
      </c>
      <c r="AL259" s="48" t="n">
        <f aca="false">IF($U259&gt;=STRUCT_L,MIN(INDEX($H$9:$H259,252-STRUCT_L):$H259),"")</f>
        <v>6695</v>
      </c>
      <c r="AM259" s="46" t="n">
        <f aca="false">IF($A259&lt;&gt;$A260,1,0)</f>
        <v>0</v>
      </c>
      <c r="AN259" s="47" t="str">
        <f aca="false">IF($AM259=1,$A259,"")</f>
        <v/>
      </c>
    </row>
    <row r="260" customFormat="false" ht="15" hidden="false" customHeight="false" outlineLevel="0" collapsed="false">
      <c r="A260" s="43" t="s">
        <v>130</v>
      </c>
      <c r="B260" s="44" t="s">
        <v>132</v>
      </c>
      <c r="C260" s="45" t="n">
        <v>46263</v>
      </c>
      <c r="D260" s="46" t="n">
        <v>20260829</v>
      </c>
      <c r="E260" s="47" t="s">
        <v>543</v>
      </c>
      <c r="F260" s="48" t="n">
        <v>8770</v>
      </c>
      <c r="G260" s="48" t="n">
        <v>8823</v>
      </c>
      <c r="H260" s="48" t="n">
        <v>8555</v>
      </c>
      <c r="I260" s="48" t="n">
        <v>8725</v>
      </c>
      <c r="J260" s="48" t="n">
        <v>8604</v>
      </c>
      <c r="K260" s="48" t="n">
        <v>8652</v>
      </c>
      <c r="L260" s="48" t="n">
        <v>47231534</v>
      </c>
      <c r="M260" s="48" t="n">
        <v>412095134150</v>
      </c>
      <c r="N260" s="48" t="n">
        <v>1365</v>
      </c>
      <c r="O260" s="48" t="n">
        <v>24911594</v>
      </c>
      <c r="P260" s="48" t="n">
        <v>22163431</v>
      </c>
      <c r="Q260" s="48" t="n">
        <v>400</v>
      </c>
      <c r="R260" s="48" t="n">
        <v>836</v>
      </c>
      <c r="S260" s="48" t="n">
        <v>22319940</v>
      </c>
      <c r="T260" s="48" t="n">
        <v>25068103</v>
      </c>
      <c r="U260" s="46" t="n">
        <f aca="false">IF($A260=$A259,$U259+1,1)</f>
        <v>256</v>
      </c>
      <c r="V260" s="48" t="n">
        <f aca="false">IF($U260&gt;=MA_SHORT,AVERAGE(INDEX($I$5:$I260,257-MA_SHORT):$I260),"")</f>
        <v>8483.75</v>
      </c>
      <c r="W260" s="48" t="n">
        <f aca="false">IF($U260&gt;=MA_MED,AVERAGE(INDEX($I$5:$I260,257-MA_MED):$I260),"")</f>
        <v>8107.6</v>
      </c>
      <c r="X260" s="48" t="n">
        <f aca="false">IF($U260&gt;=MA_LONG1,AVERAGE(INDEX($I$5:$I260,257-MA_LONG1):$I260),"")</f>
        <v>7566.17</v>
      </c>
      <c r="Y260" s="48" t="n">
        <f aca="false">IF($U260&gt;=MA_LONG2,AVERAGE(INDEX($I$5:$I260,257-MA_LONG2):$I260),"")</f>
        <v>7141.18</v>
      </c>
      <c r="Z260" s="48" t="n">
        <f aca="false">IF($U260&gt;=MA_SHORT,AVERAGE(INDEX($L$140:$L260,122-MA_SHORT):$L260),"")</f>
        <v>57045592.35</v>
      </c>
      <c r="AA260" s="48" t="n">
        <f aca="false">IF($U260=1,$G260-$H260,MAX($G260-$H260,ABS($G260-$I259),ABS($H260-$I259)))</f>
        <v>268</v>
      </c>
      <c r="AB260" s="48" t="n">
        <f aca="false">IF($U260&gt;=ATR_PER,AVERAGE(INDEX($AA$140:$AA260,122-ATR_PER):$AA260),"")</f>
        <v>251.785714285714</v>
      </c>
      <c r="AC260" s="48" t="n">
        <f aca="false">$O260-$P260</f>
        <v>2748163</v>
      </c>
      <c r="AD260" s="48" t="n">
        <f aca="false">$AC260*$I260</f>
        <v>23977722175</v>
      </c>
      <c r="AE260" s="49" t="n">
        <f aca="false">IF($Q260&gt;0,$O260*$I260/$Q260/1000000,"")</f>
        <v>543.384144125</v>
      </c>
      <c r="AF260" s="49" t="n">
        <f aca="false">IF($R260&gt;0,$P260*$I260/$R260/1000000,"")</f>
        <v>231.310927601675</v>
      </c>
      <c r="AG260" s="50" t="n">
        <f aca="false">IF(AND(ISNUMBER($AE260),ISNUMBER($AF260),$AF260&gt;0),$AE260/$AF260,"")</f>
        <v>2.34915033958416</v>
      </c>
      <c r="AH260" s="48" t="n">
        <f aca="false">IF($U260&gt;=5,SUM(INDEX($AD$230:$AD260,32-5):$AD260),"")</f>
        <v>481745272400</v>
      </c>
      <c r="AI260" s="48" t="n">
        <f aca="false">IF($U260&gt;=STRUCT_S,MAX(INDEX($G$110:$G260,152-STRUCT_S):$G260),"")</f>
        <v>8984</v>
      </c>
      <c r="AJ260" s="48" t="n">
        <f aca="false">IF($U260&gt;=STRUCT_S,MIN(INDEX($H$110:$H260,152-STRUCT_S):$H260),"")</f>
        <v>8109</v>
      </c>
      <c r="AK260" s="48" t="n">
        <f aca="false">IF($U260&gt;=STRUCT_L,MAX(INDEX($G$10:$G260,252-STRUCT_L):$G260),"")</f>
        <v>8984</v>
      </c>
      <c r="AL260" s="48" t="n">
        <f aca="false">IF($U260&gt;=STRUCT_L,MIN(INDEX($H$10:$H260,252-STRUCT_L):$H260),"")</f>
        <v>6742</v>
      </c>
      <c r="AM260" s="46" t="n">
        <f aca="false">IF($A260&lt;&gt;$A261,1,0)</f>
        <v>0</v>
      </c>
      <c r="AN260" s="47" t="str">
        <f aca="false">IF($AM260=1,$A260,"")</f>
        <v/>
      </c>
    </row>
    <row r="261" customFormat="false" ht="15" hidden="false" customHeight="false" outlineLevel="0" collapsed="false">
      <c r="A261" s="43" t="s">
        <v>130</v>
      </c>
      <c r="B261" s="44" t="s">
        <v>132</v>
      </c>
      <c r="C261" s="45" t="n">
        <v>46264</v>
      </c>
      <c r="D261" s="46" t="n">
        <v>20260830</v>
      </c>
      <c r="E261" s="47" t="s">
        <v>544</v>
      </c>
      <c r="F261" s="48" t="n">
        <v>8688</v>
      </c>
      <c r="G261" s="48" t="n">
        <v>8756</v>
      </c>
      <c r="H261" s="48" t="n">
        <v>8583</v>
      </c>
      <c r="I261" s="48" t="n">
        <v>8614</v>
      </c>
      <c r="J261" s="48" t="n">
        <v>8648</v>
      </c>
      <c r="K261" s="48" t="n">
        <v>8725</v>
      </c>
      <c r="L261" s="48" t="n">
        <v>49534055</v>
      </c>
      <c r="M261" s="48" t="n">
        <v>426686349770</v>
      </c>
      <c r="N261" s="48" t="n">
        <v>1300</v>
      </c>
      <c r="O261" s="48" t="n">
        <v>24521675</v>
      </c>
      <c r="P261" s="48" t="n">
        <v>26888960</v>
      </c>
      <c r="Q261" s="48" t="n">
        <v>637</v>
      </c>
      <c r="R261" s="48" t="n">
        <v>461</v>
      </c>
      <c r="S261" s="48" t="n">
        <v>25012380</v>
      </c>
      <c r="T261" s="48" t="n">
        <v>22645095</v>
      </c>
      <c r="U261" s="46" t="n">
        <f aca="false">IF($A261=$A260,$U260+1,1)</f>
        <v>257</v>
      </c>
      <c r="V261" s="48" t="n">
        <f aca="false">IF($U261&gt;=MA_SHORT,AVERAGE(INDEX($I$5:$I261,258-MA_SHORT):$I261),"")</f>
        <v>8498.45</v>
      </c>
      <c r="W261" s="48" t="n">
        <f aca="false">IF($U261&gt;=MA_MED,AVERAGE(INDEX($I$5:$I261,258-MA_MED):$I261),"")</f>
        <v>8132.28</v>
      </c>
      <c r="X261" s="48" t="n">
        <f aca="false">IF($U261&gt;=MA_LONG1,AVERAGE(INDEX($I$5:$I261,258-MA_LONG1):$I261),"")</f>
        <v>7577.26</v>
      </c>
      <c r="Y261" s="48" t="n">
        <f aca="false">IF($U261&gt;=MA_LONG2,AVERAGE(INDEX($I$5:$I261,258-MA_LONG2):$I261),"")</f>
        <v>7154.765</v>
      </c>
      <c r="Z261" s="48" t="n">
        <f aca="false">IF($U261&gt;=MA_SHORT,AVERAGE(INDEX($L$141:$L261,122-MA_SHORT):$L261),"")</f>
        <v>55460336.95</v>
      </c>
      <c r="AA261" s="48" t="n">
        <f aca="false">IF($U261=1,$G261-$H261,MAX($G261-$H261,ABS($G261-$I260),ABS($H261-$I260)))</f>
        <v>173</v>
      </c>
      <c r="AB261" s="48" t="n">
        <f aca="false">IF($U261&gt;=ATR_PER,AVERAGE(INDEX($AA$141:$AA261,122-ATR_PER):$AA261),"")</f>
        <v>248.571428571429</v>
      </c>
      <c r="AC261" s="48" t="n">
        <f aca="false">$O261-$P261</f>
        <v>-2367285</v>
      </c>
      <c r="AD261" s="48" t="n">
        <f aca="false">$AC261*$I261</f>
        <v>-20391792990</v>
      </c>
      <c r="AE261" s="49" t="n">
        <f aca="false">IF($Q261&gt;0,$O261*$I261/$Q261/1000000,"")</f>
        <v>331.600798194662</v>
      </c>
      <c r="AF261" s="49" t="n">
        <f aca="false">IF($R261&gt;0,$P261*$I261/$R261/1000000,"")</f>
        <v>502.432758004338</v>
      </c>
      <c r="AG261" s="50" t="n">
        <f aca="false">IF(AND(ISNUMBER($AE261),ISNUMBER($AF261),$AF261&gt;0),$AE261/$AF261,"")</f>
        <v>0.659990402520289</v>
      </c>
      <c r="AH261" s="48" t="n">
        <f aca="false">IF($U261&gt;=5,SUM(INDEX($AD$231:$AD261,32-5):$AD261),"")</f>
        <v>304927717376</v>
      </c>
      <c r="AI261" s="48" t="n">
        <f aca="false">IF($U261&gt;=STRUCT_S,MAX(INDEX($G$111:$G261,152-STRUCT_S):$G261),"")</f>
        <v>8984</v>
      </c>
      <c r="AJ261" s="48" t="n">
        <f aca="false">IF($U261&gt;=STRUCT_S,MIN(INDEX($H$111:$H261,152-STRUCT_S):$H261),"")</f>
        <v>8109</v>
      </c>
      <c r="AK261" s="48" t="n">
        <f aca="false">IF($U261&gt;=STRUCT_L,MAX(INDEX($G$11:$G261,252-STRUCT_L):$G261),"")</f>
        <v>8984</v>
      </c>
      <c r="AL261" s="48" t="n">
        <f aca="false">IF($U261&gt;=STRUCT_L,MIN(INDEX($H$11:$H261,252-STRUCT_L):$H261),"")</f>
        <v>6742</v>
      </c>
      <c r="AM261" s="46" t="n">
        <f aca="false">IF($A261&lt;&gt;$A262,1,0)</f>
        <v>0</v>
      </c>
      <c r="AN261" s="47" t="str">
        <f aca="false">IF($AM261=1,$A261,"")</f>
        <v/>
      </c>
    </row>
    <row r="262" customFormat="false" ht="15" hidden="false" customHeight="false" outlineLevel="0" collapsed="false">
      <c r="A262" s="43" t="s">
        <v>130</v>
      </c>
      <c r="B262" s="44" t="s">
        <v>132</v>
      </c>
      <c r="C262" s="45" t="n">
        <v>46265</v>
      </c>
      <c r="D262" s="46" t="n">
        <v>20260831</v>
      </c>
      <c r="E262" s="47" t="s">
        <v>545</v>
      </c>
      <c r="F262" s="48" t="n">
        <v>8310</v>
      </c>
      <c r="G262" s="48" t="n">
        <v>8654</v>
      </c>
      <c r="H262" s="48" t="n">
        <v>8308</v>
      </c>
      <c r="I262" s="48" t="n">
        <v>8347</v>
      </c>
      <c r="J262" s="48" t="n">
        <v>8469</v>
      </c>
      <c r="K262" s="48" t="n">
        <v>8614</v>
      </c>
      <c r="L262" s="48" t="n">
        <v>50892676</v>
      </c>
      <c r="M262" s="48" t="n">
        <v>424801166572</v>
      </c>
      <c r="N262" s="48" t="n">
        <v>1206</v>
      </c>
      <c r="O262" s="48" t="n">
        <v>23559960</v>
      </c>
      <c r="P262" s="48" t="n">
        <v>26967939</v>
      </c>
      <c r="Q262" s="48" t="n">
        <v>777</v>
      </c>
      <c r="R262" s="48" t="n">
        <v>361</v>
      </c>
      <c r="S262" s="48" t="n">
        <v>27332716</v>
      </c>
      <c r="T262" s="48" t="n">
        <v>23924737</v>
      </c>
      <c r="U262" s="46" t="n">
        <f aca="false">IF($A262=$A261,$U261+1,1)</f>
        <v>258</v>
      </c>
      <c r="V262" s="48" t="n">
        <f aca="false">IF($U262&gt;=MA_SHORT,AVERAGE(INDEX($I$5:$I262,259-MA_SHORT):$I262),"")</f>
        <v>8494.35</v>
      </c>
      <c r="W262" s="48" t="n">
        <f aca="false">IF($U262&gt;=MA_MED,AVERAGE(INDEX($I$5:$I262,259-MA_MED):$I262),"")</f>
        <v>8151.24</v>
      </c>
      <c r="X262" s="48" t="n">
        <f aca="false">IF($U262&gt;=MA_LONG1,AVERAGE(INDEX($I$5:$I262,259-MA_LONG1):$I262),"")</f>
        <v>7584.74</v>
      </c>
      <c r="Y262" s="48" t="n">
        <f aca="false">IF($U262&gt;=MA_LONG2,AVERAGE(INDEX($I$5:$I262,259-MA_LONG2):$I262),"")</f>
        <v>7166.14</v>
      </c>
      <c r="Z262" s="48" t="n">
        <f aca="false">IF($U262&gt;=MA_SHORT,AVERAGE(INDEX($L$142:$L262,122-MA_SHORT):$L262),"")</f>
        <v>55690711.5</v>
      </c>
      <c r="AA262" s="48" t="n">
        <f aca="false">IF($U262=1,$G262-$H262,MAX($G262-$H262,ABS($G262-$I261),ABS($H262-$I261)))</f>
        <v>346</v>
      </c>
      <c r="AB262" s="48" t="n">
        <f aca="false">IF($U262&gt;=ATR_PER,AVERAGE(INDEX($AA$142:$AA262,122-ATR_PER):$AA262),"")</f>
        <v>250.428571428571</v>
      </c>
      <c r="AC262" s="48" t="n">
        <f aca="false">$O262-$P262</f>
        <v>-3407979</v>
      </c>
      <c r="AD262" s="48" t="n">
        <f aca="false">$AC262*$I262</f>
        <v>-28446400713</v>
      </c>
      <c r="AE262" s="49" t="n">
        <f aca="false">IF($Q262&gt;0,$O262*$I262/$Q262/1000000,"")</f>
        <v>253.09522023166</v>
      </c>
      <c r="AF262" s="49" t="n">
        <f aca="false">IF($R262&gt;0,$P262*$I262/$R262/1000000,"")</f>
        <v>623.54954801385</v>
      </c>
      <c r="AG262" s="50" t="n">
        <f aca="false">IF(AND(ISNUMBER($AE262),ISNUMBER($AF262),$AF262&gt;0),$AE262/$AF262,"")</f>
        <v>0.405894320728524</v>
      </c>
      <c r="AH262" s="48" t="n">
        <f aca="false">IF($U262&gt;=5,SUM(INDEX($AD$232:$AD262,32-5):$AD262),"")</f>
        <v>187699010787</v>
      </c>
      <c r="AI262" s="48" t="n">
        <f aca="false">IF($U262&gt;=STRUCT_S,MAX(INDEX($G$112:$G262,152-STRUCT_S):$G262),"")</f>
        <v>8984</v>
      </c>
      <c r="AJ262" s="48" t="n">
        <f aca="false">IF($U262&gt;=STRUCT_S,MIN(INDEX($H$112:$H262,152-STRUCT_S):$H262),"")</f>
        <v>8109</v>
      </c>
      <c r="AK262" s="48" t="n">
        <f aca="false">IF($U262&gt;=STRUCT_L,MAX(INDEX($G$12:$G262,252-STRUCT_L):$G262),"")</f>
        <v>8984</v>
      </c>
      <c r="AL262" s="48" t="n">
        <f aca="false">IF($U262&gt;=STRUCT_L,MIN(INDEX($H$12:$H262,252-STRUCT_L):$H262),"")</f>
        <v>6742</v>
      </c>
      <c r="AM262" s="46" t="n">
        <f aca="false">IF($A262&lt;&gt;$A263,1,0)</f>
        <v>0</v>
      </c>
      <c r="AN262" s="47" t="str">
        <f aca="false">IF($AM262=1,$A262,"")</f>
        <v/>
      </c>
    </row>
    <row r="263" customFormat="false" ht="15" hidden="false" customHeight="false" outlineLevel="0" collapsed="false">
      <c r="A263" s="43" t="s">
        <v>130</v>
      </c>
      <c r="B263" s="44" t="s">
        <v>132</v>
      </c>
      <c r="C263" s="45" t="n">
        <v>46266</v>
      </c>
      <c r="D263" s="46" t="n">
        <v>20260901</v>
      </c>
      <c r="E263" s="47" t="s">
        <v>546</v>
      </c>
      <c r="F263" s="48" t="n">
        <v>8371</v>
      </c>
      <c r="G263" s="48" t="n">
        <v>8472</v>
      </c>
      <c r="H263" s="48" t="n">
        <v>8321</v>
      </c>
      <c r="I263" s="48" t="n">
        <v>8446</v>
      </c>
      <c r="J263" s="48" t="n">
        <v>8448</v>
      </c>
      <c r="K263" s="48" t="n">
        <v>8347</v>
      </c>
      <c r="L263" s="48" t="n">
        <v>49505664</v>
      </c>
      <c r="M263" s="48" t="n">
        <v>418124838144</v>
      </c>
      <c r="N263" s="48" t="n">
        <v>1174</v>
      </c>
      <c r="O263" s="48" t="n">
        <v>34769477</v>
      </c>
      <c r="P263" s="48" t="n">
        <v>13762190</v>
      </c>
      <c r="Q263" s="48" t="n">
        <v>309</v>
      </c>
      <c r="R263" s="48" t="n">
        <v>576</v>
      </c>
      <c r="S263" s="48" t="n">
        <v>14736187</v>
      </c>
      <c r="T263" s="48" t="n">
        <v>35743474</v>
      </c>
      <c r="U263" s="46" t="n">
        <f aca="false">IF($A263=$A262,$U262+1,1)</f>
        <v>259</v>
      </c>
      <c r="V263" s="48" t="n">
        <f aca="false">IF($U263&gt;=MA_SHORT,AVERAGE(INDEX($I$5:$I263,260-MA_SHORT):$I263),"")</f>
        <v>8488.95</v>
      </c>
      <c r="W263" s="48" t="n">
        <f aca="false">IF($U263&gt;=MA_MED,AVERAGE(INDEX($I$5:$I263,260-MA_MED):$I263),"")</f>
        <v>8172.08</v>
      </c>
      <c r="X263" s="48" t="n">
        <f aca="false">IF($U263&gt;=MA_LONG1,AVERAGE(INDEX($I$5:$I263,260-MA_LONG1):$I263),"")</f>
        <v>7595.71</v>
      </c>
      <c r="Y263" s="48" t="n">
        <f aca="false">IF($U263&gt;=MA_LONG2,AVERAGE(INDEX($I$5:$I263,260-MA_LONG2):$I263),"")</f>
        <v>7177.725</v>
      </c>
      <c r="Z263" s="48" t="n">
        <f aca="false">IF($U263&gt;=MA_SHORT,AVERAGE(INDEX($L$143:$L263,122-MA_SHORT):$L263),"")</f>
        <v>55158970.65</v>
      </c>
      <c r="AA263" s="48" t="n">
        <f aca="false">IF($U263=1,$G263-$H263,MAX($G263-$H263,ABS($G263-$I262),ABS($H263-$I262)))</f>
        <v>151</v>
      </c>
      <c r="AB263" s="48" t="n">
        <f aca="false">IF($U263&gt;=ATR_PER,AVERAGE(INDEX($AA$143:$AA263,122-ATR_PER):$AA263),"")</f>
        <v>236.785714285714</v>
      </c>
      <c r="AC263" s="48" t="n">
        <f aca="false">$O263-$P263</f>
        <v>21007287</v>
      </c>
      <c r="AD263" s="48" t="n">
        <f aca="false">$AC263*$I263</f>
        <v>177427546002</v>
      </c>
      <c r="AE263" s="49" t="n">
        <f aca="false">IF($Q263&gt;0,$O263*$I263/$Q263/1000000,"")</f>
        <v>950.365704666667</v>
      </c>
      <c r="AF263" s="49" t="n">
        <f aca="false">IF($R263&gt;0,$P263*$I263/$R263/1000000,"")</f>
        <v>201.797667951389</v>
      </c>
      <c r="AG263" s="50" t="n">
        <f aca="false">IF(AND(ISNUMBER($AE263),ISNUMBER($AF263),$AF263&gt;0),$AE263/$AF263,"")</f>
        <v>4.70949795562355</v>
      </c>
      <c r="AH263" s="48" t="n">
        <f aca="false">IF($U263&gt;=5,SUM(INDEX($AD$233:$AD263,32-5):$AD263),"")</f>
        <v>259845238390</v>
      </c>
      <c r="AI263" s="48" t="n">
        <f aca="false">IF($U263&gt;=STRUCT_S,MAX(INDEX($G$113:$G263,152-STRUCT_S):$G263),"")</f>
        <v>8984</v>
      </c>
      <c r="AJ263" s="48" t="n">
        <f aca="false">IF($U263&gt;=STRUCT_S,MIN(INDEX($H$113:$H263,152-STRUCT_S):$H263),"")</f>
        <v>8109</v>
      </c>
      <c r="AK263" s="48" t="n">
        <f aca="false">IF($U263&gt;=STRUCT_L,MAX(INDEX($G$13:$G263,252-STRUCT_L):$G263),"")</f>
        <v>8984</v>
      </c>
      <c r="AL263" s="48" t="n">
        <f aca="false">IF($U263&gt;=STRUCT_L,MIN(INDEX($H$13:$H263,252-STRUCT_L):$H263),"")</f>
        <v>6807</v>
      </c>
      <c r="AM263" s="46" t="n">
        <f aca="false">IF($A263&lt;&gt;$A264,1,0)</f>
        <v>0</v>
      </c>
      <c r="AN263" s="47" t="str">
        <f aca="false">IF($AM263=1,$A263,"")</f>
        <v/>
      </c>
    </row>
    <row r="264" customFormat="false" ht="15" hidden="false" customHeight="false" outlineLevel="0" collapsed="false">
      <c r="A264" s="43" t="s">
        <v>130</v>
      </c>
      <c r="B264" s="44" t="s">
        <v>132</v>
      </c>
      <c r="C264" s="45" t="n">
        <v>46267</v>
      </c>
      <c r="D264" s="46" t="n">
        <v>20260902</v>
      </c>
      <c r="E264" s="47" t="s">
        <v>547</v>
      </c>
      <c r="F264" s="48" t="n">
        <v>8560</v>
      </c>
      <c r="G264" s="48" t="n">
        <v>8619</v>
      </c>
      <c r="H264" s="48" t="n">
        <v>8168</v>
      </c>
      <c r="I264" s="48" t="n">
        <v>8338</v>
      </c>
      <c r="J264" s="48" t="n">
        <v>8466</v>
      </c>
      <c r="K264" s="48" t="n">
        <v>8446</v>
      </c>
      <c r="L264" s="48" t="n">
        <v>52874165</v>
      </c>
      <c r="M264" s="48" t="n">
        <v>440864787770</v>
      </c>
      <c r="N264" s="48" t="n">
        <v>1907</v>
      </c>
      <c r="O264" s="48" t="n">
        <v>25238723</v>
      </c>
      <c r="P264" s="48" t="n">
        <v>30750601</v>
      </c>
      <c r="Q264" s="48" t="n">
        <v>1157</v>
      </c>
      <c r="R264" s="48" t="n">
        <v>583</v>
      </c>
      <c r="S264" s="48" t="n">
        <v>27635442</v>
      </c>
      <c r="T264" s="48" t="n">
        <v>22123564</v>
      </c>
      <c r="U264" s="46" t="n">
        <f aca="false">IF($A264=$A263,$U263+1,1)</f>
        <v>260</v>
      </c>
      <c r="V264" s="48" t="n">
        <f aca="false">IF($U264&gt;=MA_SHORT,AVERAGE(INDEX($I$5:$I264,261-MA_SHORT):$I264),"")</f>
        <v>8466.55</v>
      </c>
      <c r="W264" s="48" t="n">
        <f aca="false">IF($U264&gt;=MA_MED,AVERAGE(INDEX($I$5:$I264,261-MA_MED):$I264),"")</f>
        <v>8189.36</v>
      </c>
      <c r="X264" s="48" t="n">
        <f aca="false">IF($U264&gt;=MA_LONG1,AVERAGE(INDEX($I$5:$I264,261-MA_LONG1):$I264),"")</f>
        <v>7607.15</v>
      </c>
      <c r="Y264" s="48" t="n">
        <f aca="false">IF($U264&gt;=MA_LONG2,AVERAGE(INDEX($I$5:$I264,261-MA_LONG2):$I264),"")</f>
        <v>7188.225</v>
      </c>
      <c r="Z264" s="48" t="n">
        <f aca="false">IF($U264&gt;=MA_SHORT,AVERAGE(INDEX($L$144:$L264,122-MA_SHORT):$L264),"")</f>
        <v>55307920.55</v>
      </c>
      <c r="AA264" s="48" t="n">
        <f aca="false">IF($U264=1,$G264-$H264,MAX($G264-$H264,ABS($G264-$I263),ABS($H264-$I263)))</f>
        <v>451</v>
      </c>
      <c r="AB264" s="48" t="n">
        <f aca="false">IF($U264&gt;=ATR_PER,AVERAGE(INDEX($AA$144:$AA264,122-ATR_PER):$AA264),"")</f>
        <v>243.357142857143</v>
      </c>
      <c r="AC264" s="48" t="n">
        <f aca="false">$O264-$P264</f>
        <v>-5511878</v>
      </c>
      <c r="AD264" s="48" t="n">
        <f aca="false">$AC264*$I264</f>
        <v>-45958038764</v>
      </c>
      <c r="AE264" s="49" t="n">
        <f aca="false">IF($Q264&gt;0,$O264*$I264/$Q264/1000000,"")</f>
        <v>181.884591507347</v>
      </c>
      <c r="AF264" s="49" t="n">
        <f aca="false">IF($R264&gt;0,$P264*$I264/$R264/1000000,"")</f>
        <v>439.791614301887</v>
      </c>
      <c r="AG264" s="50" t="n">
        <f aca="false">IF(AND(ISNUMBER($AE264),ISNUMBER($AF264),$AF264&gt;0),$AE264/$AF264,"")</f>
        <v>0.413569939927266</v>
      </c>
      <c r="AH264" s="48" t="n">
        <f aca="false">IF($U264&gt;=5,SUM(INDEX($AD$234:$AD264,32-5):$AD264),"")</f>
        <v>106609035710</v>
      </c>
      <c r="AI264" s="48" t="n">
        <f aca="false">IF($U264&gt;=STRUCT_S,MAX(INDEX($G$114:$G264,152-STRUCT_S):$G264),"")</f>
        <v>8879</v>
      </c>
      <c r="AJ264" s="48" t="n">
        <f aca="false">IF($U264&gt;=STRUCT_S,MIN(INDEX($H$114:$H264,152-STRUCT_S):$H264),"")</f>
        <v>8109</v>
      </c>
      <c r="AK264" s="48" t="n">
        <f aca="false">IF($U264&gt;=STRUCT_L,MAX(INDEX($G$14:$G264,252-STRUCT_L):$G264),"")</f>
        <v>8984</v>
      </c>
      <c r="AL264" s="48" t="n">
        <f aca="false">IF($U264&gt;=STRUCT_L,MIN(INDEX($H$14:$H264,252-STRUCT_L):$H264),"")</f>
        <v>6829</v>
      </c>
      <c r="AM264" s="46" t="n">
        <f aca="false">IF($A264&lt;&gt;$A265,1,0)</f>
        <v>1</v>
      </c>
      <c r="AN264" s="47" t="str">
        <f aca="false">IF($AM264=1,$A264,"")</f>
        <v>فولاد</v>
      </c>
    </row>
    <row r="265" customFormat="false" ht="15" hidden="false" customHeight="false" outlineLevel="0" collapsed="false">
      <c r="A265" s="43" t="s">
        <v>138</v>
      </c>
      <c r="B265" s="44" t="s">
        <v>140</v>
      </c>
      <c r="C265" s="45" t="n">
        <v>45906</v>
      </c>
      <c r="D265" s="46" t="n">
        <v>20250906</v>
      </c>
      <c r="E265" s="47" t="s">
        <v>288</v>
      </c>
      <c r="F265" s="48" t="n">
        <v>7604</v>
      </c>
      <c r="G265" s="48" t="n">
        <v>7698</v>
      </c>
      <c r="H265" s="48" t="n">
        <v>7589</v>
      </c>
      <c r="I265" s="48" t="n">
        <v>7649</v>
      </c>
      <c r="J265" s="48" t="n">
        <v>7603</v>
      </c>
      <c r="K265" s="48" t="n">
        <v>7637</v>
      </c>
      <c r="L265" s="48" t="n">
        <v>20891411</v>
      </c>
      <c r="M265" s="48" t="n">
        <v>159798402739</v>
      </c>
      <c r="N265" s="48" t="n">
        <v>615</v>
      </c>
      <c r="O265" s="48" t="n">
        <v>10992216</v>
      </c>
      <c r="P265" s="48" t="n">
        <v>9444778</v>
      </c>
      <c r="Q265" s="48" t="n">
        <v>259</v>
      </c>
      <c r="R265" s="48" t="n">
        <v>347</v>
      </c>
      <c r="S265" s="48" t="n">
        <v>9899195</v>
      </c>
      <c r="T265" s="48" t="n">
        <v>11446633</v>
      </c>
      <c r="U265" s="46" t="n">
        <f aca="false">IF($A265=$A264,$U264+1,1)</f>
        <v>1</v>
      </c>
      <c r="V265" s="48" t="str">
        <f aca="false">IF($U265&gt;=MA_SHORT,AVERAGE(INDEX($I$5:$I265,262-MA_SHORT):$I265),"")</f>
        <v/>
      </c>
      <c r="W265" s="48" t="str">
        <f aca="false">IF($U265&gt;=MA_MED,AVERAGE(INDEX($I$5:$I265,262-MA_MED):$I265),"")</f>
        <v/>
      </c>
      <c r="X265" s="48" t="str">
        <f aca="false">IF($U265&gt;=MA_LONG1,AVERAGE(INDEX($I$5:$I265,262-MA_LONG1):$I265),"")</f>
        <v/>
      </c>
      <c r="Y265" s="48" t="str">
        <f aca="false">IF($U265&gt;=MA_LONG2,AVERAGE(INDEX($I$5:$I265,262-MA_LONG2):$I265),"")</f>
        <v/>
      </c>
      <c r="Z265" s="48" t="str">
        <f aca="false">IF($U265&gt;=MA_SHORT,AVERAGE(INDEX($L$145:$L265,122-MA_SHORT):$L265),"")</f>
        <v/>
      </c>
      <c r="AA265" s="48" t="n">
        <f aca="false">IF($U265=1,$G265-$H265,MAX($G265-$H265,ABS($G265-$I264),ABS($H265-$I264)))</f>
        <v>109</v>
      </c>
      <c r="AB265" s="48" t="str">
        <f aca="false">IF($U265&gt;=ATR_PER,AVERAGE(INDEX($AA$145:$AA265,122-ATR_PER):$AA265),"")</f>
        <v/>
      </c>
      <c r="AC265" s="48" t="n">
        <f aca="false">$O265-$P265</f>
        <v>1547438</v>
      </c>
      <c r="AD265" s="48" t="n">
        <f aca="false">$AC265*$I265</f>
        <v>11836353262</v>
      </c>
      <c r="AE265" s="49" t="n">
        <f aca="false">IF($Q265&gt;0,$O265*$I265/$Q265/1000000,"")</f>
        <v>324.631120401544</v>
      </c>
      <c r="AF265" s="49" t="n">
        <f aca="false">IF($R265&gt;0,$P265*$I265/$R265/1000000,"")</f>
        <v>208.193391706052</v>
      </c>
      <c r="AG265" s="50" t="n">
        <f aca="false">IF(AND(ISNUMBER($AE265),ISNUMBER($AF265),$AF265&gt;0),$AE265/$AF265,"")</f>
        <v>1.55927677502795</v>
      </c>
      <c r="AH265" s="48" t="str">
        <f aca="false">IF($U265&gt;=5,SUM(INDEX($AD$235:$AD265,32-5):$AD265),"")</f>
        <v/>
      </c>
      <c r="AI265" s="48" t="str">
        <f aca="false">IF($U265&gt;=STRUCT_S,MAX(INDEX($G$115:$G265,152-STRUCT_S):$G265),"")</f>
        <v/>
      </c>
      <c r="AJ265" s="48" t="str">
        <f aca="false">IF($U265&gt;=STRUCT_S,MIN(INDEX($H$115:$H265,152-STRUCT_S):$H265),"")</f>
        <v/>
      </c>
      <c r="AK265" s="48" t="str">
        <f aca="false">IF($U265&gt;=STRUCT_L,MAX(INDEX($G$15:$G265,252-STRUCT_L):$G265),"")</f>
        <v/>
      </c>
      <c r="AL265" s="48" t="str">
        <f aca="false">IF($U265&gt;=STRUCT_L,MIN(INDEX($H$15:$H265,252-STRUCT_L):$H265),"")</f>
        <v/>
      </c>
      <c r="AM265" s="46" t="n">
        <f aca="false">IF($A265&lt;&gt;$A266,1,0)</f>
        <v>0</v>
      </c>
      <c r="AN265" s="47" t="str">
        <f aca="false">IF($AM265=1,$A265,"")</f>
        <v/>
      </c>
    </row>
    <row r="266" customFormat="false" ht="15" hidden="false" customHeight="false" outlineLevel="0" collapsed="false">
      <c r="A266" s="43" t="s">
        <v>138</v>
      </c>
      <c r="B266" s="44" t="s">
        <v>140</v>
      </c>
      <c r="C266" s="45" t="n">
        <v>45907</v>
      </c>
      <c r="D266" s="46" t="n">
        <v>20250907</v>
      </c>
      <c r="E266" s="47" t="s">
        <v>289</v>
      </c>
      <c r="F266" s="48" t="n">
        <v>7325</v>
      </c>
      <c r="G266" s="48" t="n">
        <v>7700</v>
      </c>
      <c r="H266" s="48" t="n">
        <v>7225</v>
      </c>
      <c r="I266" s="48" t="n">
        <v>7274</v>
      </c>
      <c r="J266" s="48" t="n">
        <v>7252</v>
      </c>
      <c r="K266" s="48" t="n">
        <v>7649</v>
      </c>
      <c r="L266" s="48" t="n">
        <v>27563749</v>
      </c>
      <c r="M266" s="48" t="n">
        <v>200498710226</v>
      </c>
      <c r="N266" s="48" t="n">
        <v>817</v>
      </c>
      <c r="O266" s="48" t="n">
        <v>10664260</v>
      </c>
      <c r="P266" s="48" t="n">
        <v>15247375</v>
      </c>
      <c r="Q266" s="48" t="n">
        <v>402</v>
      </c>
      <c r="R266" s="48" t="n">
        <v>341</v>
      </c>
      <c r="S266" s="48" t="n">
        <v>16899489</v>
      </c>
      <c r="T266" s="48" t="n">
        <v>12316374</v>
      </c>
      <c r="U266" s="46" t="n">
        <f aca="false">IF($A266=$A265,$U265+1,1)</f>
        <v>2</v>
      </c>
      <c r="V266" s="48" t="str">
        <f aca="false">IF($U266&gt;=MA_SHORT,AVERAGE(INDEX($I$5:$I266,263-MA_SHORT):$I266),"")</f>
        <v/>
      </c>
      <c r="W266" s="48" t="str">
        <f aca="false">IF($U266&gt;=MA_MED,AVERAGE(INDEX($I$5:$I266,263-MA_MED):$I266),"")</f>
        <v/>
      </c>
      <c r="X266" s="48" t="str">
        <f aca="false">IF($U266&gt;=MA_LONG1,AVERAGE(INDEX($I$5:$I266,263-MA_LONG1):$I266),"")</f>
        <v/>
      </c>
      <c r="Y266" s="48" t="str">
        <f aca="false">IF($U266&gt;=MA_LONG2,AVERAGE(INDEX($I$5:$I266,263-MA_LONG2):$I266),"")</f>
        <v/>
      </c>
      <c r="Z266" s="48" t="str">
        <f aca="false">IF($U266&gt;=MA_SHORT,AVERAGE(INDEX($L$146:$L266,122-MA_SHORT):$L266),"")</f>
        <v/>
      </c>
      <c r="AA266" s="48" t="n">
        <f aca="false">IF($U266=1,$G266-$H266,MAX($G266-$H266,ABS($G266-$I265),ABS($H266-$I265)))</f>
        <v>475</v>
      </c>
      <c r="AB266" s="48" t="str">
        <f aca="false">IF($U266&gt;=ATR_PER,AVERAGE(INDEX($AA$146:$AA266,122-ATR_PER):$AA266),"")</f>
        <v/>
      </c>
      <c r="AC266" s="48" t="n">
        <f aca="false">$O266-$P266</f>
        <v>-4583115</v>
      </c>
      <c r="AD266" s="48" t="n">
        <f aca="false">$AC266*$I266</f>
        <v>-33337578510</v>
      </c>
      <c r="AE266" s="49" t="n">
        <f aca="false">IF($Q266&gt;0,$O266*$I266/$Q266/1000000,"")</f>
        <v>192.964744378109</v>
      </c>
      <c r="AF266" s="49" t="n">
        <f aca="false">IF($R266&gt;0,$P266*$I266/$R266/1000000,"")</f>
        <v>325.247524193548</v>
      </c>
      <c r="AG266" s="50" t="n">
        <f aca="false">IF(AND(ISNUMBER($AE266),ISNUMBER($AF266),$AF266&gt;0),$AE266/$AF266,"")</f>
        <v>0.59328582087309</v>
      </c>
      <c r="AH266" s="48" t="str">
        <f aca="false">IF($U266&gt;=5,SUM(INDEX($AD$236:$AD266,32-5):$AD266),"")</f>
        <v/>
      </c>
      <c r="AI266" s="48" t="str">
        <f aca="false">IF($U266&gt;=STRUCT_S,MAX(INDEX($G$116:$G266,152-STRUCT_S):$G266),"")</f>
        <v/>
      </c>
      <c r="AJ266" s="48" t="str">
        <f aca="false">IF($U266&gt;=STRUCT_S,MIN(INDEX($H$116:$H266,152-STRUCT_S):$H266),"")</f>
        <v/>
      </c>
      <c r="AK266" s="48" t="str">
        <f aca="false">IF($U266&gt;=STRUCT_L,MAX(INDEX($G$16:$G266,252-STRUCT_L):$G266),"")</f>
        <v/>
      </c>
      <c r="AL266" s="48" t="str">
        <f aca="false">IF($U266&gt;=STRUCT_L,MIN(INDEX($H$16:$H266,252-STRUCT_L):$H266),"")</f>
        <v/>
      </c>
      <c r="AM266" s="46" t="n">
        <f aca="false">IF($A266&lt;&gt;$A267,1,0)</f>
        <v>0</v>
      </c>
      <c r="AN266" s="47" t="str">
        <f aca="false">IF($AM266=1,$A266,"")</f>
        <v/>
      </c>
    </row>
    <row r="267" customFormat="false" ht="15" hidden="false" customHeight="false" outlineLevel="0" collapsed="false">
      <c r="A267" s="43" t="s">
        <v>138</v>
      </c>
      <c r="B267" s="44" t="s">
        <v>140</v>
      </c>
      <c r="C267" s="45" t="n">
        <v>45908</v>
      </c>
      <c r="D267" s="46" t="n">
        <v>20250908</v>
      </c>
      <c r="E267" s="47" t="s">
        <v>290</v>
      </c>
      <c r="F267" s="48" t="n">
        <v>7232</v>
      </c>
      <c r="G267" s="48" t="n">
        <v>7408</v>
      </c>
      <c r="H267" s="48" t="n">
        <v>7085</v>
      </c>
      <c r="I267" s="48" t="n">
        <v>7218</v>
      </c>
      <c r="J267" s="48" t="n">
        <v>7361</v>
      </c>
      <c r="K267" s="48" t="n">
        <v>7274</v>
      </c>
      <c r="L267" s="48" t="n">
        <v>15887536</v>
      </c>
      <c r="M267" s="48" t="n">
        <v>114676234848</v>
      </c>
      <c r="N267" s="48" t="n">
        <v>447</v>
      </c>
      <c r="O267" s="48" t="n">
        <v>8821723</v>
      </c>
      <c r="P267" s="48" t="n">
        <v>6344331</v>
      </c>
      <c r="Q267" s="48" t="n">
        <v>221</v>
      </c>
      <c r="R267" s="48" t="n">
        <v>141</v>
      </c>
      <c r="S267" s="48" t="n">
        <v>7065813</v>
      </c>
      <c r="T267" s="48" t="n">
        <v>9543205</v>
      </c>
      <c r="U267" s="46" t="n">
        <f aca="false">IF($A267=$A266,$U266+1,1)</f>
        <v>3</v>
      </c>
      <c r="V267" s="48" t="str">
        <f aca="false">IF($U267&gt;=MA_SHORT,AVERAGE(INDEX($I$5:$I267,264-MA_SHORT):$I267),"")</f>
        <v/>
      </c>
      <c r="W267" s="48" t="str">
        <f aca="false">IF($U267&gt;=MA_MED,AVERAGE(INDEX($I$5:$I267,264-MA_MED):$I267),"")</f>
        <v/>
      </c>
      <c r="X267" s="48" t="str">
        <f aca="false">IF($U267&gt;=MA_LONG1,AVERAGE(INDEX($I$5:$I267,264-MA_LONG1):$I267),"")</f>
        <v/>
      </c>
      <c r="Y267" s="48" t="str">
        <f aca="false">IF($U267&gt;=MA_LONG2,AVERAGE(INDEX($I$5:$I267,264-MA_LONG2):$I267),"")</f>
        <v/>
      </c>
      <c r="Z267" s="48" t="str">
        <f aca="false">IF($U267&gt;=MA_SHORT,AVERAGE(INDEX($L$147:$L267,122-MA_SHORT):$L267),"")</f>
        <v/>
      </c>
      <c r="AA267" s="48" t="n">
        <f aca="false">IF($U267=1,$G267-$H267,MAX($G267-$H267,ABS($G267-$I266),ABS($H267-$I266)))</f>
        <v>323</v>
      </c>
      <c r="AB267" s="48" t="str">
        <f aca="false">IF($U267&gt;=ATR_PER,AVERAGE(INDEX($AA$147:$AA267,122-ATR_PER):$AA267),"")</f>
        <v/>
      </c>
      <c r="AC267" s="48" t="n">
        <f aca="false">$O267-$P267</f>
        <v>2477392</v>
      </c>
      <c r="AD267" s="48" t="n">
        <f aca="false">$AC267*$I267</f>
        <v>17881815456</v>
      </c>
      <c r="AE267" s="49" t="n">
        <f aca="false">IF($Q267&gt;0,$O267*$I267/$Q267/1000000,"")</f>
        <v>288.12306160181</v>
      </c>
      <c r="AF267" s="49" t="n">
        <f aca="false">IF($R267&gt;0,$P267*$I267/$R267/1000000,"")</f>
        <v>324.775752893617</v>
      </c>
      <c r="AG267" s="50" t="n">
        <f aca="false">IF(AND(ISNUMBER($AE267),ISNUMBER($AF267),$AF267&gt;0),$AE267/$AF267,"")</f>
        <v>0.887144619124898</v>
      </c>
      <c r="AH267" s="48" t="str">
        <f aca="false">IF($U267&gt;=5,SUM(INDEX($AD$237:$AD267,32-5):$AD267),"")</f>
        <v/>
      </c>
      <c r="AI267" s="48" t="str">
        <f aca="false">IF($U267&gt;=STRUCT_S,MAX(INDEX($G$117:$G267,152-STRUCT_S):$G267),"")</f>
        <v/>
      </c>
      <c r="AJ267" s="48" t="str">
        <f aca="false">IF($U267&gt;=STRUCT_S,MIN(INDEX($H$117:$H267,152-STRUCT_S):$H267),"")</f>
        <v/>
      </c>
      <c r="AK267" s="48" t="str">
        <f aca="false">IF($U267&gt;=STRUCT_L,MAX(INDEX($G$17:$G267,252-STRUCT_L):$G267),"")</f>
        <v/>
      </c>
      <c r="AL267" s="48" t="str">
        <f aca="false">IF($U267&gt;=STRUCT_L,MIN(INDEX($H$17:$H267,252-STRUCT_L):$H267),"")</f>
        <v/>
      </c>
      <c r="AM267" s="46" t="n">
        <f aca="false">IF($A267&lt;&gt;$A268,1,0)</f>
        <v>0</v>
      </c>
      <c r="AN267" s="47" t="str">
        <f aca="false">IF($AM267=1,$A267,"")</f>
        <v/>
      </c>
    </row>
    <row r="268" customFormat="false" ht="15" hidden="false" customHeight="false" outlineLevel="0" collapsed="false">
      <c r="A268" s="43" t="s">
        <v>138</v>
      </c>
      <c r="B268" s="44" t="s">
        <v>140</v>
      </c>
      <c r="C268" s="45" t="n">
        <v>45909</v>
      </c>
      <c r="D268" s="46" t="n">
        <v>20250909</v>
      </c>
      <c r="E268" s="47" t="s">
        <v>291</v>
      </c>
      <c r="F268" s="48" t="n">
        <v>7194</v>
      </c>
      <c r="G268" s="48" t="n">
        <v>7325</v>
      </c>
      <c r="H268" s="48" t="n">
        <v>7166</v>
      </c>
      <c r="I268" s="48" t="n">
        <v>7273</v>
      </c>
      <c r="J268" s="48" t="n">
        <v>7221</v>
      </c>
      <c r="K268" s="48" t="n">
        <v>7218</v>
      </c>
      <c r="L268" s="48" t="n">
        <v>15181800</v>
      </c>
      <c r="M268" s="48" t="n">
        <v>110417231400</v>
      </c>
      <c r="N268" s="48" t="n">
        <v>740</v>
      </c>
      <c r="O268" s="48" t="n">
        <v>9907702</v>
      </c>
      <c r="P268" s="48" t="n">
        <v>4642392</v>
      </c>
      <c r="Q268" s="48" t="n">
        <v>216</v>
      </c>
      <c r="R268" s="48" t="n">
        <v>319</v>
      </c>
      <c r="S268" s="48" t="n">
        <v>5274098</v>
      </c>
      <c r="T268" s="48" t="n">
        <v>10539408</v>
      </c>
      <c r="U268" s="46" t="n">
        <f aca="false">IF($A268=$A267,$U267+1,1)</f>
        <v>4</v>
      </c>
      <c r="V268" s="48" t="str">
        <f aca="false">IF($U268&gt;=MA_SHORT,AVERAGE(INDEX($I$5:$I268,265-MA_SHORT):$I268),"")</f>
        <v/>
      </c>
      <c r="W268" s="48" t="str">
        <f aca="false">IF($U268&gt;=MA_MED,AVERAGE(INDEX($I$5:$I268,265-MA_MED):$I268),"")</f>
        <v/>
      </c>
      <c r="X268" s="48" t="str">
        <f aca="false">IF($U268&gt;=MA_LONG1,AVERAGE(INDEX($I$5:$I268,265-MA_LONG1):$I268),"")</f>
        <v/>
      </c>
      <c r="Y268" s="48" t="str">
        <f aca="false">IF($U268&gt;=MA_LONG2,AVERAGE(INDEX($I$5:$I268,265-MA_LONG2):$I268),"")</f>
        <v/>
      </c>
      <c r="Z268" s="48" t="str">
        <f aca="false">IF($U268&gt;=MA_SHORT,AVERAGE(INDEX($L$148:$L268,122-MA_SHORT):$L268),"")</f>
        <v/>
      </c>
      <c r="AA268" s="48" t="n">
        <f aca="false">IF($U268=1,$G268-$H268,MAX($G268-$H268,ABS($G268-$I267),ABS($H268-$I267)))</f>
        <v>159</v>
      </c>
      <c r="AB268" s="48" t="str">
        <f aca="false">IF($U268&gt;=ATR_PER,AVERAGE(INDEX($AA$148:$AA268,122-ATR_PER):$AA268),"")</f>
        <v/>
      </c>
      <c r="AC268" s="48" t="n">
        <f aca="false">$O268-$P268</f>
        <v>5265310</v>
      </c>
      <c r="AD268" s="48" t="n">
        <f aca="false">$AC268*$I268</f>
        <v>38294599630</v>
      </c>
      <c r="AE268" s="49" t="n">
        <f aca="false">IF($Q268&gt;0,$O268*$I268/$Q268/1000000,"")</f>
        <v>333.605169657407</v>
      </c>
      <c r="AF268" s="49" t="n">
        <f aca="false">IF($R268&gt;0,$P268*$I268/$R268/1000000,"")</f>
        <v>105.843627009404</v>
      </c>
      <c r="AG268" s="50" t="n">
        <f aca="false">IF(AND(ISNUMBER($AE268),ISNUMBER($AF268),$AF268&gt;0),$AE268/$AF268,"")</f>
        <v>3.15186827098967</v>
      </c>
      <c r="AH268" s="48" t="str">
        <f aca="false">IF($U268&gt;=5,SUM(INDEX($AD$238:$AD268,32-5):$AD268),"")</f>
        <v/>
      </c>
      <c r="AI268" s="48" t="str">
        <f aca="false">IF($U268&gt;=STRUCT_S,MAX(INDEX($G$118:$G268,152-STRUCT_S):$G268),"")</f>
        <v/>
      </c>
      <c r="AJ268" s="48" t="str">
        <f aca="false">IF($U268&gt;=STRUCT_S,MIN(INDEX($H$118:$H268,152-STRUCT_S):$H268),"")</f>
        <v/>
      </c>
      <c r="AK268" s="48" t="str">
        <f aca="false">IF($U268&gt;=STRUCT_L,MAX(INDEX($G$18:$G268,252-STRUCT_L):$G268),"")</f>
        <v/>
      </c>
      <c r="AL268" s="48" t="str">
        <f aca="false">IF($U268&gt;=STRUCT_L,MIN(INDEX($H$18:$H268,252-STRUCT_L):$H268),"")</f>
        <v/>
      </c>
      <c r="AM268" s="46" t="n">
        <f aca="false">IF($A268&lt;&gt;$A269,1,0)</f>
        <v>0</v>
      </c>
      <c r="AN268" s="47" t="str">
        <f aca="false">IF($AM268=1,$A268,"")</f>
        <v/>
      </c>
    </row>
    <row r="269" customFormat="false" ht="15" hidden="false" customHeight="false" outlineLevel="0" collapsed="false">
      <c r="A269" s="43" t="s">
        <v>138</v>
      </c>
      <c r="B269" s="44" t="s">
        <v>140</v>
      </c>
      <c r="C269" s="45" t="n">
        <v>45910</v>
      </c>
      <c r="D269" s="46" t="n">
        <v>20250910</v>
      </c>
      <c r="E269" s="47" t="s">
        <v>292</v>
      </c>
      <c r="F269" s="48" t="n">
        <v>7205</v>
      </c>
      <c r="G269" s="48" t="n">
        <v>7297</v>
      </c>
      <c r="H269" s="48" t="n">
        <v>7183</v>
      </c>
      <c r="I269" s="48" t="n">
        <v>7206</v>
      </c>
      <c r="J269" s="48" t="n">
        <v>7251</v>
      </c>
      <c r="K269" s="48" t="n">
        <v>7273</v>
      </c>
      <c r="L269" s="48" t="n">
        <v>44978905</v>
      </c>
      <c r="M269" s="48" t="n">
        <v>324117989430</v>
      </c>
      <c r="N269" s="48" t="n">
        <v>1289</v>
      </c>
      <c r="O269" s="48" t="n">
        <v>21682833</v>
      </c>
      <c r="P269" s="48" t="n">
        <v>23172530</v>
      </c>
      <c r="Q269" s="48" t="n">
        <v>540</v>
      </c>
      <c r="R269" s="48" t="n">
        <v>530</v>
      </c>
      <c r="S269" s="48" t="n">
        <v>23296072</v>
      </c>
      <c r="T269" s="48" t="n">
        <v>21806375</v>
      </c>
      <c r="U269" s="46" t="n">
        <f aca="false">IF($A269=$A268,$U268+1,1)</f>
        <v>5</v>
      </c>
      <c r="V269" s="48" t="str">
        <f aca="false">IF($U269&gt;=MA_SHORT,AVERAGE(INDEX($I$5:$I269,266-MA_SHORT):$I269),"")</f>
        <v/>
      </c>
      <c r="W269" s="48" t="str">
        <f aca="false">IF($U269&gt;=MA_MED,AVERAGE(INDEX($I$5:$I269,266-MA_MED):$I269),"")</f>
        <v/>
      </c>
      <c r="X269" s="48" t="str">
        <f aca="false">IF($U269&gt;=MA_LONG1,AVERAGE(INDEX($I$5:$I269,266-MA_LONG1):$I269),"")</f>
        <v/>
      </c>
      <c r="Y269" s="48" t="str">
        <f aca="false">IF($U269&gt;=MA_LONG2,AVERAGE(INDEX($I$5:$I269,266-MA_LONG2):$I269),"")</f>
        <v/>
      </c>
      <c r="Z269" s="48" t="str">
        <f aca="false">IF($U269&gt;=MA_SHORT,AVERAGE(INDEX($L$149:$L269,122-MA_SHORT):$L269),"")</f>
        <v/>
      </c>
      <c r="AA269" s="48" t="n">
        <f aca="false">IF($U269=1,$G269-$H269,MAX($G269-$H269,ABS($G269-$I268),ABS($H269-$I268)))</f>
        <v>114</v>
      </c>
      <c r="AB269" s="48" t="str">
        <f aca="false">IF($U269&gt;=ATR_PER,AVERAGE(INDEX($AA$149:$AA269,122-ATR_PER):$AA269),"")</f>
        <v/>
      </c>
      <c r="AC269" s="48" t="n">
        <f aca="false">$O269-$P269</f>
        <v>-1489697</v>
      </c>
      <c r="AD269" s="48" t="n">
        <f aca="false">$AC269*$I269</f>
        <v>-10734756582</v>
      </c>
      <c r="AE269" s="49" t="n">
        <f aca="false">IF($Q269&gt;0,$O269*$I269/$Q269/1000000,"")</f>
        <v>289.345360366667</v>
      </c>
      <c r="AF269" s="49" t="n">
        <f aca="false">IF($R269&gt;0,$P269*$I269/$R269/1000000,"")</f>
        <v>315.058964490566</v>
      </c>
      <c r="AG269" s="50" t="n">
        <f aca="false">IF(AND(ISNUMBER($AE269),ISNUMBER($AF269),$AF269&gt;0),$AE269/$AF269,"")</f>
        <v>0.918384788176153</v>
      </c>
      <c r="AH269" s="48" t="n">
        <f aca="false">IF($U269&gt;=5,SUM(INDEX($AD$239:$AD269,32-5):$AD269),"")</f>
        <v>23940433256</v>
      </c>
      <c r="AI269" s="48" t="str">
        <f aca="false">IF($U269&gt;=STRUCT_S,MAX(INDEX($G$119:$G269,152-STRUCT_S):$G269),"")</f>
        <v/>
      </c>
      <c r="AJ269" s="48" t="str">
        <f aca="false">IF($U269&gt;=STRUCT_S,MIN(INDEX($H$119:$H269,152-STRUCT_S):$H269),"")</f>
        <v/>
      </c>
      <c r="AK269" s="48" t="str">
        <f aca="false">IF($U269&gt;=STRUCT_L,MAX(INDEX($G$19:$G269,252-STRUCT_L):$G269),"")</f>
        <v/>
      </c>
      <c r="AL269" s="48" t="str">
        <f aca="false">IF($U269&gt;=STRUCT_L,MIN(INDEX($H$19:$H269,252-STRUCT_L):$H269),"")</f>
        <v/>
      </c>
      <c r="AM269" s="46" t="n">
        <f aca="false">IF($A269&lt;&gt;$A270,1,0)</f>
        <v>0</v>
      </c>
      <c r="AN269" s="47" t="str">
        <f aca="false">IF($AM269=1,$A269,"")</f>
        <v/>
      </c>
    </row>
    <row r="270" customFormat="false" ht="15" hidden="false" customHeight="false" outlineLevel="0" collapsed="false">
      <c r="A270" s="43" t="s">
        <v>138</v>
      </c>
      <c r="B270" s="44" t="s">
        <v>140</v>
      </c>
      <c r="C270" s="45" t="n">
        <v>45913</v>
      </c>
      <c r="D270" s="46" t="n">
        <v>20250913</v>
      </c>
      <c r="E270" s="47" t="s">
        <v>293</v>
      </c>
      <c r="F270" s="48" t="n">
        <v>7182</v>
      </c>
      <c r="G270" s="48" t="n">
        <v>7254</v>
      </c>
      <c r="H270" s="48" t="n">
        <v>7126</v>
      </c>
      <c r="I270" s="48" t="n">
        <v>7173</v>
      </c>
      <c r="J270" s="48" t="n">
        <v>7244</v>
      </c>
      <c r="K270" s="48" t="n">
        <v>7206</v>
      </c>
      <c r="L270" s="48" t="n">
        <v>16334854</v>
      </c>
      <c r="M270" s="48" t="n">
        <v>117169907742</v>
      </c>
      <c r="N270" s="48" t="n">
        <v>402</v>
      </c>
      <c r="O270" s="48" t="n">
        <v>8693726</v>
      </c>
      <c r="P270" s="48" t="n">
        <v>8051990</v>
      </c>
      <c r="Q270" s="48" t="n">
        <v>178</v>
      </c>
      <c r="R270" s="48" t="n">
        <v>171</v>
      </c>
      <c r="S270" s="48" t="n">
        <v>7641128</v>
      </c>
      <c r="T270" s="48" t="n">
        <v>8282864</v>
      </c>
      <c r="U270" s="46" t="n">
        <f aca="false">IF($A270=$A269,$U269+1,1)</f>
        <v>6</v>
      </c>
      <c r="V270" s="48" t="str">
        <f aca="false">IF($U270&gt;=MA_SHORT,AVERAGE(INDEX($I$5:$I270,267-MA_SHORT):$I270),"")</f>
        <v/>
      </c>
      <c r="W270" s="48" t="str">
        <f aca="false">IF($U270&gt;=MA_MED,AVERAGE(INDEX($I$5:$I270,267-MA_MED):$I270),"")</f>
        <v/>
      </c>
      <c r="X270" s="48" t="str">
        <f aca="false">IF($U270&gt;=MA_LONG1,AVERAGE(INDEX($I$5:$I270,267-MA_LONG1):$I270),"")</f>
        <v/>
      </c>
      <c r="Y270" s="48" t="str">
        <f aca="false">IF($U270&gt;=MA_LONG2,AVERAGE(INDEX($I$5:$I270,267-MA_LONG2):$I270),"")</f>
        <v/>
      </c>
      <c r="Z270" s="48" t="str">
        <f aca="false">IF($U270&gt;=MA_SHORT,AVERAGE(INDEX($L$150:$L270,122-MA_SHORT):$L270),"")</f>
        <v/>
      </c>
      <c r="AA270" s="48" t="n">
        <f aca="false">IF($U270=1,$G270-$H270,MAX($G270-$H270,ABS($G270-$I269),ABS($H270-$I269)))</f>
        <v>128</v>
      </c>
      <c r="AB270" s="48" t="str">
        <f aca="false">IF($U270&gt;=ATR_PER,AVERAGE(INDEX($AA$150:$AA270,122-ATR_PER):$AA270),"")</f>
        <v/>
      </c>
      <c r="AC270" s="48" t="n">
        <f aca="false">$O270-$P270</f>
        <v>641736</v>
      </c>
      <c r="AD270" s="48" t="n">
        <f aca="false">$AC270*$I270</f>
        <v>4603172328</v>
      </c>
      <c r="AE270" s="49" t="n">
        <f aca="false">IF($Q270&gt;0,$O270*$I270/$Q270/1000000,"")</f>
        <v>350.337621337079</v>
      </c>
      <c r="AF270" s="49" t="n">
        <f aca="false">IF($R270&gt;0,$P270*$I270/$R270/1000000,"")</f>
        <v>337.759791052632</v>
      </c>
      <c r="AG270" s="50" t="n">
        <f aca="false">IF(AND(ISNUMBER($AE270),ISNUMBER($AF270),$AF270&gt;0),$AE270/$AF270,"")</f>
        <v>1.0372389805348</v>
      </c>
      <c r="AH270" s="48" t="n">
        <f aca="false">IF($U270&gt;=5,SUM(INDEX($AD$240:$AD270,32-5):$AD270),"")</f>
        <v>16707252322</v>
      </c>
      <c r="AI270" s="48" t="str">
        <f aca="false">IF($U270&gt;=STRUCT_S,MAX(INDEX($G$120:$G270,152-STRUCT_S):$G270),"")</f>
        <v/>
      </c>
      <c r="AJ270" s="48" t="str">
        <f aca="false">IF($U270&gt;=STRUCT_S,MIN(INDEX($H$120:$H270,152-STRUCT_S):$H270),"")</f>
        <v/>
      </c>
      <c r="AK270" s="48" t="str">
        <f aca="false">IF($U270&gt;=STRUCT_L,MAX(INDEX($G$20:$G270,252-STRUCT_L):$G270),"")</f>
        <v/>
      </c>
      <c r="AL270" s="48" t="str">
        <f aca="false">IF($U270&gt;=STRUCT_L,MIN(INDEX($H$20:$H270,252-STRUCT_L):$H270),"")</f>
        <v/>
      </c>
      <c r="AM270" s="46" t="n">
        <f aca="false">IF($A270&lt;&gt;$A271,1,0)</f>
        <v>0</v>
      </c>
      <c r="AN270" s="47" t="str">
        <f aca="false">IF($AM270=1,$A270,"")</f>
        <v/>
      </c>
    </row>
    <row r="271" customFormat="false" ht="15" hidden="false" customHeight="false" outlineLevel="0" collapsed="false">
      <c r="A271" s="43" t="s">
        <v>138</v>
      </c>
      <c r="B271" s="44" t="s">
        <v>140</v>
      </c>
      <c r="C271" s="45" t="n">
        <v>45914</v>
      </c>
      <c r="D271" s="46" t="n">
        <v>20250914</v>
      </c>
      <c r="E271" s="47" t="s">
        <v>294</v>
      </c>
      <c r="F271" s="48" t="n">
        <v>7207</v>
      </c>
      <c r="G271" s="48" t="n">
        <v>7318</v>
      </c>
      <c r="H271" s="48" t="n">
        <v>6978</v>
      </c>
      <c r="I271" s="48" t="n">
        <v>7122</v>
      </c>
      <c r="J271" s="48" t="n">
        <v>7171</v>
      </c>
      <c r="K271" s="48" t="n">
        <v>7173</v>
      </c>
      <c r="L271" s="48" t="n">
        <v>15137388</v>
      </c>
      <c r="M271" s="48" t="n">
        <v>107808477336</v>
      </c>
      <c r="N271" s="48" t="n">
        <v>872</v>
      </c>
      <c r="O271" s="48" t="n">
        <v>7392586</v>
      </c>
      <c r="P271" s="48" t="n">
        <v>7760042</v>
      </c>
      <c r="Q271" s="48" t="n">
        <v>458</v>
      </c>
      <c r="R271" s="48" t="n">
        <v>305</v>
      </c>
      <c r="S271" s="48" t="n">
        <v>7744802</v>
      </c>
      <c r="T271" s="48" t="n">
        <v>7377346</v>
      </c>
      <c r="U271" s="46" t="n">
        <f aca="false">IF($A271=$A270,$U270+1,1)</f>
        <v>7</v>
      </c>
      <c r="V271" s="48" t="str">
        <f aca="false">IF($U271&gt;=MA_SHORT,AVERAGE(INDEX($I$5:$I271,268-MA_SHORT):$I271),"")</f>
        <v/>
      </c>
      <c r="W271" s="48" t="str">
        <f aca="false">IF($U271&gt;=MA_MED,AVERAGE(INDEX($I$5:$I271,268-MA_MED):$I271),"")</f>
        <v/>
      </c>
      <c r="X271" s="48" t="str">
        <f aca="false">IF($U271&gt;=MA_LONG1,AVERAGE(INDEX($I$5:$I271,268-MA_LONG1):$I271),"")</f>
        <v/>
      </c>
      <c r="Y271" s="48" t="str">
        <f aca="false">IF($U271&gt;=MA_LONG2,AVERAGE(INDEX($I$5:$I271,268-MA_LONG2):$I271),"")</f>
        <v/>
      </c>
      <c r="Z271" s="48" t="str">
        <f aca="false">IF($U271&gt;=MA_SHORT,AVERAGE(INDEX($L$151:$L271,122-MA_SHORT):$L271),"")</f>
        <v/>
      </c>
      <c r="AA271" s="48" t="n">
        <f aca="false">IF($U271=1,$G271-$H271,MAX($G271-$H271,ABS($G271-$I270),ABS($H271-$I270)))</f>
        <v>340</v>
      </c>
      <c r="AB271" s="48" t="str">
        <f aca="false">IF($U271&gt;=ATR_PER,AVERAGE(INDEX($AA$151:$AA271,122-ATR_PER):$AA271),"")</f>
        <v/>
      </c>
      <c r="AC271" s="48" t="n">
        <f aca="false">$O271-$P271</f>
        <v>-367456</v>
      </c>
      <c r="AD271" s="48" t="n">
        <f aca="false">$AC271*$I271</f>
        <v>-2617021632</v>
      </c>
      <c r="AE271" s="49" t="n">
        <f aca="false">IF($Q271&gt;0,$O271*$I271/$Q271/1000000,"")</f>
        <v>114.956326401747</v>
      </c>
      <c r="AF271" s="49" t="n">
        <f aca="false">IF($R271&gt;0,$P271*$I271/$R271/1000000,"")</f>
        <v>181.203341390164</v>
      </c>
      <c r="AG271" s="50" t="n">
        <f aca="false">IF(AND(ISNUMBER($AE271),ISNUMBER($AF271),$AF271&gt;0),$AE271/$AF271,"")</f>
        <v>0.634405113723729</v>
      </c>
      <c r="AH271" s="48" t="n">
        <f aca="false">IF($U271&gt;=5,SUM(INDEX($AD$241:$AD271,32-5):$AD271),"")</f>
        <v>47427809200</v>
      </c>
      <c r="AI271" s="48" t="str">
        <f aca="false">IF($U271&gt;=STRUCT_S,MAX(INDEX($G$121:$G271,152-STRUCT_S):$G271),"")</f>
        <v/>
      </c>
      <c r="AJ271" s="48" t="str">
        <f aca="false">IF($U271&gt;=STRUCT_S,MIN(INDEX($H$121:$H271,152-STRUCT_S):$H271),"")</f>
        <v/>
      </c>
      <c r="AK271" s="48" t="str">
        <f aca="false">IF($U271&gt;=STRUCT_L,MAX(INDEX($G$21:$G271,252-STRUCT_L):$G271),"")</f>
        <v/>
      </c>
      <c r="AL271" s="48" t="str">
        <f aca="false">IF($U271&gt;=STRUCT_L,MIN(INDEX($H$21:$H271,252-STRUCT_L):$H271),"")</f>
        <v/>
      </c>
      <c r="AM271" s="46" t="n">
        <f aca="false">IF($A271&lt;&gt;$A272,1,0)</f>
        <v>0</v>
      </c>
      <c r="AN271" s="47" t="str">
        <f aca="false">IF($AM271=1,$A271,"")</f>
        <v/>
      </c>
    </row>
    <row r="272" customFormat="false" ht="15" hidden="false" customHeight="false" outlineLevel="0" collapsed="false">
      <c r="A272" s="43" t="s">
        <v>138</v>
      </c>
      <c r="B272" s="44" t="s">
        <v>140</v>
      </c>
      <c r="C272" s="45" t="n">
        <v>45915</v>
      </c>
      <c r="D272" s="46" t="n">
        <v>20250915</v>
      </c>
      <c r="E272" s="47" t="s">
        <v>295</v>
      </c>
      <c r="F272" s="48" t="n">
        <v>6942</v>
      </c>
      <c r="G272" s="48" t="n">
        <v>7370</v>
      </c>
      <c r="H272" s="48" t="n">
        <v>6759</v>
      </c>
      <c r="I272" s="48" t="n">
        <v>7003</v>
      </c>
      <c r="J272" s="48" t="n">
        <v>7116</v>
      </c>
      <c r="K272" s="48" t="n">
        <v>7122</v>
      </c>
      <c r="L272" s="48" t="n">
        <v>17644990</v>
      </c>
      <c r="M272" s="48" t="n">
        <v>123567864970</v>
      </c>
      <c r="N272" s="48" t="n">
        <v>426</v>
      </c>
      <c r="O272" s="48" t="n">
        <v>8724150</v>
      </c>
      <c r="P272" s="48" t="n">
        <v>8979251</v>
      </c>
      <c r="Q272" s="48" t="n">
        <v>257</v>
      </c>
      <c r="R272" s="48" t="n">
        <v>119</v>
      </c>
      <c r="S272" s="48" t="n">
        <v>8920840</v>
      </c>
      <c r="T272" s="48" t="n">
        <v>8665739</v>
      </c>
      <c r="U272" s="46" t="n">
        <f aca="false">IF($A272=$A271,$U271+1,1)</f>
        <v>8</v>
      </c>
      <c r="V272" s="48" t="str">
        <f aca="false">IF($U272&gt;=MA_SHORT,AVERAGE(INDEX($I$5:$I272,269-MA_SHORT):$I272),"")</f>
        <v/>
      </c>
      <c r="W272" s="48" t="str">
        <f aca="false">IF($U272&gt;=MA_MED,AVERAGE(INDEX($I$5:$I272,269-MA_MED):$I272),"")</f>
        <v/>
      </c>
      <c r="X272" s="48" t="str">
        <f aca="false">IF($U272&gt;=MA_LONG1,AVERAGE(INDEX($I$5:$I272,269-MA_LONG1):$I272),"")</f>
        <v/>
      </c>
      <c r="Y272" s="48" t="str">
        <f aca="false">IF($U272&gt;=MA_LONG2,AVERAGE(INDEX($I$5:$I272,269-MA_LONG2):$I272),"")</f>
        <v/>
      </c>
      <c r="Z272" s="48" t="str">
        <f aca="false">IF($U272&gt;=MA_SHORT,AVERAGE(INDEX($L$152:$L272,122-MA_SHORT):$L272),"")</f>
        <v/>
      </c>
      <c r="AA272" s="48" t="n">
        <f aca="false">IF($U272=1,$G272-$H272,MAX($G272-$H272,ABS($G272-$I271),ABS($H272-$I271)))</f>
        <v>611</v>
      </c>
      <c r="AB272" s="48" t="str">
        <f aca="false">IF($U272&gt;=ATR_PER,AVERAGE(INDEX($AA$152:$AA272,122-ATR_PER):$AA272),"")</f>
        <v/>
      </c>
      <c r="AC272" s="48" t="n">
        <f aca="false">$O272-$P272</f>
        <v>-255101</v>
      </c>
      <c r="AD272" s="48" t="n">
        <f aca="false">$AC272*$I272</f>
        <v>-1786472303</v>
      </c>
      <c r="AE272" s="49" t="n">
        <f aca="false">IF($Q272&gt;0,$O272*$I272/$Q272/1000000,"")</f>
        <v>237.724600972763</v>
      </c>
      <c r="AF272" s="49" t="n">
        <f aca="false">IF($R272&gt;0,$P272*$I272/$R272/1000000,"")</f>
        <v>528.417602966387</v>
      </c>
      <c r="AG272" s="50" t="n">
        <f aca="false">IF(AND(ISNUMBER($AE272),ISNUMBER($AF272),$AF272&gt;0),$AE272/$AF272,"")</f>
        <v>0.449880169847189</v>
      </c>
      <c r="AH272" s="48" t="n">
        <f aca="false">IF($U272&gt;=5,SUM(INDEX($AD$242:$AD272,32-5):$AD272),"")</f>
        <v>27759521441</v>
      </c>
      <c r="AI272" s="48" t="str">
        <f aca="false">IF($U272&gt;=STRUCT_S,MAX(INDEX($G$122:$G272,152-STRUCT_S):$G272),"")</f>
        <v/>
      </c>
      <c r="AJ272" s="48" t="str">
        <f aca="false">IF($U272&gt;=STRUCT_S,MIN(INDEX($H$122:$H272,152-STRUCT_S):$H272),"")</f>
        <v/>
      </c>
      <c r="AK272" s="48" t="str">
        <f aca="false">IF($U272&gt;=STRUCT_L,MAX(INDEX($G$22:$G272,252-STRUCT_L):$G272),"")</f>
        <v/>
      </c>
      <c r="AL272" s="48" t="str">
        <f aca="false">IF($U272&gt;=STRUCT_L,MIN(INDEX($H$22:$H272,252-STRUCT_L):$H272),"")</f>
        <v/>
      </c>
      <c r="AM272" s="46" t="n">
        <f aca="false">IF($A272&lt;&gt;$A273,1,0)</f>
        <v>0</v>
      </c>
      <c r="AN272" s="47" t="str">
        <f aca="false">IF($AM272=1,$A272,"")</f>
        <v/>
      </c>
    </row>
    <row r="273" customFormat="false" ht="15" hidden="false" customHeight="false" outlineLevel="0" collapsed="false">
      <c r="A273" s="43" t="s">
        <v>138</v>
      </c>
      <c r="B273" s="44" t="s">
        <v>140</v>
      </c>
      <c r="C273" s="45" t="n">
        <v>45916</v>
      </c>
      <c r="D273" s="46" t="n">
        <v>20250916</v>
      </c>
      <c r="E273" s="47" t="s">
        <v>296</v>
      </c>
      <c r="F273" s="48" t="n">
        <v>6990</v>
      </c>
      <c r="G273" s="48" t="n">
        <v>7039</v>
      </c>
      <c r="H273" s="48" t="n">
        <v>6879</v>
      </c>
      <c r="I273" s="48" t="n">
        <v>6915</v>
      </c>
      <c r="J273" s="48" t="n">
        <v>6989</v>
      </c>
      <c r="K273" s="48" t="n">
        <v>7003</v>
      </c>
      <c r="L273" s="48" t="n">
        <v>15612655</v>
      </c>
      <c r="M273" s="48" t="n">
        <v>107961509325</v>
      </c>
      <c r="N273" s="48" t="n">
        <v>826</v>
      </c>
      <c r="O273" s="48" t="n">
        <v>8564433</v>
      </c>
      <c r="P273" s="48" t="n">
        <v>7621296</v>
      </c>
      <c r="Q273" s="48" t="n">
        <v>468</v>
      </c>
      <c r="R273" s="48" t="n">
        <v>330</v>
      </c>
      <c r="S273" s="48" t="n">
        <v>7048222</v>
      </c>
      <c r="T273" s="48" t="n">
        <v>7991359</v>
      </c>
      <c r="U273" s="46" t="n">
        <f aca="false">IF($A273=$A272,$U272+1,1)</f>
        <v>9</v>
      </c>
      <c r="V273" s="48" t="str">
        <f aca="false">IF($U273&gt;=MA_SHORT,AVERAGE(INDEX($I$5:$I273,270-MA_SHORT):$I273),"")</f>
        <v/>
      </c>
      <c r="W273" s="48" t="str">
        <f aca="false">IF($U273&gt;=MA_MED,AVERAGE(INDEX($I$5:$I273,270-MA_MED):$I273),"")</f>
        <v/>
      </c>
      <c r="X273" s="48" t="str">
        <f aca="false">IF($U273&gt;=MA_LONG1,AVERAGE(INDEX($I$5:$I273,270-MA_LONG1):$I273),"")</f>
        <v/>
      </c>
      <c r="Y273" s="48" t="str">
        <f aca="false">IF($U273&gt;=MA_LONG2,AVERAGE(INDEX($I$5:$I273,270-MA_LONG2):$I273),"")</f>
        <v/>
      </c>
      <c r="Z273" s="48" t="str">
        <f aca="false">IF($U273&gt;=MA_SHORT,AVERAGE(INDEX($L$153:$L273,122-MA_SHORT):$L273),"")</f>
        <v/>
      </c>
      <c r="AA273" s="48" t="n">
        <f aca="false">IF($U273=1,$G273-$H273,MAX($G273-$H273,ABS($G273-$I272),ABS($H273-$I272)))</f>
        <v>160</v>
      </c>
      <c r="AB273" s="48" t="str">
        <f aca="false">IF($U273&gt;=ATR_PER,AVERAGE(INDEX($AA$153:$AA273,122-ATR_PER):$AA273),"")</f>
        <v/>
      </c>
      <c r="AC273" s="48" t="n">
        <f aca="false">$O273-$P273</f>
        <v>943137</v>
      </c>
      <c r="AD273" s="48" t="n">
        <f aca="false">$AC273*$I273</f>
        <v>6521792355</v>
      </c>
      <c r="AE273" s="49" t="n">
        <f aca="false">IF($Q273&gt;0,$O273*$I273/$Q273/1000000,"")</f>
        <v>126.544987596154</v>
      </c>
      <c r="AF273" s="49" t="n">
        <f aca="false">IF($R273&gt;0,$P273*$I273/$R273/1000000,"")</f>
        <v>159.700793454545</v>
      </c>
      <c r="AG273" s="50" t="n">
        <f aca="false">IF(AND(ISNUMBER($AE273),ISNUMBER($AF273),$AF273&gt;0),$AE273/$AF273,"")</f>
        <v>0.792387970396474</v>
      </c>
      <c r="AH273" s="48" t="n">
        <f aca="false">IF($U273&gt;=5,SUM(INDEX($AD$243:$AD273,32-5):$AD273),"")</f>
        <v>-4013285834</v>
      </c>
      <c r="AI273" s="48" t="str">
        <f aca="false">IF($U273&gt;=STRUCT_S,MAX(INDEX($G$123:$G273,152-STRUCT_S):$G273),"")</f>
        <v/>
      </c>
      <c r="AJ273" s="48" t="str">
        <f aca="false">IF($U273&gt;=STRUCT_S,MIN(INDEX($H$123:$H273,152-STRUCT_S):$H273),"")</f>
        <v/>
      </c>
      <c r="AK273" s="48" t="str">
        <f aca="false">IF($U273&gt;=STRUCT_L,MAX(INDEX($G$23:$G273,252-STRUCT_L):$G273),"")</f>
        <v/>
      </c>
      <c r="AL273" s="48" t="str">
        <f aca="false">IF($U273&gt;=STRUCT_L,MIN(INDEX($H$23:$H273,252-STRUCT_L):$H273),"")</f>
        <v/>
      </c>
      <c r="AM273" s="46" t="n">
        <f aca="false">IF($A273&lt;&gt;$A274,1,0)</f>
        <v>0</v>
      </c>
      <c r="AN273" s="47" t="str">
        <f aca="false">IF($AM273=1,$A273,"")</f>
        <v/>
      </c>
    </row>
    <row r="274" customFormat="false" ht="15" hidden="false" customHeight="false" outlineLevel="0" collapsed="false">
      <c r="A274" s="43" t="s">
        <v>138</v>
      </c>
      <c r="B274" s="44" t="s">
        <v>140</v>
      </c>
      <c r="C274" s="45" t="n">
        <v>45917</v>
      </c>
      <c r="D274" s="46" t="n">
        <v>20250917</v>
      </c>
      <c r="E274" s="47" t="s">
        <v>297</v>
      </c>
      <c r="F274" s="48" t="n">
        <v>6799</v>
      </c>
      <c r="G274" s="48" t="n">
        <v>6958</v>
      </c>
      <c r="H274" s="48" t="n">
        <v>6755</v>
      </c>
      <c r="I274" s="48" t="n">
        <v>6798</v>
      </c>
      <c r="J274" s="48" t="n">
        <v>6847</v>
      </c>
      <c r="K274" s="48" t="n">
        <v>6915</v>
      </c>
      <c r="L274" s="48" t="n">
        <v>15991898</v>
      </c>
      <c r="M274" s="48" t="n">
        <v>108712922604</v>
      </c>
      <c r="N274" s="48" t="n">
        <v>355</v>
      </c>
      <c r="O274" s="48" t="n">
        <v>7756173</v>
      </c>
      <c r="P274" s="48" t="n">
        <v>9300436</v>
      </c>
      <c r="Q274" s="48" t="n">
        <v>229</v>
      </c>
      <c r="R274" s="48" t="n">
        <v>98</v>
      </c>
      <c r="S274" s="48" t="n">
        <v>8235725</v>
      </c>
      <c r="T274" s="48" t="n">
        <v>6691462</v>
      </c>
      <c r="U274" s="46" t="n">
        <f aca="false">IF($A274=$A273,$U273+1,1)</f>
        <v>10</v>
      </c>
      <c r="V274" s="48" t="str">
        <f aca="false">IF($U274&gt;=MA_SHORT,AVERAGE(INDEX($I$5:$I274,271-MA_SHORT):$I274),"")</f>
        <v/>
      </c>
      <c r="W274" s="48" t="str">
        <f aca="false">IF($U274&gt;=MA_MED,AVERAGE(INDEX($I$5:$I274,271-MA_MED):$I274),"")</f>
        <v/>
      </c>
      <c r="X274" s="48" t="str">
        <f aca="false">IF($U274&gt;=MA_LONG1,AVERAGE(INDEX($I$5:$I274,271-MA_LONG1):$I274),"")</f>
        <v/>
      </c>
      <c r="Y274" s="48" t="str">
        <f aca="false">IF($U274&gt;=MA_LONG2,AVERAGE(INDEX($I$5:$I274,271-MA_LONG2):$I274),"")</f>
        <v/>
      </c>
      <c r="Z274" s="48" t="str">
        <f aca="false">IF($U274&gt;=MA_SHORT,AVERAGE(INDEX($L$154:$L274,122-MA_SHORT):$L274),"")</f>
        <v/>
      </c>
      <c r="AA274" s="48" t="n">
        <f aca="false">IF($U274=1,$G274-$H274,MAX($G274-$H274,ABS($G274-$I273),ABS($H274-$I273)))</f>
        <v>203</v>
      </c>
      <c r="AB274" s="48" t="str">
        <f aca="false">IF($U274&gt;=ATR_PER,AVERAGE(INDEX($AA$154:$AA274,122-ATR_PER):$AA274),"")</f>
        <v/>
      </c>
      <c r="AC274" s="48" t="n">
        <f aca="false">$O274-$P274</f>
        <v>-1544263</v>
      </c>
      <c r="AD274" s="48" t="n">
        <f aca="false">$AC274*$I274</f>
        <v>-10497899874</v>
      </c>
      <c r="AE274" s="49" t="n">
        <f aca="false">IF($Q274&gt;0,$O274*$I274/$Q274/1000000,"")</f>
        <v>230.246567921397</v>
      </c>
      <c r="AF274" s="49" t="n">
        <f aca="false">IF($R274&gt;0,$P274*$I274/$R274/1000000,"")</f>
        <v>645.146570693878</v>
      </c>
      <c r="AG274" s="50" t="n">
        <f aca="false">IF(AND(ISNUMBER($AE274),ISNUMBER($AF274),$AF274&gt;0),$AE274/$AF274,"")</f>
        <v>0.356890322882379</v>
      </c>
      <c r="AH274" s="48" t="n">
        <f aca="false">IF($U274&gt;=5,SUM(INDEX($AD$244:$AD274,32-5):$AD274),"")</f>
        <v>-3776429126</v>
      </c>
      <c r="AI274" s="48" t="str">
        <f aca="false">IF($U274&gt;=STRUCT_S,MAX(INDEX($G$124:$G274,152-STRUCT_S):$G274),"")</f>
        <v/>
      </c>
      <c r="AJ274" s="48" t="str">
        <f aca="false">IF($U274&gt;=STRUCT_S,MIN(INDEX($H$124:$H274,152-STRUCT_S):$H274),"")</f>
        <v/>
      </c>
      <c r="AK274" s="48" t="str">
        <f aca="false">IF($U274&gt;=STRUCT_L,MAX(INDEX($G$24:$G274,252-STRUCT_L):$G274),"")</f>
        <v/>
      </c>
      <c r="AL274" s="48" t="str">
        <f aca="false">IF($U274&gt;=STRUCT_L,MIN(INDEX($H$24:$H274,252-STRUCT_L):$H274),"")</f>
        <v/>
      </c>
      <c r="AM274" s="46" t="n">
        <f aca="false">IF($A274&lt;&gt;$A275,1,0)</f>
        <v>0</v>
      </c>
      <c r="AN274" s="47" t="str">
        <f aca="false">IF($AM274=1,$A274,"")</f>
        <v/>
      </c>
    </row>
    <row r="275" customFormat="false" ht="15" hidden="false" customHeight="false" outlineLevel="0" collapsed="false">
      <c r="A275" s="43" t="s">
        <v>138</v>
      </c>
      <c r="B275" s="44" t="s">
        <v>140</v>
      </c>
      <c r="C275" s="45" t="n">
        <v>45920</v>
      </c>
      <c r="D275" s="46" t="n">
        <v>20250920</v>
      </c>
      <c r="E275" s="47" t="s">
        <v>298</v>
      </c>
      <c r="F275" s="48" t="n">
        <v>6800</v>
      </c>
      <c r="G275" s="48" t="n">
        <v>6822</v>
      </c>
      <c r="H275" s="48" t="n">
        <v>6763</v>
      </c>
      <c r="I275" s="48" t="n">
        <v>6787</v>
      </c>
      <c r="J275" s="48" t="n">
        <v>6778</v>
      </c>
      <c r="K275" s="48" t="n">
        <v>6798</v>
      </c>
      <c r="L275" s="48" t="n">
        <v>15666752</v>
      </c>
      <c r="M275" s="48" t="n">
        <v>106330245824</v>
      </c>
      <c r="N275" s="48" t="n">
        <v>416</v>
      </c>
      <c r="O275" s="48" t="n">
        <v>9261934</v>
      </c>
      <c r="P275" s="48" t="n">
        <v>6401836</v>
      </c>
      <c r="Q275" s="48" t="n">
        <v>252</v>
      </c>
      <c r="R275" s="48" t="n">
        <v>113</v>
      </c>
      <c r="S275" s="48" t="n">
        <v>6404818</v>
      </c>
      <c r="T275" s="48" t="n">
        <v>9264916</v>
      </c>
      <c r="U275" s="46" t="n">
        <f aca="false">IF($A275=$A274,$U274+1,1)</f>
        <v>11</v>
      </c>
      <c r="V275" s="48" t="str">
        <f aca="false">IF($U275&gt;=MA_SHORT,AVERAGE(INDEX($I$5:$I275,272-MA_SHORT):$I275),"")</f>
        <v/>
      </c>
      <c r="W275" s="48" t="str">
        <f aca="false">IF($U275&gt;=MA_MED,AVERAGE(INDEX($I$5:$I275,272-MA_MED):$I275),"")</f>
        <v/>
      </c>
      <c r="X275" s="48" t="str">
        <f aca="false">IF($U275&gt;=MA_LONG1,AVERAGE(INDEX($I$5:$I275,272-MA_LONG1):$I275),"")</f>
        <v/>
      </c>
      <c r="Y275" s="48" t="str">
        <f aca="false">IF($U275&gt;=MA_LONG2,AVERAGE(INDEX($I$5:$I275,272-MA_LONG2):$I275),"")</f>
        <v/>
      </c>
      <c r="Z275" s="48" t="str">
        <f aca="false">IF($U275&gt;=MA_SHORT,AVERAGE(INDEX($L$155:$L275,122-MA_SHORT):$L275),"")</f>
        <v/>
      </c>
      <c r="AA275" s="48" t="n">
        <f aca="false">IF($U275=1,$G275-$H275,MAX($G275-$H275,ABS($G275-$I274),ABS($H275-$I274)))</f>
        <v>59</v>
      </c>
      <c r="AB275" s="48" t="str">
        <f aca="false">IF($U275&gt;=ATR_PER,AVERAGE(INDEX($AA$155:$AA275,122-ATR_PER):$AA275),"")</f>
        <v/>
      </c>
      <c r="AC275" s="48" t="n">
        <f aca="false">$O275-$P275</f>
        <v>2860098</v>
      </c>
      <c r="AD275" s="48" t="n">
        <f aca="false">$AC275*$I275</f>
        <v>19411485126</v>
      </c>
      <c r="AE275" s="49" t="n">
        <f aca="false">IF($Q275&gt;0,$O275*$I275/$Q275/1000000,"")</f>
        <v>249.447404992064</v>
      </c>
      <c r="AF275" s="49" t="n">
        <f aca="false">IF($R275&gt;0,$P275*$I275/$R275/1000000,"")</f>
        <v>384.506733911504</v>
      </c>
      <c r="AG275" s="50" t="n">
        <f aca="false">IF(AND(ISNUMBER($AE275),ISNUMBER($AF275),$AF275&gt;0),$AE275/$AF275,"")</f>
        <v>0.64874651857066</v>
      </c>
      <c r="AH275" s="48" t="n">
        <f aca="false">IF($U275&gt;=5,SUM(INDEX($AD$245:$AD275,32-5):$AD275),"")</f>
        <v>11031883672</v>
      </c>
      <c r="AI275" s="48" t="str">
        <f aca="false">IF($U275&gt;=STRUCT_S,MAX(INDEX($G$125:$G275,152-STRUCT_S):$G275),"")</f>
        <v/>
      </c>
      <c r="AJ275" s="48" t="str">
        <f aca="false">IF($U275&gt;=STRUCT_S,MIN(INDEX($H$125:$H275,152-STRUCT_S):$H275),"")</f>
        <v/>
      </c>
      <c r="AK275" s="48" t="str">
        <f aca="false">IF($U275&gt;=STRUCT_L,MAX(INDEX($G$25:$G275,252-STRUCT_L):$G275),"")</f>
        <v/>
      </c>
      <c r="AL275" s="48" t="str">
        <f aca="false">IF($U275&gt;=STRUCT_L,MIN(INDEX($H$25:$H275,252-STRUCT_L):$H275),"")</f>
        <v/>
      </c>
      <c r="AM275" s="46" t="n">
        <f aca="false">IF($A275&lt;&gt;$A276,1,0)</f>
        <v>0</v>
      </c>
      <c r="AN275" s="47" t="str">
        <f aca="false">IF($AM275=1,$A275,"")</f>
        <v/>
      </c>
    </row>
    <row r="276" customFormat="false" ht="15" hidden="false" customHeight="false" outlineLevel="0" collapsed="false">
      <c r="A276" s="43" t="s">
        <v>138</v>
      </c>
      <c r="B276" s="44" t="s">
        <v>140</v>
      </c>
      <c r="C276" s="45" t="n">
        <v>45921</v>
      </c>
      <c r="D276" s="46" t="n">
        <v>20250921</v>
      </c>
      <c r="E276" s="47" t="s">
        <v>299</v>
      </c>
      <c r="F276" s="48" t="n">
        <v>6759</v>
      </c>
      <c r="G276" s="48" t="n">
        <v>6826</v>
      </c>
      <c r="H276" s="48" t="n">
        <v>6749</v>
      </c>
      <c r="I276" s="48" t="n">
        <v>6788</v>
      </c>
      <c r="J276" s="48" t="n">
        <v>6770</v>
      </c>
      <c r="K276" s="48" t="n">
        <v>6787</v>
      </c>
      <c r="L276" s="48" t="n">
        <v>14530883</v>
      </c>
      <c r="M276" s="48" t="n">
        <v>98635633804</v>
      </c>
      <c r="N276" s="48" t="n">
        <v>372</v>
      </c>
      <c r="O276" s="48" t="n">
        <v>8229749</v>
      </c>
      <c r="P276" s="48" t="n">
        <v>6618330</v>
      </c>
      <c r="Q276" s="48" t="n">
        <v>162</v>
      </c>
      <c r="R276" s="48" t="n">
        <v>162</v>
      </c>
      <c r="S276" s="48" t="n">
        <v>6301134</v>
      </c>
      <c r="T276" s="48" t="n">
        <v>7912553</v>
      </c>
      <c r="U276" s="46" t="n">
        <f aca="false">IF($A276=$A275,$U275+1,1)</f>
        <v>12</v>
      </c>
      <c r="V276" s="48" t="str">
        <f aca="false">IF($U276&gt;=MA_SHORT,AVERAGE(INDEX($I$5:$I276,273-MA_SHORT):$I276),"")</f>
        <v/>
      </c>
      <c r="W276" s="48" t="str">
        <f aca="false">IF($U276&gt;=MA_MED,AVERAGE(INDEX($I$5:$I276,273-MA_MED):$I276),"")</f>
        <v/>
      </c>
      <c r="X276" s="48" t="str">
        <f aca="false">IF($U276&gt;=MA_LONG1,AVERAGE(INDEX($I$5:$I276,273-MA_LONG1):$I276),"")</f>
        <v/>
      </c>
      <c r="Y276" s="48" t="str">
        <f aca="false">IF($U276&gt;=MA_LONG2,AVERAGE(INDEX($I$5:$I276,273-MA_LONG2):$I276),"")</f>
        <v/>
      </c>
      <c r="Z276" s="48" t="str">
        <f aca="false">IF($U276&gt;=MA_SHORT,AVERAGE(INDEX($L$156:$L276,122-MA_SHORT):$L276),"")</f>
        <v/>
      </c>
      <c r="AA276" s="48" t="n">
        <f aca="false">IF($U276=1,$G276-$H276,MAX($G276-$H276,ABS($G276-$I275),ABS($H276-$I275)))</f>
        <v>77</v>
      </c>
      <c r="AB276" s="48" t="str">
        <f aca="false">IF($U276&gt;=ATR_PER,AVERAGE(INDEX($AA$156:$AA276,122-ATR_PER):$AA276),"")</f>
        <v/>
      </c>
      <c r="AC276" s="48" t="n">
        <f aca="false">$O276-$P276</f>
        <v>1611419</v>
      </c>
      <c r="AD276" s="48" t="n">
        <f aca="false">$AC276*$I276</f>
        <v>10938312172</v>
      </c>
      <c r="AE276" s="49" t="n">
        <f aca="false">IF($Q276&gt;0,$O276*$I276/$Q276/1000000,"")</f>
        <v>344.836643283951</v>
      </c>
      <c r="AF276" s="49" t="n">
        <f aca="false">IF($R276&gt;0,$P276*$I276/$R276/1000000,"")</f>
        <v>277.316197777778</v>
      </c>
      <c r="AG276" s="50" t="n">
        <f aca="false">IF(AND(ISNUMBER($AE276),ISNUMBER($AF276),$AF276&gt;0),$AE276/$AF276,"")</f>
        <v>1.24347818860649</v>
      </c>
      <c r="AH276" s="48" t="n">
        <f aca="false">IF($U276&gt;=5,SUM(INDEX($AD$246:$AD276,32-5):$AD276),"")</f>
        <v>24587217476</v>
      </c>
      <c r="AI276" s="48" t="str">
        <f aca="false">IF($U276&gt;=STRUCT_S,MAX(INDEX($G$126:$G276,152-STRUCT_S):$G276),"")</f>
        <v/>
      </c>
      <c r="AJ276" s="48" t="str">
        <f aca="false">IF($U276&gt;=STRUCT_S,MIN(INDEX($H$126:$H276,152-STRUCT_S):$H276),"")</f>
        <v/>
      </c>
      <c r="AK276" s="48" t="str">
        <f aca="false">IF($U276&gt;=STRUCT_L,MAX(INDEX($G$26:$G276,252-STRUCT_L):$G276),"")</f>
        <v/>
      </c>
      <c r="AL276" s="48" t="str">
        <f aca="false">IF($U276&gt;=STRUCT_L,MIN(INDEX($H$26:$H276,252-STRUCT_L):$H276),"")</f>
        <v/>
      </c>
      <c r="AM276" s="46" t="n">
        <f aca="false">IF($A276&lt;&gt;$A277,1,0)</f>
        <v>0</v>
      </c>
      <c r="AN276" s="47" t="str">
        <f aca="false">IF($AM276=1,$A276,"")</f>
        <v/>
      </c>
    </row>
    <row r="277" customFormat="false" ht="15" hidden="false" customHeight="false" outlineLevel="0" collapsed="false">
      <c r="A277" s="43" t="s">
        <v>138</v>
      </c>
      <c r="B277" s="44" t="s">
        <v>140</v>
      </c>
      <c r="C277" s="45" t="n">
        <v>45922</v>
      </c>
      <c r="D277" s="46" t="n">
        <v>20250922</v>
      </c>
      <c r="E277" s="47" t="s">
        <v>300</v>
      </c>
      <c r="F277" s="48" t="n">
        <v>6925</v>
      </c>
      <c r="G277" s="48" t="n">
        <v>7010</v>
      </c>
      <c r="H277" s="48" t="n">
        <v>6724</v>
      </c>
      <c r="I277" s="48" t="n">
        <v>6945</v>
      </c>
      <c r="J277" s="48" t="n">
        <v>6790</v>
      </c>
      <c r="K277" s="48" t="n">
        <v>6788</v>
      </c>
      <c r="L277" s="48" t="n">
        <v>18118673</v>
      </c>
      <c r="M277" s="48" t="n">
        <v>125834183985</v>
      </c>
      <c r="N277" s="48" t="n">
        <v>1084</v>
      </c>
      <c r="O277" s="48" t="n">
        <v>10862394</v>
      </c>
      <c r="P277" s="48" t="n">
        <v>7307198</v>
      </c>
      <c r="Q277" s="48" t="n">
        <v>319</v>
      </c>
      <c r="R277" s="48" t="n">
        <v>722</v>
      </c>
      <c r="S277" s="48" t="n">
        <v>7256279</v>
      </c>
      <c r="T277" s="48" t="n">
        <v>10811475</v>
      </c>
      <c r="U277" s="46" t="n">
        <f aca="false">IF($A277=$A276,$U276+1,1)</f>
        <v>13</v>
      </c>
      <c r="V277" s="48" t="str">
        <f aca="false">IF($U277&gt;=MA_SHORT,AVERAGE(INDEX($I$5:$I277,274-MA_SHORT):$I277),"")</f>
        <v/>
      </c>
      <c r="W277" s="48" t="str">
        <f aca="false">IF($U277&gt;=MA_MED,AVERAGE(INDEX($I$5:$I277,274-MA_MED):$I277),"")</f>
        <v/>
      </c>
      <c r="X277" s="48" t="str">
        <f aca="false">IF($U277&gt;=MA_LONG1,AVERAGE(INDEX($I$5:$I277,274-MA_LONG1):$I277),"")</f>
        <v/>
      </c>
      <c r="Y277" s="48" t="str">
        <f aca="false">IF($U277&gt;=MA_LONG2,AVERAGE(INDEX($I$5:$I277,274-MA_LONG2):$I277),"")</f>
        <v/>
      </c>
      <c r="Z277" s="48" t="str">
        <f aca="false">IF($U277&gt;=MA_SHORT,AVERAGE(INDEX($L$157:$L277,122-MA_SHORT):$L277),"")</f>
        <v/>
      </c>
      <c r="AA277" s="48" t="n">
        <f aca="false">IF($U277=1,$G277-$H277,MAX($G277-$H277,ABS($G277-$I276),ABS($H277-$I276)))</f>
        <v>286</v>
      </c>
      <c r="AB277" s="48" t="str">
        <f aca="false">IF($U277&gt;=ATR_PER,AVERAGE(INDEX($AA$157:$AA277,122-ATR_PER):$AA277),"")</f>
        <v/>
      </c>
      <c r="AC277" s="48" t="n">
        <f aca="false">$O277-$P277</f>
        <v>3555196</v>
      </c>
      <c r="AD277" s="48" t="n">
        <f aca="false">$AC277*$I277</f>
        <v>24690836220</v>
      </c>
      <c r="AE277" s="49" t="n">
        <f aca="false">IF($Q277&gt;0,$O277*$I277/$Q277/1000000,"")</f>
        <v>236.486916394984</v>
      </c>
      <c r="AF277" s="49" t="n">
        <f aca="false">IF($R277&gt;0,$P277*$I277/$R277/1000000,"")</f>
        <v>70.288767465374</v>
      </c>
      <c r="AG277" s="50" t="n">
        <f aca="false">IF(AND(ISNUMBER($AE277),ISNUMBER($AF277),$AF277&gt;0),$AE277/$AF277,"")</f>
        <v>3.36450509694147</v>
      </c>
      <c r="AH277" s="48" t="n">
        <f aca="false">IF($U277&gt;=5,SUM(INDEX($AD$247:$AD277,32-5):$AD277),"")</f>
        <v>51064525999</v>
      </c>
      <c r="AI277" s="48" t="str">
        <f aca="false">IF($U277&gt;=STRUCT_S,MAX(INDEX($G$127:$G277,152-STRUCT_S):$G277),"")</f>
        <v/>
      </c>
      <c r="AJ277" s="48" t="str">
        <f aca="false">IF($U277&gt;=STRUCT_S,MIN(INDEX($H$127:$H277,152-STRUCT_S):$H277),"")</f>
        <v/>
      </c>
      <c r="AK277" s="48" t="str">
        <f aca="false">IF($U277&gt;=STRUCT_L,MAX(INDEX($G$27:$G277,252-STRUCT_L):$G277),"")</f>
        <v/>
      </c>
      <c r="AL277" s="48" t="str">
        <f aca="false">IF($U277&gt;=STRUCT_L,MIN(INDEX($H$27:$H277,252-STRUCT_L):$H277),"")</f>
        <v/>
      </c>
      <c r="AM277" s="46" t="n">
        <f aca="false">IF($A277&lt;&gt;$A278,1,0)</f>
        <v>0</v>
      </c>
      <c r="AN277" s="47" t="str">
        <f aca="false">IF($AM277=1,$A277,"")</f>
        <v/>
      </c>
    </row>
    <row r="278" customFormat="false" ht="15" hidden="false" customHeight="false" outlineLevel="0" collapsed="false">
      <c r="A278" s="43" t="s">
        <v>138</v>
      </c>
      <c r="B278" s="44" t="s">
        <v>140</v>
      </c>
      <c r="C278" s="45" t="n">
        <v>45923</v>
      </c>
      <c r="D278" s="46" t="n">
        <v>20250923</v>
      </c>
      <c r="E278" s="47" t="s">
        <v>301</v>
      </c>
      <c r="F278" s="48" t="n">
        <v>6937</v>
      </c>
      <c r="G278" s="48" t="n">
        <v>7068</v>
      </c>
      <c r="H278" s="48" t="n">
        <v>6728</v>
      </c>
      <c r="I278" s="48" t="n">
        <v>6849</v>
      </c>
      <c r="J278" s="48" t="n">
        <v>7066</v>
      </c>
      <c r="K278" s="48" t="n">
        <v>6945</v>
      </c>
      <c r="L278" s="48" t="n">
        <v>17693505</v>
      </c>
      <c r="M278" s="48" t="n">
        <v>121182815745</v>
      </c>
      <c r="N278" s="48" t="n">
        <v>561</v>
      </c>
      <c r="O278" s="48" t="n">
        <v>7631532</v>
      </c>
      <c r="P278" s="48" t="n">
        <v>9974572</v>
      </c>
      <c r="Q278" s="48" t="n">
        <v>210</v>
      </c>
      <c r="R278" s="48" t="n">
        <v>243</v>
      </c>
      <c r="S278" s="48" t="n">
        <v>10061973</v>
      </c>
      <c r="T278" s="48" t="n">
        <v>7718933</v>
      </c>
      <c r="U278" s="46" t="n">
        <f aca="false">IF($A278=$A277,$U277+1,1)</f>
        <v>14</v>
      </c>
      <c r="V278" s="48" t="str">
        <f aca="false">IF($U278&gt;=MA_SHORT,AVERAGE(INDEX($I$5:$I278,275-MA_SHORT):$I278),"")</f>
        <v/>
      </c>
      <c r="W278" s="48" t="str">
        <f aca="false">IF($U278&gt;=MA_MED,AVERAGE(INDEX($I$5:$I278,275-MA_MED):$I278),"")</f>
        <v/>
      </c>
      <c r="X278" s="48" t="str">
        <f aca="false">IF($U278&gt;=MA_LONG1,AVERAGE(INDEX($I$5:$I278,275-MA_LONG1):$I278),"")</f>
        <v/>
      </c>
      <c r="Y278" s="48" t="str">
        <f aca="false">IF($U278&gt;=MA_LONG2,AVERAGE(INDEX($I$5:$I278,275-MA_LONG2):$I278),"")</f>
        <v/>
      </c>
      <c r="Z278" s="48" t="str">
        <f aca="false">IF($U278&gt;=MA_SHORT,AVERAGE(INDEX($L$158:$L278,122-MA_SHORT):$L278),"")</f>
        <v/>
      </c>
      <c r="AA278" s="48" t="n">
        <f aca="false">IF($U278=1,$G278-$H278,MAX($G278-$H278,ABS($G278-$I277),ABS($H278-$I277)))</f>
        <v>340</v>
      </c>
      <c r="AB278" s="48" t="n">
        <f aca="false">IF($U278&gt;=ATR_PER,AVERAGE(INDEX($AA$158:$AA278,122-ATR_PER):$AA278),"")</f>
        <v>241.714285714286</v>
      </c>
      <c r="AC278" s="48" t="n">
        <f aca="false">$O278-$P278</f>
        <v>-2343040</v>
      </c>
      <c r="AD278" s="48" t="n">
        <f aca="false">$AC278*$I278</f>
        <v>-16047480960</v>
      </c>
      <c r="AE278" s="49" t="n">
        <f aca="false">IF($Q278&gt;0,$O278*$I278/$Q278/1000000,"")</f>
        <v>248.896965085714</v>
      </c>
      <c r="AF278" s="49" t="n">
        <f aca="false">IF($R278&gt;0,$P278*$I278/$R278/1000000,"")</f>
        <v>281.135158962963</v>
      </c>
      <c r="AG278" s="50" t="n">
        <f aca="false">IF(AND(ISNUMBER($AE278),ISNUMBER($AF278),$AF278&gt;0),$AE278/$AF278,"")</f>
        <v>0.885328487563892</v>
      </c>
      <c r="AH278" s="48" t="n">
        <f aca="false">IF($U278&gt;=5,SUM(INDEX($AD$248:$AD278,32-5):$AD278),"")</f>
        <v>28495252684</v>
      </c>
      <c r="AI278" s="48" t="str">
        <f aca="false">IF($U278&gt;=STRUCT_S,MAX(INDEX($G$128:$G278,152-STRUCT_S):$G278),"")</f>
        <v/>
      </c>
      <c r="AJ278" s="48" t="str">
        <f aca="false">IF($U278&gt;=STRUCT_S,MIN(INDEX($H$128:$H278,152-STRUCT_S):$H278),"")</f>
        <v/>
      </c>
      <c r="AK278" s="48" t="str">
        <f aca="false">IF($U278&gt;=STRUCT_L,MAX(INDEX($G$28:$G278,252-STRUCT_L):$G278),"")</f>
        <v/>
      </c>
      <c r="AL278" s="48" t="str">
        <f aca="false">IF($U278&gt;=STRUCT_L,MIN(INDEX($H$28:$H278,252-STRUCT_L):$H278),"")</f>
        <v/>
      </c>
      <c r="AM278" s="46" t="n">
        <f aca="false">IF($A278&lt;&gt;$A279,1,0)</f>
        <v>0</v>
      </c>
      <c r="AN278" s="47" t="str">
        <f aca="false">IF($AM278=1,$A278,"")</f>
        <v/>
      </c>
    </row>
    <row r="279" customFormat="false" ht="15" hidden="false" customHeight="false" outlineLevel="0" collapsed="false">
      <c r="A279" s="43" t="s">
        <v>138</v>
      </c>
      <c r="B279" s="44" t="s">
        <v>140</v>
      </c>
      <c r="C279" s="45" t="n">
        <v>45924</v>
      </c>
      <c r="D279" s="46" t="n">
        <v>20250924</v>
      </c>
      <c r="E279" s="47" t="s">
        <v>302</v>
      </c>
      <c r="F279" s="48" t="n">
        <v>6997</v>
      </c>
      <c r="G279" s="48" t="n">
        <v>7059</v>
      </c>
      <c r="H279" s="48" t="n">
        <v>6643</v>
      </c>
      <c r="I279" s="48" t="n">
        <v>6853</v>
      </c>
      <c r="J279" s="48" t="n">
        <v>6834</v>
      </c>
      <c r="K279" s="48" t="n">
        <v>6849</v>
      </c>
      <c r="L279" s="48" t="n">
        <v>15063067</v>
      </c>
      <c r="M279" s="48" t="n">
        <v>103227198151</v>
      </c>
      <c r="N279" s="48" t="n">
        <v>1171</v>
      </c>
      <c r="O279" s="48" t="n">
        <v>8048972</v>
      </c>
      <c r="P279" s="48" t="n">
        <v>6608809</v>
      </c>
      <c r="Q279" s="48" t="n">
        <v>421</v>
      </c>
      <c r="R279" s="48" t="n">
        <v>630</v>
      </c>
      <c r="S279" s="48" t="n">
        <v>7014095</v>
      </c>
      <c r="T279" s="48" t="n">
        <v>8454258</v>
      </c>
      <c r="U279" s="46" t="n">
        <f aca="false">IF($A279=$A278,$U278+1,1)</f>
        <v>15</v>
      </c>
      <c r="V279" s="48" t="str">
        <f aca="false">IF($U279&gt;=MA_SHORT,AVERAGE(INDEX($I$5:$I279,276-MA_SHORT):$I279),"")</f>
        <v/>
      </c>
      <c r="W279" s="48" t="str">
        <f aca="false">IF($U279&gt;=MA_MED,AVERAGE(INDEX($I$5:$I279,276-MA_MED):$I279),"")</f>
        <v/>
      </c>
      <c r="X279" s="48" t="str">
        <f aca="false">IF($U279&gt;=MA_LONG1,AVERAGE(INDEX($I$5:$I279,276-MA_LONG1):$I279),"")</f>
        <v/>
      </c>
      <c r="Y279" s="48" t="str">
        <f aca="false">IF($U279&gt;=MA_LONG2,AVERAGE(INDEX($I$5:$I279,276-MA_LONG2):$I279),"")</f>
        <v/>
      </c>
      <c r="Z279" s="48" t="str">
        <f aca="false">IF($U279&gt;=MA_SHORT,AVERAGE(INDEX($L$159:$L279,122-MA_SHORT):$L279),"")</f>
        <v/>
      </c>
      <c r="AA279" s="48" t="n">
        <f aca="false">IF($U279=1,$G279-$H279,MAX($G279-$H279,ABS($G279-$I278),ABS($H279-$I278)))</f>
        <v>416</v>
      </c>
      <c r="AB279" s="48" t="n">
        <f aca="false">IF($U279&gt;=ATR_PER,AVERAGE(INDEX($AA$159:$AA279,122-ATR_PER):$AA279),"")</f>
        <v>263.642857142857</v>
      </c>
      <c r="AC279" s="48" t="n">
        <f aca="false">$O279-$P279</f>
        <v>1440163</v>
      </c>
      <c r="AD279" s="48" t="n">
        <f aca="false">$AC279*$I279</f>
        <v>9869437039</v>
      </c>
      <c r="AE279" s="49" t="n">
        <f aca="false">IF($Q279&gt;0,$O279*$I279/$Q279/1000000,"")</f>
        <v>131.020439705463</v>
      </c>
      <c r="AF279" s="49" t="n">
        <f aca="false">IF($R279&gt;0,$P279*$I279/$R279/1000000,"")</f>
        <v>71.8891556777778</v>
      </c>
      <c r="AG279" s="50" t="n">
        <f aca="false">IF(AND(ISNUMBER($AE279),ISNUMBER($AF279),$AF279&gt;0),$AE279/$AF279,"")</f>
        <v>1.82253412869007</v>
      </c>
      <c r="AH279" s="48" t="n">
        <f aca="false">IF($U279&gt;=5,SUM(INDEX($AD$249:$AD279,32-5):$AD279),"")</f>
        <v>48862589597</v>
      </c>
      <c r="AI279" s="48" t="str">
        <f aca="false">IF($U279&gt;=STRUCT_S,MAX(INDEX($G$129:$G279,152-STRUCT_S):$G279),"")</f>
        <v/>
      </c>
      <c r="AJ279" s="48" t="str">
        <f aca="false">IF($U279&gt;=STRUCT_S,MIN(INDEX($H$129:$H279,152-STRUCT_S):$H279),"")</f>
        <v/>
      </c>
      <c r="AK279" s="48" t="str">
        <f aca="false">IF($U279&gt;=STRUCT_L,MAX(INDEX($G$29:$G279,252-STRUCT_L):$G279),"")</f>
        <v/>
      </c>
      <c r="AL279" s="48" t="str">
        <f aca="false">IF($U279&gt;=STRUCT_L,MIN(INDEX($H$29:$H279,252-STRUCT_L):$H279),"")</f>
        <v/>
      </c>
      <c r="AM279" s="46" t="n">
        <f aca="false">IF($A279&lt;&gt;$A280,1,0)</f>
        <v>0</v>
      </c>
      <c r="AN279" s="47" t="str">
        <f aca="false">IF($AM279=1,$A279,"")</f>
        <v/>
      </c>
    </row>
    <row r="280" customFormat="false" ht="15" hidden="false" customHeight="false" outlineLevel="0" collapsed="false">
      <c r="A280" s="43" t="s">
        <v>138</v>
      </c>
      <c r="B280" s="44" t="s">
        <v>140</v>
      </c>
      <c r="C280" s="45" t="n">
        <v>45927</v>
      </c>
      <c r="D280" s="46" t="n">
        <v>20250927</v>
      </c>
      <c r="E280" s="47" t="s">
        <v>303</v>
      </c>
      <c r="F280" s="48" t="n">
        <v>6806</v>
      </c>
      <c r="G280" s="48" t="n">
        <v>6983</v>
      </c>
      <c r="H280" s="48" t="n">
        <v>6787</v>
      </c>
      <c r="I280" s="48" t="n">
        <v>6917</v>
      </c>
      <c r="J280" s="48" t="n">
        <v>6848</v>
      </c>
      <c r="K280" s="48" t="n">
        <v>6853</v>
      </c>
      <c r="L280" s="48" t="n">
        <v>21720973</v>
      </c>
      <c r="M280" s="48" t="n">
        <v>150243970241</v>
      </c>
      <c r="N280" s="48" t="n">
        <v>525</v>
      </c>
      <c r="O280" s="48" t="n">
        <v>12704841</v>
      </c>
      <c r="P280" s="48" t="n">
        <v>7891665</v>
      </c>
      <c r="Q280" s="48" t="n">
        <v>228</v>
      </c>
      <c r="R280" s="48" t="n">
        <v>302</v>
      </c>
      <c r="S280" s="48" t="n">
        <v>9016132</v>
      </c>
      <c r="T280" s="48" t="n">
        <v>13829308</v>
      </c>
      <c r="U280" s="46" t="n">
        <f aca="false">IF($A280=$A279,$U279+1,1)</f>
        <v>16</v>
      </c>
      <c r="V280" s="48" t="str">
        <f aca="false">IF($U280&gt;=MA_SHORT,AVERAGE(INDEX($I$5:$I280,277-MA_SHORT):$I280),"")</f>
        <v/>
      </c>
      <c r="W280" s="48" t="str">
        <f aca="false">IF($U280&gt;=MA_MED,AVERAGE(INDEX($I$5:$I280,277-MA_MED):$I280),"")</f>
        <v/>
      </c>
      <c r="X280" s="48" t="str">
        <f aca="false">IF($U280&gt;=MA_LONG1,AVERAGE(INDEX($I$5:$I280,277-MA_LONG1):$I280),"")</f>
        <v/>
      </c>
      <c r="Y280" s="48" t="str">
        <f aca="false">IF($U280&gt;=MA_LONG2,AVERAGE(INDEX($I$5:$I280,277-MA_LONG2):$I280),"")</f>
        <v/>
      </c>
      <c r="Z280" s="48" t="str">
        <f aca="false">IF($U280&gt;=MA_SHORT,AVERAGE(INDEX($L$160:$L280,122-MA_SHORT):$L280),"")</f>
        <v/>
      </c>
      <c r="AA280" s="48" t="n">
        <f aca="false">IF($U280=1,$G280-$H280,MAX($G280-$H280,ABS($G280-$I279),ABS($H280-$I279)))</f>
        <v>196</v>
      </c>
      <c r="AB280" s="48" t="n">
        <f aca="false">IF($U280&gt;=ATR_PER,AVERAGE(INDEX($AA$160:$AA280,122-ATR_PER):$AA280),"")</f>
        <v>243.714285714286</v>
      </c>
      <c r="AC280" s="48" t="n">
        <f aca="false">$O280-$P280</f>
        <v>4813176</v>
      </c>
      <c r="AD280" s="48" t="n">
        <f aca="false">$AC280*$I280</f>
        <v>33292738392</v>
      </c>
      <c r="AE280" s="49" t="n">
        <f aca="false">IF($Q280&gt;0,$O280*$I280/$Q280/1000000,"")</f>
        <v>385.435899986842</v>
      </c>
      <c r="AF280" s="49" t="n">
        <f aca="false">IF($R280&gt;0,$P280*$I280/$R280/1000000,"")</f>
        <v>180.750486109272</v>
      </c>
      <c r="AG280" s="50" t="n">
        <f aca="false">IF(AND(ISNUMBER($AE280),ISNUMBER($AF280),$AF280&gt;0),$AE280/$AF280,"")</f>
        <v>2.13241971451092</v>
      </c>
      <c r="AH280" s="48" t="n">
        <f aca="false">IF($U280&gt;=5,SUM(INDEX($AD$250:$AD280,32-5):$AD280),"")</f>
        <v>62743842863</v>
      </c>
      <c r="AI280" s="48" t="str">
        <f aca="false">IF($U280&gt;=STRUCT_S,MAX(INDEX($G$130:$G280,152-STRUCT_S):$G280),"")</f>
        <v/>
      </c>
      <c r="AJ280" s="48" t="str">
        <f aca="false">IF($U280&gt;=STRUCT_S,MIN(INDEX($H$130:$H280,152-STRUCT_S):$H280),"")</f>
        <v/>
      </c>
      <c r="AK280" s="48" t="str">
        <f aca="false">IF($U280&gt;=STRUCT_L,MAX(INDEX($G$30:$G280,252-STRUCT_L):$G280),"")</f>
        <v/>
      </c>
      <c r="AL280" s="48" t="str">
        <f aca="false">IF($U280&gt;=STRUCT_L,MIN(INDEX($H$30:$H280,252-STRUCT_L):$H280),"")</f>
        <v/>
      </c>
      <c r="AM280" s="46" t="n">
        <f aca="false">IF($A280&lt;&gt;$A281,1,0)</f>
        <v>0</v>
      </c>
      <c r="AN280" s="47" t="str">
        <f aca="false">IF($AM280=1,$A280,"")</f>
        <v/>
      </c>
    </row>
    <row r="281" customFormat="false" ht="15" hidden="false" customHeight="false" outlineLevel="0" collapsed="false">
      <c r="A281" s="43" t="s">
        <v>138</v>
      </c>
      <c r="B281" s="44" t="s">
        <v>140</v>
      </c>
      <c r="C281" s="45" t="n">
        <v>45928</v>
      </c>
      <c r="D281" s="46" t="n">
        <v>20250928</v>
      </c>
      <c r="E281" s="47" t="s">
        <v>304</v>
      </c>
      <c r="F281" s="48" t="n">
        <v>7097</v>
      </c>
      <c r="G281" s="48" t="n">
        <v>7127</v>
      </c>
      <c r="H281" s="48" t="n">
        <v>6891</v>
      </c>
      <c r="I281" s="48" t="n">
        <v>7101</v>
      </c>
      <c r="J281" s="48" t="n">
        <v>6987</v>
      </c>
      <c r="K281" s="48" t="n">
        <v>6917</v>
      </c>
      <c r="L281" s="48" t="n">
        <v>16835227</v>
      </c>
      <c r="M281" s="48" t="n">
        <v>119546946927</v>
      </c>
      <c r="N281" s="48" t="n">
        <v>1322</v>
      </c>
      <c r="O281" s="48" t="n">
        <v>11031930</v>
      </c>
      <c r="P281" s="48" t="n">
        <v>5633870</v>
      </c>
      <c r="Q281" s="48" t="n">
        <v>564</v>
      </c>
      <c r="R281" s="48" t="n">
        <v>572</v>
      </c>
      <c r="S281" s="48" t="n">
        <v>5803297</v>
      </c>
      <c r="T281" s="48" t="n">
        <v>11201357</v>
      </c>
      <c r="U281" s="46" t="n">
        <f aca="false">IF($A281=$A280,$U280+1,1)</f>
        <v>17</v>
      </c>
      <c r="V281" s="48" t="str">
        <f aca="false">IF($U281&gt;=MA_SHORT,AVERAGE(INDEX($I$5:$I281,278-MA_SHORT):$I281),"")</f>
        <v/>
      </c>
      <c r="W281" s="48" t="str">
        <f aca="false">IF($U281&gt;=MA_MED,AVERAGE(INDEX($I$5:$I281,278-MA_MED):$I281),"")</f>
        <v/>
      </c>
      <c r="X281" s="48" t="str">
        <f aca="false">IF($U281&gt;=MA_LONG1,AVERAGE(INDEX($I$5:$I281,278-MA_LONG1):$I281),"")</f>
        <v/>
      </c>
      <c r="Y281" s="48" t="str">
        <f aca="false">IF($U281&gt;=MA_LONG2,AVERAGE(INDEX($I$5:$I281,278-MA_LONG2):$I281),"")</f>
        <v/>
      </c>
      <c r="Z281" s="48" t="str">
        <f aca="false">IF($U281&gt;=MA_SHORT,AVERAGE(INDEX($L$161:$L281,122-MA_SHORT):$L281),"")</f>
        <v/>
      </c>
      <c r="AA281" s="48" t="n">
        <f aca="false">IF($U281=1,$G281-$H281,MAX($G281-$H281,ABS($G281-$I280),ABS($H281-$I280)))</f>
        <v>236</v>
      </c>
      <c r="AB281" s="48" t="n">
        <f aca="false">IF($U281&gt;=ATR_PER,AVERAGE(INDEX($AA$161:$AA281,122-ATR_PER):$AA281),"")</f>
        <v>237.5</v>
      </c>
      <c r="AC281" s="48" t="n">
        <f aca="false">$O281-$P281</f>
        <v>5398060</v>
      </c>
      <c r="AD281" s="48" t="n">
        <f aca="false">$AC281*$I281</f>
        <v>38331624060</v>
      </c>
      <c r="AE281" s="49" t="n">
        <f aca="false">IF($Q281&gt;0,$O281*$I281/$Q281/1000000,"")</f>
        <v>138.896693138298</v>
      </c>
      <c r="AF281" s="49" t="n">
        <f aca="false">IF($R281&gt;0,$P281*$I281/$R281/1000000,"")</f>
        <v>69.9407532692308</v>
      </c>
      <c r="AG281" s="50" t="n">
        <f aca="false">IF(AND(ISNUMBER($AE281),ISNUMBER($AF281),$AF281&gt;0),$AE281/$AF281,"")</f>
        <v>1.98591931950786</v>
      </c>
      <c r="AH281" s="48" t="n">
        <f aca="false">IF($U281&gt;=5,SUM(INDEX($AD$251:$AD281,32-5):$AD281),"")</f>
        <v>90137154751</v>
      </c>
      <c r="AI281" s="48" t="str">
        <f aca="false">IF($U281&gt;=STRUCT_S,MAX(INDEX($G$131:$G281,152-STRUCT_S):$G281),"")</f>
        <v/>
      </c>
      <c r="AJ281" s="48" t="str">
        <f aca="false">IF($U281&gt;=STRUCT_S,MIN(INDEX($H$131:$H281,152-STRUCT_S):$H281),"")</f>
        <v/>
      </c>
      <c r="AK281" s="48" t="str">
        <f aca="false">IF($U281&gt;=STRUCT_L,MAX(INDEX($G$31:$G281,252-STRUCT_L):$G281),"")</f>
        <v/>
      </c>
      <c r="AL281" s="48" t="str">
        <f aca="false">IF($U281&gt;=STRUCT_L,MIN(INDEX($H$31:$H281,252-STRUCT_L):$H281),"")</f>
        <v/>
      </c>
      <c r="AM281" s="46" t="n">
        <f aca="false">IF($A281&lt;&gt;$A282,1,0)</f>
        <v>0</v>
      </c>
      <c r="AN281" s="47" t="str">
        <f aca="false">IF($AM281=1,$A281,"")</f>
        <v/>
      </c>
    </row>
    <row r="282" customFormat="false" ht="15" hidden="false" customHeight="false" outlineLevel="0" collapsed="false">
      <c r="A282" s="43" t="s">
        <v>138</v>
      </c>
      <c r="B282" s="44" t="s">
        <v>140</v>
      </c>
      <c r="C282" s="45" t="n">
        <v>45929</v>
      </c>
      <c r="D282" s="46" t="n">
        <v>20250929</v>
      </c>
      <c r="E282" s="47" t="s">
        <v>305</v>
      </c>
      <c r="F282" s="48" t="n">
        <v>7151</v>
      </c>
      <c r="G282" s="48" t="n">
        <v>7230</v>
      </c>
      <c r="H282" s="48" t="n">
        <v>6808</v>
      </c>
      <c r="I282" s="48" t="n">
        <v>6934</v>
      </c>
      <c r="J282" s="48" t="n">
        <v>6850</v>
      </c>
      <c r="K282" s="48" t="n">
        <v>7101</v>
      </c>
      <c r="L282" s="48" t="n">
        <v>16566645</v>
      </c>
      <c r="M282" s="48" t="n">
        <v>114873116430</v>
      </c>
      <c r="N282" s="48" t="n">
        <v>408</v>
      </c>
      <c r="O282" s="48" t="n">
        <v>7614714</v>
      </c>
      <c r="P282" s="48" t="n">
        <v>9241779</v>
      </c>
      <c r="Q282" s="48" t="n">
        <v>209</v>
      </c>
      <c r="R282" s="48" t="n">
        <v>160</v>
      </c>
      <c r="S282" s="48" t="n">
        <v>8951931</v>
      </c>
      <c r="T282" s="48" t="n">
        <v>7324866</v>
      </c>
      <c r="U282" s="46" t="n">
        <f aca="false">IF($A282=$A281,$U281+1,1)</f>
        <v>18</v>
      </c>
      <c r="V282" s="48" t="str">
        <f aca="false">IF($U282&gt;=MA_SHORT,AVERAGE(INDEX($I$5:$I282,279-MA_SHORT):$I282),"")</f>
        <v/>
      </c>
      <c r="W282" s="48" t="str">
        <f aca="false">IF($U282&gt;=MA_MED,AVERAGE(INDEX($I$5:$I282,279-MA_MED):$I282),"")</f>
        <v/>
      </c>
      <c r="X282" s="48" t="str">
        <f aca="false">IF($U282&gt;=MA_LONG1,AVERAGE(INDEX($I$5:$I282,279-MA_LONG1):$I282),"")</f>
        <v/>
      </c>
      <c r="Y282" s="48" t="str">
        <f aca="false">IF($U282&gt;=MA_LONG2,AVERAGE(INDEX($I$5:$I282,279-MA_LONG2):$I282),"")</f>
        <v/>
      </c>
      <c r="Z282" s="48" t="str">
        <f aca="false">IF($U282&gt;=MA_SHORT,AVERAGE(INDEX($L$162:$L282,122-MA_SHORT):$L282),"")</f>
        <v/>
      </c>
      <c r="AA282" s="48" t="n">
        <f aca="false">IF($U282=1,$G282-$H282,MAX($G282-$H282,ABS($G282-$I281),ABS($H282-$I281)))</f>
        <v>422</v>
      </c>
      <c r="AB282" s="48" t="n">
        <f aca="false">IF($U282&gt;=ATR_PER,AVERAGE(INDEX($AA$162:$AA282,122-ATR_PER):$AA282),"")</f>
        <v>256.285714285714</v>
      </c>
      <c r="AC282" s="48" t="n">
        <f aca="false">$O282-$P282</f>
        <v>-1627065</v>
      </c>
      <c r="AD282" s="48" t="n">
        <f aca="false">$AC282*$I282</f>
        <v>-11282068710</v>
      </c>
      <c r="AE282" s="49" t="n">
        <f aca="false">IF($Q282&gt;0,$O282*$I282/$Q282/1000000,"")</f>
        <v>252.633621416268</v>
      </c>
      <c r="AF282" s="49" t="n">
        <f aca="false">IF($R282&gt;0,$P282*$I282/$R282/1000000,"")</f>
        <v>400.5155974125</v>
      </c>
      <c r="AG282" s="50" t="n">
        <f aca="false">IF(AND(ISNUMBER($AE282),ISNUMBER($AF282),$AF282&gt;0),$AE282/$AF282,"")</f>
        <v>0.630770993809949</v>
      </c>
      <c r="AH282" s="48" t="n">
        <f aca="false">IF($U282&gt;=5,SUM(INDEX($AD$252:$AD282,32-5):$AD282),"")</f>
        <v>54164249821</v>
      </c>
      <c r="AI282" s="48" t="str">
        <f aca="false">IF($U282&gt;=STRUCT_S,MAX(INDEX($G$132:$G282,152-STRUCT_S):$G282),"")</f>
        <v/>
      </c>
      <c r="AJ282" s="48" t="str">
        <f aca="false">IF($U282&gt;=STRUCT_S,MIN(INDEX($H$132:$H282,152-STRUCT_S):$H282),"")</f>
        <v/>
      </c>
      <c r="AK282" s="48" t="str">
        <f aca="false">IF($U282&gt;=STRUCT_L,MAX(INDEX($G$32:$G282,252-STRUCT_L):$G282),"")</f>
        <v/>
      </c>
      <c r="AL282" s="48" t="str">
        <f aca="false">IF($U282&gt;=STRUCT_L,MIN(INDEX($H$32:$H282,252-STRUCT_L):$H282),"")</f>
        <v/>
      </c>
      <c r="AM282" s="46" t="n">
        <f aca="false">IF($A282&lt;&gt;$A283,1,0)</f>
        <v>0</v>
      </c>
      <c r="AN282" s="47" t="str">
        <f aca="false">IF($AM282=1,$A282,"")</f>
        <v/>
      </c>
    </row>
    <row r="283" customFormat="false" ht="15" hidden="false" customHeight="false" outlineLevel="0" collapsed="false">
      <c r="A283" s="43" t="s">
        <v>138</v>
      </c>
      <c r="B283" s="44" t="s">
        <v>140</v>
      </c>
      <c r="C283" s="45" t="n">
        <v>45930</v>
      </c>
      <c r="D283" s="46" t="n">
        <v>20250930</v>
      </c>
      <c r="E283" s="47" t="s">
        <v>306</v>
      </c>
      <c r="F283" s="48" t="n">
        <v>6942</v>
      </c>
      <c r="G283" s="48" t="n">
        <v>6973</v>
      </c>
      <c r="H283" s="48" t="n">
        <v>6863</v>
      </c>
      <c r="I283" s="48" t="n">
        <v>6902</v>
      </c>
      <c r="J283" s="48" t="n">
        <v>6921</v>
      </c>
      <c r="K283" s="48" t="n">
        <v>6934</v>
      </c>
      <c r="L283" s="48" t="n">
        <v>39054341</v>
      </c>
      <c r="M283" s="48" t="n">
        <v>269553061582</v>
      </c>
      <c r="N283" s="48" t="n">
        <v>1747</v>
      </c>
      <c r="O283" s="48" t="n">
        <v>21402143</v>
      </c>
      <c r="P283" s="48" t="n">
        <v>21041769</v>
      </c>
      <c r="Q283" s="48" t="n">
        <v>912</v>
      </c>
      <c r="R283" s="48" t="n">
        <v>666</v>
      </c>
      <c r="S283" s="48" t="n">
        <v>17652198</v>
      </c>
      <c r="T283" s="48" t="n">
        <v>18012572</v>
      </c>
      <c r="U283" s="46" t="n">
        <f aca="false">IF($A283=$A282,$U282+1,1)</f>
        <v>19</v>
      </c>
      <c r="V283" s="48" t="str">
        <f aca="false">IF($U283&gt;=MA_SHORT,AVERAGE(INDEX($I$5:$I283,280-MA_SHORT):$I283),"")</f>
        <v/>
      </c>
      <c r="W283" s="48" t="str">
        <f aca="false">IF($U283&gt;=MA_MED,AVERAGE(INDEX($I$5:$I283,280-MA_MED):$I283),"")</f>
        <v/>
      </c>
      <c r="X283" s="48" t="str">
        <f aca="false">IF($U283&gt;=MA_LONG1,AVERAGE(INDEX($I$5:$I283,280-MA_LONG1):$I283),"")</f>
        <v/>
      </c>
      <c r="Y283" s="48" t="str">
        <f aca="false">IF($U283&gt;=MA_LONG2,AVERAGE(INDEX($I$5:$I283,280-MA_LONG2):$I283),"")</f>
        <v/>
      </c>
      <c r="Z283" s="48" t="str">
        <f aca="false">IF($U283&gt;=MA_SHORT,AVERAGE(INDEX($L$163:$L283,122-MA_SHORT):$L283),"")</f>
        <v/>
      </c>
      <c r="AA283" s="48" t="n">
        <f aca="false">IF($U283=1,$G283-$H283,MAX($G283-$H283,ABS($G283-$I282),ABS($H283-$I282)))</f>
        <v>110</v>
      </c>
      <c r="AB283" s="48" t="n">
        <f aca="false">IF($U283&gt;=ATR_PER,AVERAGE(INDEX($AA$163:$AA283,122-ATR_PER):$AA283),"")</f>
        <v>256</v>
      </c>
      <c r="AC283" s="48" t="n">
        <f aca="false">$O283-$P283</f>
        <v>360374</v>
      </c>
      <c r="AD283" s="48" t="n">
        <f aca="false">$AC283*$I283</f>
        <v>2487301348</v>
      </c>
      <c r="AE283" s="49" t="n">
        <f aca="false">IF($Q283&gt;0,$O283*$I283/$Q283/1000000,"")</f>
        <v>161.971042747807</v>
      </c>
      <c r="AF283" s="49" t="n">
        <f aca="false">IF($R283&gt;0,$P283*$I283/$R283/1000000,"")</f>
        <v>218.063497954955</v>
      </c>
      <c r="AG283" s="50" t="n">
        <f aca="false">IF(AND(ISNUMBER($AE283),ISNUMBER($AF283),$AF283&gt;0),$AE283/$AF283,"")</f>
        <v>0.742770084249796</v>
      </c>
      <c r="AH283" s="48" t="n">
        <f aca="false">IF($U283&gt;=5,SUM(INDEX($AD$253:$AD283,32-5):$AD283),"")</f>
        <v>72699032129</v>
      </c>
      <c r="AI283" s="48" t="str">
        <f aca="false">IF($U283&gt;=STRUCT_S,MAX(INDEX($G$133:$G283,152-STRUCT_S):$G283),"")</f>
        <v/>
      </c>
      <c r="AJ283" s="48" t="str">
        <f aca="false">IF($U283&gt;=STRUCT_S,MIN(INDEX($H$133:$H283,152-STRUCT_S):$H283),"")</f>
        <v/>
      </c>
      <c r="AK283" s="48" t="str">
        <f aca="false">IF($U283&gt;=STRUCT_L,MAX(INDEX($G$33:$G283,252-STRUCT_L):$G283),"")</f>
        <v/>
      </c>
      <c r="AL283" s="48" t="str">
        <f aca="false">IF($U283&gt;=STRUCT_L,MIN(INDEX($H$33:$H283,252-STRUCT_L):$H283),"")</f>
        <v/>
      </c>
      <c r="AM283" s="46" t="n">
        <f aca="false">IF($A283&lt;&gt;$A284,1,0)</f>
        <v>0</v>
      </c>
      <c r="AN283" s="47" t="str">
        <f aca="false">IF($AM283=1,$A283,"")</f>
        <v/>
      </c>
    </row>
    <row r="284" customFormat="false" ht="15" hidden="false" customHeight="false" outlineLevel="0" collapsed="false">
      <c r="A284" s="43" t="s">
        <v>138</v>
      </c>
      <c r="B284" s="44" t="s">
        <v>140</v>
      </c>
      <c r="C284" s="45" t="n">
        <v>45931</v>
      </c>
      <c r="D284" s="46" t="n">
        <v>20251001</v>
      </c>
      <c r="E284" s="47" t="s">
        <v>307</v>
      </c>
      <c r="F284" s="48" t="n">
        <v>6941</v>
      </c>
      <c r="G284" s="48" t="n">
        <v>6973</v>
      </c>
      <c r="H284" s="48" t="n">
        <v>6807</v>
      </c>
      <c r="I284" s="48" t="n">
        <v>6878</v>
      </c>
      <c r="J284" s="48" t="n">
        <v>6963</v>
      </c>
      <c r="K284" s="48" t="n">
        <v>6902</v>
      </c>
      <c r="L284" s="48" t="n">
        <v>19513208</v>
      </c>
      <c r="M284" s="48" t="n">
        <v>134211844624</v>
      </c>
      <c r="N284" s="48" t="n">
        <v>560</v>
      </c>
      <c r="O284" s="48" t="n">
        <v>12083966</v>
      </c>
      <c r="P284" s="48" t="n">
        <v>8638893</v>
      </c>
      <c r="Q284" s="48" t="n">
        <v>330</v>
      </c>
      <c r="R284" s="48" t="n">
        <v>249</v>
      </c>
      <c r="S284" s="48" t="n">
        <v>7429242</v>
      </c>
      <c r="T284" s="48" t="n">
        <v>10874315</v>
      </c>
      <c r="U284" s="46" t="n">
        <f aca="false">IF($A284=$A283,$U283+1,1)</f>
        <v>20</v>
      </c>
      <c r="V284" s="48" t="n">
        <f aca="false">IF($U284&gt;=MA_SHORT,AVERAGE(INDEX($I$5:$I284,281-MA_SHORT):$I284),"")</f>
        <v>7029.25</v>
      </c>
      <c r="W284" s="48" t="str">
        <f aca="false">IF($U284&gt;=MA_MED,AVERAGE(INDEX($I$5:$I284,281-MA_MED):$I284),"")</f>
        <v/>
      </c>
      <c r="X284" s="48" t="str">
        <f aca="false">IF($U284&gt;=MA_LONG1,AVERAGE(INDEX($I$5:$I284,281-MA_LONG1):$I284),"")</f>
        <v/>
      </c>
      <c r="Y284" s="48" t="str">
        <f aca="false">IF($U284&gt;=MA_LONG2,AVERAGE(INDEX($I$5:$I284,281-MA_LONG2):$I284),"")</f>
        <v/>
      </c>
      <c r="Z284" s="48" t="n">
        <f aca="false">IF($U284&gt;=MA_SHORT,AVERAGE(INDEX($L$164:$L284,122-MA_SHORT):$L284),"")</f>
        <v>19999423</v>
      </c>
      <c r="AA284" s="48" t="n">
        <f aca="false">IF($U284=1,$G284-$H284,MAX($G284-$H284,ABS($G284-$I283),ABS($H284-$I283)))</f>
        <v>166</v>
      </c>
      <c r="AB284" s="48" t="n">
        <f aca="false">IF($U284&gt;=ATR_PER,AVERAGE(INDEX($AA$164:$AA284,122-ATR_PER):$AA284),"")</f>
        <v>258.714285714286</v>
      </c>
      <c r="AC284" s="48" t="n">
        <f aca="false">$O284-$P284</f>
        <v>3445073</v>
      </c>
      <c r="AD284" s="48" t="n">
        <f aca="false">$AC284*$I284</f>
        <v>23695212094</v>
      </c>
      <c r="AE284" s="49" t="n">
        <f aca="false">IF($Q284&gt;0,$O284*$I284/$Q284/1000000,"")</f>
        <v>251.85914590303</v>
      </c>
      <c r="AF284" s="49" t="n">
        <f aca="false">IF($R284&gt;0,$P284*$I284/$R284/1000000,"")</f>
        <v>238.627735156627</v>
      </c>
      <c r="AG284" s="50" t="n">
        <f aca="false">IF(AND(ISNUMBER($AE284),ISNUMBER($AF284),$AF284&gt;0),$AE284/$AF284,"")</f>
        <v>1.05544791655387</v>
      </c>
      <c r="AH284" s="48" t="n">
        <f aca="false">IF($U284&gt;=5,SUM(INDEX($AD$254:$AD284,32-5):$AD284),"")</f>
        <v>86524807184</v>
      </c>
      <c r="AI284" s="48" t="n">
        <f aca="false">IF($U284&gt;=STRUCT_S,MAX(INDEX($G$134:$G284,152-STRUCT_S):$G284),"")</f>
        <v>7700</v>
      </c>
      <c r="AJ284" s="48" t="n">
        <f aca="false">IF($U284&gt;=STRUCT_S,MIN(INDEX($H$134:$H284,152-STRUCT_S):$H284),"")</f>
        <v>6643</v>
      </c>
      <c r="AK284" s="48" t="str">
        <f aca="false">IF($U284&gt;=STRUCT_L,MAX(INDEX($G$34:$G284,252-STRUCT_L):$G284),"")</f>
        <v/>
      </c>
      <c r="AL284" s="48" t="str">
        <f aca="false">IF($U284&gt;=STRUCT_L,MIN(INDEX($H$34:$H284,252-STRUCT_L):$H284),"")</f>
        <v/>
      </c>
      <c r="AM284" s="46" t="n">
        <f aca="false">IF($A284&lt;&gt;$A285,1,0)</f>
        <v>0</v>
      </c>
      <c r="AN284" s="47" t="str">
        <f aca="false">IF($AM284=1,$A284,"")</f>
        <v/>
      </c>
    </row>
    <row r="285" customFormat="false" ht="15" hidden="false" customHeight="false" outlineLevel="0" collapsed="false">
      <c r="A285" s="43" t="s">
        <v>138</v>
      </c>
      <c r="B285" s="44" t="s">
        <v>140</v>
      </c>
      <c r="C285" s="45" t="n">
        <v>45934</v>
      </c>
      <c r="D285" s="46" t="n">
        <v>20251004</v>
      </c>
      <c r="E285" s="47" t="s">
        <v>308</v>
      </c>
      <c r="F285" s="48" t="n">
        <v>6885</v>
      </c>
      <c r="G285" s="48" t="n">
        <v>7114</v>
      </c>
      <c r="H285" s="48" t="n">
        <v>6820</v>
      </c>
      <c r="I285" s="48" t="n">
        <v>7054</v>
      </c>
      <c r="J285" s="48" t="n">
        <v>6848</v>
      </c>
      <c r="K285" s="48" t="n">
        <v>6878</v>
      </c>
      <c r="L285" s="48" t="n">
        <v>22632278</v>
      </c>
      <c r="M285" s="48" t="n">
        <v>159648089012</v>
      </c>
      <c r="N285" s="48" t="n">
        <v>1183</v>
      </c>
      <c r="O285" s="48" t="n">
        <v>13798838</v>
      </c>
      <c r="P285" s="48" t="n">
        <v>9284722</v>
      </c>
      <c r="Q285" s="48" t="n">
        <v>411</v>
      </c>
      <c r="R285" s="48" t="n">
        <v>596</v>
      </c>
      <c r="S285" s="48" t="n">
        <v>8833440</v>
      </c>
      <c r="T285" s="48" t="n">
        <v>13347556</v>
      </c>
      <c r="U285" s="46" t="n">
        <f aca="false">IF($A285=$A284,$U284+1,1)</f>
        <v>21</v>
      </c>
      <c r="V285" s="48" t="n">
        <f aca="false">IF($U285&gt;=MA_SHORT,AVERAGE(INDEX($I$5:$I285,282-MA_SHORT):$I285),"")</f>
        <v>6999.5</v>
      </c>
      <c r="W285" s="48" t="str">
        <f aca="false">IF($U285&gt;=MA_MED,AVERAGE(INDEX($I$5:$I285,282-MA_MED):$I285),"")</f>
        <v/>
      </c>
      <c r="X285" s="48" t="str">
        <f aca="false">IF($U285&gt;=MA_LONG1,AVERAGE(INDEX($I$5:$I285,282-MA_LONG1):$I285),"")</f>
        <v/>
      </c>
      <c r="Y285" s="48" t="str">
        <f aca="false">IF($U285&gt;=MA_LONG2,AVERAGE(INDEX($I$5:$I285,282-MA_LONG2):$I285),"")</f>
        <v/>
      </c>
      <c r="Z285" s="48" t="n">
        <f aca="false">IF($U285&gt;=MA_SHORT,AVERAGE(INDEX($L$165:$L285,122-MA_SHORT):$L285),"")</f>
        <v>20086466.35</v>
      </c>
      <c r="AA285" s="48" t="n">
        <f aca="false">IF($U285=1,$G285-$H285,MAX($G285-$H285,ABS($G285-$I284),ABS($H285-$I284)))</f>
        <v>294</v>
      </c>
      <c r="AB285" s="48" t="n">
        <f aca="false">IF($U285&gt;=ATR_PER,AVERAGE(INDEX($AA$165:$AA285,122-ATR_PER):$AA285),"")</f>
        <v>255.428571428571</v>
      </c>
      <c r="AC285" s="48" t="n">
        <f aca="false">$O285-$P285</f>
        <v>4514116</v>
      </c>
      <c r="AD285" s="48" t="n">
        <f aca="false">$AC285*$I285</f>
        <v>31842574264</v>
      </c>
      <c r="AE285" s="49" t="n">
        <f aca="false">IF($Q285&gt;0,$O285*$I285/$Q285/1000000,"")</f>
        <v>236.829691610706</v>
      </c>
      <c r="AF285" s="49" t="n">
        <f aca="false">IF($R285&gt;0,$P285*$I285/$R285/1000000,"")</f>
        <v>109.88998152349</v>
      </c>
      <c r="AG285" s="50" t="n">
        <f aca="false">IF(AND(ISNUMBER($AE285),ISNUMBER($AF285),$AF285&gt;0),$AE285/$AF285,"")</f>
        <v>2.15515271116941</v>
      </c>
      <c r="AH285" s="48" t="n">
        <f aca="false">IF($U285&gt;=5,SUM(INDEX($AD$255:$AD285,32-5):$AD285),"")</f>
        <v>85074643056</v>
      </c>
      <c r="AI285" s="48" t="n">
        <f aca="false">IF($U285&gt;=STRUCT_S,MAX(INDEX($G$135:$G285,152-STRUCT_S):$G285),"")</f>
        <v>7700</v>
      </c>
      <c r="AJ285" s="48" t="n">
        <f aca="false">IF($U285&gt;=STRUCT_S,MIN(INDEX($H$135:$H285,152-STRUCT_S):$H285),"")</f>
        <v>6643</v>
      </c>
      <c r="AK285" s="48" t="str">
        <f aca="false">IF($U285&gt;=STRUCT_L,MAX(INDEX($G$35:$G285,252-STRUCT_L):$G285),"")</f>
        <v/>
      </c>
      <c r="AL285" s="48" t="str">
        <f aca="false">IF($U285&gt;=STRUCT_L,MIN(INDEX($H$35:$H285,252-STRUCT_L):$H285),"")</f>
        <v/>
      </c>
      <c r="AM285" s="46" t="n">
        <f aca="false">IF($A285&lt;&gt;$A286,1,0)</f>
        <v>0</v>
      </c>
      <c r="AN285" s="47" t="str">
        <f aca="false">IF($AM285=1,$A285,"")</f>
        <v/>
      </c>
    </row>
    <row r="286" customFormat="false" ht="15" hidden="false" customHeight="false" outlineLevel="0" collapsed="false">
      <c r="A286" s="43" t="s">
        <v>138</v>
      </c>
      <c r="B286" s="44" t="s">
        <v>140</v>
      </c>
      <c r="C286" s="45" t="n">
        <v>45935</v>
      </c>
      <c r="D286" s="46" t="n">
        <v>20251005</v>
      </c>
      <c r="E286" s="47" t="s">
        <v>309</v>
      </c>
      <c r="F286" s="48" t="n">
        <v>7191</v>
      </c>
      <c r="G286" s="48" t="n">
        <v>7204</v>
      </c>
      <c r="H286" s="48" t="n">
        <v>6976</v>
      </c>
      <c r="I286" s="48" t="n">
        <v>7125</v>
      </c>
      <c r="J286" s="48" t="n">
        <v>7133</v>
      </c>
      <c r="K286" s="48" t="n">
        <v>7054</v>
      </c>
      <c r="L286" s="48" t="n">
        <v>15394812</v>
      </c>
      <c r="M286" s="48" t="n">
        <v>109688035500</v>
      </c>
      <c r="N286" s="48" t="n">
        <v>1093</v>
      </c>
      <c r="O286" s="48" t="n">
        <v>9122305</v>
      </c>
      <c r="P286" s="48" t="n">
        <v>5922211</v>
      </c>
      <c r="Q286" s="48" t="n">
        <v>404</v>
      </c>
      <c r="R286" s="48" t="n">
        <v>430</v>
      </c>
      <c r="S286" s="48" t="n">
        <v>6272507</v>
      </c>
      <c r="T286" s="48" t="n">
        <v>9472601</v>
      </c>
      <c r="U286" s="46" t="n">
        <f aca="false">IF($A286=$A285,$U285+1,1)</f>
        <v>22</v>
      </c>
      <c r="V286" s="48" t="n">
        <f aca="false">IF($U286&gt;=MA_SHORT,AVERAGE(INDEX($I$5:$I286,283-MA_SHORT):$I286),"")</f>
        <v>6992.05</v>
      </c>
      <c r="W286" s="48" t="str">
        <f aca="false">IF($U286&gt;=MA_MED,AVERAGE(INDEX($I$5:$I286,283-MA_MED):$I286),"")</f>
        <v/>
      </c>
      <c r="X286" s="48" t="str">
        <f aca="false">IF($U286&gt;=MA_LONG1,AVERAGE(INDEX($I$5:$I286,283-MA_LONG1):$I286),"")</f>
        <v/>
      </c>
      <c r="Y286" s="48" t="str">
        <f aca="false">IF($U286&gt;=MA_LONG2,AVERAGE(INDEX($I$5:$I286,283-MA_LONG2):$I286),"")</f>
        <v/>
      </c>
      <c r="Z286" s="48" t="n">
        <f aca="false">IF($U286&gt;=MA_SHORT,AVERAGE(INDEX($L$166:$L286,122-MA_SHORT):$L286),"")</f>
        <v>19478019.5</v>
      </c>
      <c r="AA286" s="48" t="n">
        <f aca="false">IF($U286=1,$G286-$H286,MAX($G286-$H286,ABS($G286-$I285),ABS($H286-$I285)))</f>
        <v>228</v>
      </c>
      <c r="AB286" s="48" t="n">
        <f aca="false">IF($U286&gt;=ATR_PER,AVERAGE(INDEX($AA$166:$AA286,122-ATR_PER):$AA286),"")</f>
        <v>228.071428571429</v>
      </c>
      <c r="AC286" s="48" t="n">
        <f aca="false">$O286-$P286</f>
        <v>3200094</v>
      </c>
      <c r="AD286" s="48" t="n">
        <f aca="false">$AC286*$I286</f>
        <v>22800669750</v>
      </c>
      <c r="AE286" s="49" t="n">
        <f aca="false">IF($Q286&gt;0,$O286*$I286/$Q286/1000000,"")</f>
        <v>160.882235457921</v>
      </c>
      <c r="AF286" s="49" t="n">
        <f aca="false">IF($R286&gt;0,$P286*$I286/$R286/1000000,"")</f>
        <v>98.1296590116279</v>
      </c>
      <c r="AG286" s="50" t="n">
        <f aca="false">IF(AND(ISNUMBER($AE286),ISNUMBER($AF286),$AF286&gt;0),$AE286/$AF286,"")</f>
        <v>1.63948633958727</v>
      </c>
      <c r="AH286" s="48" t="n">
        <f aca="false">IF($U286&gt;=5,SUM(INDEX($AD$256:$AD286,32-5):$AD286),"")</f>
        <v>69543688746</v>
      </c>
      <c r="AI286" s="48" t="n">
        <f aca="false">IF($U286&gt;=STRUCT_S,MAX(INDEX($G$136:$G286,152-STRUCT_S):$G286),"")</f>
        <v>7408</v>
      </c>
      <c r="AJ286" s="48" t="n">
        <f aca="false">IF($U286&gt;=STRUCT_S,MIN(INDEX($H$136:$H286,152-STRUCT_S):$H286),"")</f>
        <v>6643</v>
      </c>
      <c r="AK286" s="48" t="str">
        <f aca="false">IF($U286&gt;=STRUCT_L,MAX(INDEX($G$36:$G286,252-STRUCT_L):$G286),"")</f>
        <v/>
      </c>
      <c r="AL286" s="48" t="str">
        <f aca="false">IF($U286&gt;=STRUCT_L,MIN(INDEX($H$36:$H286,252-STRUCT_L):$H286),"")</f>
        <v/>
      </c>
      <c r="AM286" s="46" t="n">
        <f aca="false">IF($A286&lt;&gt;$A287,1,0)</f>
        <v>0</v>
      </c>
      <c r="AN286" s="47" t="str">
        <f aca="false">IF($AM286=1,$A286,"")</f>
        <v/>
      </c>
    </row>
    <row r="287" customFormat="false" ht="15" hidden="false" customHeight="false" outlineLevel="0" collapsed="false">
      <c r="A287" s="43" t="s">
        <v>138</v>
      </c>
      <c r="B287" s="44" t="s">
        <v>140</v>
      </c>
      <c r="C287" s="45" t="n">
        <v>45936</v>
      </c>
      <c r="D287" s="46" t="n">
        <v>20251006</v>
      </c>
      <c r="E287" s="47" t="s">
        <v>310</v>
      </c>
      <c r="F287" s="48" t="n">
        <v>7120</v>
      </c>
      <c r="G287" s="48" t="n">
        <v>7221</v>
      </c>
      <c r="H287" s="48" t="n">
        <v>6970</v>
      </c>
      <c r="I287" s="48" t="n">
        <v>7065</v>
      </c>
      <c r="J287" s="48" t="n">
        <v>7179</v>
      </c>
      <c r="K287" s="48" t="n">
        <v>7125</v>
      </c>
      <c r="L287" s="48" t="n">
        <v>26868943</v>
      </c>
      <c r="M287" s="48" t="n">
        <v>189829082295</v>
      </c>
      <c r="N287" s="48" t="n">
        <v>1151</v>
      </c>
      <c r="O287" s="48" t="n">
        <v>14677281</v>
      </c>
      <c r="P287" s="48" t="n">
        <v>11303347</v>
      </c>
      <c r="Q287" s="48" t="n">
        <v>700</v>
      </c>
      <c r="R287" s="48" t="n">
        <v>372</v>
      </c>
      <c r="S287" s="48" t="n">
        <v>12191662</v>
      </c>
      <c r="T287" s="48" t="n">
        <v>15565596</v>
      </c>
      <c r="U287" s="46" t="n">
        <f aca="false">IF($A287=$A286,$U286+1,1)</f>
        <v>23</v>
      </c>
      <c r="V287" s="48" t="n">
        <f aca="false">IF($U287&gt;=MA_SHORT,AVERAGE(INDEX($I$5:$I287,284-MA_SHORT):$I287),"")</f>
        <v>6984.4</v>
      </c>
      <c r="W287" s="48" t="str">
        <f aca="false">IF($U287&gt;=MA_MED,AVERAGE(INDEX($I$5:$I287,284-MA_MED):$I287),"")</f>
        <v/>
      </c>
      <c r="X287" s="48" t="str">
        <f aca="false">IF($U287&gt;=MA_LONG1,AVERAGE(INDEX($I$5:$I287,284-MA_LONG1):$I287),"")</f>
        <v/>
      </c>
      <c r="Y287" s="48" t="str">
        <f aca="false">IF($U287&gt;=MA_LONG2,AVERAGE(INDEX($I$5:$I287,284-MA_LONG2):$I287),"")</f>
        <v/>
      </c>
      <c r="Z287" s="48" t="n">
        <f aca="false">IF($U287&gt;=MA_SHORT,AVERAGE(INDEX($L$167:$L287,122-MA_SHORT):$L287),"")</f>
        <v>20027089.85</v>
      </c>
      <c r="AA287" s="48" t="n">
        <f aca="false">IF($U287=1,$G287-$H287,MAX($G287-$H287,ABS($G287-$I286),ABS($H287-$I286)))</f>
        <v>251</v>
      </c>
      <c r="AB287" s="48" t="n">
        <f aca="false">IF($U287&gt;=ATR_PER,AVERAGE(INDEX($AA$167:$AA287,122-ATR_PER):$AA287),"")</f>
        <v>234.571428571429</v>
      </c>
      <c r="AC287" s="48" t="n">
        <f aca="false">$O287-$P287</f>
        <v>3373934</v>
      </c>
      <c r="AD287" s="48" t="n">
        <f aca="false">$AC287*$I287</f>
        <v>23836843710</v>
      </c>
      <c r="AE287" s="49" t="n">
        <f aca="false">IF($Q287&gt;0,$O287*$I287/$Q287/1000000,"")</f>
        <v>148.135700378571</v>
      </c>
      <c r="AF287" s="49" t="n">
        <f aca="false">IF($R287&gt;0,$P287*$I287/$R287/1000000,"")</f>
        <v>214.672436975806</v>
      </c>
      <c r="AG287" s="50" t="n">
        <f aca="false">IF(AND(ISNUMBER($AE287),ISNUMBER($AF287),$AF287&gt;0),$AE287/$AF287,"")</f>
        <v>0.690054589519875</v>
      </c>
      <c r="AH287" s="48" t="n">
        <f aca="false">IF($U287&gt;=5,SUM(INDEX($AD$257:$AD287,32-5):$AD287),"")</f>
        <v>104662601166</v>
      </c>
      <c r="AI287" s="48" t="n">
        <f aca="false">IF($U287&gt;=STRUCT_S,MAX(INDEX($G$137:$G287,152-STRUCT_S):$G287),"")</f>
        <v>7370</v>
      </c>
      <c r="AJ287" s="48" t="n">
        <f aca="false">IF($U287&gt;=STRUCT_S,MIN(INDEX($H$137:$H287,152-STRUCT_S):$H287),"")</f>
        <v>6643</v>
      </c>
      <c r="AK287" s="48" t="str">
        <f aca="false">IF($U287&gt;=STRUCT_L,MAX(INDEX($G$37:$G287,252-STRUCT_L):$G287),"")</f>
        <v/>
      </c>
      <c r="AL287" s="48" t="str">
        <f aca="false">IF($U287&gt;=STRUCT_L,MIN(INDEX($H$37:$H287,252-STRUCT_L):$H287),"")</f>
        <v/>
      </c>
      <c r="AM287" s="46" t="n">
        <f aca="false">IF($A287&lt;&gt;$A288,1,0)</f>
        <v>0</v>
      </c>
      <c r="AN287" s="47" t="str">
        <f aca="false">IF($AM287=1,$A287,"")</f>
        <v/>
      </c>
    </row>
    <row r="288" customFormat="false" ht="15" hidden="false" customHeight="false" outlineLevel="0" collapsed="false">
      <c r="A288" s="43" t="s">
        <v>138</v>
      </c>
      <c r="B288" s="44" t="s">
        <v>140</v>
      </c>
      <c r="C288" s="45" t="n">
        <v>45937</v>
      </c>
      <c r="D288" s="46" t="n">
        <v>20251007</v>
      </c>
      <c r="E288" s="47" t="s">
        <v>311</v>
      </c>
      <c r="F288" s="48" t="n">
        <v>6972</v>
      </c>
      <c r="G288" s="48" t="n">
        <v>7100</v>
      </c>
      <c r="H288" s="48" t="n">
        <v>6731</v>
      </c>
      <c r="I288" s="48" t="n">
        <v>6765</v>
      </c>
      <c r="J288" s="48" t="n">
        <v>6764</v>
      </c>
      <c r="K288" s="48" t="n">
        <v>7065</v>
      </c>
      <c r="L288" s="48" t="n">
        <v>18216915</v>
      </c>
      <c r="M288" s="48" t="n">
        <v>123237429975</v>
      </c>
      <c r="N288" s="48" t="n">
        <v>489</v>
      </c>
      <c r="O288" s="48" t="n">
        <v>8040550</v>
      </c>
      <c r="P288" s="48" t="n">
        <v>10724568</v>
      </c>
      <c r="Q288" s="48" t="n">
        <v>241</v>
      </c>
      <c r="R288" s="48" t="n">
        <v>156</v>
      </c>
      <c r="S288" s="48" t="n">
        <v>10176365</v>
      </c>
      <c r="T288" s="48" t="n">
        <v>7492347</v>
      </c>
      <c r="U288" s="46" t="n">
        <f aca="false">IF($A288=$A287,$U287+1,1)</f>
        <v>24</v>
      </c>
      <c r="V288" s="48" t="n">
        <f aca="false">IF($U288&gt;=MA_SHORT,AVERAGE(INDEX($I$5:$I288,285-MA_SHORT):$I288),"")</f>
        <v>6959</v>
      </c>
      <c r="W288" s="48" t="str">
        <f aca="false">IF($U288&gt;=MA_MED,AVERAGE(INDEX($I$5:$I288,285-MA_MED):$I288),"")</f>
        <v/>
      </c>
      <c r="X288" s="48" t="str">
        <f aca="false">IF($U288&gt;=MA_LONG1,AVERAGE(INDEX($I$5:$I288,285-MA_LONG1):$I288),"")</f>
        <v/>
      </c>
      <c r="Y288" s="48" t="str">
        <f aca="false">IF($U288&gt;=MA_LONG2,AVERAGE(INDEX($I$5:$I288,285-MA_LONG2):$I288),"")</f>
        <v/>
      </c>
      <c r="Z288" s="48" t="n">
        <f aca="false">IF($U288&gt;=MA_SHORT,AVERAGE(INDEX($L$168:$L288,122-MA_SHORT):$L288),"")</f>
        <v>20178845.6</v>
      </c>
      <c r="AA288" s="48" t="n">
        <f aca="false">IF($U288=1,$G288-$H288,MAX($G288-$H288,ABS($G288-$I287),ABS($H288-$I287)))</f>
        <v>369</v>
      </c>
      <c r="AB288" s="48" t="n">
        <f aca="false">IF($U288&gt;=ATR_PER,AVERAGE(INDEX($AA$168:$AA288,122-ATR_PER):$AA288),"")</f>
        <v>246.428571428571</v>
      </c>
      <c r="AC288" s="48" t="n">
        <f aca="false">$O288-$P288</f>
        <v>-2684018</v>
      </c>
      <c r="AD288" s="48" t="n">
        <f aca="false">$AC288*$I288</f>
        <v>-18157381770</v>
      </c>
      <c r="AE288" s="49" t="n">
        <f aca="false">IF($Q288&gt;0,$O288*$I288/$Q288/1000000,"")</f>
        <v>225.702575726141</v>
      </c>
      <c r="AF288" s="49" t="n">
        <f aca="false">IF($R288&gt;0,$P288*$I288/$R288/1000000,"")</f>
        <v>465.075016153846</v>
      </c>
      <c r="AG288" s="50" t="n">
        <f aca="false">IF(AND(ISNUMBER($AE288),ISNUMBER($AF288),$AF288&gt;0),$AE288/$AF288,"")</f>
        <v>0.485303591649995</v>
      </c>
      <c r="AH288" s="48" t="n">
        <f aca="false">IF($U288&gt;=5,SUM(INDEX($AD$258:$AD288,32-5):$AD288),"")</f>
        <v>84017918048</v>
      </c>
      <c r="AI288" s="48" t="n">
        <f aca="false">IF($U288&gt;=STRUCT_S,MAX(INDEX($G$138:$G288,152-STRUCT_S):$G288),"")</f>
        <v>7370</v>
      </c>
      <c r="AJ288" s="48" t="n">
        <f aca="false">IF($U288&gt;=STRUCT_S,MIN(INDEX($H$138:$H288,152-STRUCT_S):$H288),"")</f>
        <v>6643</v>
      </c>
      <c r="AK288" s="48" t="str">
        <f aca="false">IF($U288&gt;=STRUCT_L,MAX(INDEX($G$38:$G288,252-STRUCT_L):$G288),"")</f>
        <v/>
      </c>
      <c r="AL288" s="48" t="str">
        <f aca="false">IF($U288&gt;=STRUCT_L,MIN(INDEX($H$38:$H288,252-STRUCT_L):$H288),"")</f>
        <v/>
      </c>
      <c r="AM288" s="46" t="n">
        <f aca="false">IF($A288&lt;&gt;$A289,1,0)</f>
        <v>0</v>
      </c>
      <c r="AN288" s="47" t="str">
        <f aca="false">IF($AM288=1,$A288,"")</f>
        <v/>
      </c>
    </row>
    <row r="289" customFormat="false" ht="15" hidden="false" customHeight="false" outlineLevel="0" collapsed="false">
      <c r="A289" s="43" t="s">
        <v>138</v>
      </c>
      <c r="B289" s="44" t="s">
        <v>140</v>
      </c>
      <c r="C289" s="45" t="n">
        <v>45938</v>
      </c>
      <c r="D289" s="46" t="n">
        <v>20251008</v>
      </c>
      <c r="E289" s="47" t="s">
        <v>312</v>
      </c>
      <c r="F289" s="48" t="n">
        <v>6763</v>
      </c>
      <c r="G289" s="48" t="n">
        <v>6820</v>
      </c>
      <c r="H289" s="48" t="n">
        <v>6631</v>
      </c>
      <c r="I289" s="48" t="n">
        <v>6686</v>
      </c>
      <c r="J289" s="48" t="n">
        <v>6753</v>
      </c>
      <c r="K289" s="48" t="n">
        <v>6765</v>
      </c>
      <c r="L289" s="48" t="n">
        <v>18144000</v>
      </c>
      <c r="M289" s="48" t="n">
        <v>121310784000</v>
      </c>
      <c r="N289" s="48" t="n">
        <v>697</v>
      </c>
      <c r="O289" s="48" t="n">
        <v>9552232</v>
      </c>
      <c r="P289" s="48" t="n">
        <v>8956049</v>
      </c>
      <c r="Q289" s="48" t="n">
        <v>376</v>
      </c>
      <c r="R289" s="48" t="n">
        <v>213</v>
      </c>
      <c r="S289" s="48" t="n">
        <v>8591768</v>
      </c>
      <c r="T289" s="48" t="n">
        <v>9187951</v>
      </c>
      <c r="U289" s="46" t="n">
        <f aca="false">IF($A289=$A288,$U288+1,1)</f>
        <v>25</v>
      </c>
      <c r="V289" s="48" t="n">
        <f aca="false">IF($U289&gt;=MA_SHORT,AVERAGE(INDEX($I$5:$I289,286-MA_SHORT):$I289),"")</f>
        <v>6933</v>
      </c>
      <c r="W289" s="48" t="str">
        <f aca="false">IF($U289&gt;=MA_MED,AVERAGE(INDEX($I$5:$I289,286-MA_MED):$I289),"")</f>
        <v/>
      </c>
      <c r="X289" s="48" t="str">
        <f aca="false">IF($U289&gt;=MA_LONG1,AVERAGE(INDEX($I$5:$I289,286-MA_LONG1):$I289),"")</f>
        <v/>
      </c>
      <c r="Y289" s="48" t="str">
        <f aca="false">IF($U289&gt;=MA_LONG2,AVERAGE(INDEX($I$5:$I289,286-MA_LONG2):$I289),"")</f>
        <v/>
      </c>
      <c r="Z289" s="48" t="n">
        <f aca="false">IF($U289&gt;=MA_SHORT,AVERAGE(INDEX($L$169:$L289,122-MA_SHORT):$L289),"")</f>
        <v>18837100.35</v>
      </c>
      <c r="AA289" s="48" t="n">
        <f aca="false">IF($U289=1,$G289-$H289,MAX($G289-$H289,ABS($G289-$I288),ABS($H289-$I288)))</f>
        <v>189</v>
      </c>
      <c r="AB289" s="48" t="n">
        <f aca="false">IF($U289&gt;=ATR_PER,AVERAGE(INDEX($AA$169:$AA289,122-ATR_PER):$AA289),"")</f>
        <v>255.714285714286</v>
      </c>
      <c r="AC289" s="48" t="n">
        <f aca="false">$O289-$P289</f>
        <v>596183</v>
      </c>
      <c r="AD289" s="48" t="n">
        <f aca="false">$AC289*$I289</f>
        <v>3986079538</v>
      </c>
      <c r="AE289" s="49" t="n">
        <f aca="false">IF($Q289&gt;0,$O289*$I289/$Q289/1000000,"")</f>
        <v>169.856976468085</v>
      </c>
      <c r="AF289" s="49" t="n">
        <f aca="false">IF($R289&gt;0,$P289*$I289/$R289/1000000,"")</f>
        <v>281.127434807512</v>
      </c>
      <c r="AG289" s="50" t="n">
        <f aca="false">IF(AND(ISNUMBER($AE289),ISNUMBER($AF289),$AF289&gt;0),$AE289/$AF289,"")</f>
        <v>0.604199218708008</v>
      </c>
      <c r="AH289" s="48" t="n">
        <f aca="false">IF($U289&gt;=5,SUM(INDEX($AD$259:$AD289,32-5):$AD289),"")</f>
        <v>64308785492</v>
      </c>
      <c r="AI289" s="48" t="n">
        <f aca="false">IF($U289&gt;=STRUCT_S,MAX(INDEX($G$139:$G289,152-STRUCT_S):$G289),"")</f>
        <v>7370</v>
      </c>
      <c r="AJ289" s="48" t="n">
        <f aca="false">IF($U289&gt;=STRUCT_S,MIN(INDEX($H$139:$H289,152-STRUCT_S):$H289),"")</f>
        <v>6631</v>
      </c>
      <c r="AK289" s="48" t="str">
        <f aca="false">IF($U289&gt;=STRUCT_L,MAX(INDEX($G$39:$G289,252-STRUCT_L):$G289),"")</f>
        <v/>
      </c>
      <c r="AL289" s="48" t="str">
        <f aca="false">IF($U289&gt;=STRUCT_L,MIN(INDEX($H$39:$H289,252-STRUCT_L):$H289),"")</f>
        <v/>
      </c>
      <c r="AM289" s="46" t="n">
        <f aca="false">IF($A289&lt;&gt;$A290,1,0)</f>
        <v>0</v>
      </c>
      <c r="AN289" s="47" t="str">
        <f aca="false">IF($AM289=1,$A289,"")</f>
        <v/>
      </c>
    </row>
    <row r="290" customFormat="false" ht="15" hidden="false" customHeight="false" outlineLevel="0" collapsed="false">
      <c r="A290" s="43" t="s">
        <v>138</v>
      </c>
      <c r="B290" s="44" t="s">
        <v>140</v>
      </c>
      <c r="C290" s="45" t="n">
        <v>45941</v>
      </c>
      <c r="D290" s="46" t="n">
        <v>20251011</v>
      </c>
      <c r="E290" s="47" t="s">
        <v>313</v>
      </c>
      <c r="F290" s="48" t="n">
        <v>6824</v>
      </c>
      <c r="G290" s="48" t="n">
        <v>6841</v>
      </c>
      <c r="H290" s="48" t="n">
        <v>6663</v>
      </c>
      <c r="I290" s="48" t="n">
        <v>6818</v>
      </c>
      <c r="J290" s="48" t="n">
        <v>6781</v>
      </c>
      <c r="K290" s="48" t="n">
        <v>6686</v>
      </c>
      <c r="L290" s="48" t="n">
        <v>17597020</v>
      </c>
      <c r="M290" s="48" t="n">
        <v>119976482360</v>
      </c>
      <c r="N290" s="48" t="n">
        <v>1457</v>
      </c>
      <c r="O290" s="48" t="n">
        <v>11271697</v>
      </c>
      <c r="P290" s="48" t="n">
        <v>6220373</v>
      </c>
      <c r="Q290" s="48" t="n">
        <v>462</v>
      </c>
      <c r="R290" s="48" t="n">
        <v>618</v>
      </c>
      <c r="S290" s="48" t="n">
        <v>6325323</v>
      </c>
      <c r="T290" s="48" t="n">
        <v>11376647</v>
      </c>
      <c r="U290" s="46" t="n">
        <f aca="false">IF($A290=$A289,$U289+1,1)</f>
        <v>26</v>
      </c>
      <c r="V290" s="48" t="n">
        <f aca="false">IF($U290&gt;=MA_SHORT,AVERAGE(INDEX($I$5:$I290,287-MA_SHORT):$I290),"")</f>
        <v>6915.25</v>
      </c>
      <c r="W290" s="48" t="str">
        <f aca="false">IF($U290&gt;=MA_MED,AVERAGE(INDEX($I$5:$I290,287-MA_MED):$I290),"")</f>
        <v/>
      </c>
      <c r="X290" s="48" t="str">
        <f aca="false">IF($U290&gt;=MA_LONG1,AVERAGE(INDEX($I$5:$I290,287-MA_LONG1):$I290),"")</f>
        <v/>
      </c>
      <c r="Y290" s="48" t="str">
        <f aca="false">IF($U290&gt;=MA_LONG2,AVERAGE(INDEX($I$5:$I290,287-MA_LONG2):$I290),"")</f>
        <v/>
      </c>
      <c r="Z290" s="48" t="n">
        <f aca="false">IF($U290&gt;=MA_SHORT,AVERAGE(INDEX($L$170:$L290,122-MA_SHORT):$L290),"")</f>
        <v>18900208.65</v>
      </c>
      <c r="AA290" s="48" t="n">
        <f aca="false">IF($U290=1,$G290-$H290,MAX($G290-$H290,ABS($G290-$I289),ABS($H290-$I289)))</f>
        <v>178</v>
      </c>
      <c r="AB290" s="48" t="n">
        <f aca="false">IF($U290&gt;=ATR_PER,AVERAGE(INDEX($AA$170:$AA290,122-ATR_PER):$AA290),"")</f>
        <v>262.928571428571</v>
      </c>
      <c r="AC290" s="48" t="n">
        <f aca="false">$O290-$P290</f>
        <v>5051324</v>
      </c>
      <c r="AD290" s="48" t="n">
        <f aca="false">$AC290*$I290</f>
        <v>34439927032</v>
      </c>
      <c r="AE290" s="49" t="n">
        <f aca="false">IF($Q290&gt;0,$O290*$I290/$Q290/1000000,"")</f>
        <v>166.342922393939</v>
      </c>
      <c r="AF290" s="49" t="n">
        <f aca="false">IF($R290&gt;0,$P290*$I290/$R290/1000000,"")</f>
        <v>68.6254095695793</v>
      </c>
      <c r="AG290" s="50" t="n">
        <f aca="false">IF(AND(ISNUMBER($AE290),ISNUMBER($AF290),$AF290&gt;0),$AE290/$AF290,"")</f>
        <v>2.42392611479112</v>
      </c>
      <c r="AH290" s="48" t="n">
        <f aca="false">IF($U290&gt;=5,SUM(INDEX($AD$260:$AD290,32-5):$AD290),"")</f>
        <v>66906138260</v>
      </c>
      <c r="AI290" s="48" t="n">
        <f aca="false">IF($U290&gt;=STRUCT_S,MAX(INDEX($G$140:$G290,152-STRUCT_S):$G290),"")</f>
        <v>7370</v>
      </c>
      <c r="AJ290" s="48" t="n">
        <f aca="false">IF($U290&gt;=STRUCT_S,MIN(INDEX($H$140:$H290,152-STRUCT_S):$H290),"")</f>
        <v>6631</v>
      </c>
      <c r="AK290" s="48" t="str">
        <f aca="false">IF($U290&gt;=STRUCT_L,MAX(INDEX($G$40:$G290,252-STRUCT_L):$G290),"")</f>
        <v/>
      </c>
      <c r="AL290" s="48" t="str">
        <f aca="false">IF($U290&gt;=STRUCT_L,MIN(INDEX($H$40:$H290,252-STRUCT_L):$H290),"")</f>
        <v/>
      </c>
      <c r="AM290" s="46" t="n">
        <f aca="false">IF($A290&lt;&gt;$A291,1,0)</f>
        <v>0</v>
      </c>
      <c r="AN290" s="47" t="str">
        <f aca="false">IF($AM290=1,$A290,"")</f>
        <v/>
      </c>
    </row>
    <row r="291" customFormat="false" ht="15" hidden="false" customHeight="false" outlineLevel="0" collapsed="false">
      <c r="A291" s="43" t="s">
        <v>138</v>
      </c>
      <c r="B291" s="44" t="s">
        <v>140</v>
      </c>
      <c r="C291" s="45" t="n">
        <v>45942</v>
      </c>
      <c r="D291" s="46" t="n">
        <v>20251012</v>
      </c>
      <c r="E291" s="47" t="s">
        <v>314</v>
      </c>
      <c r="F291" s="48" t="n">
        <v>6861</v>
      </c>
      <c r="G291" s="48" t="n">
        <v>7108</v>
      </c>
      <c r="H291" s="48" t="n">
        <v>6733</v>
      </c>
      <c r="I291" s="48" t="n">
        <v>7020</v>
      </c>
      <c r="J291" s="48" t="n">
        <v>6976</v>
      </c>
      <c r="K291" s="48" t="n">
        <v>6818</v>
      </c>
      <c r="L291" s="48" t="n">
        <v>17098846</v>
      </c>
      <c r="M291" s="48" t="n">
        <v>120033898920</v>
      </c>
      <c r="N291" s="48" t="n">
        <v>1704</v>
      </c>
      <c r="O291" s="48" t="n">
        <v>11892505</v>
      </c>
      <c r="P291" s="48" t="n">
        <v>5957311</v>
      </c>
      <c r="Q291" s="48" t="n">
        <v>621</v>
      </c>
      <c r="R291" s="48" t="n">
        <v>851</v>
      </c>
      <c r="S291" s="48" t="n">
        <v>5206341</v>
      </c>
      <c r="T291" s="48" t="n">
        <v>11141535</v>
      </c>
      <c r="U291" s="46" t="n">
        <f aca="false">IF($A291=$A290,$U290+1,1)</f>
        <v>27</v>
      </c>
      <c r="V291" s="48" t="n">
        <f aca="false">IF($U291&gt;=MA_SHORT,AVERAGE(INDEX($I$5:$I291,288-MA_SHORT):$I291),"")</f>
        <v>6910.15</v>
      </c>
      <c r="W291" s="48" t="str">
        <f aca="false">IF($U291&gt;=MA_MED,AVERAGE(INDEX($I$5:$I291,288-MA_MED):$I291),"")</f>
        <v/>
      </c>
      <c r="X291" s="48" t="str">
        <f aca="false">IF($U291&gt;=MA_LONG1,AVERAGE(INDEX($I$5:$I291,288-MA_LONG1):$I291),"")</f>
        <v/>
      </c>
      <c r="Y291" s="48" t="str">
        <f aca="false">IF($U291&gt;=MA_LONG2,AVERAGE(INDEX($I$5:$I291,288-MA_LONG2):$I291),"")</f>
        <v/>
      </c>
      <c r="Z291" s="48" t="n">
        <f aca="false">IF($U291&gt;=MA_SHORT,AVERAGE(INDEX($L$171:$L291,122-MA_SHORT):$L291),"")</f>
        <v>18998281.55</v>
      </c>
      <c r="AA291" s="48" t="n">
        <f aca="false">IF($U291=1,$G291-$H291,MAX($G291-$H291,ABS($G291-$I290),ABS($H291-$I290)))</f>
        <v>375</v>
      </c>
      <c r="AB291" s="48" t="n">
        <f aca="false">IF($U291&gt;=ATR_PER,AVERAGE(INDEX($AA$171:$AA291,122-ATR_PER):$AA291),"")</f>
        <v>269.285714285714</v>
      </c>
      <c r="AC291" s="48" t="n">
        <f aca="false">$O291-$P291</f>
        <v>5935194</v>
      </c>
      <c r="AD291" s="48" t="n">
        <f aca="false">$AC291*$I291</f>
        <v>41665061880</v>
      </c>
      <c r="AE291" s="49" t="n">
        <f aca="false">IF($Q291&gt;0,$O291*$I291/$Q291/1000000,"")</f>
        <v>134.437013043478</v>
      </c>
      <c r="AF291" s="49" t="n">
        <f aca="false">IF($R291&gt;0,$P291*$I291/$R291/1000000,"")</f>
        <v>49.1425654759107</v>
      </c>
      <c r="AG291" s="50" t="n">
        <f aca="false">IF(AND(ISNUMBER($AE291),ISNUMBER($AF291),$AF291&gt;0),$AE291/$AF291,"")</f>
        <v>2.73565312965556</v>
      </c>
      <c r="AH291" s="48" t="n">
        <f aca="false">IF($U291&gt;=5,SUM(INDEX($AD$261:$AD291,32-5):$AD291),"")</f>
        <v>85770530390</v>
      </c>
      <c r="AI291" s="48" t="n">
        <f aca="false">IF($U291&gt;=STRUCT_S,MAX(INDEX($G$141:$G291,152-STRUCT_S):$G291),"")</f>
        <v>7370</v>
      </c>
      <c r="AJ291" s="48" t="n">
        <f aca="false">IF($U291&gt;=STRUCT_S,MIN(INDEX($H$141:$H291,152-STRUCT_S):$H291),"")</f>
        <v>6631</v>
      </c>
      <c r="AK291" s="48" t="str">
        <f aca="false">IF($U291&gt;=STRUCT_L,MAX(INDEX($G$41:$G291,252-STRUCT_L):$G291),"")</f>
        <v/>
      </c>
      <c r="AL291" s="48" t="str">
        <f aca="false">IF($U291&gt;=STRUCT_L,MIN(INDEX($H$41:$H291,252-STRUCT_L):$H291),"")</f>
        <v/>
      </c>
      <c r="AM291" s="46" t="n">
        <f aca="false">IF($A291&lt;&gt;$A292,1,0)</f>
        <v>0</v>
      </c>
      <c r="AN291" s="47" t="str">
        <f aca="false">IF($AM291=1,$A291,"")</f>
        <v/>
      </c>
    </row>
    <row r="292" customFormat="false" ht="15" hidden="false" customHeight="false" outlineLevel="0" collapsed="false">
      <c r="A292" s="43" t="s">
        <v>138</v>
      </c>
      <c r="B292" s="44" t="s">
        <v>140</v>
      </c>
      <c r="C292" s="45" t="n">
        <v>45943</v>
      </c>
      <c r="D292" s="46" t="n">
        <v>20251013</v>
      </c>
      <c r="E292" s="47" t="s">
        <v>315</v>
      </c>
      <c r="F292" s="48" t="n">
        <v>7016</v>
      </c>
      <c r="G292" s="48" t="n">
        <v>7172</v>
      </c>
      <c r="H292" s="48" t="n">
        <v>6886</v>
      </c>
      <c r="I292" s="48" t="n">
        <v>7038</v>
      </c>
      <c r="J292" s="48" t="n">
        <v>7031</v>
      </c>
      <c r="K292" s="48" t="n">
        <v>7020</v>
      </c>
      <c r="L292" s="48" t="n">
        <v>16052365</v>
      </c>
      <c r="M292" s="48" t="n">
        <v>112976544870</v>
      </c>
      <c r="N292" s="48" t="n">
        <v>771</v>
      </c>
      <c r="O292" s="48" t="n">
        <v>8556557</v>
      </c>
      <c r="P292" s="48" t="n">
        <v>6166369</v>
      </c>
      <c r="Q292" s="48" t="n">
        <v>281</v>
      </c>
      <c r="R292" s="48" t="n">
        <v>355</v>
      </c>
      <c r="S292" s="48" t="n">
        <v>7495808</v>
      </c>
      <c r="T292" s="48" t="n">
        <v>9885996</v>
      </c>
      <c r="U292" s="46" t="n">
        <f aca="false">IF($A292=$A291,$U291+1,1)</f>
        <v>28</v>
      </c>
      <c r="V292" s="48" t="n">
        <f aca="false">IF($U292&gt;=MA_SHORT,AVERAGE(INDEX($I$5:$I292,289-MA_SHORT):$I292),"")</f>
        <v>6911.9</v>
      </c>
      <c r="W292" s="48" t="str">
        <f aca="false">IF($U292&gt;=MA_MED,AVERAGE(INDEX($I$5:$I292,289-MA_MED):$I292),"")</f>
        <v/>
      </c>
      <c r="X292" s="48" t="str">
        <f aca="false">IF($U292&gt;=MA_LONG1,AVERAGE(INDEX($I$5:$I292,289-MA_LONG1):$I292),"")</f>
        <v/>
      </c>
      <c r="Y292" s="48" t="str">
        <f aca="false">IF($U292&gt;=MA_LONG2,AVERAGE(INDEX($I$5:$I292,289-MA_LONG2):$I292),"")</f>
        <v/>
      </c>
      <c r="Z292" s="48" t="n">
        <f aca="false">IF($U292&gt;=MA_SHORT,AVERAGE(INDEX($L$172:$L292,122-MA_SHORT):$L292),"")</f>
        <v>18918650.3</v>
      </c>
      <c r="AA292" s="48" t="n">
        <f aca="false">IF($U292=1,$G292-$H292,MAX($G292-$H292,ABS($G292-$I291),ABS($H292-$I291)))</f>
        <v>286</v>
      </c>
      <c r="AB292" s="48" t="n">
        <f aca="false">IF($U292&gt;=ATR_PER,AVERAGE(INDEX($AA$172:$AA292,122-ATR_PER):$AA292),"")</f>
        <v>265.428571428571</v>
      </c>
      <c r="AC292" s="48" t="n">
        <f aca="false">$O292-$P292</f>
        <v>2390188</v>
      </c>
      <c r="AD292" s="48" t="n">
        <f aca="false">$AC292*$I292</f>
        <v>16822143144</v>
      </c>
      <c r="AE292" s="49" t="n">
        <f aca="false">IF($Q292&gt;0,$O292*$I292/$Q292/1000000,"")</f>
        <v>214.309779950178</v>
      </c>
      <c r="AF292" s="49" t="n">
        <f aca="false">IF($R292&gt;0,$P292*$I292/$R292/1000000,"")</f>
        <v>122.25043668169</v>
      </c>
      <c r="AG292" s="50" t="n">
        <f aca="false">IF(AND(ISNUMBER($AE292),ISNUMBER($AF292),$AF292&gt;0),$AE292/$AF292,"")</f>
        <v>1.75303897284382</v>
      </c>
      <c r="AH292" s="48" t="n">
        <f aca="false">IF($U292&gt;=5,SUM(INDEX($AD$262:$AD292,32-5):$AD292),"")</f>
        <v>78755829824</v>
      </c>
      <c r="AI292" s="48" t="n">
        <f aca="false">IF($U292&gt;=STRUCT_S,MAX(INDEX($G$142:$G292,152-STRUCT_S):$G292),"")</f>
        <v>7230</v>
      </c>
      <c r="AJ292" s="48" t="n">
        <f aca="false">IF($U292&gt;=STRUCT_S,MIN(INDEX($H$142:$H292,152-STRUCT_S):$H292),"")</f>
        <v>6631</v>
      </c>
      <c r="AK292" s="48" t="str">
        <f aca="false">IF($U292&gt;=STRUCT_L,MAX(INDEX($G$42:$G292,252-STRUCT_L):$G292),"")</f>
        <v/>
      </c>
      <c r="AL292" s="48" t="str">
        <f aca="false">IF($U292&gt;=STRUCT_L,MIN(INDEX($H$42:$H292,252-STRUCT_L):$H292),"")</f>
        <v/>
      </c>
      <c r="AM292" s="46" t="n">
        <f aca="false">IF($A292&lt;&gt;$A293,1,0)</f>
        <v>0</v>
      </c>
      <c r="AN292" s="47" t="str">
        <f aca="false">IF($AM292=1,$A292,"")</f>
        <v/>
      </c>
    </row>
    <row r="293" customFormat="false" ht="15" hidden="false" customHeight="false" outlineLevel="0" collapsed="false">
      <c r="A293" s="43" t="s">
        <v>138</v>
      </c>
      <c r="B293" s="44" t="s">
        <v>140</v>
      </c>
      <c r="C293" s="45" t="n">
        <v>45944</v>
      </c>
      <c r="D293" s="46" t="n">
        <v>20251014</v>
      </c>
      <c r="E293" s="47" t="s">
        <v>316</v>
      </c>
      <c r="F293" s="48" t="n">
        <v>7042</v>
      </c>
      <c r="G293" s="48" t="n">
        <v>7220</v>
      </c>
      <c r="H293" s="48" t="n">
        <v>6941</v>
      </c>
      <c r="I293" s="48" t="n">
        <v>7121</v>
      </c>
      <c r="J293" s="48" t="n">
        <v>6945</v>
      </c>
      <c r="K293" s="48" t="n">
        <v>7038</v>
      </c>
      <c r="L293" s="48" t="n">
        <v>15545327</v>
      </c>
      <c r="M293" s="48" t="n">
        <v>110698273567</v>
      </c>
      <c r="N293" s="48" t="n">
        <v>1636</v>
      </c>
      <c r="O293" s="48" t="n">
        <v>9520961</v>
      </c>
      <c r="P293" s="48" t="n">
        <v>5856441</v>
      </c>
      <c r="Q293" s="48" t="n">
        <v>583</v>
      </c>
      <c r="R293" s="48" t="n">
        <v>790</v>
      </c>
      <c r="S293" s="48" t="n">
        <v>6024366</v>
      </c>
      <c r="T293" s="48" t="n">
        <v>9688886</v>
      </c>
      <c r="U293" s="46" t="n">
        <f aca="false">IF($A293=$A292,$U292+1,1)</f>
        <v>29</v>
      </c>
      <c r="V293" s="48" t="n">
        <f aca="false">IF($U293&gt;=MA_SHORT,AVERAGE(INDEX($I$5:$I293,290-MA_SHORT):$I293),"")</f>
        <v>6922.2</v>
      </c>
      <c r="W293" s="48" t="str">
        <f aca="false">IF($U293&gt;=MA_MED,AVERAGE(INDEX($I$5:$I293,290-MA_MED):$I293),"")</f>
        <v/>
      </c>
      <c r="X293" s="48" t="str">
        <f aca="false">IF($U293&gt;=MA_LONG1,AVERAGE(INDEX($I$5:$I293,290-MA_LONG1):$I293),"")</f>
        <v/>
      </c>
      <c r="Y293" s="48" t="str">
        <f aca="false">IF($U293&gt;=MA_LONG2,AVERAGE(INDEX($I$5:$I293,290-MA_LONG2):$I293),"")</f>
        <v/>
      </c>
      <c r="Z293" s="48" t="n">
        <f aca="false">IF($U293&gt;=MA_SHORT,AVERAGE(INDEX($L$173:$L293,122-MA_SHORT):$L293),"")</f>
        <v>18915283.9</v>
      </c>
      <c r="AA293" s="48" t="n">
        <f aca="false">IF($U293=1,$G293-$H293,MAX($G293-$H293,ABS($G293-$I292),ABS($H293-$I292)))</f>
        <v>279</v>
      </c>
      <c r="AB293" s="48" t="n">
        <f aca="false">IF($U293&gt;=ATR_PER,AVERAGE(INDEX($AA$173:$AA293,122-ATR_PER):$AA293),"")</f>
        <v>255.642857142857</v>
      </c>
      <c r="AC293" s="48" t="n">
        <f aca="false">$O293-$P293</f>
        <v>3664520</v>
      </c>
      <c r="AD293" s="48" t="n">
        <f aca="false">$AC293*$I293</f>
        <v>26095046920</v>
      </c>
      <c r="AE293" s="49" t="n">
        <f aca="false">IF($Q293&gt;0,$O293*$I293/$Q293/1000000,"")</f>
        <v>116.292904427101</v>
      </c>
      <c r="AF293" s="49" t="n">
        <f aca="false">IF($R293&gt;0,$P293*$I293/$R293/1000000,"")</f>
        <v>52.7895143810127</v>
      </c>
      <c r="AG293" s="50" t="n">
        <f aca="false">IF(AND(ISNUMBER($AE293),ISNUMBER($AF293),$AF293&gt;0),$AE293/$AF293,"")</f>
        <v>2.20295461685341</v>
      </c>
      <c r="AH293" s="48" t="n">
        <f aca="false">IF($U293&gt;=5,SUM(INDEX($AD$263:$AD293,32-5):$AD293),"")</f>
        <v>123008258514</v>
      </c>
      <c r="AI293" s="48" t="n">
        <f aca="false">IF($U293&gt;=STRUCT_S,MAX(INDEX($G$143:$G293,152-STRUCT_S):$G293),"")</f>
        <v>7230</v>
      </c>
      <c r="AJ293" s="48" t="n">
        <f aca="false">IF($U293&gt;=STRUCT_S,MIN(INDEX($H$143:$H293,152-STRUCT_S):$H293),"")</f>
        <v>6631</v>
      </c>
      <c r="AK293" s="48" t="str">
        <f aca="false">IF($U293&gt;=STRUCT_L,MAX(INDEX($G$43:$G293,252-STRUCT_L):$G293),"")</f>
        <v/>
      </c>
      <c r="AL293" s="48" t="str">
        <f aca="false">IF($U293&gt;=STRUCT_L,MIN(INDEX($H$43:$H293,252-STRUCT_L):$H293),"")</f>
        <v/>
      </c>
      <c r="AM293" s="46" t="n">
        <f aca="false">IF($A293&lt;&gt;$A294,1,0)</f>
        <v>0</v>
      </c>
      <c r="AN293" s="47" t="str">
        <f aca="false">IF($AM293=1,$A293,"")</f>
        <v/>
      </c>
    </row>
    <row r="294" customFormat="false" ht="15" hidden="false" customHeight="false" outlineLevel="0" collapsed="false">
      <c r="A294" s="43" t="s">
        <v>138</v>
      </c>
      <c r="B294" s="44" t="s">
        <v>140</v>
      </c>
      <c r="C294" s="45" t="n">
        <v>45945</v>
      </c>
      <c r="D294" s="46" t="n">
        <v>20251015</v>
      </c>
      <c r="E294" s="47" t="s">
        <v>317</v>
      </c>
      <c r="F294" s="48" t="n">
        <v>7107</v>
      </c>
      <c r="G294" s="48" t="n">
        <v>7172</v>
      </c>
      <c r="H294" s="48" t="n">
        <v>7079</v>
      </c>
      <c r="I294" s="48" t="n">
        <v>7130</v>
      </c>
      <c r="J294" s="48" t="n">
        <v>7142</v>
      </c>
      <c r="K294" s="48" t="n">
        <v>7121</v>
      </c>
      <c r="L294" s="48" t="n">
        <v>14628142</v>
      </c>
      <c r="M294" s="48" t="n">
        <v>104298652460</v>
      </c>
      <c r="N294" s="48" t="n">
        <v>332</v>
      </c>
      <c r="O294" s="48" t="n">
        <v>7721951</v>
      </c>
      <c r="P294" s="48" t="n">
        <v>5877690</v>
      </c>
      <c r="Q294" s="48" t="n">
        <v>138</v>
      </c>
      <c r="R294" s="48" t="n">
        <v>150</v>
      </c>
      <c r="S294" s="48" t="n">
        <v>6906191</v>
      </c>
      <c r="T294" s="48" t="n">
        <v>8750452</v>
      </c>
      <c r="U294" s="46" t="n">
        <f aca="false">IF($A294=$A293,$U293+1,1)</f>
        <v>30</v>
      </c>
      <c r="V294" s="48" t="n">
        <f aca="false">IF($U294&gt;=MA_SHORT,AVERAGE(INDEX($I$5:$I294,291-MA_SHORT):$I294),"")</f>
        <v>6938.8</v>
      </c>
      <c r="W294" s="48" t="str">
        <f aca="false">IF($U294&gt;=MA_MED,AVERAGE(INDEX($I$5:$I294,291-MA_MED):$I294),"")</f>
        <v/>
      </c>
      <c r="X294" s="48" t="str">
        <f aca="false">IF($U294&gt;=MA_LONG1,AVERAGE(INDEX($I$5:$I294,291-MA_LONG1):$I294),"")</f>
        <v/>
      </c>
      <c r="Y294" s="48" t="str">
        <f aca="false">IF($U294&gt;=MA_LONG2,AVERAGE(INDEX($I$5:$I294,291-MA_LONG2):$I294),"")</f>
        <v/>
      </c>
      <c r="Z294" s="48" t="n">
        <f aca="false">IF($U294&gt;=MA_SHORT,AVERAGE(INDEX($L$174:$L294,122-MA_SHORT):$L294),"")</f>
        <v>18847096.1</v>
      </c>
      <c r="AA294" s="48" t="n">
        <f aca="false">IF($U294=1,$G294-$H294,MAX($G294-$H294,ABS($G294-$I293),ABS($H294-$I293)))</f>
        <v>93</v>
      </c>
      <c r="AB294" s="48" t="n">
        <f aca="false">IF($U294&gt;=ATR_PER,AVERAGE(INDEX($AA$174:$AA294,122-ATR_PER):$AA294),"")</f>
        <v>248.285714285714</v>
      </c>
      <c r="AC294" s="48" t="n">
        <f aca="false">$O294-$P294</f>
        <v>1844261</v>
      </c>
      <c r="AD294" s="48" t="n">
        <f aca="false">$AC294*$I294</f>
        <v>13149580930</v>
      </c>
      <c r="AE294" s="49" t="n">
        <f aca="false">IF($Q294&gt;0,$O294*$I294/$Q294/1000000,"")</f>
        <v>398.967468333333</v>
      </c>
      <c r="AF294" s="49" t="n">
        <f aca="false">IF($R294&gt;0,$P294*$I294/$R294/1000000,"")</f>
        <v>279.386198</v>
      </c>
      <c r="AG294" s="50" t="n">
        <f aca="false">IF(AND(ISNUMBER($AE294),ISNUMBER($AF294),$AF294&gt;0),$AE294/$AF294,"")</f>
        <v>1.42801423688558</v>
      </c>
      <c r="AH294" s="48" t="n">
        <f aca="false">IF($U294&gt;=5,SUM(INDEX($AD$264:$AD294,32-5):$AD294),"")</f>
        <v>132171759906</v>
      </c>
      <c r="AI294" s="48" t="n">
        <f aca="false">IF($U294&gt;=STRUCT_S,MAX(INDEX($G$144:$G294,152-STRUCT_S):$G294),"")</f>
        <v>7230</v>
      </c>
      <c r="AJ294" s="48" t="n">
        <f aca="false">IF($U294&gt;=STRUCT_S,MIN(INDEX($H$144:$H294,152-STRUCT_S):$H294),"")</f>
        <v>6631</v>
      </c>
      <c r="AK294" s="48" t="str">
        <f aca="false">IF($U294&gt;=STRUCT_L,MAX(INDEX($G$44:$G294,252-STRUCT_L):$G294),"")</f>
        <v/>
      </c>
      <c r="AL294" s="48" t="str">
        <f aca="false">IF($U294&gt;=STRUCT_L,MIN(INDEX($H$44:$H294,252-STRUCT_L):$H294),"")</f>
        <v/>
      </c>
      <c r="AM294" s="46" t="n">
        <f aca="false">IF($A294&lt;&gt;$A295,1,0)</f>
        <v>0</v>
      </c>
      <c r="AN294" s="47" t="str">
        <f aca="false">IF($AM294=1,$A294,"")</f>
        <v/>
      </c>
    </row>
    <row r="295" customFormat="false" ht="15" hidden="false" customHeight="false" outlineLevel="0" collapsed="false">
      <c r="A295" s="43" t="s">
        <v>138</v>
      </c>
      <c r="B295" s="44" t="s">
        <v>140</v>
      </c>
      <c r="C295" s="45" t="n">
        <v>45948</v>
      </c>
      <c r="D295" s="46" t="n">
        <v>20251018</v>
      </c>
      <c r="E295" s="47" t="s">
        <v>318</v>
      </c>
      <c r="F295" s="48" t="n">
        <v>7081</v>
      </c>
      <c r="G295" s="48" t="n">
        <v>7159</v>
      </c>
      <c r="H295" s="48" t="n">
        <v>7056</v>
      </c>
      <c r="I295" s="48" t="n">
        <v>7085</v>
      </c>
      <c r="J295" s="48" t="n">
        <v>7137</v>
      </c>
      <c r="K295" s="48" t="n">
        <v>7130</v>
      </c>
      <c r="L295" s="48" t="n">
        <v>15067820</v>
      </c>
      <c r="M295" s="48" t="n">
        <v>106755504700</v>
      </c>
      <c r="N295" s="48" t="n">
        <v>546</v>
      </c>
      <c r="O295" s="48" t="n">
        <v>8544110</v>
      </c>
      <c r="P295" s="48" t="n">
        <v>6607548</v>
      </c>
      <c r="Q295" s="48" t="n">
        <v>232</v>
      </c>
      <c r="R295" s="48" t="n">
        <v>195</v>
      </c>
      <c r="S295" s="48" t="n">
        <v>6523710</v>
      </c>
      <c r="T295" s="48" t="n">
        <v>8460272</v>
      </c>
      <c r="U295" s="46" t="n">
        <f aca="false">IF($A295=$A294,$U294+1,1)</f>
        <v>31</v>
      </c>
      <c r="V295" s="48" t="n">
        <f aca="false">IF($U295&gt;=MA_SHORT,AVERAGE(INDEX($I$5:$I295,292-MA_SHORT):$I295),"")</f>
        <v>6953.7</v>
      </c>
      <c r="W295" s="48" t="str">
        <f aca="false">IF($U295&gt;=MA_MED,AVERAGE(INDEX($I$5:$I295,292-MA_MED):$I295),"")</f>
        <v/>
      </c>
      <c r="X295" s="48" t="str">
        <f aca="false">IF($U295&gt;=MA_LONG1,AVERAGE(INDEX($I$5:$I295,292-MA_LONG1):$I295),"")</f>
        <v/>
      </c>
      <c r="Y295" s="48" t="str">
        <f aca="false">IF($U295&gt;=MA_LONG2,AVERAGE(INDEX($I$5:$I295,292-MA_LONG2):$I295),"")</f>
        <v/>
      </c>
      <c r="Z295" s="48" t="n">
        <f aca="false">IF($U295&gt;=MA_SHORT,AVERAGE(INDEX($L$175:$L295,122-MA_SHORT):$L295),"")</f>
        <v>18817149.5</v>
      </c>
      <c r="AA295" s="48" t="n">
        <f aca="false">IF($U295=1,$G295-$H295,MAX($G295-$H295,ABS($G295-$I294),ABS($H295-$I294)))</f>
        <v>103</v>
      </c>
      <c r="AB295" s="48" t="n">
        <f aca="false">IF($U295&gt;=ATR_PER,AVERAGE(INDEX($AA$175:$AA295,122-ATR_PER):$AA295),"")</f>
        <v>238.785714285714</v>
      </c>
      <c r="AC295" s="48" t="n">
        <f aca="false">$O295-$P295</f>
        <v>1936562</v>
      </c>
      <c r="AD295" s="48" t="n">
        <f aca="false">$AC295*$I295</f>
        <v>13720541770</v>
      </c>
      <c r="AE295" s="49" t="n">
        <f aca="false">IF($Q295&gt;0,$O295*$I295/$Q295/1000000,"")</f>
        <v>260.926807543103</v>
      </c>
      <c r="AF295" s="49" t="n">
        <f aca="false">IF($R295&gt;0,$P295*$I295/$R295/1000000,"")</f>
        <v>240.074244</v>
      </c>
      <c r="AG295" s="50" t="n">
        <f aca="false">IF(AND(ISNUMBER($AE295),ISNUMBER($AF295),$AF295&gt;0),$AE295/$AF295,"")</f>
        <v>1.08685881165621</v>
      </c>
      <c r="AH295" s="48" t="n">
        <f aca="false">IF($U295&gt;=5,SUM(INDEX($AD$265:$AD295,32-5):$AD295),"")</f>
        <v>111452374644</v>
      </c>
      <c r="AI295" s="48" t="n">
        <f aca="false">IF($U295&gt;=STRUCT_S,MAX(INDEX($G$145:$G295,152-STRUCT_S):$G295),"")</f>
        <v>7230</v>
      </c>
      <c r="AJ295" s="48" t="n">
        <f aca="false">IF($U295&gt;=STRUCT_S,MIN(INDEX($H$145:$H295,152-STRUCT_S):$H295),"")</f>
        <v>6631</v>
      </c>
      <c r="AK295" s="48" t="str">
        <f aca="false">IF($U295&gt;=STRUCT_L,MAX(INDEX($G$45:$G295,252-STRUCT_L):$G295),"")</f>
        <v/>
      </c>
      <c r="AL295" s="48" t="str">
        <f aca="false">IF($U295&gt;=STRUCT_L,MIN(INDEX($H$45:$H295,252-STRUCT_L):$H295),"")</f>
        <v/>
      </c>
      <c r="AM295" s="46" t="n">
        <f aca="false">IF($A295&lt;&gt;$A296,1,0)</f>
        <v>0</v>
      </c>
      <c r="AN295" s="47" t="str">
        <f aca="false">IF($AM295=1,$A295,"")</f>
        <v/>
      </c>
    </row>
    <row r="296" customFormat="false" ht="15" hidden="false" customHeight="false" outlineLevel="0" collapsed="false">
      <c r="A296" s="43" t="s">
        <v>138</v>
      </c>
      <c r="B296" s="44" t="s">
        <v>140</v>
      </c>
      <c r="C296" s="45" t="n">
        <v>45949</v>
      </c>
      <c r="D296" s="46" t="n">
        <v>20251019</v>
      </c>
      <c r="E296" s="47" t="s">
        <v>319</v>
      </c>
      <c r="F296" s="48" t="n">
        <v>7070</v>
      </c>
      <c r="G296" s="48" t="n">
        <v>7130</v>
      </c>
      <c r="H296" s="48" t="n">
        <v>6741</v>
      </c>
      <c r="I296" s="48" t="n">
        <v>6784</v>
      </c>
      <c r="J296" s="48" t="n">
        <v>7055</v>
      </c>
      <c r="K296" s="48" t="n">
        <v>7085</v>
      </c>
      <c r="L296" s="48" t="n">
        <v>18218768</v>
      </c>
      <c r="M296" s="48" t="n">
        <v>123596122112</v>
      </c>
      <c r="N296" s="48" t="n">
        <v>705</v>
      </c>
      <c r="O296" s="48" t="n">
        <v>8194320</v>
      </c>
      <c r="P296" s="48" t="n">
        <v>9937491</v>
      </c>
      <c r="Q296" s="48" t="n">
        <v>412</v>
      </c>
      <c r="R296" s="48" t="n">
        <v>211</v>
      </c>
      <c r="S296" s="48" t="n">
        <v>10024448</v>
      </c>
      <c r="T296" s="48" t="n">
        <v>8281277</v>
      </c>
      <c r="U296" s="46" t="n">
        <f aca="false">IF($A296=$A295,$U295+1,1)</f>
        <v>32</v>
      </c>
      <c r="V296" s="48" t="n">
        <f aca="false">IF($U296&gt;=MA_SHORT,AVERAGE(INDEX($I$5:$I296,293-MA_SHORT):$I296),"")</f>
        <v>6953.5</v>
      </c>
      <c r="W296" s="48" t="str">
        <f aca="false">IF($U296&gt;=MA_MED,AVERAGE(INDEX($I$5:$I296,293-MA_MED):$I296),"")</f>
        <v/>
      </c>
      <c r="X296" s="48" t="str">
        <f aca="false">IF($U296&gt;=MA_LONG1,AVERAGE(INDEX($I$5:$I296,293-MA_LONG1):$I296),"")</f>
        <v/>
      </c>
      <c r="Y296" s="48" t="str">
        <f aca="false">IF($U296&gt;=MA_LONG2,AVERAGE(INDEX($I$5:$I296,293-MA_LONG2):$I296),"")</f>
        <v/>
      </c>
      <c r="Z296" s="48" t="n">
        <f aca="false">IF($U296&gt;=MA_SHORT,AVERAGE(INDEX($L$176:$L296,122-MA_SHORT):$L296),"")</f>
        <v>19001543.75</v>
      </c>
      <c r="AA296" s="48" t="n">
        <f aca="false">IF($U296=1,$G296-$H296,MAX($G296-$H296,ABS($G296-$I295),ABS($H296-$I295)))</f>
        <v>389</v>
      </c>
      <c r="AB296" s="48" t="n">
        <f aca="false">IF($U296&gt;=ATR_PER,AVERAGE(INDEX($AA$176:$AA296,122-ATR_PER):$AA296),"")</f>
        <v>236.428571428571</v>
      </c>
      <c r="AC296" s="48" t="n">
        <f aca="false">$O296-$P296</f>
        <v>-1743171</v>
      </c>
      <c r="AD296" s="48" t="n">
        <f aca="false">$AC296*$I296</f>
        <v>-11825672064</v>
      </c>
      <c r="AE296" s="49" t="n">
        <f aca="false">IF($Q296&gt;0,$O296*$I296/$Q296/1000000,"")</f>
        <v>134.92783223301</v>
      </c>
      <c r="AF296" s="49" t="n">
        <f aca="false">IF($R296&gt;0,$P296*$I296/$R296/1000000,"")</f>
        <v>319.50681963981</v>
      </c>
      <c r="AG296" s="50" t="n">
        <f aca="false">IF(AND(ISNUMBER($AE296),ISNUMBER($AF296),$AF296&gt;0),$AE296/$AF296,"")</f>
        <v>0.422300320178198</v>
      </c>
      <c r="AH296" s="48" t="n">
        <f aca="false">IF($U296&gt;=5,SUM(INDEX($AD$266:$AD296,32-5):$AD296),"")</f>
        <v>57961640700</v>
      </c>
      <c r="AI296" s="48" t="n">
        <f aca="false">IF($U296&gt;=STRUCT_S,MAX(INDEX($G$146:$G296,152-STRUCT_S):$G296),"")</f>
        <v>7230</v>
      </c>
      <c r="AJ296" s="48" t="n">
        <f aca="false">IF($U296&gt;=STRUCT_S,MIN(INDEX($H$146:$H296,152-STRUCT_S):$H296),"")</f>
        <v>6631</v>
      </c>
      <c r="AK296" s="48" t="str">
        <f aca="false">IF($U296&gt;=STRUCT_L,MAX(INDEX($G$46:$G296,252-STRUCT_L):$G296),"")</f>
        <v/>
      </c>
      <c r="AL296" s="48" t="str">
        <f aca="false">IF($U296&gt;=STRUCT_L,MIN(INDEX($H$46:$H296,252-STRUCT_L):$H296),"")</f>
        <v/>
      </c>
      <c r="AM296" s="46" t="n">
        <f aca="false">IF($A296&lt;&gt;$A297,1,0)</f>
        <v>0</v>
      </c>
      <c r="AN296" s="47" t="str">
        <f aca="false">IF($AM296=1,$A296,"")</f>
        <v/>
      </c>
    </row>
    <row r="297" customFormat="false" ht="15" hidden="false" customHeight="false" outlineLevel="0" collapsed="false">
      <c r="A297" s="43" t="s">
        <v>138</v>
      </c>
      <c r="B297" s="44" t="s">
        <v>140</v>
      </c>
      <c r="C297" s="45" t="n">
        <v>45950</v>
      </c>
      <c r="D297" s="46" t="n">
        <v>20251020</v>
      </c>
      <c r="E297" s="47" t="s">
        <v>320</v>
      </c>
      <c r="F297" s="48" t="n">
        <v>6804</v>
      </c>
      <c r="G297" s="48" t="n">
        <v>7086</v>
      </c>
      <c r="H297" s="48" t="n">
        <v>6674</v>
      </c>
      <c r="I297" s="48" t="n">
        <v>6973</v>
      </c>
      <c r="J297" s="48" t="n">
        <v>6955</v>
      </c>
      <c r="K297" s="48" t="n">
        <v>6784</v>
      </c>
      <c r="L297" s="48" t="n">
        <v>16944857</v>
      </c>
      <c r="M297" s="48" t="n">
        <v>118156487861</v>
      </c>
      <c r="N297" s="48" t="n">
        <v>1230</v>
      </c>
      <c r="O297" s="48" t="n">
        <v>11519536</v>
      </c>
      <c r="P297" s="48" t="n">
        <v>5480162</v>
      </c>
      <c r="Q297" s="48" t="n">
        <v>342</v>
      </c>
      <c r="R297" s="48" t="n">
        <v>475</v>
      </c>
      <c r="S297" s="48" t="n">
        <v>5425321</v>
      </c>
      <c r="T297" s="48" t="n">
        <v>11464695</v>
      </c>
      <c r="U297" s="46" t="n">
        <f aca="false">IF($A297=$A296,$U296+1,1)</f>
        <v>33</v>
      </c>
      <c r="V297" s="48" t="n">
        <f aca="false">IF($U297&gt;=MA_SHORT,AVERAGE(INDEX($I$5:$I297,294-MA_SHORT):$I297),"")</f>
        <v>6954.9</v>
      </c>
      <c r="W297" s="48" t="str">
        <f aca="false">IF($U297&gt;=MA_MED,AVERAGE(INDEX($I$5:$I297,294-MA_MED):$I297),"")</f>
        <v/>
      </c>
      <c r="X297" s="48" t="str">
        <f aca="false">IF($U297&gt;=MA_LONG1,AVERAGE(INDEX($I$5:$I297,294-MA_LONG1):$I297),"")</f>
        <v/>
      </c>
      <c r="Y297" s="48" t="str">
        <f aca="false">IF($U297&gt;=MA_LONG2,AVERAGE(INDEX($I$5:$I297,294-MA_LONG2):$I297),"")</f>
        <v/>
      </c>
      <c r="Z297" s="48" t="n">
        <f aca="false">IF($U297&gt;=MA_SHORT,AVERAGE(INDEX($L$177:$L297,122-MA_SHORT):$L297),"")</f>
        <v>18942852.95</v>
      </c>
      <c r="AA297" s="48" t="n">
        <f aca="false">IF($U297=1,$G297-$H297,MAX($G297-$H297,ABS($G297-$I296),ABS($H297-$I296)))</f>
        <v>412</v>
      </c>
      <c r="AB297" s="48" t="n">
        <f aca="false">IF($U297&gt;=ATR_PER,AVERAGE(INDEX($AA$177:$AA297,122-ATR_PER):$AA297),"")</f>
        <v>258</v>
      </c>
      <c r="AC297" s="48" t="n">
        <f aca="false">$O297-$P297</f>
        <v>6039374</v>
      </c>
      <c r="AD297" s="48" t="n">
        <f aca="false">$AC297*$I297</f>
        <v>42112554902</v>
      </c>
      <c r="AE297" s="49" t="n">
        <f aca="false">IF($Q297&gt;0,$O297*$I297/$Q297/1000000,"")</f>
        <v>234.870539555556</v>
      </c>
      <c r="AF297" s="49" t="n">
        <f aca="false">IF($R297&gt;0,$P297*$I297/$R297/1000000,"")</f>
        <v>80.44877816</v>
      </c>
      <c r="AG297" s="50" t="n">
        <f aca="false">IF(AND(ISNUMBER($AE297),ISNUMBER($AF297),$AF297&gt;0),$AE297/$AF297,"")</f>
        <v>2.91950412333715</v>
      </c>
      <c r="AH297" s="48" t="n">
        <f aca="false">IF($U297&gt;=5,SUM(INDEX($AD$267:$AD297,32-5):$AD297),"")</f>
        <v>83252052458</v>
      </c>
      <c r="AI297" s="48" t="n">
        <f aca="false">IF($U297&gt;=STRUCT_S,MAX(INDEX($G$147:$G297,152-STRUCT_S):$G297),"")</f>
        <v>7230</v>
      </c>
      <c r="AJ297" s="48" t="n">
        <f aca="false">IF($U297&gt;=STRUCT_S,MIN(INDEX($H$147:$H297,152-STRUCT_S):$H297),"")</f>
        <v>6631</v>
      </c>
      <c r="AK297" s="48" t="str">
        <f aca="false">IF($U297&gt;=STRUCT_L,MAX(INDEX($G$47:$G297,252-STRUCT_L):$G297),"")</f>
        <v/>
      </c>
      <c r="AL297" s="48" t="str">
        <f aca="false">IF($U297&gt;=STRUCT_L,MIN(INDEX($H$47:$H297,252-STRUCT_L):$H297),"")</f>
        <v/>
      </c>
      <c r="AM297" s="46" t="n">
        <f aca="false">IF($A297&lt;&gt;$A298,1,0)</f>
        <v>0</v>
      </c>
      <c r="AN297" s="47" t="str">
        <f aca="false">IF($AM297=1,$A297,"")</f>
        <v/>
      </c>
    </row>
    <row r="298" customFormat="false" ht="15" hidden="false" customHeight="false" outlineLevel="0" collapsed="false">
      <c r="A298" s="43" t="s">
        <v>138</v>
      </c>
      <c r="B298" s="44" t="s">
        <v>140</v>
      </c>
      <c r="C298" s="45" t="n">
        <v>45951</v>
      </c>
      <c r="D298" s="46" t="n">
        <v>20251021</v>
      </c>
      <c r="E298" s="47" t="s">
        <v>321</v>
      </c>
      <c r="F298" s="48" t="n">
        <v>6983</v>
      </c>
      <c r="G298" s="48" t="n">
        <v>7359</v>
      </c>
      <c r="H298" s="48" t="n">
        <v>6855</v>
      </c>
      <c r="I298" s="48" t="n">
        <v>7237</v>
      </c>
      <c r="J298" s="48" t="n">
        <v>6898</v>
      </c>
      <c r="K298" s="48" t="n">
        <v>6973</v>
      </c>
      <c r="L298" s="48" t="n">
        <v>19517951</v>
      </c>
      <c r="M298" s="48" t="n">
        <v>141251411387</v>
      </c>
      <c r="N298" s="48" t="n">
        <v>1155</v>
      </c>
      <c r="O298" s="48" t="n">
        <v>12787714</v>
      </c>
      <c r="P298" s="48" t="n">
        <v>6806952</v>
      </c>
      <c r="Q298" s="48" t="n">
        <v>439</v>
      </c>
      <c r="R298" s="48" t="n">
        <v>631</v>
      </c>
      <c r="S298" s="48" t="n">
        <v>6730237</v>
      </c>
      <c r="T298" s="48" t="n">
        <v>12710999</v>
      </c>
      <c r="U298" s="46" t="n">
        <f aca="false">IF($A298=$A297,$U297+1,1)</f>
        <v>34</v>
      </c>
      <c r="V298" s="48" t="n">
        <f aca="false">IF($U298&gt;=MA_SHORT,AVERAGE(INDEX($I$5:$I298,295-MA_SHORT):$I298),"")</f>
        <v>6974.3</v>
      </c>
      <c r="W298" s="48" t="str">
        <f aca="false">IF($U298&gt;=MA_MED,AVERAGE(INDEX($I$5:$I298,295-MA_MED):$I298),"")</f>
        <v/>
      </c>
      <c r="X298" s="48" t="str">
        <f aca="false">IF($U298&gt;=MA_LONG1,AVERAGE(INDEX($I$5:$I298,295-MA_LONG1):$I298),"")</f>
        <v/>
      </c>
      <c r="Y298" s="48" t="str">
        <f aca="false">IF($U298&gt;=MA_LONG2,AVERAGE(INDEX($I$5:$I298,295-MA_LONG2):$I298),"")</f>
        <v/>
      </c>
      <c r="Z298" s="48" t="n">
        <f aca="false">IF($U298&gt;=MA_SHORT,AVERAGE(INDEX($L$178:$L298,122-MA_SHORT):$L298),"")</f>
        <v>19034075.25</v>
      </c>
      <c r="AA298" s="48" t="n">
        <f aca="false">IF($U298=1,$G298-$H298,MAX($G298-$H298,ABS($G298-$I297),ABS($H298-$I297)))</f>
        <v>504</v>
      </c>
      <c r="AB298" s="48" t="n">
        <f aca="false">IF($U298&gt;=ATR_PER,AVERAGE(INDEX($AA$178:$AA298,122-ATR_PER):$AA298),"")</f>
        <v>282.142857142857</v>
      </c>
      <c r="AC298" s="48" t="n">
        <f aca="false">$O298-$P298</f>
        <v>5980762</v>
      </c>
      <c r="AD298" s="48" t="n">
        <f aca="false">$AC298*$I298</f>
        <v>43282774594</v>
      </c>
      <c r="AE298" s="49" t="n">
        <f aca="false">IF($Q298&gt;0,$O298*$I298/$Q298/1000000,"")</f>
        <v>210.807941271071</v>
      </c>
      <c r="AF298" s="49" t="n">
        <f aca="false">IF($R298&gt;0,$P298*$I298/$R298/1000000,"")</f>
        <v>78.0695905293186</v>
      </c>
      <c r="AG298" s="50" t="n">
        <f aca="false">IF(AND(ISNUMBER($AE298),ISNUMBER($AF298),$AF298&gt;0),$AE298/$AF298,"")</f>
        <v>2.70025678169662</v>
      </c>
      <c r="AH298" s="48" t="n">
        <f aca="false">IF($U298&gt;=5,SUM(INDEX($AD$268:$AD298,32-5):$AD298),"")</f>
        <v>100439780132</v>
      </c>
      <c r="AI298" s="48" t="n">
        <f aca="false">IF($U298&gt;=STRUCT_S,MAX(INDEX($G$148:$G298,152-STRUCT_S):$G298),"")</f>
        <v>7359</v>
      </c>
      <c r="AJ298" s="48" t="n">
        <f aca="false">IF($U298&gt;=STRUCT_S,MIN(INDEX($H$148:$H298,152-STRUCT_S):$H298),"")</f>
        <v>6631</v>
      </c>
      <c r="AK298" s="48" t="str">
        <f aca="false">IF($U298&gt;=STRUCT_L,MAX(INDEX($G$48:$G298,252-STRUCT_L):$G298),"")</f>
        <v/>
      </c>
      <c r="AL298" s="48" t="str">
        <f aca="false">IF($U298&gt;=STRUCT_L,MIN(INDEX($H$48:$H298,252-STRUCT_L):$H298),"")</f>
        <v/>
      </c>
      <c r="AM298" s="46" t="n">
        <f aca="false">IF($A298&lt;&gt;$A299,1,0)</f>
        <v>0</v>
      </c>
      <c r="AN298" s="47" t="str">
        <f aca="false">IF($AM298=1,$A298,"")</f>
        <v/>
      </c>
    </row>
    <row r="299" customFormat="false" ht="15" hidden="false" customHeight="false" outlineLevel="0" collapsed="false">
      <c r="A299" s="43" t="s">
        <v>138</v>
      </c>
      <c r="B299" s="44" t="s">
        <v>140</v>
      </c>
      <c r="C299" s="45" t="n">
        <v>45952</v>
      </c>
      <c r="D299" s="46" t="n">
        <v>20251022</v>
      </c>
      <c r="E299" s="47" t="s">
        <v>322</v>
      </c>
      <c r="F299" s="48" t="n">
        <v>7269</v>
      </c>
      <c r="G299" s="48" t="n">
        <v>7494</v>
      </c>
      <c r="H299" s="48" t="n">
        <v>7215</v>
      </c>
      <c r="I299" s="48" t="n">
        <v>7471</v>
      </c>
      <c r="J299" s="48" t="n">
        <v>7283</v>
      </c>
      <c r="K299" s="48" t="n">
        <v>7237</v>
      </c>
      <c r="L299" s="48" t="n">
        <v>17334594</v>
      </c>
      <c r="M299" s="48" t="n">
        <v>129506751774</v>
      </c>
      <c r="N299" s="48" t="n">
        <v>477</v>
      </c>
      <c r="O299" s="48" t="n">
        <v>10745195</v>
      </c>
      <c r="P299" s="48" t="n">
        <v>6615220</v>
      </c>
      <c r="Q299" s="48" t="n">
        <v>180</v>
      </c>
      <c r="R299" s="48" t="n">
        <v>222</v>
      </c>
      <c r="S299" s="48" t="n">
        <v>6589399</v>
      </c>
      <c r="T299" s="48" t="n">
        <v>10719374</v>
      </c>
      <c r="U299" s="46" t="n">
        <f aca="false">IF($A299=$A298,$U298+1,1)</f>
        <v>35</v>
      </c>
      <c r="V299" s="48" t="n">
        <f aca="false">IF($U299&gt;=MA_SHORT,AVERAGE(INDEX($I$5:$I299,296-MA_SHORT):$I299),"")</f>
        <v>7005.2</v>
      </c>
      <c r="W299" s="48" t="str">
        <f aca="false">IF($U299&gt;=MA_MED,AVERAGE(INDEX($I$5:$I299,296-MA_MED):$I299),"")</f>
        <v/>
      </c>
      <c r="X299" s="48" t="str">
        <f aca="false">IF($U299&gt;=MA_LONG1,AVERAGE(INDEX($I$5:$I299,296-MA_LONG1):$I299),"")</f>
        <v/>
      </c>
      <c r="Y299" s="48" t="str">
        <f aca="false">IF($U299&gt;=MA_LONG2,AVERAGE(INDEX($I$5:$I299,296-MA_LONG2):$I299),"")</f>
        <v/>
      </c>
      <c r="Z299" s="48" t="n">
        <f aca="false">IF($U299&gt;=MA_SHORT,AVERAGE(INDEX($L$179:$L299,122-MA_SHORT):$L299),"")</f>
        <v>19147651.6</v>
      </c>
      <c r="AA299" s="48" t="n">
        <f aca="false">IF($U299=1,$G299-$H299,MAX($G299-$H299,ABS($G299-$I298),ABS($H299-$I298)))</f>
        <v>279</v>
      </c>
      <c r="AB299" s="48" t="n">
        <f aca="false">IF($U299&gt;=ATR_PER,AVERAGE(INDEX($AA$179:$AA299,122-ATR_PER):$AA299),"")</f>
        <v>281.071428571429</v>
      </c>
      <c r="AC299" s="48" t="n">
        <f aca="false">$O299-$P299</f>
        <v>4129975</v>
      </c>
      <c r="AD299" s="48" t="n">
        <f aca="false">$AC299*$I299</f>
        <v>30855043225</v>
      </c>
      <c r="AE299" s="49" t="n">
        <f aca="false">IF($Q299&gt;0,$O299*$I299/$Q299/1000000,"")</f>
        <v>445.985288027778</v>
      </c>
      <c r="AF299" s="49" t="n">
        <f aca="false">IF($R299&gt;0,$P299*$I299/$R299/1000000,"")</f>
        <v>222.623011801802</v>
      </c>
      <c r="AG299" s="50" t="n">
        <f aca="false">IF(AND(ISNUMBER($AE299),ISNUMBER($AF299),$AF299&gt;0),$AE299/$AF299,"")</f>
        <v>2.00332070084845</v>
      </c>
      <c r="AH299" s="48" t="n">
        <f aca="false">IF($U299&gt;=5,SUM(INDEX($AD$269:$AD299,32-5):$AD299),"")</f>
        <v>118145242427</v>
      </c>
      <c r="AI299" s="48" t="n">
        <f aca="false">IF($U299&gt;=STRUCT_S,MAX(INDEX($G$149:$G299,152-STRUCT_S):$G299),"")</f>
        <v>7494</v>
      </c>
      <c r="AJ299" s="48" t="n">
        <f aca="false">IF($U299&gt;=STRUCT_S,MIN(INDEX($H$149:$H299,152-STRUCT_S):$H299),"")</f>
        <v>6631</v>
      </c>
      <c r="AK299" s="48" t="str">
        <f aca="false">IF($U299&gt;=STRUCT_L,MAX(INDEX($G$49:$G299,252-STRUCT_L):$G299),"")</f>
        <v/>
      </c>
      <c r="AL299" s="48" t="str">
        <f aca="false">IF($U299&gt;=STRUCT_L,MIN(INDEX($H$49:$H299,252-STRUCT_L):$H299),"")</f>
        <v/>
      </c>
      <c r="AM299" s="46" t="n">
        <f aca="false">IF($A299&lt;&gt;$A300,1,0)</f>
        <v>0</v>
      </c>
      <c r="AN299" s="47" t="str">
        <f aca="false">IF($AM299=1,$A299,"")</f>
        <v/>
      </c>
    </row>
    <row r="300" customFormat="false" ht="15" hidden="false" customHeight="false" outlineLevel="0" collapsed="false">
      <c r="A300" s="43" t="s">
        <v>138</v>
      </c>
      <c r="B300" s="44" t="s">
        <v>140</v>
      </c>
      <c r="C300" s="45" t="n">
        <v>45955</v>
      </c>
      <c r="D300" s="46" t="n">
        <v>20251025</v>
      </c>
      <c r="E300" s="47" t="s">
        <v>323</v>
      </c>
      <c r="F300" s="48" t="n">
        <v>7433</v>
      </c>
      <c r="G300" s="48" t="n">
        <v>7544</v>
      </c>
      <c r="H300" s="48" t="n">
        <v>7410</v>
      </c>
      <c r="I300" s="48" t="n">
        <v>7483</v>
      </c>
      <c r="J300" s="48" t="n">
        <v>7465</v>
      </c>
      <c r="K300" s="48" t="n">
        <v>7471</v>
      </c>
      <c r="L300" s="48" t="n">
        <v>14657963</v>
      </c>
      <c r="M300" s="48" t="n">
        <v>109685537129</v>
      </c>
      <c r="N300" s="48" t="n">
        <v>747</v>
      </c>
      <c r="O300" s="48" t="n">
        <v>9376516</v>
      </c>
      <c r="P300" s="48" t="n">
        <v>4796017</v>
      </c>
      <c r="Q300" s="48" t="n">
        <v>288</v>
      </c>
      <c r="R300" s="48" t="n">
        <v>349</v>
      </c>
      <c r="S300" s="48" t="n">
        <v>5281447</v>
      </c>
      <c r="T300" s="48" t="n">
        <v>9861946</v>
      </c>
      <c r="U300" s="46" t="n">
        <f aca="false">IF($A300=$A299,$U299+1,1)</f>
        <v>36</v>
      </c>
      <c r="V300" s="48" t="n">
        <f aca="false">IF($U300&gt;=MA_SHORT,AVERAGE(INDEX($I$5:$I300,297-MA_SHORT):$I300),"")</f>
        <v>7033.5</v>
      </c>
      <c r="W300" s="48" t="str">
        <f aca="false">IF($U300&gt;=MA_MED,AVERAGE(INDEX($I$5:$I300,297-MA_MED):$I300),"")</f>
        <v/>
      </c>
      <c r="X300" s="48" t="str">
        <f aca="false">IF($U300&gt;=MA_LONG1,AVERAGE(INDEX($I$5:$I300,297-MA_LONG1):$I300),"")</f>
        <v/>
      </c>
      <c r="Y300" s="48" t="str">
        <f aca="false">IF($U300&gt;=MA_LONG2,AVERAGE(INDEX($I$5:$I300,297-MA_LONG2):$I300),"")</f>
        <v/>
      </c>
      <c r="Z300" s="48" t="n">
        <f aca="false">IF($U300&gt;=MA_SHORT,AVERAGE(INDEX($L$180:$L300,122-MA_SHORT):$L300),"")</f>
        <v>18794501.1</v>
      </c>
      <c r="AA300" s="48" t="n">
        <f aca="false">IF($U300=1,$G300-$H300,MAX($G300-$H300,ABS($G300-$I299),ABS($H300-$I299)))</f>
        <v>134</v>
      </c>
      <c r="AB300" s="48" t="n">
        <f aca="false">IF($U300&gt;=ATR_PER,AVERAGE(INDEX($AA$180:$AA300,122-ATR_PER):$AA300),"")</f>
        <v>274.357142857143</v>
      </c>
      <c r="AC300" s="48" t="n">
        <f aca="false">$O300-$P300</f>
        <v>4580499</v>
      </c>
      <c r="AD300" s="48" t="n">
        <f aca="false">$AC300*$I300</f>
        <v>34275874017</v>
      </c>
      <c r="AE300" s="49" t="n">
        <f aca="false">IF($Q300&gt;0,$O300*$I300/$Q300/1000000,"")</f>
        <v>243.626629263889</v>
      </c>
      <c r="AF300" s="49" t="n">
        <f aca="false">IF($R300&gt;0,$P300*$I300/$R300/1000000,"")</f>
        <v>102.832651034384</v>
      </c>
      <c r="AG300" s="50" t="n">
        <f aca="false">IF(AND(ISNUMBER($AE300),ISNUMBER($AF300),$AF300&gt;0),$AE300/$AF300,"")</f>
        <v>2.36915636048737</v>
      </c>
      <c r="AH300" s="48" t="n">
        <f aca="false">IF($U300&gt;=5,SUM(INDEX($AD$270:$AD300,32-5):$AD300),"")</f>
        <v>138700574674</v>
      </c>
      <c r="AI300" s="48" t="n">
        <f aca="false">IF($U300&gt;=STRUCT_S,MAX(INDEX($G$150:$G300,152-STRUCT_S):$G300),"")</f>
        <v>7544</v>
      </c>
      <c r="AJ300" s="48" t="n">
        <f aca="false">IF($U300&gt;=STRUCT_S,MIN(INDEX($H$150:$H300,152-STRUCT_S):$H300),"")</f>
        <v>6631</v>
      </c>
      <c r="AK300" s="48" t="str">
        <f aca="false">IF($U300&gt;=STRUCT_L,MAX(INDEX($G$50:$G300,252-STRUCT_L):$G300),"")</f>
        <v/>
      </c>
      <c r="AL300" s="48" t="str">
        <f aca="false">IF($U300&gt;=STRUCT_L,MIN(INDEX($H$50:$H300,252-STRUCT_L):$H300),"")</f>
        <v/>
      </c>
      <c r="AM300" s="46" t="n">
        <f aca="false">IF($A300&lt;&gt;$A301,1,0)</f>
        <v>0</v>
      </c>
      <c r="AN300" s="47" t="str">
        <f aca="false">IF($AM300=1,$A300,"")</f>
        <v/>
      </c>
    </row>
    <row r="301" customFormat="false" ht="15" hidden="false" customHeight="false" outlineLevel="0" collapsed="false">
      <c r="A301" s="43" t="s">
        <v>138</v>
      </c>
      <c r="B301" s="44" t="s">
        <v>140</v>
      </c>
      <c r="C301" s="45" t="n">
        <v>45956</v>
      </c>
      <c r="D301" s="46" t="n">
        <v>20251026</v>
      </c>
      <c r="E301" s="47" t="s">
        <v>324</v>
      </c>
      <c r="F301" s="48" t="n">
        <v>7490</v>
      </c>
      <c r="G301" s="48" t="n">
        <v>7748</v>
      </c>
      <c r="H301" s="48" t="n">
        <v>7393</v>
      </c>
      <c r="I301" s="48" t="n">
        <v>7656</v>
      </c>
      <c r="J301" s="48" t="n">
        <v>7463</v>
      </c>
      <c r="K301" s="48" t="n">
        <v>7483</v>
      </c>
      <c r="L301" s="48" t="n">
        <v>18696611</v>
      </c>
      <c r="M301" s="48" t="n">
        <v>143141253816</v>
      </c>
      <c r="N301" s="48" t="n">
        <v>679</v>
      </c>
      <c r="O301" s="48" t="n">
        <v>11831287</v>
      </c>
      <c r="P301" s="48" t="n">
        <v>6081969</v>
      </c>
      <c r="Q301" s="48" t="n">
        <v>229</v>
      </c>
      <c r="R301" s="48" t="n">
        <v>429</v>
      </c>
      <c r="S301" s="48" t="n">
        <v>6865324</v>
      </c>
      <c r="T301" s="48" t="n">
        <v>12614642</v>
      </c>
      <c r="U301" s="46" t="n">
        <f aca="false">IF($A301=$A300,$U300+1,1)</f>
        <v>37</v>
      </c>
      <c r="V301" s="48" t="n">
        <f aca="false">IF($U301&gt;=MA_SHORT,AVERAGE(INDEX($I$5:$I301,298-MA_SHORT):$I301),"")</f>
        <v>7061.25</v>
      </c>
      <c r="W301" s="48" t="str">
        <f aca="false">IF($U301&gt;=MA_MED,AVERAGE(INDEX($I$5:$I301,298-MA_MED):$I301),"")</f>
        <v/>
      </c>
      <c r="X301" s="48" t="str">
        <f aca="false">IF($U301&gt;=MA_LONG1,AVERAGE(INDEX($I$5:$I301,298-MA_LONG1):$I301),"")</f>
        <v/>
      </c>
      <c r="Y301" s="48" t="str">
        <f aca="false">IF($U301&gt;=MA_LONG2,AVERAGE(INDEX($I$5:$I301,298-MA_LONG2):$I301),"")</f>
        <v/>
      </c>
      <c r="Z301" s="48" t="n">
        <f aca="false">IF($U301&gt;=MA_SHORT,AVERAGE(INDEX($L$181:$L301,122-MA_SHORT):$L301),"")</f>
        <v>18887570.3</v>
      </c>
      <c r="AA301" s="48" t="n">
        <f aca="false">IF($U301=1,$G301-$H301,MAX($G301-$H301,ABS($G301-$I300),ABS($H301-$I300)))</f>
        <v>355</v>
      </c>
      <c r="AB301" s="48" t="n">
        <f aca="false">IF($U301&gt;=ATR_PER,AVERAGE(INDEX($AA$181:$AA301,122-ATR_PER):$AA301),"")</f>
        <v>281.785714285714</v>
      </c>
      <c r="AC301" s="48" t="n">
        <f aca="false">$O301-$P301</f>
        <v>5749318</v>
      </c>
      <c r="AD301" s="48" t="n">
        <f aca="false">$AC301*$I301</f>
        <v>44016778608</v>
      </c>
      <c r="AE301" s="49" t="n">
        <f aca="false">IF($Q301&gt;0,$O301*$I301/$Q301/1000000,"")</f>
        <v>395.547306864629</v>
      </c>
      <c r="AF301" s="49" t="n">
        <f aca="false">IF($R301&gt;0,$P301*$I301/$R301/1000000,"")</f>
        <v>108.539754461538</v>
      </c>
      <c r="AG301" s="50" t="n">
        <f aca="false">IF(AND(ISNUMBER($AE301),ISNUMBER($AF301),$AF301&gt;0),$AE301/$AF301,"")</f>
        <v>3.64426203861363</v>
      </c>
      <c r="AH301" s="48" t="n">
        <f aca="false">IF($U301&gt;=5,SUM(INDEX($AD$271:$AD301,32-5):$AD301),"")</f>
        <v>194543025346</v>
      </c>
      <c r="AI301" s="48" t="n">
        <f aca="false">IF($U301&gt;=STRUCT_S,MAX(INDEX($G$151:$G301,152-STRUCT_S):$G301),"")</f>
        <v>7748</v>
      </c>
      <c r="AJ301" s="48" t="n">
        <f aca="false">IF($U301&gt;=STRUCT_S,MIN(INDEX($H$151:$H301,152-STRUCT_S):$H301),"")</f>
        <v>6631</v>
      </c>
      <c r="AK301" s="48" t="str">
        <f aca="false">IF($U301&gt;=STRUCT_L,MAX(INDEX($G$51:$G301,252-STRUCT_L):$G301),"")</f>
        <v/>
      </c>
      <c r="AL301" s="48" t="str">
        <f aca="false">IF($U301&gt;=STRUCT_L,MIN(INDEX($H$51:$H301,252-STRUCT_L):$H301),"")</f>
        <v/>
      </c>
      <c r="AM301" s="46" t="n">
        <f aca="false">IF($A301&lt;&gt;$A302,1,0)</f>
        <v>0</v>
      </c>
      <c r="AN301" s="47" t="str">
        <f aca="false">IF($AM301=1,$A301,"")</f>
        <v/>
      </c>
    </row>
    <row r="302" customFormat="false" ht="15" hidden="false" customHeight="false" outlineLevel="0" collapsed="false">
      <c r="A302" s="43" t="s">
        <v>138</v>
      </c>
      <c r="B302" s="44" t="s">
        <v>140</v>
      </c>
      <c r="C302" s="45" t="n">
        <v>45957</v>
      </c>
      <c r="D302" s="46" t="n">
        <v>20251027</v>
      </c>
      <c r="E302" s="47" t="s">
        <v>325</v>
      </c>
      <c r="F302" s="48" t="n">
        <v>7652</v>
      </c>
      <c r="G302" s="48" t="n">
        <v>7731</v>
      </c>
      <c r="H302" s="48" t="n">
        <v>7592</v>
      </c>
      <c r="I302" s="48" t="n">
        <v>7667</v>
      </c>
      <c r="J302" s="48" t="n">
        <v>7694</v>
      </c>
      <c r="K302" s="48" t="n">
        <v>7656</v>
      </c>
      <c r="L302" s="48" t="n">
        <v>15028104</v>
      </c>
      <c r="M302" s="48" t="n">
        <v>115220473368</v>
      </c>
      <c r="N302" s="48" t="n">
        <v>783</v>
      </c>
      <c r="O302" s="48" t="n">
        <v>7521866</v>
      </c>
      <c r="P302" s="48" t="n">
        <v>8148125</v>
      </c>
      <c r="Q302" s="48" t="n">
        <v>236</v>
      </c>
      <c r="R302" s="48" t="n">
        <v>530</v>
      </c>
      <c r="S302" s="48" t="n">
        <v>7506238</v>
      </c>
      <c r="T302" s="48" t="n">
        <v>6879979</v>
      </c>
      <c r="U302" s="46" t="n">
        <f aca="false">IF($A302=$A301,$U301+1,1)</f>
        <v>38</v>
      </c>
      <c r="V302" s="48" t="n">
        <f aca="false">IF($U302&gt;=MA_SHORT,AVERAGE(INDEX($I$5:$I302,299-MA_SHORT):$I302),"")</f>
        <v>7097.9</v>
      </c>
      <c r="W302" s="48" t="str">
        <f aca="false">IF($U302&gt;=MA_MED,AVERAGE(INDEX($I$5:$I302,299-MA_MED):$I302),"")</f>
        <v/>
      </c>
      <c r="X302" s="48" t="str">
        <f aca="false">IF($U302&gt;=MA_LONG1,AVERAGE(INDEX($I$5:$I302,299-MA_LONG1):$I302),"")</f>
        <v/>
      </c>
      <c r="Y302" s="48" t="str">
        <f aca="false">IF($U302&gt;=MA_LONG2,AVERAGE(INDEX($I$5:$I302,299-MA_LONG2):$I302),"")</f>
        <v/>
      </c>
      <c r="Z302" s="48" t="n">
        <f aca="false">IF($U302&gt;=MA_SHORT,AVERAGE(INDEX($L$182:$L302,122-MA_SHORT):$L302),"")</f>
        <v>18810643.25</v>
      </c>
      <c r="AA302" s="48" t="n">
        <f aca="false">IF($U302=1,$G302-$H302,MAX($G302-$H302,ABS($G302-$I301),ABS($H302-$I301)))</f>
        <v>139</v>
      </c>
      <c r="AB302" s="48" t="n">
        <f aca="false">IF($U302&gt;=ATR_PER,AVERAGE(INDEX($AA$182:$AA302,122-ATR_PER):$AA302),"")</f>
        <v>265.357142857143</v>
      </c>
      <c r="AC302" s="48" t="n">
        <f aca="false">$O302-$P302</f>
        <v>-626259</v>
      </c>
      <c r="AD302" s="48" t="n">
        <f aca="false">$AC302*$I302</f>
        <v>-4801527753</v>
      </c>
      <c r="AE302" s="49" t="n">
        <f aca="false">IF($Q302&gt;0,$O302*$I302/$Q302/1000000,"")</f>
        <v>244.365028059322</v>
      </c>
      <c r="AF302" s="49" t="n">
        <f aca="false">IF($R302&gt;0,$P302*$I302/$R302/1000000,"")</f>
        <v>117.871083726415</v>
      </c>
      <c r="AG302" s="50" t="n">
        <f aca="false">IF(AND(ISNUMBER($AE302),ISNUMBER($AF302),$AF302&gt;0),$AE302/$AF302,"")</f>
        <v>2.07315501252628</v>
      </c>
      <c r="AH302" s="48" t="n">
        <f aca="false">IF($U302&gt;=5,SUM(INDEX($AD$272:$AD302,32-5):$AD302),"")</f>
        <v>147628942691</v>
      </c>
      <c r="AI302" s="48" t="n">
        <f aca="false">IF($U302&gt;=STRUCT_S,MAX(INDEX($G$152:$G302,152-STRUCT_S):$G302),"")</f>
        <v>7748</v>
      </c>
      <c r="AJ302" s="48" t="n">
        <f aca="false">IF($U302&gt;=STRUCT_S,MIN(INDEX($H$152:$H302,152-STRUCT_S):$H302),"")</f>
        <v>6631</v>
      </c>
      <c r="AK302" s="48" t="str">
        <f aca="false">IF($U302&gt;=STRUCT_L,MAX(INDEX($G$52:$G302,252-STRUCT_L):$G302),"")</f>
        <v/>
      </c>
      <c r="AL302" s="48" t="str">
        <f aca="false">IF($U302&gt;=STRUCT_L,MIN(INDEX($H$52:$H302,252-STRUCT_L):$H302),"")</f>
        <v/>
      </c>
      <c r="AM302" s="46" t="n">
        <f aca="false">IF($A302&lt;&gt;$A303,1,0)</f>
        <v>0</v>
      </c>
      <c r="AN302" s="47" t="str">
        <f aca="false">IF($AM302=1,$A302,"")</f>
        <v/>
      </c>
    </row>
    <row r="303" customFormat="false" ht="15" hidden="false" customHeight="false" outlineLevel="0" collapsed="false">
      <c r="A303" s="43" t="s">
        <v>138</v>
      </c>
      <c r="B303" s="44" t="s">
        <v>140</v>
      </c>
      <c r="C303" s="45" t="n">
        <v>45958</v>
      </c>
      <c r="D303" s="46" t="n">
        <v>20251028</v>
      </c>
      <c r="E303" s="47" t="s">
        <v>326</v>
      </c>
      <c r="F303" s="48" t="n">
        <v>7587</v>
      </c>
      <c r="G303" s="48" t="n">
        <v>7927</v>
      </c>
      <c r="H303" s="48" t="n">
        <v>7521</v>
      </c>
      <c r="I303" s="48" t="n">
        <v>7779</v>
      </c>
      <c r="J303" s="48" t="n">
        <v>7733</v>
      </c>
      <c r="K303" s="48" t="n">
        <v>7667</v>
      </c>
      <c r="L303" s="48" t="n">
        <v>20914734</v>
      </c>
      <c r="M303" s="48" t="n">
        <v>162695715786</v>
      </c>
      <c r="N303" s="48" t="n">
        <v>502</v>
      </c>
      <c r="O303" s="48" t="n">
        <v>15567044</v>
      </c>
      <c r="P303" s="48" t="n">
        <v>4182946</v>
      </c>
      <c r="Q303" s="48" t="n">
        <v>221</v>
      </c>
      <c r="R303" s="48" t="n">
        <v>261</v>
      </c>
      <c r="S303" s="48" t="n">
        <v>5347690</v>
      </c>
      <c r="T303" s="48" t="n">
        <v>16731788</v>
      </c>
      <c r="U303" s="46" t="n">
        <f aca="false">IF($A303=$A302,$U302+1,1)</f>
        <v>39</v>
      </c>
      <c r="V303" s="48" t="n">
        <f aca="false">IF($U303&gt;=MA_SHORT,AVERAGE(INDEX($I$5:$I303,300-MA_SHORT):$I303),"")</f>
        <v>7141.75</v>
      </c>
      <c r="W303" s="48" t="str">
        <f aca="false">IF($U303&gt;=MA_MED,AVERAGE(INDEX($I$5:$I303,300-MA_MED):$I303),"")</f>
        <v/>
      </c>
      <c r="X303" s="48" t="str">
        <f aca="false">IF($U303&gt;=MA_LONG1,AVERAGE(INDEX($I$5:$I303,300-MA_LONG1):$I303),"")</f>
        <v/>
      </c>
      <c r="Y303" s="48" t="str">
        <f aca="false">IF($U303&gt;=MA_LONG2,AVERAGE(INDEX($I$5:$I303,300-MA_LONG2):$I303),"")</f>
        <v/>
      </c>
      <c r="Z303" s="48" t="n">
        <f aca="false">IF($U303&gt;=MA_SHORT,AVERAGE(INDEX($L$183:$L303,122-MA_SHORT):$L303),"")</f>
        <v>17903662.9</v>
      </c>
      <c r="AA303" s="48" t="n">
        <f aca="false">IF($U303=1,$G303-$H303,MAX($G303-$H303,ABS($G303-$I302),ABS($H303-$I302)))</f>
        <v>406</v>
      </c>
      <c r="AB303" s="48" t="n">
        <f aca="false">IF($U303&gt;=ATR_PER,AVERAGE(INDEX($AA$183:$AA303,122-ATR_PER):$AA303),"")</f>
        <v>280.857142857143</v>
      </c>
      <c r="AC303" s="48" t="n">
        <f aca="false">$O303-$P303</f>
        <v>11384098</v>
      </c>
      <c r="AD303" s="48" t="n">
        <f aca="false">$AC303*$I303</f>
        <v>88556898342</v>
      </c>
      <c r="AE303" s="49" t="n">
        <f aca="false">IF($Q303&gt;0,$O303*$I303/$Q303/1000000,"")</f>
        <v>547.945860977376</v>
      </c>
      <c r="AF303" s="49" t="n">
        <f aca="false">IF($R303&gt;0,$P303*$I303/$R303/1000000,"")</f>
        <v>124.671022735632</v>
      </c>
      <c r="AG303" s="50" t="n">
        <f aca="false">IF(AND(ISNUMBER($AE303),ISNUMBER($AF303),$AF303&gt;0),$AE303/$AF303,"")</f>
        <v>4.3951340813118</v>
      </c>
      <c r="AH303" s="48" t="n">
        <f aca="false">IF($U303&gt;=5,SUM(INDEX($AD$273:$AD303,32-5):$AD303),"")</f>
        <v>192903066439</v>
      </c>
      <c r="AI303" s="48" t="n">
        <f aca="false">IF($U303&gt;=STRUCT_S,MAX(INDEX($G$153:$G303,152-STRUCT_S):$G303),"")</f>
        <v>7927</v>
      </c>
      <c r="AJ303" s="48" t="n">
        <f aca="false">IF($U303&gt;=STRUCT_S,MIN(INDEX($H$153:$H303,152-STRUCT_S):$H303),"")</f>
        <v>6631</v>
      </c>
      <c r="AK303" s="48" t="str">
        <f aca="false">IF($U303&gt;=STRUCT_L,MAX(INDEX($G$53:$G303,252-STRUCT_L):$G303),"")</f>
        <v/>
      </c>
      <c r="AL303" s="48" t="str">
        <f aca="false">IF($U303&gt;=STRUCT_L,MIN(INDEX($H$53:$H303,252-STRUCT_L):$H303),"")</f>
        <v/>
      </c>
      <c r="AM303" s="46" t="n">
        <f aca="false">IF($A303&lt;&gt;$A304,1,0)</f>
        <v>0</v>
      </c>
      <c r="AN303" s="47" t="str">
        <f aca="false">IF($AM303=1,$A303,"")</f>
        <v/>
      </c>
    </row>
    <row r="304" customFormat="false" ht="15" hidden="false" customHeight="false" outlineLevel="0" collapsed="false">
      <c r="A304" s="43" t="s">
        <v>138</v>
      </c>
      <c r="B304" s="44" t="s">
        <v>140</v>
      </c>
      <c r="C304" s="45" t="n">
        <v>45959</v>
      </c>
      <c r="D304" s="46" t="n">
        <v>20251029</v>
      </c>
      <c r="E304" s="47" t="s">
        <v>327</v>
      </c>
      <c r="F304" s="48" t="n">
        <v>7720</v>
      </c>
      <c r="G304" s="48" t="n">
        <v>7984</v>
      </c>
      <c r="H304" s="48" t="n">
        <v>7712</v>
      </c>
      <c r="I304" s="48" t="n">
        <v>7916</v>
      </c>
      <c r="J304" s="48" t="n">
        <v>7967</v>
      </c>
      <c r="K304" s="48" t="n">
        <v>7779</v>
      </c>
      <c r="L304" s="48" t="n">
        <v>16052158</v>
      </c>
      <c r="M304" s="48" t="n">
        <v>127068882728</v>
      </c>
      <c r="N304" s="48" t="n">
        <v>1069</v>
      </c>
      <c r="O304" s="48" t="n">
        <v>9890791</v>
      </c>
      <c r="P304" s="48" t="n">
        <v>5370469</v>
      </c>
      <c r="Q304" s="48" t="n">
        <v>331</v>
      </c>
      <c r="R304" s="48" t="n">
        <v>582</v>
      </c>
      <c r="S304" s="48" t="n">
        <v>6161367</v>
      </c>
      <c r="T304" s="48" t="n">
        <v>10681689</v>
      </c>
      <c r="U304" s="46" t="n">
        <f aca="false">IF($A304=$A303,$U303+1,1)</f>
        <v>40</v>
      </c>
      <c r="V304" s="48" t="n">
        <f aca="false">IF($U304&gt;=MA_SHORT,AVERAGE(INDEX($I$5:$I304,301-MA_SHORT):$I304),"")</f>
        <v>7193.65</v>
      </c>
      <c r="W304" s="48" t="str">
        <f aca="false">IF($U304&gt;=MA_MED,AVERAGE(INDEX($I$5:$I304,301-MA_MED):$I304),"")</f>
        <v/>
      </c>
      <c r="X304" s="48" t="str">
        <f aca="false">IF($U304&gt;=MA_LONG1,AVERAGE(INDEX($I$5:$I304,301-MA_LONG1):$I304),"")</f>
        <v/>
      </c>
      <c r="Y304" s="48" t="str">
        <f aca="false">IF($U304&gt;=MA_LONG2,AVERAGE(INDEX($I$5:$I304,301-MA_LONG2):$I304),"")</f>
        <v/>
      </c>
      <c r="Z304" s="48" t="n">
        <f aca="false">IF($U304&gt;=MA_SHORT,AVERAGE(INDEX($L$184:$L304,122-MA_SHORT):$L304),"")</f>
        <v>17730610.4</v>
      </c>
      <c r="AA304" s="48" t="n">
        <f aca="false">IF($U304=1,$G304-$H304,MAX($G304-$H304,ABS($G304-$I303),ABS($H304-$I303)))</f>
        <v>272</v>
      </c>
      <c r="AB304" s="48" t="n">
        <f aca="false">IF($U304&gt;=ATR_PER,AVERAGE(INDEX($AA$184:$AA304,122-ATR_PER):$AA304),"")</f>
        <v>287.571428571429</v>
      </c>
      <c r="AC304" s="48" t="n">
        <f aca="false">$O304-$P304</f>
        <v>4520322</v>
      </c>
      <c r="AD304" s="48" t="n">
        <f aca="false">$AC304*$I304</f>
        <v>35782868952</v>
      </c>
      <c r="AE304" s="49" t="n">
        <f aca="false">IF($Q304&gt;0,$O304*$I304/$Q304/1000000,"")</f>
        <v>236.542300773414</v>
      </c>
      <c r="AF304" s="49" t="n">
        <f aca="false">IF($R304&gt;0,$P304*$I304/$R304/1000000,"")</f>
        <v>73.0457604879725</v>
      </c>
      <c r="AG304" s="50" t="n">
        <f aca="false">IF(AND(ISNUMBER($AE304),ISNUMBER($AF304),$AF304&gt;0),$AE304/$AF304,"")</f>
        <v>3.23827555758506</v>
      </c>
      <c r="AH304" s="48" t="n">
        <f aca="false">IF($U304&gt;=5,SUM(INDEX($AD$274:$AD304,32-5):$AD304),"")</f>
        <v>197830892166</v>
      </c>
      <c r="AI304" s="48" t="n">
        <f aca="false">IF($U304&gt;=STRUCT_S,MAX(INDEX($G$154:$G304,152-STRUCT_S):$G304),"")</f>
        <v>7984</v>
      </c>
      <c r="AJ304" s="48" t="n">
        <f aca="false">IF($U304&gt;=STRUCT_S,MIN(INDEX($H$154:$H304,152-STRUCT_S):$H304),"")</f>
        <v>6631</v>
      </c>
      <c r="AK304" s="48" t="str">
        <f aca="false">IF($U304&gt;=STRUCT_L,MAX(INDEX($G$54:$G304,252-STRUCT_L):$G304),"")</f>
        <v/>
      </c>
      <c r="AL304" s="48" t="str">
        <f aca="false">IF($U304&gt;=STRUCT_L,MIN(INDEX($H$54:$H304,252-STRUCT_L):$H304),"")</f>
        <v/>
      </c>
      <c r="AM304" s="46" t="n">
        <f aca="false">IF($A304&lt;&gt;$A305,1,0)</f>
        <v>0</v>
      </c>
      <c r="AN304" s="47" t="str">
        <f aca="false">IF($AM304=1,$A304,"")</f>
        <v/>
      </c>
    </row>
    <row r="305" customFormat="false" ht="15" hidden="false" customHeight="false" outlineLevel="0" collapsed="false">
      <c r="A305" s="43" t="s">
        <v>138</v>
      </c>
      <c r="B305" s="44" t="s">
        <v>140</v>
      </c>
      <c r="C305" s="45" t="n">
        <v>45962</v>
      </c>
      <c r="D305" s="46" t="n">
        <v>20251101</v>
      </c>
      <c r="E305" s="47" t="s">
        <v>328</v>
      </c>
      <c r="F305" s="48" t="n">
        <v>7945</v>
      </c>
      <c r="G305" s="48" t="n">
        <v>8226</v>
      </c>
      <c r="H305" s="48" t="n">
        <v>7835</v>
      </c>
      <c r="I305" s="48" t="n">
        <v>8143</v>
      </c>
      <c r="J305" s="48" t="n">
        <v>7914</v>
      </c>
      <c r="K305" s="48" t="n">
        <v>7916</v>
      </c>
      <c r="L305" s="48" t="n">
        <v>21727808</v>
      </c>
      <c r="M305" s="48" t="n">
        <v>176929540544</v>
      </c>
      <c r="N305" s="48" t="n">
        <v>486</v>
      </c>
      <c r="O305" s="48" t="n">
        <v>13980833</v>
      </c>
      <c r="P305" s="48" t="n">
        <v>8219472</v>
      </c>
      <c r="Q305" s="48" t="n">
        <v>179</v>
      </c>
      <c r="R305" s="48" t="n">
        <v>290</v>
      </c>
      <c r="S305" s="48" t="n">
        <v>7746975</v>
      </c>
      <c r="T305" s="48" t="n">
        <v>13508336</v>
      </c>
      <c r="U305" s="46" t="n">
        <f aca="false">IF($A305=$A304,$U304+1,1)</f>
        <v>41</v>
      </c>
      <c r="V305" s="48" t="n">
        <f aca="false">IF($U305&gt;=MA_SHORT,AVERAGE(INDEX($I$5:$I305,302-MA_SHORT):$I305),"")</f>
        <v>7248.1</v>
      </c>
      <c r="W305" s="48" t="str">
        <f aca="false">IF($U305&gt;=MA_MED,AVERAGE(INDEX($I$5:$I305,302-MA_MED):$I305),"")</f>
        <v/>
      </c>
      <c r="X305" s="48" t="str">
        <f aca="false">IF($U305&gt;=MA_LONG1,AVERAGE(INDEX($I$5:$I305,302-MA_LONG1):$I305),"")</f>
        <v/>
      </c>
      <c r="Y305" s="48" t="str">
        <f aca="false">IF($U305&gt;=MA_LONG2,AVERAGE(INDEX($I$5:$I305,302-MA_LONG2):$I305),"")</f>
        <v/>
      </c>
      <c r="Z305" s="48" t="n">
        <f aca="false">IF($U305&gt;=MA_SHORT,AVERAGE(INDEX($L$185:$L305,122-MA_SHORT):$L305),"")</f>
        <v>17685386.9</v>
      </c>
      <c r="AA305" s="48" t="n">
        <f aca="false">IF($U305=1,$G305-$H305,MAX($G305-$H305,ABS($G305-$I304),ABS($H305-$I304)))</f>
        <v>391</v>
      </c>
      <c r="AB305" s="48" t="n">
        <f aca="false">IF($U305&gt;=ATR_PER,AVERAGE(INDEX($AA$185:$AA305,122-ATR_PER):$AA305),"")</f>
        <v>288.714285714286</v>
      </c>
      <c r="AC305" s="48" t="n">
        <f aca="false">$O305-$P305</f>
        <v>5761361</v>
      </c>
      <c r="AD305" s="48" t="n">
        <f aca="false">$AC305*$I305</f>
        <v>46914762623</v>
      </c>
      <c r="AE305" s="49" t="n">
        <f aca="false">IF($Q305&gt;0,$O305*$I305/$Q305/1000000,"")</f>
        <v>636.010743681564</v>
      </c>
      <c r="AF305" s="49" t="n">
        <f aca="false">IF($R305&gt;0,$P305*$I305/$R305/1000000,"")</f>
        <v>230.797105158621</v>
      </c>
      <c r="AG305" s="50" t="n">
        <f aca="false">IF(AND(ISNUMBER($AE305),ISNUMBER($AF305),$AF305&gt;0),$AE305/$AF305,"")</f>
        <v>2.7557136959948</v>
      </c>
      <c r="AH305" s="48" t="n">
        <f aca="false">IF($U305&gt;=5,SUM(INDEX($AD$275:$AD305,32-5):$AD305),"")</f>
        <v>210469780772</v>
      </c>
      <c r="AI305" s="48" t="n">
        <f aca="false">IF($U305&gt;=STRUCT_S,MAX(INDEX($G$155:$G305,152-STRUCT_S):$G305),"")</f>
        <v>8226</v>
      </c>
      <c r="AJ305" s="48" t="n">
        <f aca="false">IF($U305&gt;=STRUCT_S,MIN(INDEX($H$155:$H305,152-STRUCT_S):$H305),"")</f>
        <v>6631</v>
      </c>
      <c r="AK305" s="48" t="str">
        <f aca="false">IF($U305&gt;=STRUCT_L,MAX(INDEX($G$55:$G305,252-STRUCT_L):$G305),"")</f>
        <v/>
      </c>
      <c r="AL305" s="48" t="str">
        <f aca="false">IF($U305&gt;=STRUCT_L,MIN(INDEX($H$55:$H305,252-STRUCT_L):$H305),"")</f>
        <v/>
      </c>
      <c r="AM305" s="46" t="n">
        <f aca="false">IF($A305&lt;&gt;$A306,1,0)</f>
        <v>0</v>
      </c>
      <c r="AN305" s="47" t="str">
        <f aca="false">IF($AM305=1,$A305,"")</f>
        <v/>
      </c>
    </row>
    <row r="306" customFormat="false" ht="15" hidden="false" customHeight="false" outlineLevel="0" collapsed="false">
      <c r="A306" s="43" t="s">
        <v>138</v>
      </c>
      <c r="B306" s="44" t="s">
        <v>140</v>
      </c>
      <c r="C306" s="45" t="n">
        <v>45963</v>
      </c>
      <c r="D306" s="46" t="n">
        <v>20251102</v>
      </c>
      <c r="E306" s="47" t="s">
        <v>329</v>
      </c>
      <c r="F306" s="48" t="n">
        <v>8146</v>
      </c>
      <c r="G306" s="48" t="n">
        <v>8163</v>
      </c>
      <c r="H306" s="48" t="n">
        <v>8090</v>
      </c>
      <c r="I306" s="48" t="n">
        <v>8110</v>
      </c>
      <c r="J306" s="48" t="n">
        <v>8114</v>
      </c>
      <c r="K306" s="48" t="n">
        <v>8143</v>
      </c>
      <c r="L306" s="48" t="n">
        <v>14871060</v>
      </c>
      <c r="M306" s="48" t="n">
        <v>120604296600</v>
      </c>
      <c r="N306" s="48" t="n">
        <v>741</v>
      </c>
      <c r="O306" s="48" t="n">
        <v>9369055</v>
      </c>
      <c r="P306" s="48" t="n">
        <v>5517621</v>
      </c>
      <c r="Q306" s="48" t="n">
        <v>391</v>
      </c>
      <c r="R306" s="48" t="n">
        <v>243</v>
      </c>
      <c r="S306" s="48" t="n">
        <v>5502005</v>
      </c>
      <c r="T306" s="48" t="n">
        <v>9353439</v>
      </c>
      <c r="U306" s="46" t="n">
        <f aca="false">IF($A306=$A305,$U305+1,1)</f>
        <v>42</v>
      </c>
      <c r="V306" s="48" t="n">
        <f aca="false">IF($U306&gt;=MA_SHORT,AVERAGE(INDEX($I$5:$I306,303-MA_SHORT):$I306),"")</f>
        <v>7297.35</v>
      </c>
      <c r="W306" s="48" t="str">
        <f aca="false">IF($U306&gt;=MA_MED,AVERAGE(INDEX($I$5:$I306,303-MA_MED):$I306),"")</f>
        <v/>
      </c>
      <c r="X306" s="48" t="str">
        <f aca="false">IF($U306&gt;=MA_LONG1,AVERAGE(INDEX($I$5:$I306,303-MA_LONG1):$I306),"")</f>
        <v/>
      </c>
      <c r="Y306" s="48" t="str">
        <f aca="false">IF($U306&gt;=MA_LONG2,AVERAGE(INDEX($I$5:$I306,303-MA_LONG2):$I306),"")</f>
        <v/>
      </c>
      <c r="Z306" s="48" t="n">
        <f aca="false">IF($U306&gt;=MA_SHORT,AVERAGE(INDEX($L$186:$L306,122-MA_SHORT):$L306),"")</f>
        <v>17659199.3</v>
      </c>
      <c r="AA306" s="48" t="n">
        <f aca="false">IF($U306=1,$G306-$H306,MAX($G306-$H306,ABS($G306-$I305),ABS($H306-$I305)))</f>
        <v>73</v>
      </c>
      <c r="AB306" s="48" t="n">
        <f aca="false">IF($U306&gt;=ATR_PER,AVERAGE(INDEX($AA$186:$AA306,122-ATR_PER):$AA306),"")</f>
        <v>273.5</v>
      </c>
      <c r="AC306" s="48" t="n">
        <f aca="false">$O306-$P306</f>
        <v>3851434</v>
      </c>
      <c r="AD306" s="48" t="n">
        <f aca="false">$AC306*$I306</f>
        <v>31235129740</v>
      </c>
      <c r="AE306" s="49" t="n">
        <f aca="false">IF($Q306&gt;0,$O306*$I306/$Q306/1000000,"")</f>
        <v>194.330015473146</v>
      </c>
      <c r="AF306" s="49" t="n">
        <f aca="false">IF($R306&gt;0,$P306*$I306/$R306/1000000,"")</f>
        <v>184.147762592593</v>
      </c>
      <c r="AG306" s="50" t="n">
        <f aca="false">IF(AND(ISNUMBER($AE306),ISNUMBER($AF306),$AF306&gt;0),$AE306/$AF306,"")</f>
        <v>1.05529392666627</v>
      </c>
      <c r="AH306" s="48" t="n">
        <f aca="false">IF($U306&gt;=5,SUM(INDEX($AD$276:$AD306,32-5):$AD306),"")</f>
        <v>197688131904</v>
      </c>
      <c r="AI306" s="48" t="n">
        <f aca="false">IF($U306&gt;=STRUCT_S,MAX(INDEX($G$156:$G306,152-STRUCT_S):$G306),"")</f>
        <v>8226</v>
      </c>
      <c r="AJ306" s="48" t="n">
        <f aca="false">IF($U306&gt;=STRUCT_S,MIN(INDEX($H$156:$H306,152-STRUCT_S):$H306),"")</f>
        <v>6631</v>
      </c>
      <c r="AK306" s="48" t="str">
        <f aca="false">IF($U306&gt;=STRUCT_L,MAX(INDEX($G$56:$G306,252-STRUCT_L):$G306),"")</f>
        <v/>
      </c>
      <c r="AL306" s="48" t="str">
        <f aca="false">IF($U306&gt;=STRUCT_L,MIN(INDEX($H$56:$H306,252-STRUCT_L):$H306),"")</f>
        <v/>
      </c>
      <c r="AM306" s="46" t="n">
        <f aca="false">IF($A306&lt;&gt;$A307,1,0)</f>
        <v>0</v>
      </c>
      <c r="AN306" s="47" t="str">
        <f aca="false">IF($AM306=1,$A306,"")</f>
        <v/>
      </c>
    </row>
    <row r="307" customFormat="false" ht="15" hidden="false" customHeight="false" outlineLevel="0" collapsed="false">
      <c r="A307" s="43" t="s">
        <v>138</v>
      </c>
      <c r="B307" s="44" t="s">
        <v>140</v>
      </c>
      <c r="C307" s="45" t="n">
        <v>45964</v>
      </c>
      <c r="D307" s="46" t="n">
        <v>20251103</v>
      </c>
      <c r="E307" s="47" t="s">
        <v>330</v>
      </c>
      <c r="F307" s="48" t="n">
        <v>8186</v>
      </c>
      <c r="G307" s="48" t="n">
        <v>8224</v>
      </c>
      <c r="H307" s="48" t="n">
        <v>7917</v>
      </c>
      <c r="I307" s="48" t="n">
        <v>8030</v>
      </c>
      <c r="J307" s="48" t="n">
        <v>8152</v>
      </c>
      <c r="K307" s="48" t="n">
        <v>8110</v>
      </c>
      <c r="L307" s="48" t="n">
        <v>20886303</v>
      </c>
      <c r="M307" s="48" t="n">
        <v>167717013090</v>
      </c>
      <c r="N307" s="48" t="n">
        <v>1379</v>
      </c>
      <c r="O307" s="48" t="n">
        <v>11111870</v>
      </c>
      <c r="P307" s="48" t="n">
        <v>9709504</v>
      </c>
      <c r="Q307" s="48" t="n">
        <v>745</v>
      </c>
      <c r="R307" s="48" t="n">
        <v>621</v>
      </c>
      <c r="S307" s="48" t="n">
        <v>9774433</v>
      </c>
      <c r="T307" s="48" t="n">
        <v>11176799</v>
      </c>
      <c r="U307" s="46" t="n">
        <f aca="false">IF($A307=$A306,$U306+1,1)</f>
        <v>43</v>
      </c>
      <c r="V307" s="48" t="n">
        <f aca="false">IF($U307&gt;=MA_SHORT,AVERAGE(INDEX($I$5:$I307,304-MA_SHORT):$I307),"")</f>
        <v>7345.6</v>
      </c>
      <c r="W307" s="48" t="str">
        <f aca="false">IF($U307&gt;=MA_MED,AVERAGE(INDEX($I$5:$I307,304-MA_MED):$I307),"")</f>
        <v/>
      </c>
      <c r="X307" s="48" t="str">
        <f aca="false">IF($U307&gt;=MA_LONG1,AVERAGE(INDEX($I$5:$I307,304-MA_LONG1):$I307),"")</f>
        <v/>
      </c>
      <c r="Y307" s="48" t="str">
        <f aca="false">IF($U307&gt;=MA_LONG2,AVERAGE(INDEX($I$5:$I307,304-MA_LONG2):$I307),"")</f>
        <v/>
      </c>
      <c r="Z307" s="48" t="n">
        <f aca="false">IF($U307&gt;=MA_SHORT,AVERAGE(INDEX($L$187:$L307,122-MA_SHORT):$L307),"")</f>
        <v>17360067.3</v>
      </c>
      <c r="AA307" s="48" t="n">
        <f aca="false">IF($U307=1,$G307-$H307,MAX($G307-$H307,ABS($G307-$I306),ABS($H307-$I306)))</f>
        <v>307</v>
      </c>
      <c r="AB307" s="48" t="n">
        <f aca="false">IF($U307&gt;=ATR_PER,AVERAGE(INDEX($AA$187:$AA307,122-ATR_PER):$AA307),"")</f>
        <v>275.5</v>
      </c>
      <c r="AC307" s="48" t="n">
        <f aca="false">$O307-$P307</f>
        <v>1402366</v>
      </c>
      <c r="AD307" s="48" t="n">
        <f aca="false">$AC307*$I307</f>
        <v>11260998980</v>
      </c>
      <c r="AE307" s="49" t="n">
        <f aca="false">IF($Q307&gt;0,$O307*$I307/$Q307/1000000,"")</f>
        <v>119.769551812081</v>
      </c>
      <c r="AF307" s="49" t="n">
        <f aca="false">IF($R307&gt;0,$P307*$I307/$R307/1000000,"")</f>
        <v>125.551235297907</v>
      </c>
      <c r="AG307" s="50" t="n">
        <f aca="false">IF(AND(ISNUMBER($AE307),ISNUMBER($AF307),$AF307&gt;0),$AE307/$AF307,"")</f>
        <v>0.953949608921749</v>
      </c>
      <c r="AH307" s="48" t="n">
        <f aca="false">IF($U307&gt;=5,SUM(INDEX($AD$277:$AD307,32-5):$AD307),"")</f>
        <v>213750658637</v>
      </c>
      <c r="AI307" s="48" t="n">
        <f aca="false">IF($U307&gt;=STRUCT_S,MAX(INDEX($G$157:$G307,152-STRUCT_S):$G307),"")</f>
        <v>8226</v>
      </c>
      <c r="AJ307" s="48" t="n">
        <f aca="false">IF($U307&gt;=STRUCT_S,MIN(INDEX($H$157:$H307,152-STRUCT_S):$H307),"")</f>
        <v>6631</v>
      </c>
      <c r="AK307" s="48" t="str">
        <f aca="false">IF($U307&gt;=STRUCT_L,MAX(INDEX($G$57:$G307,252-STRUCT_L):$G307),"")</f>
        <v/>
      </c>
      <c r="AL307" s="48" t="str">
        <f aca="false">IF($U307&gt;=STRUCT_L,MIN(INDEX($H$57:$H307,252-STRUCT_L):$H307),"")</f>
        <v/>
      </c>
      <c r="AM307" s="46" t="n">
        <f aca="false">IF($A307&lt;&gt;$A308,1,0)</f>
        <v>0</v>
      </c>
      <c r="AN307" s="47" t="str">
        <f aca="false">IF($AM307=1,$A307,"")</f>
        <v/>
      </c>
    </row>
    <row r="308" customFormat="false" ht="15" hidden="false" customHeight="false" outlineLevel="0" collapsed="false">
      <c r="A308" s="43" t="s">
        <v>138</v>
      </c>
      <c r="B308" s="44" t="s">
        <v>140</v>
      </c>
      <c r="C308" s="45" t="n">
        <v>45965</v>
      </c>
      <c r="D308" s="46" t="n">
        <v>20251104</v>
      </c>
      <c r="E308" s="47" t="s">
        <v>331</v>
      </c>
      <c r="F308" s="48" t="n">
        <v>7847</v>
      </c>
      <c r="G308" s="48" t="n">
        <v>8092</v>
      </c>
      <c r="H308" s="48" t="n">
        <v>7784</v>
      </c>
      <c r="I308" s="48" t="n">
        <v>7845</v>
      </c>
      <c r="J308" s="48" t="n">
        <v>7897</v>
      </c>
      <c r="K308" s="48" t="n">
        <v>8030</v>
      </c>
      <c r="L308" s="48" t="n">
        <v>24658813</v>
      </c>
      <c r="M308" s="48" t="n">
        <v>193448387985</v>
      </c>
      <c r="N308" s="48" t="n">
        <v>579</v>
      </c>
      <c r="O308" s="48" t="n">
        <v>10594473</v>
      </c>
      <c r="P308" s="48" t="n">
        <v>16050192</v>
      </c>
      <c r="Q308" s="48" t="n">
        <v>375</v>
      </c>
      <c r="R308" s="48" t="n">
        <v>180</v>
      </c>
      <c r="S308" s="48" t="n">
        <v>14064340</v>
      </c>
      <c r="T308" s="48" t="n">
        <v>8608621</v>
      </c>
      <c r="U308" s="46" t="n">
        <f aca="false">IF($A308=$A307,$U307+1,1)</f>
        <v>44</v>
      </c>
      <c r="V308" s="48" t="n">
        <f aca="false">IF($U308&gt;=MA_SHORT,AVERAGE(INDEX($I$5:$I308,305-MA_SHORT):$I308),"")</f>
        <v>7399.6</v>
      </c>
      <c r="W308" s="48" t="str">
        <f aca="false">IF($U308&gt;=MA_MED,AVERAGE(INDEX($I$5:$I308,305-MA_MED):$I308),"")</f>
        <v/>
      </c>
      <c r="X308" s="48" t="str">
        <f aca="false">IF($U308&gt;=MA_LONG1,AVERAGE(INDEX($I$5:$I308,305-MA_LONG1):$I308),"")</f>
        <v/>
      </c>
      <c r="Y308" s="48" t="str">
        <f aca="false">IF($U308&gt;=MA_LONG2,AVERAGE(INDEX($I$5:$I308,305-MA_LONG2):$I308),"")</f>
        <v/>
      </c>
      <c r="Z308" s="48" t="n">
        <f aca="false">IF($U308&gt;=MA_SHORT,AVERAGE(INDEX($L$188:$L308,122-MA_SHORT):$L308),"")</f>
        <v>17682162.2</v>
      </c>
      <c r="AA308" s="48" t="n">
        <f aca="false">IF($U308=1,$G308-$H308,MAX($G308-$H308,ABS($G308-$I307),ABS($H308-$I307)))</f>
        <v>308</v>
      </c>
      <c r="AB308" s="48" t="n">
        <f aca="false">IF($U308&gt;=ATR_PER,AVERAGE(INDEX($AA$188:$AA308,122-ATR_PER):$AA308),"")</f>
        <v>290.857142857143</v>
      </c>
      <c r="AC308" s="48" t="n">
        <f aca="false">$O308-$P308</f>
        <v>-5455719</v>
      </c>
      <c r="AD308" s="48" t="n">
        <f aca="false">$AC308*$I308</f>
        <v>-42800115555</v>
      </c>
      <c r="AE308" s="49" t="n">
        <f aca="false">IF($Q308&gt;0,$O308*$I308/$Q308/1000000,"")</f>
        <v>221.63637516</v>
      </c>
      <c r="AF308" s="49" t="n">
        <f aca="false">IF($R308&gt;0,$P308*$I308/$R308/1000000,"")</f>
        <v>699.520868</v>
      </c>
      <c r="AG308" s="50" t="n">
        <f aca="false">IF(AND(ISNUMBER($AE308),ISNUMBER($AF308),$AF308&gt;0),$AE308/$AF308,"")</f>
        <v>0.316840262097799</v>
      </c>
      <c r="AH308" s="48" t="n">
        <f aca="false">IF($U308&gt;=5,SUM(INDEX($AD$278:$AD308,32-5):$AD308),"")</f>
        <v>82393644740</v>
      </c>
      <c r="AI308" s="48" t="n">
        <f aca="false">IF($U308&gt;=STRUCT_S,MAX(INDEX($G$158:$G308,152-STRUCT_S):$G308),"")</f>
        <v>8226</v>
      </c>
      <c r="AJ308" s="48" t="n">
        <f aca="false">IF($U308&gt;=STRUCT_S,MIN(INDEX($H$158:$H308,152-STRUCT_S):$H308),"")</f>
        <v>6631</v>
      </c>
      <c r="AK308" s="48" t="str">
        <f aca="false">IF($U308&gt;=STRUCT_L,MAX(INDEX($G$58:$G308,252-STRUCT_L):$G308),"")</f>
        <v/>
      </c>
      <c r="AL308" s="48" t="str">
        <f aca="false">IF($U308&gt;=STRUCT_L,MIN(INDEX($H$58:$H308,252-STRUCT_L):$H308),"")</f>
        <v/>
      </c>
      <c r="AM308" s="46" t="n">
        <f aca="false">IF($A308&lt;&gt;$A309,1,0)</f>
        <v>0</v>
      </c>
      <c r="AN308" s="47" t="str">
        <f aca="false">IF($AM308=1,$A308,"")</f>
        <v/>
      </c>
    </row>
    <row r="309" customFormat="false" ht="15" hidden="false" customHeight="false" outlineLevel="0" collapsed="false">
      <c r="A309" s="43" t="s">
        <v>138</v>
      </c>
      <c r="B309" s="44" t="s">
        <v>140</v>
      </c>
      <c r="C309" s="45" t="n">
        <v>45966</v>
      </c>
      <c r="D309" s="46" t="n">
        <v>20251105</v>
      </c>
      <c r="E309" s="47" t="s">
        <v>332</v>
      </c>
      <c r="F309" s="48" t="n">
        <v>7664</v>
      </c>
      <c r="G309" s="48" t="n">
        <v>7896</v>
      </c>
      <c r="H309" s="48" t="n">
        <v>7622</v>
      </c>
      <c r="I309" s="48" t="n">
        <v>7672</v>
      </c>
      <c r="J309" s="48" t="n">
        <v>7755</v>
      </c>
      <c r="K309" s="48" t="n">
        <v>7845</v>
      </c>
      <c r="L309" s="48" t="n">
        <v>16438984</v>
      </c>
      <c r="M309" s="48" t="n">
        <v>126119885248</v>
      </c>
      <c r="N309" s="48" t="n">
        <v>586</v>
      </c>
      <c r="O309" s="48" t="n">
        <v>7338355</v>
      </c>
      <c r="P309" s="48" t="n">
        <v>7624385</v>
      </c>
      <c r="Q309" s="48" t="n">
        <v>234</v>
      </c>
      <c r="R309" s="48" t="n">
        <v>223</v>
      </c>
      <c r="S309" s="48" t="n">
        <v>9100629</v>
      </c>
      <c r="T309" s="48" t="n">
        <v>8814599</v>
      </c>
      <c r="U309" s="46" t="n">
        <f aca="false">IF($A309=$A308,$U308+1,1)</f>
        <v>45</v>
      </c>
      <c r="V309" s="48" t="n">
        <f aca="false">IF($U309&gt;=MA_SHORT,AVERAGE(INDEX($I$5:$I309,306-MA_SHORT):$I309),"")</f>
        <v>7448.9</v>
      </c>
      <c r="W309" s="48" t="str">
        <f aca="false">IF($U309&gt;=MA_MED,AVERAGE(INDEX($I$5:$I309,306-MA_MED):$I309),"")</f>
        <v/>
      </c>
      <c r="X309" s="48" t="str">
        <f aca="false">IF($U309&gt;=MA_LONG1,AVERAGE(INDEX($I$5:$I309,306-MA_LONG1):$I309),"")</f>
        <v/>
      </c>
      <c r="Y309" s="48" t="str">
        <f aca="false">IF($U309&gt;=MA_LONG2,AVERAGE(INDEX($I$5:$I309,306-MA_LONG2):$I309),"")</f>
        <v/>
      </c>
      <c r="Z309" s="48" t="n">
        <f aca="false">IF($U309&gt;=MA_SHORT,AVERAGE(INDEX($L$189:$L309,122-MA_SHORT):$L309),"")</f>
        <v>17596911.4</v>
      </c>
      <c r="AA309" s="48" t="n">
        <f aca="false">IF($U309=1,$G309-$H309,MAX($G309-$H309,ABS($G309-$I308),ABS($H309-$I308)))</f>
        <v>274</v>
      </c>
      <c r="AB309" s="48" t="n">
        <f aca="false">IF($U309&gt;=ATR_PER,AVERAGE(INDEX($AA$189:$AA309,122-ATR_PER):$AA309),"")</f>
        <v>303.071428571429</v>
      </c>
      <c r="AC309" s="48" t="n">
        <f aca="false">$O309-$P309</f>
        <v>-286030</v>
      </c>
      <c r="AD309" s="48" t="n">
        <f aca="false">$AC309*$I309</f>
        <v>-2194422160</v>
      </c>
      <c r="AE309" s="49" t="n">
        <f aca="false">IF($Q309&gt;0,$O309*$I309/$Q309/1000000,"")</f>
        <v>240.59769042735</v>
      </c>
      <c r="AF309" s="49" t="n">
        <f aca="false">IF($R309&gt;0,$P309*$I309/$R309/1000000,"")</f>
        <v>262.306196053812</v>
      </c>
      <c r="AG309" s="50" t="n">
        <f aca="false">IF(AND(ISNUMBER($AE309),ISNUMBER($AF309),$AF309&gt;0),$AE309/$AF309,"")</f>
        <v>0.917239829050749</v>
      </c>
      <c r="AH309" s="48" t="n">
        <f aca="false">IF($U309&gt;=5,SUM(INDEX($AD$279:$AD309,32-5):$AD309),"")</f>
        <v>44416353628</v>
      </c>
      <c r="AI309" s="48" t="n">
        <f aca="false">IF($U309&gt;=STRUCT_S,MAX(INDEX($G$159:$G309,152-STRUCT_S):$G309),"")</f>
        <v>8226</v>
      </c>
      <c r="AJ309" s="48" t="n">
        <f aca="false">IF($U309&gt;=STRUCT_S,MIN(INDEX($H$159:$H309,152-STRUCT_S):$H309),"")</f>
        <v>6663</v>
      </c>
      <c r="AK309" s="48" t="str">
        <f aca="false">IF($U309&gt;=STRUCT_L,MAX(INDEX($G$59:$G309,252-STRUCT_L):$G309),"")</f>
        <v/>
      </c>
      <c r="AL309" s="48" t="str">
        <f aca="false">IF($U309&gt;=STRUCT_L,MIN(INDEX($H$59:$H309,252-STRUCT_L):$H309),"")</f>
        <v/>
      </c>
      <c r="AM309" s="46" t="n">
        <f aca="false">IF($A309&lt;&gt;$A310,1,0)</f>
        <v>0</v>
      </c>
      <c r="AN309" s="47" t="str">
        <f aca="false">IF($AM309=1,$A309,"")</f>
        <v/>
      </c>
    </row>
    <row r="310" customFormat="false" ht="15" hidden="false" customHeight="false" outlineLevel="0" collapsed="false">
      <c r="A310" s="43" t="s">
        <v>138</v>
      </c>
      <c r="B310" s="44" t="s">
        <v>140</v>
      </c>
      <c r="C310" s="45" t="n">
        <v>45969</v>
      </c>
      <c r="D310" s="46" t="n">
        <v>20251108</v>
      </c>
      <c r="E310" s="47" t="s">
        <v>333</v>
      </c>
      <c r="F310" s="48" t="n">
        <v>7791</v>
      </c>
      <c r="G310" s="48" t="n">
        <v>7826</v>
      </c>
      <c r="H310" s="48" t="n">
        <v>7556</v>
      </c>
      <c r="I310" s="48" t="n">
        <v>7709</v>
      </c>
      <c r="J310" s="48" t="n">
        <v>7561</v>
      </c>
      <c r="K310" s="48" t="n">
        <v>7672</v>
      </c>
      <c r="L310" s="48" t="n">
        <v>14938149</v>
      </c>
      <c r="M310" s="48" t="n">
        <v>115158190641</v>
      </c>
      <c r="N310" s="48" t="n">
        <v>1572</v>
      </c>
      <c r="O310" s="48" t="n">
        <v>7136109</v>
      </c>
      <c r="P310" s="48" t="n">
        <v>8282089</v>
      </c>
      <c r="Q310" s="48" t="n">
        <v>564</v>
      </c>
      <c r="R310" s="48" t="n">
        <v>1056</v>
      </c>
      <c r="S310" s="48" t="n">
        <v>7802040</v>
      </c>
      <c r="T310" s="48" t="n">
        <v>6656060</v>
      </c>
      <c r="U310" s="46" t="n">
        <f aca="false">IF($A310=$A309,$U309+1,1)</f>
        <v>46</v>
      </c>
      <c r="V310" s="48" t="n">
        <f aca="false">IF($U310&gt;=MA_SHORT,AVERAGE(INDEX($I$5:$I310,307-MA_SHORT):$I310),"")</f>
        <v>7493.45</v>
      </c>
      <c r="W310" s="48" t="str">
        <f aca="false">IF($U310&gt;=MA_MED,AVERAGE(INDEX($I$5:$I310,307-MA_MED):$I310),"")</f>
        <v/>
      </c>
      <c r="X310" s="48" t="str">
        <f aca="false">IF($U310&gt;=MA_LONG1,AVERAGE(INDEX($I$5:$I310,307-MA_LONG1):$I310),"")</f>
        <v/>
      </c>
      <c r="Y310" s="48" t="str">
        <f aca="false">IF($U310&gt;=MA_LONG2,AVERAGE(INDEX($I$5:$I310,307-MA_LONG2):$I310),"")</f>
        <v/>
      </c>
      <c r="Z310" s="48" t="n">
        <f aca="false">IF($U310&gt;=MA_SHORT,AVERAGE(INDEX($L$190:$L310,122-MA_SHORT):$L310),"")</f>
        <v>17463967.85</v>
      </c>
      <c r="AA310" s="48" t="n">
        <f aca="false">IF($U310=1,$G310-$H310,MAX($G310-$H310,ABS($G310-$I309),ABS($H310-$I309)))</f>
        <v>270</v>
      </c>
      <c r="AB310" s="48" t="n">
        <f aca="false">IF($U310&gt;=ATR_PER,AVERAGE(INDEX($AA$190:$AA310,122-ATR_PER):$AA310),"")</f>
        <v>294.571428571429</v>
      </c>
      <c r="AC310" s="48" t="n">
        <f aca="false">$O310-$P310</f>
        <v>-1145980</v>
      </c>
      <c r="AD310" s="48" t="n">
        <f aca="false">$AC310*$I310</f>
        <v>-8834359820</v>
      </c>
      <c r="AE310" s="49" t="n">
        <f aca="false">IF($Q310&gt;0,$O310*$I310/$Q310/1000000,"")</f>
        <v>97.5394756755319</v>
      </c>
      <c r="AF310" s="49" t="n">
        <f aca="false">IF($R310&gt;0,$P310*$I310/$R310/1000000,"")</f>
        <v>60.4608182774621</v>
      </c>
      <c r="AG310" s="50" t="n">
        <f aca="false">IF(AND(ISNUMBER($AE310),ISNUMBER($AF310),$AF310&gt;0),$AE310/$AF310,"")</f>
        <v>1.61326754176418</v>
      </c>
      <c r="AH310" s="48" t="n">
        <f aca="false">IF($U310&gt;=5,SUM(INDEX($AD$280:$AD310,32-5):$AD310),"")</f>
        <v>-11332768815</v>
      </c>
      <c r="AI310" s="48" t="n">
        <f aca="false">IF($U310&gt;=STRUCT_S,MAX(INDEX($G$160:$G310,152-STRUCT_S):$G310),"")</f>
        <v>8226</v>
      </c>
      <c r="AJ310" s="48" t="n">
        <f aca="false">IF($U310&gt;=STRUCT_S,MIN(INDEX($H$160:$H310,152-STRUCT_S):$H310),"")</f>
        <v>6674</v>
      </c>
      <c r="AK310" s="48" t="str">
        <f aca="false">IF($U310&gt;=STRUCT_L,MAX(INDEX($G$60:$G310,252-STRUCT_L):$G310),"")</f>
        <v/>
      </c>
      <c r="AL310" s="48" t="str">
        <f aca="false">IF($U310&gt;=STRUCT_L,MIN(INDEX($H$60:$H310,252-STRUCT_L):$H310),"")</f>
        <v/>
      </c>
      <c r="AM310" s="46" t="n">
        <f aca="false">IF($A310&lt;&gt;$A311,1,0)</f>
        <v>0</v>
      </c>
      <c r="AN310" s="47" t="str">
        <f aca="false">IF($AM310=1,$A310,"")</f>
        <v/>
      </c>
    </row>
    <row r="311" customFormat="false" ht="15" hidden="false" customHeight="false" outlineLevel="0" collapsed="false">
      <c r="A311" s="43" t="s">
        <v>138</v>
      </c>
      <c r="B311" s="44" t="s">
        <v>140</v>
      </c>
      <c r="C311" s="45" t="n">
        <v>45970</v>
      </c>
      <c r="D311" s="46" t="n">
        <v>20251109</v>
      </c>
      <c r="E311" s="47" t="s">
        <v>334</v>
      </c>
      <c r="F311" s="48" t="n">
        <v>7668</v>
      </c>
      <c r="G311" s="48" t="n">
        <v>7950</v>
      </c>
      <c r="H311" s="48" t="n">
        <v>7644</v>
      </c>
      <c r="I311" s="48" t="n">
        <v>7883</v>
      </c>
      <c r="J311" s="48" t="n">
        <v>7691</v>
      </c>
      <c r="K311" s="48" t="n">
        <v>7709</v>
      </c>
      <c r="L311" s="48" t="n">
        <v>16484172</v>
      </c>
      <c r="M311" s="48" t="n">
        <v>129944727876</v>
      </c>
      <c r="N311" s="48" t="n">
        <v>772</v>
      </c>
      <c r="O311" s="48" t="n">
        <v>9859908</v>
      </c>
      <c r="P311" s="48" t="n">
        <v>6152229</v>
      </c>
      <c r="Q311" s="48" t="n">
        <v>303</v>
      </c>
      <c r="R311" s="48" t="n">
        <v>302</v>
      </c>
      <c r="S311" s="48" t="n">
        <v>6624264</v>
      </c>
      <c r="T311" s="48" t="n">
        <v>10331943</v>
      </c>
      <c r="U311" s="46" t="n">
        <f aca="false">IF($A311=$A310,$U310+1,1)</f>
        <v>47</v>
      </c>
      <c r="V311" s="48" t="n">
        <f aca="false">IF($U311&gt;=MA_SHORT,AVERAGE(INDEX($I$5:$I311,308-MA_SHORT):$I311),"")</f>
        <v>7536.6</v>
      </c>
      <c r="W311" s="48" t="str">
        <f aca="false">IF($U311&gt;=MA_MED,AVERAGE(INDEX($I$5:$I311,308-MA_MED):$I311),"")</f>
        <v/>
      </c>
      <c r="X311" s="48" t="str">
        <f aca="false">IF($U311&gt;=MA_LONG1,AVERAGE(INDEX($I$5:$I311,308-MA_LONG1):$I311),"")</f>
        <v/>
      </c>
      <c r="Y311" s="48" t="str">
        <f aca="false">IF($U311&gt;=MA_LONG2,AVERAGE(INDEX($I$5:$I311,308-MA_LONG2):$I311),"")</f>
        <v/>
      </c>
      <c r="Z311" s="48" t="n">
        <f aca="false">IF($U311&gt;=MA_SHORT,AVERAGE(INDEX($L$191:$L311,122-MA_SHORT):$L311),"")</f>
        <v>17433234.15</v>
      </c>
      <c r="AA311" s="48" t="n">
        <f aca="false">IF($U311=1,$G311-$H311,MAX($G311-$H311,ABS($G311-$I310),ABS($H311-$I310)))</f>
        <v>306</v>
      </c>
      <c r="AB311" s="48" t="n">
        <f aca="false">IF($U311&gt;=ATR_PER,AVERAGE(INDEX($AA$191:$AA311,122-ATR_PER):$AA311),"")</f>
        <v>287</v>
      </c>
      <c r="AC311" s="48" t="n">
        <f aca="false">$O311-$P311</f>
        <v>3707679</v>
      </c>
      <c r="AD311" s="48" t="n">
        <f aca="false">$AC311*$I311</f>
        <v>29227633557</v>
      </c>
      <c r="AE311" s="49" t="n">
        <f aca="false">IF($Q311&gt;0,$O311*$I311/$Q311/1000000,"")</f>
        <v>256.520312752475</v>
      </c>
      <c r="AF311" s="49" t="n">
        <f aca="false">IF($R311&gt;0,$P311*$I311/$R311/1000000,"")</f>
        <v>160.589474195364</v>
      </c>
      <c r="AG311" s="50" t="n">
        <f aca="false">IF(AND(ISNUMBER($AE311),ISNUMBER($AF311),$AF311&gt;0),$AE311/$AF311,"")</f>
        <v>1.59736691360236</v>
      </c>
      <c r="AH311" s="48" t="n">
        <f aca="false">IF($U311&gt;=5,SUM(INDEX($AD$281:$AD311,32-5):$AD311),"")</f>
        <v>-13340264998</v>
      </c>
      <c r="AI311" s="48" t="n">
        <f aca="false">IF($U311&gt;=STRUCT_S,MAX(INDEX($G$161:$G311,152-STRUCT_S):$G311),"")</f>
        <v>8226</v>
      </c>
      <c r="AJ311" s="48" t="n">
        <f aca="false">IF($U311&gt;=STRUCT_S,MIN(INDEX($H$161:$H311,152-STRUCT_S):$H311),"")</f>
        <v>6674</v>
      </c>
      <c r="AK311" s="48" t="str">
        <f aca="false">IF($U311&gt;=STRUCT_L,MAX(INDEX($G$61:$G311,252-STRUCT_L):$G311),"")</f>
        <v/>
      </c>
      <c r="AL311" s="48" t="str">
        <f aca="false">IF($U311&gt;=STRUCT_L,MIN(INDEX($H$61:$H311,252-STRUCT_L):$H311),"")</f>
        <v/>
      </c>
      <c r="AM311" s="46" t="n">
        <f aca="false">IF($A311&lt;&gt;$A312,1,0)</f>
        <v>0</v>
      </c>
      <c r="AN311" s="47" t="str">
        <f aca="false">IF($AM311=1,$A311,"")</f>
        <v/>
      </c>
    </row>
    <row r="312" customFormat="false" ht="15" hidden="false" customHeight="false" outlineLevel="0" collapsed="false">
      <c r="A312" s="43" t="s">
        <v>138</v>
      </c>
      <c r="B312" s="44" t="s">
        <v>140</v>
      </c>
      <c r="C312" s="45" t="n">
        <v>45971</v>
      </c>
      <c r="D312" s="46" t="n">
        <v>20251110</v>
      </c>
      <c r="E312" s="47" t="s">
        <v>335</v>
      </c>
      <c r="F312" s="48" t="n">
        <v>7928</v>
      </c>
      <c r="G312" s="48" t="n">
        <v>7942</v>
      </c>
      <c r="H312" s="48" t="n">
        <v>7717</v>
      </c>
      <c r="I312" s="48" t="n">
        <v>7776</v>
      </c>
      <c r="J312" s="48" t="n">
        <v>7834</v>
      </c>
      <c r="K312" s="48" t="n">
        <v>7883</v>
      </c>
      <c r="L312" s="48" t="n">
        <v>17954479</v>
      </c>
      <c r="M312" s="48" t="n">
        <v>139614028704</v>
      </c>
      <c r="N312" s="48" t="n">
        <v>723</v>
      </c>
      <c r="O312" s="48" t="n">
        <v>8694471</v>
      </c>
      <c r="P312" s="48" t="n">
        <v>9647730</v>
      </c>
      <c r="Q312" s="48" t="n">
        <v>458</v>
      </c>
      <c r="R312" s="48" t="n">
        <v>204</v>
      </c>
      <c r="S312" s="48" t="n">
        <v>9260008</v>
      </c>
      <c r="T312" s="48" t="n">
        <v>8306749</v>
      </c>
      <c r="U312" s="46" t="n">
        <f aca="false">IF($A312=$A311,$U311+1,1)</f>
        <v>48</v>
      </c>
      <c r="V312" s="48" t="n">
        <f aca="false">IF($U312&gt;=MA_SHORT,AVERAGE(INDEX($I$5:$I312,309-MA_SHORT):$I312),"")</f>
        <v>7573.5</v>
      </c>
      <c r="W312" s="48" t="str">
        <f aca="false">IF($U312&gt;=MA_MED,AVERAGE(INDEX($I$5:$I312,309-MA_MED):$I312),"")</f>
        <v/>
      </c>
      <c r="X312" s="48" t="str">
        <f aca="false">IF($U312&gt;=MA_LONG1,AVERAGE(INDEX($I$5:$I312,309-MA_LONG1):$I312),"")</f>
        <v/>
      </c>
      <c r="Y312" s="48" t="str">
        <f aca="false">IF($U312&gt;=MA_LONG2,AVERAGE(INDEX($I$5:$I312,309-MA_LONG2):$I312),"")</f>
        <v/>
      </c>
      <c r="Z312" s="48" t="n">
        <f aca="false">IF($U312&gt;=MA_SHORT,AVERAGE(INDEX($L$192:$L312,122-MA_SHORT):$L312),"")</f>
        <v>17528339.85</v>
      </c>
      <c r="AA312" s="48" t="n">
        <f aca="false">IF($U312=1,$G312-$H312,MAX($G312-$H312,ABS($G312-$I311),ABS($H312-$I311)))</f>
        <v>225</v>
      </c>
      <c r="AB312" s="48" t="n">
        <f aca="false">IF($U312&gt;=ATR_PER,AVERAGE(INDEX($AA$192:$AA312,122-ATR_PER):$AA312),"")</f>
        <v>267.071428571429</v>
      </c>
      <c r="AC312" s="48" t="n">
        <f aca="false">$O312-$P312</f>
        <v>-953259</v>
      </c>
      <c r="AD312" s="48" t="n">
        <f aca="false">$AC312*$I312</f>
        <v>-7412541984</v>
      </c>
      <c r="AE312" s="49" t="n">
        <f aca="false">IF($Q312&gt;0,$O312*$I312/$Q312/1000000,"")</f>
        <v>147.616171388646</v>
      </c>
      <c r="AF312" s="49" t="n">
        <f aca="false">IF($R312&gt;0,$P312*$I312/$R312/1000000,"")</f>
        <v>367.748767058824</v>
      </c>
      <c r="AG312" s="50" t="n">
        <f aca="false">IF(AND(ISNUMBER($AE312),ISNUMBER($AF312),$AF312&gt;0),$AE312/$AF312,"")</f>
        <v>0.401404938945816</v>
      </c>
      <c r="AH312" s="48" t="n">
        <f aca="false">IF($U312&gt;=5,SUM(INDEX($AD$282:$AD312,32-5):$AD312),"")</f>
        <v>-32013805962</v>
      </c>
      <c r="AI312" s="48" t="n">
        <f aca="false">IF($U312&gt;=STRUCT_S,MAX(INDEX($G$162:$G312,152-STRUCT_S):$G312),"")</f>
        <v>8226</v>
      </c>
      <c r="AJ312" s="48" t="n">
        <f aca="false">IF($U312&gt;=STRUCT_S,MIN(INDEX($H$162:$H312,152-STRUCT_S):$H312),"")</f>
        <v>6674</v>
      </c>
      <c r="AK312" s="48" t="str">
        <f aca="false">IF($U312&gt;=STRUCT_L,MAX(INDEX($G$62:$G312,252-STRUCT_L):$G312),"")</f>
        <v/>
      </c>
      <c r="AL312" s="48" t="str">
        <f aca="false">IF($U312&gt;=STRUCT_L,MIN(INDEX($H$62:$H312,252-STRUCT_L):$H312),"")</f>
        <v/>
      </c>
      <c r="AM312" s="46" t="n">
        <f aca="false">IF($A312&lt;&gt;$A313,1,0)</f>
        <v>0</v>
      </c>
      <c r="AN312" s="47" t="str">
        <f aca="false">IF($AM312=1,$A312,"")</f>
        <v/>
      </c>
    </row>
    <row r="313" customFormat="false" ht="15" hidden="false" customHeight="false" outlineLevel="0" collapsed="false">
      <c r="A313" s="43" t="s">
        <v>138</v>
      </c>
      <c r="B313" s="44" t="s">
        <v>140</v>
      </c>
      <c r="C313" s="45" t="n">
        <v>45972</v>
      </c>
      <c r="D313" s="46" t="n">
        <v>20251111</v>
      </c>
      <c r="E313" s="47" t="s">
        <v>336</v>
      </c>
      <c r="F313" s="48" t="n">
        <v>7757</v>
      </c>
      <c r="G313" s="48" t="n">
        <v>7809</v>
      </c>
      <c r="H313" s="48" t="n">
        <v>7660</v>
      </c>
      <c r="I313" s="48" t="n">
        <v>7692</v>
      </c>
      <c r="J313" s="48" t="n">
        <v>7745</v>
      </c>
      <c r="K313" s="48" t="n">
        <v>7776</v>
      </c>
      <c r="L313" s="48" t="n">
        <v>15459033</v>
      </c>
      <c r="M313" s="48" t="n">
        <v>118910881836</v>
      </c>
      <c r="N313" s="48" t="n">
        <v>800</v>
      </c>
      <c r="O313" s="48" t="n">
        <v>9430897</v>
      </c>
      <c r="P313" s="48" t="n">
        <v>5645517</v>
      </c>
      <c r="Q313" s="48" t="n">
        <v>407</v>
      </c>
      <c r="R313" s="48" t="n">
        <v>235</v>
      </c>
      <c r="S313" s="48" t="n">
        <v>6028136</v>
      </c>
      <c r="T313" s="48" t="n">
        <v>9813516</v>
      </c>
      <c r="U313" s="46" t="n">
        <f aca="false">IF($A313=$A312,$U312+1,1)</f>
        <v>49</v>
      </c>
      <c r="V313" s="48" t="n">
        <f aca="false">IF($U313&gt;=MA_SHORT,AVERAGE(INDEX($I$5:$I313,310-MA_SHORT):$I313),"")</f>
        <v>7602.05</v>
      </c>
      <c r="W313" s="48" t="str">
        <f aca="false">IF($U313&gt;=MA_MED,AVERAGE(INDEX($I$5:$I313,310-MA_MED):$I313),"")</f>
        <v/>
      </c>
      <c r="X313" s="48" t="str">
        <f aca="false">IF($U313&gt;=MA_LONG1,AVERAGE(INDEX($I$5:$I313,310-MA_LONG1):$I313),"")</f>
        <v/>
      </c>
      <c r="Y313" s="48" t="str">
        <f aca="false">IF($U313&gt;=MA_LONG2,AVERAGE(INDEX($I$5:$I313,310-MA_LONG2):$I313),"")</f>
        <v/>
      </c>
      <c r="Z313" s="48" t="n">
        <f aca="false">IF($U313&gt;=MA_SHORT,AVERAGE(INDEX($L$193:$L313,122-MA_SHORT):$L313),"")</f>
        <v>17524025.15</v>
      </c>
      <c r="AA313" s="48" t="n">
        <f aca="false">IF($U313=1,$G313-$H313,MAX($G313-$H313,ABS($G313-$I312),ABS($H313-$I312)))</f>
        <v>149</v>
      </c>
      <c r="AB313" s="48" t="n">
        <f aca="false">IF($U313&gt;=ATR_PER,AVERAGE(INDEX($AA$193:$AA313,122-ATR_PER):$AA313),"")</f>
        <v>257.785714285714</v>
      </c>
      <c r="AC313" s="48" t="n">
        <f aca="false">$O313-$P313</f>
        <v>3785380</v>
      </c>
      <c r="AD313" s="48" t="n">
        <f aca="false">$AC313*$I313</f>
        <v>29117142960</v>
      </c>
      <c r="AE313" s="49" t="n">
        <f aca="false">IF($Q313&gt;0,$O313*$I313/$Q313/1000000,"")</f>
        <v>178.23700177887</v>
      </c>
      <c r="AF313" s="49" t="n">
        <f aca="false">IF($R313&gt;0,$P313*$I313/$R313/1000000,"")</f>
        <v>184.788581974468</v>
      </c>
      <c r="AG313" s="50" t="n">
        <f aca="false">IF(AND(ISNUMBER($AE313),ISNUMBER($AF313),$AF313&gt;0),$AE313/$AF313,"")</f>
        <v>0.964545535629991</v>
      </c>
      <c r="AH313" s="48" t="n">
        <f aca="false">IF($U313&gt;=5,SUM(INDEX($AD$283:$AD313,32-5):$AD313),"")</f>
        <v>39903452553</v>
      </c>
      <c r="AI313" s="48" t="n">
        <f aca="false">IF($U313&gt;=STRUCT_S,MAX(INDEX($G$163:$G313,152-STRUCT_S):$G313),"")</f>
        <v>8226</v>
      </c>
      <c r="AJ313" s="48" t="n">
        <f aca="false">IF($U313&gt;=STRUCT_S,MIN(INDEX($H$163:$H313,152-STRUCT_S):$H313),"")</f>
        <v>6674</v>
      </c>
      <c r="AK313" s="48" t="str">
        <f aca="false">IF($U313&gt;=STRUCT_L,MAX(INDEX($G$63:$G313,252-STRUCT_L):$G313),"")</f>
        <v/>
      </c>
      <c r="AL313" s="48" t="str">
        <f aca="false">IF($U313&gt;=STRUCT_L,MIN(INDEX($H$63:$H313,252-STRUCT_L):$H313),"")</f>
        <v/>
      </c>
      <c r="AM313" s="46" t="n">
        <f aca="false">IF($A313&lt;&gt;$A314,1,0)</f>
        <v>0</v>
      </c>
      <c r="AN313" s="47" t="str">
        <f aca="false">IF($AM313=1,$A313,"")</f>
        <v/>
      </c>
    </row>
    <row r="314" customFormat="false" ht="15" hidden="false" customHeight="false" outlineLevel="0" collapsed="false">
      <c r="A314" s="43" t="s">
        <v>138</v>
      </c>
      <c r="B314" s="44" t="s">
        <v>140</v>
      </c>
      <c r="C314" s="45" t="n">
        <v>45973</v>
      </c>
      <c r="D314" s="46" t="n">
        <v>20251112</v>
      </c>
      <c r="E314" s="47" t="s">
        <v>337</v>
      </c>
      <c r="F314" s="48" t="n">
        <v>7656</v>
      </c>
      <c r="G314" s="48" t="n">
        <v>7843</v>
      </c>
      <c r="H314" s="48" t="n">
        <v>7632</v>
      </c>
      <c r="I314" s="48" t="n">
        <v>7782</v>
      </c>
      <c r="J314" s="48" t="n">
        <v>7679</v>
      </c>
      <c r="K314" s="48" t="n">
        <v>7692</v>
      </c>
      <c r="L314" s="48" t="n">
        <v>15537256</v>
      </c>
      <c r="M314" s="48" t="n">
        <v>120910926192</v>
      </c>
      <c r="N314" s="48" t="n">
        <v>841</v>
      </c>
      <c r="O314" s="48" t="n">
        <v>10112760</v>
      </c>
      <c r="P314" s="48" t="n">
        <v>5629825</v>
      </c>
      <c r="Q314" s="48" t="n">
        <v>225</v>
      </c>
      <c r="R314" s="48" t="n">
        <v>552</v>
      </c>
      <c r="S314" s="48" t="n">
        <v>5424496</v>
      </c>
      <c r="T314" s="48" t="n">
        <v>9907431</v>
      </c>
      <c r="U314" s="46" t="n">
        <f aca="false">IF($A314=$A313,$U313+1,1)</f>
        <v>50</v>
      </c>
      <c r="V314" s="48" t="n">
        <f aca="false">IF($U314&gt;=MA_SHORT,AVERAGE(INDEX($I$5:$I314,311-MA_SHORT):$I314),"")</f>
        <v>7634.65</v>
      </c>
      <c r="W314" s="48" t="n">
        <f aca="false">IF($U314&gt;=MA_MED,AVERAGE(INDEX($I$5:$I314,311-MA_MED):$I314),"")</f>
        <v>7262</v>
      </c>
      <c r="X314" s="48" t="str">
        <f aca="false">IF($U314&gt;=MA_LONG1,AVERAGE(INDEX($I$5:$I314,311-MA_LONG1):$I314),"")</f>
        <v/>
      </c>
      <c r="Y314" s="48" t="str">
        <f aca="false">IF($U314&gt;=MA_LONG2,AVERAGE(INDEX($I$5:$I314,311-MA_LONG2):$I314),"")</f>
        <v/>
      </c>
      <c r="Z314" s="48" t="n">
        <f aca="false">IF($U314&gt;=MA_SHORT,AVERAGE(INDEX($L$194:$L314,122-MA_SHORT):$L314),"")</f>
        <v>17569480.85</v>
      </c>
      <c r="AA314" s="48" t="n">
        <f aca="false">IF($U314=1,$G314-$H314,MAX($G314-$H314,ABS($G314-$I313),ABS($H314-$I313)))</f>
        <v>211</v>
      </c>
      <c r="AB314" s="48" t="n">
        <f aca="false">IF($U314&gt;=ATR_PER,AVERAGE(INDEX($AA$194:$AA314,122-ATR_PER):$AA314),"")</f>
        <v>263.285714285714</v>
      </c>
      <c r="AC314" s="48" t="n">
        <f aca="false">$O314-$P314</f>
        <v>4482935</v>
      </c>
      <c r="AD314" s="48" t="n">
        <f aca="false">$AC314*$I314</f>
        <v>34886200170</v>
      </c>
      <c r="AE314" s="49" t="n">
        <f aca="false">IF($Q314&gt;0,$O314*$I314/$Q314/1000000,"")</f>
        <v>349.7666592</v>
      </c>
      <c r="AF314" s="49" t="n">
        <f aca="false">IF($R314&gt;0,$P314*$I314/$R314/1000000,"")</f>
        <v>79.36829375</v>
      </c>
      <c r="AG314" s="50" t="n">
        <f aca="false">IF(AND(ISNUMBER($AE314),ISNUMBER($AF314),$AF314&gt;0),$AE314/$AF314,"")</f>
        <v>4.40688142171382</v>
      </c>
      <c r="AH314" s="48" t="n">
        <f aca="false">IF($U314&gt;=5,SUM(INDEX($AD$284:$AD314,32-5):$AD314),"")</f>
        <v>76984074883</v>
      </c>
      <c r="AI314" s="48" t="n">
        <f aca="false">IF($U314&gt;=STRUCT_S,MAX(INDEX($G$164:$G314,152-STRUCT_S):$G314),"")</f>
        <v>8226</v>
      </c>
      <c r="AJ314" s="48" t="n">
        <f aca="false">IF($U314&gt;=STRUCT_S,MIN(INDEX($H$164:$H314,152-STRUCT_S):$H314),"")</f>
        <v>6674</v>
      </c>
      <c r="AK314" s="48" t="str">
        <f aca="false">IF($U314&gt;=STRUCT_L,MAX(INDEX($G$64:$G314,252-STRUCT_L):$G314),"")</f>
        <v/>
      </c>
      <c r="AL314" s="48" t="str">
        <f aca="false">IF($U314&gt;=STRUCT_L,MIN(INDEX($H$64:$H314,252-STRUCT_L):$H314),"")</f>
        <v/>
      </c>
      <c r="AM314" s="46" t="n">
        <f aca="false">IF($A314&lt;&gt;$A315,1,0)</f>
        <v>0</v>
      </c>
      <c r="AN314" s="47" t="str">
        <f aca="false">IF($AM314=1,$A314,"")</f>
        <v/>
      </c>
    </row>
    <row r="315" customFormat="false" ht="15" hidden="false" customHeight="false" outlineLevel="0" collapsed="false">
      <c r="A315" s="43" t="s">
        <v>138</v>
      </c>
      <c r="B315" s="44" t="s">
        <v>140</v>
      </c>
      <c r="C315" s="45" t="n">
        <v>45976</v>
      </c>
      <c r="D315" s="46" t="n">
        <v>20251115</v>
      </c>
      <c r="E315" s="47" t="s">
        <v>338</v>
      </c>
      <c r="F315" s="48" t="n">
        <v>7781</v>
      </c>
      <c r="G315" s="48" t="n">
        <v>7822</v>
      </c>
      <c r="H315" s="48" t="n">
        <v>7607</v>
      </c>
      <c r="I315" s="48" t="n">
        <v>7646</v>
      </c>
      <c r="J315" s="48" t="n">
        <v>7632</v>
      </c>
      <c r="K315" s="48" t="n">
        <v>7782</v>
      </c>
      <c r="L315" s="48" t="n">
        <v>16040373</v>
      </c>
      <c r="M315" s="48" t="n">
        <v>122644691958</v>
      </c>
      <c r="N315" s="48" t="n">
        <v>1215</v>
      </c>
      <c r="O315" s="48" t="n">
        <v>9510118</v>
      </c>
      <c r="P315" s="48" t="n">
        <v>6214546</v>
      </c>
      <c r="Q315" s="48" t="n">
        <v>657</v>
      </c>
      <c r="R315" s="48" t="n">
        <v>323</v>
      </c>
      <c r="S315" s="48" t="n">
        <v>6530255</v>
      </c>
      <c r="T315" s="48" t="n">
        <v>9825827</v>
      </c>
      <c r="U315" s="46" t="n">
        <f aca="false">IF($A315=$A314,$U314+1,1)</f>
        <v>51</v>
      </c>
      <c r="V315" s="48" t="n">
        <f aca="false">IF($U315&gt;=MA_SHORT,AVERAGE(INDEX($I$5:$I315,312-MA_SHORT):$I315),"")</f>
        <v>7662.7</v>
      </c>
      <c r="W315" s="48" t="n">
        <f aca="false">IF($U315&gt;=MA_MED,AVERAGE(INDEX($I$5:$I315,312-MA_MED):$I315),"")</f>
        <v>7261.94</v>
      </c>
      <c r="X315" s="48" t="str">
        <f aca="false">IF($U315&gt;=MA_LONG1,AVERAGE(INDEX($I$5:$I315,312-MA_LONG1):$I315),"")</f>
        <v/>
      </c>
      <c r="Y315" s="48" t="str">
        <f aca="false">IF($U315&gt;=MA_LONG2,AVERAGE(INDEX($I$5:$I315,312-MA_LONG2):$I315),"")</f>
        <v/>
      </c>
      <c r="Z315" s="48" t="n">
        <f aca="false">IF($U315&gt;=MA_SHORT,AVERAGE(INDEX($L$195:$L315,122-MA_SHORT):$L315),"")</f>
        <v>17618108.5</v>
      </c>
      <c r="AA315" s="48" t="n">
        <f aca="false">IF($U315=1,$G315-$H315,MAX($G315-$H315,ABS($G315-$I314),ABS($H315-$I314)))</f>
        <v>215</v>
      </c>
      <c r="AB315" s="48" t="n">
        <f aca="false">IF($U315&gt;=ATR_PER,AVERAGE(INDEX($AA$195:$AA315,122-ATR_PER):$AA315),"")</f>
        <v>253.285714285714</v>
      </c>
      <c r="AC315" s="48" t="n">
        <f aca="false">$O315-$P315</f>
        <v>3295572</v>
      </c>
      <c r="AD315" s="48" t="n">
        <f aca="false">$AC315*$I315</f>
        <v>25197943512</v>
      </c>
      <c r="AE315" s="49" t="n">
        <f aca="false">IF($Q315&gt;0,$O315*$I315/$Q315/1000000,"")</f>
        <v>110.676350423135</v>
      </c>
      <c r="AF315" s="49" t="n">
        <f aca="false">IF($R315&gt;0,$P315*$I315/$R315/1000000,"")</f>
        <v>147.109655467492</v>
      </c>
      <c r="AG315" s="50" t="n">
        <f aca="false">IF(AND(ISNUMBER($AE315),ISNUMBER($AF315),$AF315&gt;0),$AE315/$AF315,"")</f>
        <v>0.752339131455531</v>
      </c>
      <c r="AH315" s="48" t="n">
        <f aca="false">IF($U315&gt;=5,SUM(INDEX($AD$285:$AD315,32-5):$AD315),"")</f>
        <v>111016378215</v>
      </c>
      <c r="AI315" s="48" t="n">
        <f aca="false">IF($U315&gt;=STRUCT_S,MAX(INDEX($G$165:$G315,152-STRUCT_S):$G315),"")</f>
        <v>8226</v>
      </c>
      <c r="AJ315" s="48" t="n">
        <f aca="false">IF($U315&gt;=STRUCT_S,MIN(INDEX($H$165:$H315,152-STRUCT_S):$H315),"")</f>
        <v>6674</v>
      </c>
      <c r="AK315" s="48" t="str">
        <f aca="false">IF($U315&gt;=STRUCT_L,MAX(INDEX($G$65:$G315,252-STRUCT_L):$G315),"")</f>
        <v/>
      </c>
      <c r="AL315" s="48" t="str">
        <f aca="false">IF($U315&gt;=STRUCT_L,MIN(INDEX($H$65:$H315,252-STRUCT_L):$H315),"")</f>
        <v/>
      </c>
      <c r="AM315" s="46" t="n">
        <f aca="false">IF($A315&lt;&gt;$A316,1,0)</f>
        <v>0</v>
      </c>
      <c r="AN315" s="47" t="str">
        <f aca="false">IF($AM315=1,$A315,"")</f>
        <v/>
      </c>
    </row>
    <row r="316" customFormat="false" ht="15" hidden="false" customHeight="false" outlineLevel="0" collapsed="false">
      <c r="A316" s="43" t="s">
        <v>138</v>
      </c>
      <c r="B316" s="44" t="s">
        <v>140</v>
      </c>
      <c r="C316" s="45" t="n">
        <v>45977</v>
      </c>
      <c r="D316" s="46" t="n">
        <v>20251116</v>
      </c>
      <c r="E316" s="47" t="s">
        <v>339</v>
      </c>
      <c r="F316" s="48" t="n">
        <v>7610</v>
      </c>
      <c r="G316" s="48" t="n">
        <v>7722</v>
      </c>
      <c r="H316" s="48" t="n">
        <v>7601</v>
      </c>
      <c r="I316" s="48" t="n">
        <v>7677</v>
      </c>
      <c r="J316" s="48" t="n">
        <v>7628</v>
      </c>
      <c r="K316" s="48" t="n">
        <v>7646</v>
      </c>
      <c r="L316" s="48" t="n">
        <v>21316281</v>
      </c>
      <c r="M316" s="48" t="n">
        <v>163645089237</v>
      </c>
      <c r="N316" s="48" t="n">
        <v>1376</v>
      </c>
      <c r="O316" s="48" t="n">
        <v>12325356</v>
      </c>
      <c r="P316" s="48" t="n">
        <v>7571400</v>
      </c>
      <c r="Q316" s="48" t="n">
        <v>441</v>
      </c>
      <c r="R316" s="48" t="n">
        <v>650</v>
      </c>
      <c r="S316" s="48" t="n">
        <v>8990925</v>
      </c>
      <c r="T316" s="48" t="n">
        <v>13744881</v>
      </c>
      <c r="U316" s="46" t="n">
        <f aca="false">IF($A316=$A315,$U315+1,1)</f>
        <v>52</v>
      </c>
      <c r="V316" s="48" t="n">
        <f aca="false">IF($U316&gt;=MA_SHORT,AVERAGE(INDEX($I$5:$I316,313-MA_SHORT):$I316),"")</f>
        <v>7707.35</v>
      </c>
      <c r="W316" s="48" t="n">
        <f aca="false">IF($U316&gt;=MA_MED,AVERAGE(INDEX($I$5:$I316,313-MA_MED):$I316),"")</f>
        <v>7270</v>
      </c>
      <c r="X316" s="48" t="str">
        <f aca="false">IF($U316&gt;=MA_LONG1,AVERAGE(INDEX($I$5:$I316,313-MA_LONG1):$I316),"")</f>
        <v/>
      </c>
      <c r="Y316" s="48" t="str">
        <f aca="false">IF($U316&gt;=MA_LONG2,AVERAGE(INDEX($I$5:$I316,313-MA_LONG2):$I316),"")</f>
        <v/>
      </c>
      <c r="Z316" s="48" t="n">
        <f aca="false">IF($U316&gt;=MA_SHORT,AVERAGE(INDEX($L$196:$L316,122-MA_SHORT):$L316),"")</f>
        <v>17772984.15</v>
      </c>
      <c r="AA316" s="48" t="n">
        <f aca="false">IF($U316=1,$G316-$H316,MAX($G316-$H316,ABS($G316-$I315),ABS($H316-$I315)))</f>
        <v>121</v>
      </c>
      <c r="AB316" s="48" t="n">
        <f aca="false">IF($U316&gt;=ATR_PER,AVERAGE(INDEX($AA$196:$AA316,122-ATR_PER):$AA316),"")</f>
        <v>252</v>
      </c>
      <c r="AC316" s="48" t="n">
        <f aca="false">$O316-$P316</f>
        <v>4753956</v>
      </c>
      <c r="AD316" s="48" t="n">
        <f aca="false">$AC316*$I316</f>
        <v>36496120212</v>
      </c>
      <c r="AE316" s="49" t="n">
        <f aca="false">IF($Q316&gt;0,$O316*$I316/$Q316/1000000,"")</f>
        <v>214.56180955102</v>
      </c>
      <c r="AF316" s="49" t="n">
        <f aca="false">IF($R316&gt;0,$P316*$I316/$R316/1000000,"")</f>
        <v>89.4240581538462</v>
      </c>
      <c r="AG316" s="50" t="n">
        <f aca="false">IF(AND(ISNUMBER($AE316),ISNUMBER($AF316),$AF316&gt;0),$AE316/$AF316,"")</f>
        <v>2.39937455289589</v>
      </c>
      <c r="AH316" s="48" t="n">
        <f aca="false">IF($U316&gt;=5,SUM(INDEX($AD$286:$AD316,32-5):$AD316),"")</f>
        <v>118284864870</v>
      </c>
      <c r="AI316" s="48" t="n">
        <f aca="false">IF($U316&gt;=STRUCT_S,MAX(INDEX($G$166:$G316,152-STRUCT_S):$G316),"")</f>
        <v>8226</v>
      </c>
      <c r="AJ316" s="48" t="n">
        <f aca="false">IF($U316&gt;=STRUCT_S,MIN(INDEX($H$166:$H316,152-STRUCT_S):$H316),"")</f>
        <v>6674</v>
      </c>
      <c r="AK316" s="48" t="str">
        <f aca="false">IF($U316&gt;=STRUCT_L,MAX(INDEX($G$66:$G316,252-STRUCT_L):$G316),"")</f>
        <v/>
      </c>
      <c r="AL316" s="48" t="str">
        <f aca="false">IF($U316&gt;=STRUCT_L,MIN(INDEX($H$66:$H316,252-STRUCT_L):$H316),"")</f>
        <v/>
      </c>
      <c r="AM316" s="46" t="n">
        <f aca="false">IF($A316&lt;&gt;$A317,1,0)</f>
        <v>0</v>
      </c>
      <c r="AN316" s="47" t="str">
        <f aca="false">IF($AM316=1,$A316,"")</f>
        <v/>
      </c>
    </row>
    <row r="317" customFormat="false" ht="15" hidden="false" customHeight="false" outlineLevel="0" collapsed="false">
      <c r="A317" s="43" t="s">
        <v>138</v>
      </c>
      <c r="B317" s="44" t="s">
        <v>140</v>
      </c>
      <c r="C317" s="45" t="n">
        <v>45978</v>
      </c>
      <c r="D317" s="46" t="n">
        <v>20251117</v>
      </c>
      <c r="E317" s="47" t="s">
        <v>340</v>
      </c>
      <c r="F317" s="48" t="n">
        <v>7691</v>
      </c>
      <c r="G317" s="48" t="n">
        <v>7710</v>
      </c>
      <c r="H317" s="48" t="n">
        <v>7638</v>
      </c>
      <c r="I317" s="48" t="n">
        <v>7671</v>
      </c>
      <c r="J317" s="48" t="n">
        <v>7705</v>
      </c>
      <c r="K317" s="48" t="n">
        <v>7677</v>
      </c>
      <c r="L317" s="48" t="n">
        <v>24438728</v>
      </c>
      <c r="M317" s="48" t="n">
        <v>187469482488</v>
      </c>
      <c r="N317" s="48" t="n">
        <v>799</v>
      </c>
      <c r="O317" s="48" t="n">
        <v>13934688</v>
      </c>
      <c r="P317" s="48" t="n">
        <v>8772201</v>
      </c>
      <c r="Q317" s="48" t="n">
        <v>410</v>
      </c>
      <c r="R317" s="48" t="n">
        <v>283</v>
      </c>
      <c r="S317" s="48" t="n">
        <v>10504040</v>
      </c>
      <c r="T317" s="48" t="n">
        <v>15666527</v>
      </c>
      <c r="U317" s="46" t="n">
        <f aca="false">IF($A317=$A316,$U316+1,1)</f>
        <v>53</v>
      </c>
      <c r="V317" s="48" t="n">
        <f aca="false">IF($U317&gt;=MA_SHORT,AVERAGE(INDEX($I$5:$I317,314-MA_SHORT):$I317),"")</f>
        <v>7742.25</v>
      </c>
      <c r="W317" s="48" t="n">
        <f aca="false">IF($U317&gt;=MA_MED,AVERAGE(INDEX($I$5:$I317,314-MA_MED):$I317),"")</f>
        <v>7279.06</v>
      </c>
      <c r="X317" s="48" t="str">
        <f aca="false">IF($U317&gt;=MA_LONG1,AVERAGE(INDEX($I$5:$I317,314-MA_LONG1):$I317),"")</f>
        <v/>
      </c>
      <c r="Y317" s="48" t="str">
        <f aca="false">IF($U317&gt;=MA_LONG2,AVERAGE(INDEX($I$5:$I317,314-MA_LONG2):$I317),"")</f>
        <v/>
      </c>
      <c r="Z317" s="48" t="n">
        <f aca="false">IF($U317&gt;=MA_SHORT,AVERAGE(INDEX($L$197:$L317,122-MA_SHORT):$L317),"")</f>
        <v>18147677.7</v>
      </c>
      <c r="AA317" s="48" t="n">
        <f aca="false">IF($U317=1,$G317-$H317,MAX($G317-$H317,ABS($G317-$I316),ABS($H317-$I316)))</f>
        <v>72</v>
      </c>
      <c r="AB317" s="48" t="n">
        <f aca="false">IF($U317&gt;=ATR_PER,AVERAGE(INDEX($AA$197:$AA317,122-ATR_PER):$AA317),"")</f>
        <v>228.142857142857</v>
      </c>
      <c r="AC317" s="48" t="n">
        <f aca="false">$O317-$P317</f>
        <v>5162487</v>
      </c>
      <c r="AD317" s="48" t="n">
        <f aca="false">$AC317*$I317</f>
        <v>39601437777</v>
      </c>
      <c r="AE317" s="49" t="n">
        <f aca="false">IF($Q317&gt;0,$O317*$I317/$Q317/1000000,"")</f>
        <v>260.71461377561</v>
      </c>
      <c r="AF317" s="49" t="n">
        <f aca="false">IF($R317&gt;0,$P317*$I317/$R317/1000000,"")</f>
        <v>237.779342300353</v>
      </c>
      <c r="AG317" s="50" t="n">
        <f aca="false">IF(AND(ISNUMBER($AE317),ISNUMBER($AF317),$AF317&gt;0),$AE317/$AF317,"")</f>
        <v>1.09645611453616</v>
      </c>
      <c r="AH317" s="48" t="n">
        <f aca="false">IF($U317&gt;=5,SUM(INDEX($AD$287:$AD317,32-5):$AD317),"")</f>
        <v>165298844631</v>
      </c>
      <c r="AI317" s="48" t="n">
        <f aca="false">IF($U317&gt;=STRUCT_S,MAX(INDEX($G$167:$G317,152-STRUCT_S):$G317),"")</f>
        <v>8226</v>
      </c>
      <c r="AJ317" s="48" t="n">
        <f aca="false">IF($U317&gt;=STRUCT_S,MIN(INDEX($H$167:$H317,152-STRUCT_S):$H317),"")</f>
        <v>6855</v>
      </c>
      <c r="AK317" s="48" t="str">
        <f aca="false">IF($U317&gt;=STRUCT_L,MAX(INDEX($G$67:$G317,252-STRUCT_L):$G317),"")</f>
        <v/>
      </c>
      <c r="AL317" s="48" t="str">
        <f aca="false">IF($U317&gt;=STRUCT_L,MIN(INDEX($H$67:$H317,252-STRUCT_L):$H317),"")</f>
        <v/>
      </c>
      <c r="AM317" s="46" t="n">
        <f aca="false">IF($A317&lt;&gt;$A318,1,0)</f>
        <v>0</v>
      </c>
      <c r="AN317" s="47" t="str">
        <f aca="false">IF($AM317=1,$A317,"")</f>
        <v/>
      </c>
    </row>
    <row r="318" customFormat="false" ht="15" hidden="false" customHeight="false" outlineLevel="0" collapsed="false">
      <c r="A318" s="43" t="s">
        <v>138</v>
      </c>
      <c r="B318" s="44" t="s">
        <v>140</v>
      </c>
      <c r="C318" s="45" t="n">
        <v>45979</v>
      </c>
      <c r="D318" s="46" t="n">
        <v>20251118</v>
      </c>
      <c r="E318" s="47" t="s">
        <v>341</v>
      </c>
      <c r="F318" s="48" t="n">
        <v>7750</v>
      </c>
      <c r="G318" s="48" t="n">
        <v>7895</v>
      </c>
      <c r="H318" s="48" t="n">
        <v>7566</v>
      </c>
      <c r="I318" s="48" t="n">
        <v>7789</v>
      </c>
      <c r="J318" s="48" t="n">
        <v>7834</v>
      </c>
      <c r="K318" s="48" t="n">
        <v>7671</v>
      </c>
      <c r="L318" s="48" t="n">
        <v>15858002</v>
      </c>
      <c r="M318" s="48" t="n">
        <v>123517977578</v>
      </c>
      <c r="N318" s="48" t="n">
        <v>1142</v>
      </c>
      <c r="O318" s="48" t="n">
        <v>10148334</v>
      </c>
      <c r="P318" s="48" t="n">
        <v>4519071</v>
      </c>
      <c r="Q318" s="48" t="n">
        <v>341</v>
      </c>
      <c r="R318" s="48" t="n">
        <v>695</v>
      </c>
      <c r="S318" s="48" t="n">
        <v>5709668</v>
      </c>
      <c r="T318" s="48" t="n">
        <v>11338931</v>
      </c>
      <c r="U318" s="46" t="n">
        <f aca="false">IF($A318=$A317,$U317+1,1)</f>
        <v>54</v>
      </c>
      <c r="V318" s="48" t="n">
        <f aca="false">IF($U318&gt;=MA_SHORT,AVERAGE(INDEX($I$5:$I318,315-MA_SHORT):$I318),"")</f>
        <v>7769.85</v>
      </c>
      <c r="W318" s="48" t="n">
        <f aca="false">IF($U318&gt;=MA_MED,AVERAGE(INDEX($I$5:$I318,315-MA_MED):$I318),"")</f>
        <v>7289.38</v>
      </c>
      <c r="X318" s="48" t="str">
        <f aca="false">IF($U318&gt;=MA_LONG1,AVERAGE(INDEX($I$5:$I318,315-MA_LONG1):$I318),"")</f>
        <v/>
      </c>
      <c r="Y318" s="48" t="str">
        <f aca="false">IF($U318&gt;=MA_LONG2,AVERAGE(INDEX($I$5:$I318,315-MA_LONG2):$I318),"")</f>
        <v/>
      </c>
      <c r="Z318" s="48" t="n">
        <f aca="false">IF($U318&gt;=MA_SHORT,AVERAGE(INDEX($L$198:$L318,122-MA_SHORT):$L318),"")</f>
        <v>17964680.25</v>
      </c>
      <c r="AA318" s="48" t="n">
        <f aca="false">IF($U318=1,$G318-$H318,MAX($G318-$H318,ABS($G318-$I317),ABS($H318-$I317)))</f>
        <v>329</v>
      </c>
      <c r="AB318" s="48" t="n">
        <f aca="false">IF($U318&gt;=ATR_PER,AVERAGE(INDEX($AA$198:$AA318,122-ATR_PER):$AA318),"")</f>
        <v>232.214285714286</v>
      </c>
      <c r="AC318" s="48" t="n">
        <f aca="false">$O318-$P318</f>
        <v>5629263</v>
      </c>
      <c r="AD318" s="48" t="n">
        <f aca="false">$AC318*$I318</f>
        <v>43846329507</v>
      </c>
      <c r="AE318" s="49" t="n">
        <f aca="false">IF($Q318&gt;0,$O318*$I318/$Q318/1000000,"")</f>
        <v>231.804614445748</v>
      </c>
      <c r="AF318" s="49" t="n">
        <f aca="false">IF($R318&gt;0,$P318*$I318/$R318/1000000,"")</f>
        <v>50.6461065021583</v>
      </c>
      <c r="AG318" s="50" t="n">
        <f aca="false">IF(AND(ISNUMBER($AE318),ISNUMBER($AF318),$AF318&gt;0),$AE318/$AF318,"")</f>
        <v>4.5769483669168</v>
      </c>
      <c r="AH318" s="48" t="n">
        <f aca="false">IF($U318&gt;=5,SUM(INDEX($AD$288:$AD318,32-5):$AD318),"")</f>
        <v>180028031178</v>
      </c>
      <c r="AI318" s="48" t="n">
        <f aca="false">IF($U318&gt;=STRUCT_S,MAX(INDEX($G$168:$G318,152-STRUCT_S):$G318),"")</f>
        <v>8226</v>
      </c>
      <c r="AJ318" s="48" t="n">
        <f aca="false">IF($U318&gt;=STRUCT_S,MIN(INDEX($H$168:$H318,152-STRUCT_S):$H318),"")</f>
        <v>7215</v>
      </c>
      <c r="AK318" s="48" t="str">
        <f aca="false">IF($U318&gt;=STRUCT_L,MAX(INDEX($G$68:$G318,252-STRUCT_L):$G318),"")</f>
        <v/>
      </c>
      <c r="AL318" s="48" t="str">
        <f aca="false">IF($U318&gt;=STRUCT_L,MIN(INDEX($H$68:$H318,252-STRUCT_L):$H318),"")</f>
        <v/>
      </c>
      <c r="AM318" s="46" t="n">
        <f aca="false">IF($A318&lt;&gt;$A319,1,0)</f>
        <v>0</v>
      </c>
      <c r="AN318" s="47" t="str">
        <f aca="false">IF($AM318=1,$A318,"")</f>
        <v/>
      </c>
    </row>
    <row r="319" customFormat="false" ht="15" hidden="false" customHeight="false" outlineLevel="0" collapsed="false">
      <c r="A319" s="43" t="s">
        <v>138</v>
      </c>
      <c r="B319" s="44" t="s">
        <v>140</v>
      </c>
      <c r="C319" s="45" t="n">
        <v>45980</v>
      </c>
      <c r="D319" s="46" t="n">
        <v>20251119</v>
      </c>
      <c r="E319" s="47" t="s">
        <v>342</v>
      </c>
      <c r="F319" s="48" t="n">
        <v>7749</v>
      </c>
      <c r="G319" s="48" t="n">
        <v>7808</v>
      </c>
      <c r="H319" s="48" t="n">
        <v>7729</v>
      </c>
      <c r="I319" s="48" t="n">
        <v>7748</v>
      </c>
      <c r="J319" s="48" t="n">
        <v>7744</v>
      </c>
      <c r="K319" s="48" t="n">
        <v>7789</v>
      </c>
      <c r="L319" s="48" t="n">
        <v>21409095</v>
      </c>
      <c r="M319" s="48" t="n">
        <v>165877668060</v>
      </c>
      <c r="N319" s="48" t="n">
        <v>916</v>
      </c>
      <c r="O319" s="48" t="n">
        <v>12237562</v>
      </c>
      <c r="P319" s="48" t="n">
        <v>9590928</v>
      </c>
      <c r="Q319" s="48" t="n">
        <v>384</v>
      </c>
      <c r="R319" s="48" t="n">
        <v>241</v>
      </c>
      <c r="S319" s="48" t="n">
        <v>9171533</v>
      </c>
      <c r="T319" s="48" t="n">
        <v>11818167</v>
      </c>
      <c r="U319" s="46" t="n">
        <f aca="false">IF($A319=$A318,$U318+1,1)</f>
        <v>55</v>
      </c>
      <c r="V319" s="48" t="n">
        <f aca="false">IF($U319&gt;=MA_SHORT,AVERAGE(INDEX($I$5:$I319,316-MA_SHORT):$I319),"")</f>
        <v>7783.7</v>
      </c>
      <c r="W319" s="48" t="n">
        <f aca="false">IF($U319&gt;=MA_MED,AVERAGE(INDEX($I$5:$I319,316-MA_MED):$I319),"")</f>
        <v>7300.22</v>
      </c>
      <c r="X319" s="48" t="str">
        <f aca="false">IF($U319&gt;=MA_LONG1,AVERAGE(INDEX($I$5:$I319,316-MA_LONG1):$I319),"")</f>
        <v/>
      </c>
      <c r="Y319" s="48" t="str">
        <f aca="false">IF($U319&gt;=MA_LONG2,AVERAGE(INDEX($I$5:$I319,316-MA_LONG2):$I319),"")</f>
        <v/>
      </c>
      <c r="Z319" s="48" t="n">
        <f aca="false">IF($U319&gt;=MA_SHORT,AVERAGE(INDEX($L$199:$L319,122-MA_SHORT):$L319),"")</f>
        <v>18168405.3</v>
      </c>
      <c r="AA319" s="48" t="n">
        <f aca="false">IF($U319=1,$G319-$H319,MAX($G319-$H319,ABS($G319-$I318),ABS($H319-$I318)))</f>
        <v>79</v>
      </c>
      <c r="AB319" s="48" t="n">
        <f aca="false">IF($U319&gt;=ATR_PER,AVERAGE(INDEX($AA$199:$AA319,122-ATR_PER):$AA319),"")</f>
        <v>209.928571428571</v>
      </c>
      <c r="AC319" s="48" t="n">
        <f aca="false">$O319-$P319</f>
        <v>2646634</v>
      </c>
      <c r="AD319" s="48" t="n">
        <f aca="false">$AC319*$I319</f>
        <v>20506120232</v>
      </c>
      <c r="AE319" s="49" t="n">
        <f aca="false">IF($Q319&gt;0,$O319*$I319/$Q319/1000000,"")</f>
        <v>246.918308270833</v>
      </c>
      <c r="AF319" s="49" t="n">
        <f aca="false">IF($R319&gt;0,$P319*$I319/$R319/1000000,"")</f>
        <v>308.342365742739</v>
      </c>
      <c r="AG319" s="50" t="n">
        <f aca="false">IF(AND(ISNUMBER($AE319),ISNUMBER($AF319),$AF319&gt;0),$AE319/$AF319,"")</f>
        <v>0.800792676270916</v>
      </c>
      <c r="AH319" s="48" t="n">
        <f aca="false">IF($U319&gt;=5,SUM(INDEX($AD$289:$AD319,32-5):$AD319),"")</f>
        <v>165647951240</v>
      </c>
      <c r="AI319" s="48" t="n">
        <f aca="false">IF($U319&gt;=STRUCT_S,MAX(INDEX($G$169:$G319,152-STRUCT_S):$G319),"")</f>
        <v>8226</v>
      </c>
      <c r="AJ319" s="48" t="n">
        <f aca="false">IF($U319&gt;=STRUCT_S,MIN(INDEX($H$169:$H319,152-STRUCT_S):$H319),"")</f>
        <v>7393</v>
      </c>
      <c r="AK319" s="48" t="str">
        <f aca="false">IF($U319&gt;=STRUCT_L,MAX(INDEX($G$69:$G319,252-STRUCT_L):$G319),"")</f>
        <v/>
      </c>
      <c r="AL319" s="48" t="str">
        <f aca="false">IF($U319&gt;=STRUCT_L,MIN(INDEX($H$69:$H319,252-STRUCT_L):$H319),"")</f>
        <v/>
      </c>
      <c r="AM319" s="46" t="n">
        <f aca="false">IF($A319&lt;&gt;$A320,1,0)</f>
        <v>0</v>
      </c>
      <c r="AN319" s="47" t="str">
        <f aca="false">IF($AM319=1,$A319,"")</f>
        <v/>
      </c>
    </row>
    <row r="320" customFormat="false" ht="15" hidden="false" customHeight="false" outlineLevel="0" collapsed="false">
      <c r="A320" s="43" t="s">
        <v>138</v>
      </c>
      <c r="B320" s="44" t="s">
        <v>140</v>
      </c>
      <c r="C320" s="45" t="n">
        <v>45983</v>
      </c>
      <c r="D320" s="46" t="n">
        <v>20251122</v>
      </c>
      <c r="E320" s="47" t="s">
        <v>343</v>
      </c>
      <c r="F320" s="48" t="n">
        <v>7666</v>
      </c>
      <c r="G320" s="48" t="n">
        <v>7770</v>
      </c>
      <c r="H320" s="48" t="n">
        <v>7644</v>
      </c>
      <c r="I320" s="48" t="n">
        <v>7666</v>
      </c>
      <c r="J320" s="48" t="n">
        <v>7747</v>
      </c>
      <c r="K320" s="48" t="n">
        <v>7748</v>
      </c>
      <c r="L320" s="48" t="n">
        <v>15806499</v>
      </c>
      <c r="M320" s="48" t="n">
        <v>121172621334</v>
      </c>
      <c r="N320" s="48" t="n">
        <v>842</v>
      </c>
      <c r="O320" s="48" t="n">
        <v>8319543</v>
      </c>
      <c r="P320" s="48" t="n">
        <v>7912185</v>
      </c>
      <c r="Q320" s="48" t="n">
        <v>390</v>
      </c>
      <c r="R320" s="48" t="n">
        <v>253</v>
      </c>
      <c r="S320" s="48" t="n">
        <v>7486956</v>
      </c>
      <c r="T320" s="48" t="n">
        <v>7894314</v>
      </c>
      <c r="U320" s="46" t="n">
        <f aca="false">IF($A320=$A319,$U319+1,1)</f>
        <v>56</v>
      </c>
      <c r="V320" s="48" t="n">
        <f aca="false">IF($U320&gt;=MA_SHORT,AVERAGE(INDEX($I$5:$I320,317-MA_SHORT):$I320),"")</f>
        <v>7792.85</v>
      </c>
      <c r="W320" s="48" t="n">
        <f aca="false">IF($U320&gt;=MA_MED,AVERAGE(INDEX($I$5:$I320,317-MA_MED):$I320),"")</f>
        <v>7310.08</v>
      </c>
      <c r="X320" s="48" t="str">
        <f aca="false">IF($U320&gt;=MA_LONG1,AVERAGE(INDEX($I$5:$I320,317-MA_LONG1):$I320),"")</f>
        <v/>
      </c>
      <c r="Y320" s="48" t="str">
        <f aca="false">IF($U320&gt;=MA_LONG2,AVERAGE(INDEX($I$5:$I320,317-MA_LONG2):$I320),"")</f>
        <v/>
      </c>
      <c r="Z320" s="48" t="n">
        <f aca="false">IF($U320&gt;=MA_SHORT,AVERAGE(INDEX($L$200:$L320,122-MA_SHORT):$L320),"")</f>
        <v>18225832.1</v>
      </c>
      <c r="AA320" s="48" t="n">
        <f aca="false">IF($U320=1,$G320-$H320,MAX($G320-$H320,ABS($G320-$I319),ABS($H320-$I319)))</f>
        <v>126</v>
      </c>
      <c r="AB320" s="48" t="n">
        <f aca="false">IF($U320&gt;=ATR_PER,AVERAGE(INDEX($AA$200:$AA320,122-ATR_PER):$AA320),"")</f>
        <v>213.714285714286</v>
      </c>
      <c r="AC320" s="48" t="n">
        <f aca="false">$O320-$P320</f>
        <v>407358</v>
      </c>
      <c r="AD320" s="48" t="n">
        <f aca="false">$AC320*$I320</f>
        <v>3122806428</v>
      </c>
      <c r="AE320" s="49" t="n">
        <f aca="false">IF($Q320&gt;0,$O320*$I320/$Q320/1000000,"")</f>
        <v>163.532350353846</v>
      </c>
      <c r="AF320" s="49" t="n">
        <f aca="false">IF($R320&gt;0,$P320*$I320/$R320/1000000,"")</f>
        <v>239.74233284585</v>
      </c>
      <c r="AG320" s="50" t="n">
        <f aca="false">IF(AND(ISNUMBER($AE320),ISNUMBER($AF320),$AF320&gt;0),$AE320/$AF320,"")</f>
        <v>0.682117123048914</v>
      </c>
      <c r="AH320" s="48" t="n">
        <f aca="false">IF($U320&gt;=5,SUM(INDEX($AD$290:$AD320,32-5):$AD320),"")</f>
        <v>143572814156</v>
      </c>
      <c r="AI320" s="48" t="n">
        <f aca="false">IF($U320&gt;=STRUCT_S,MAX(INDEX($G$170:$G320,152-STRUCT_S):$G320),"")</f>
        <v>8226</v>
      </c>
      <c r="AJ320" s="48" t="n">
        <f aca="false">IF($U320&gt;=STRUCT_S,MIN(INDEX($H$170:$H320,152-STRUCT_S):$H320),"")</f>
        <v>7393</v>
      </c>
      <c r="AK320" s="48" t="str">
        <f aca="false">IF($U320&gt;=STRUCT_L,MAX(INDEX($G$70:$G320,252-STRUCT_L):$G320),"")</f>
        <v/>
      </c>
      <c r="AL320" s="48" t="str">
        <f aca="false">IF($U320&gt;=STRUCT_L,MIN(INDEX($H$70:$H320,252-STRUCT_L):$H320),"")</f>
        <v/>
      </c>
      <c r="AM320" s="46" t="n">
        <f aca="false">IF($A320&lt;&gt;$A321,1,0)</f>
        <v>0</v>
      </c>
      <c r="AN320" s="47" t="str">
        <f aca="false">IF($AM320=1,$A320,"")</f>
        <v/>
      </c>
    </row>
    <row r="321" customFormat="false" ht="15" hidden="false" customHeight="false" outlineLevel="0" collapsed="false">
      <c r="A321" s="43" t="s">
        <v>138</v>
      </c>
      <c r="B321" s="44" t="s">
        <v>140</v>
      </c>
      <c r="C321" s="45" t="n">
        <v>45984</v>
      </c>
      <c r="D321" s="46" t="n">
        <v>20251123</v>
      </c>
      <c r="E321" s="47" t="s">
        <v>344</v>
      </c>
      <c r="F321" s="48" t="n">
        <v>7861</v>
      </c>
      <c r="G321" s="48" t="n">
        <v>7899</v>
      </c>
      <c r="H321" s="48" t="n">
        <v>7563</v>
      </c>
      <c r="I321" s="48" t="n">
        <v>7794</v>
      </c>
      <c r="J321" s="48" t="n">
        <v>7873</v>
      </c>
      <c r="K321" s="48" t="n">
        <v>7666</v>
      </c>
      <c r="L321" s="48" t="n">
        <v>23385205</v>
      </c>
      <c r="M321" s="48" t="n">
        <v>182264287770</v>
      </c>
      <c r="N321" s="48" t="n">
        <v>1318</v>
      </c>
      <c r="O321" s="48" t="n">
        <v>13088994</v>
      </c>
      <c r="P321" s="48" t="n">
        <v>11393029</v>
      </c>
      <c r="Q321" s="48" t="n">
        <v>522</v>
      </c>
      <c r="R321" s="48" t="n">
        <v>765</v>
      </c>
      <c r="S321" s="48" t="n">
        <v>10296211</v>
      </c>
      <c r="T321" s="48" t="n">
        <v>11992176</v>
      </c>
      <c r="U321" s="46" t="n">
        <f aca="false">IF($A321=$A320,$U320+1,1)</f>
        <v>57</v>
      </c>
      <c r="V321" s="48" t="n">
        <f aca="false">IF($U321&gt;=MA_SHORT,AVERAGE(INDEX($I$5:$I321,318-MA_SHORT):$I321),"")</f>
        <v>7799.75</v>
      </c>
      <c r="W321" s="48" t="n">
        <f aca="false">IF($U321&gt;=MA_MED,AVERAGE(INDEX($I$5:$I321,318-MA_MED):$I321),"")</f>
        <v>7323.52</v>
      </c>
      <c r="X321" s="48" t="str">
        <f aca="false">IF($U321&gt;=MA_LONG1,AVERAGE(INDEX($I$5:$I321,318-MA_LONG1):$I321),"")</f>
        <v/>
      </c>
      <c r="Y321" s="48" t="str">
        <f aca="false">IF($U321&gt;=MA_LONG2,AVERAGE(INDEX($I$5:$I321,318-MA_LONG2):$I321),"")</f>
        <v/>
      </c>
      <c r="Z321" s="48" t="n">
        <f aca="false">IF($U321&gt;=MA_SHORT,AVERAGE(INDEX($L$201:$L321,122-MA_SHORT):$L321),"")</f>
        <v>18460261.8</v>
      </c>
      <c r="AA321" s="48" t="n">
        <f aca="false">IF($U321=1,$G321-$H321,MAX($G321-$H321,ABS($G321-$I320),ABS($H321-$I320)))</f>
        <v>336</v>
      </c>
      <c r="AB321" s="48" t="n">
        <f aca="false">IF($U321&gt;=ATR_PER,AVERAGE(INDEX($AA$201:$AA321,122-ATR_PER):$AA321),"")</f>
        <v>215.785714285714</v>
      </c>
      <c r="AC321" s="48" t="n">
        <f aca="false">$O321-$P321</f>
        <v>1695965</v>
      </c>
      <c r="AD321" s="48" t="n">
        <f aca="false">$AC321*$I321</f>
        <v>13218351210</v>
      </c>
      <c r="AE321" s="49" t="n">
        <f aca="false">IF($Q321&gt;0,$O321*$I321/$Q321/1000000,"")</f>
        <v>195.432220758621</v>
      </c>
      <c r="AF321" s="49" t="n">
        <f aca="false">IF($R321&gt;0,$P321*$I321/$R321/1000000,"")</f>
        <v>116.074860164706</v>
      </c>
      <c r="AG321" s="50" t="n">
        <f aca="false">IF(AND(ISNUMBER($AE321),ISNUMBER($AF321),$AF321&gt;0),$AE321/$AF321,"")</f>
        <v>1.68367397110201</v>
      </c>
      <c r="AH321" s="48" t="n">
        <f aca="false">IF($U321&gt;=5,SUM(INDEX($AD$291:$AD321,32-5):$AD321),"")</f>
        <v>120295045154</v>
      </c>
      <c r="AI321" s="48" t="n">
        <f aca="false">IF($U321&gt;=STRUCT_S,MAX(INDEX($G$171:$G321,152-STRUCT_S):$G321),"")</f>
        <v>8226</v>
      </c>
      <c r="AJ321" s="48" t="n">
        <f aca="false">IF($U321&gt;=STRUCT_S,MIN(INDEX($H$171:$H321,152-STRUCT_S):$H321),"")</f>
        <v>7521</v>
      </c>
      <c r="AK321" s="48" t="str">
        <f aca="false">IF($U321&gt;=STRUCT_L,MAX(INDEX($G$71:$G321,252-STRUCT_L):$G321),"")</f>
        <v/>
      </c>
      <c r="AL321" s="48" t="str">
        <f aca="false">IF($U321&gt;=STRUCT_L,MIN(INDEX($H$71:$H321,252-STRUCT_L):$H321),"")</f>
        <v/>
      </c>
      <c r="AM321" s="46" t="n">
        <f aca="false">IF($A321&lt;&gt;$A322,1,0)</f>
        <v>0</v>
      </c>
      <c r="AN321" s="47" t="str">
        <f aca="false">IF($AM321=1,$A321,"")</f>
        <v/>
      </c>
    </row>
    <row r="322" customFormat="false" ht="15" hidden="false" customHeight="false" outlineLevel="0" collapsed="false">
      <c r="A322" s="43" t="s">
        <v>138</v>
      </c>
      <c r="B322" s="44" t="s">
        <v>140</v>
      </c>
      <c r="C322" s="45" t="n">
        <v>45985</v>
      </c>
      <c r="D322" s="46" t="n">
        <v>20251124</v>
      </c>
      <c r="E322" s="47" t="s">
        <v>345</v>
      </c>
      <c r="F322" s="48" t="n">
        <v>7718</v>
      </c>
      <c r="G322" s="48" t="n">
        <v>7875</v>
      </c>
      <c r="H322" s="48" t="n">
        <v>7541</v>
      </c>
      <c r="I322" s="48" t="n">
        <v>7620</v>
      </c>
      <c r="J322" s="48" t="n">
        <v>7872</v>
      </c>
      <c r="K322" s="48" t="n">
        <v>7794</v>
      </c>
      <c r="L322" s="48" t="n">
        <v>18070152</v>
      </c>
      <c r="M322" s="48" t="n">
        <v>137694558240</v>
      </c>
      <c r="N322" s="48" t="n">
        <v>725</v>
      </c>
      <c r="O322" s="48" t="n">
        <v>10997930</v>
      </c>
      <c r="P322" s="48" t="n">
        <v>7865185</v>
      </c>
      <c r="Q322" s="48" t="n">
        <v>303</v>
      </c>
      <c r="R322" s="48" t="n">
        <v>259</v>
      </c>
      <c r="S322" s="48" t="n">
        <v>7072222</v>
      </c>
      <c r="T322" s="48" t="n">
        <v>10204967</v>
      </c>
      <c r="U322" s="46" t="n">
        <f aca="false">IF($A322=$A321,$U321+1,1)</f>
        <v>58</v>
      </c>
      <c r="V322" s="48" t="n">
        <f aca="false">IF($U322&gt;=MA_SHORT,AVERAGE(INDEX($I$5:$I322,319-MA_SHORT):$I322),"")</f>
        <v>7797.4</v>
      </c>
      <c r="W322" s="48" t="n">
        <f aca="false">IF($U322&gt;=MA_MED,AVERAGE(INDEX($I$5:$I322,319-MA_MED):$I322),"")</f>
        <v>7335.86</v>
      </c>
      <c r="X322" s="48" t="str">
        <f aca="false">IF($U322&gt;=MA_LONG1,AVERAGE(INDEX($I$5:$I322,319-MA_LONG1):$I322),"")</f>
        <v/>
      </c>
      <c r="Y322" s="48" t="str">
        <f aca="false">IF($U322&gt;=MA_LONG2,AVERAGE(INDEX($I$5:$I322,319-MA_LONG2):$I322),"")</f>
        <v/>
      </c>
      <c r="Z322" s="48" t="n">
        <f aca="false">IF($U322&gt;=MA_SHORT,AVERAGE(INDEX($L$202:$L322,122-MA_SHORT):$L322),"")</f>
        <v>18612364.2</v>
      </c>
      <c r="AA322" s="48" t="n">
        <f aca="false">IF($U322=1,$G322-$H322,MAX($G322-$H322,ABS($G322-$I321),ABS($H322-$I321)))</f>
        <v>334</v>
      </c>
      <c r="AB322" s="48" t="n">
        <f aca="false">IF($U322&gt;=ATR_PER,AVERAGE(INDEX($AA$202:$AA322,122-ATR_PER):$AA322),"")</f>
        <v>217.642857142857</v>
      </c>
      <c r="AC322" s="48" t="n">
        <f aca="false">$O322-$P322</f>
        <v>3132745</v>
      </c>
      <c r="AD322" s="48" t="n">
        <f aca="false">$AC322*$I322</f>
        <v>23871516900</v>
      </c>
      <c r="AE322" s="49" t="n">
        <f aca="false">IF($Q322&gt;0,$O322*$I322/$Q322/1000000,"")</f>
        <v>276.581605940594</v>
      </c>
      <c r="AF322" s="49" t="n">
        <f aca="false">IF($R322&gt;0,$P322*$I322/$R322/1000000,"")</f>
        <v>231.400423552124</v>
      </c>
      <c r="AG322" s="50" t="n">
        <f aca="false">IF(AND(ISNUMBER($AE322),ISNUMBER($AF322),$AF322&gt;0),$AE322/$AF322,"")</f>
        <v>1.19525107903829</v>
      </c>
      <c r="AH322" s="48" t="n">
        <f aca="false">IF($U322&gt;=5,SUM(INDEX($AD$292:$AD322,32-5):$AD322),"")</f>
        <v>104565124277</v>
      </c>
      <c r="AI322" s="48" t="n">
        <f aca="false">IF($U322&gt;=STRUCT_S,MAX(INDEX($G$172:$G322,152-STRUCT_S):$G322),"")</f>
        <v>8226</v>
      </c>
      <c r="AJ322" s="48" t="n">
        <f aca="false">IF($U322&gt;=STRUCT_S,MIN(INDEX($H$172:$H322,152-STRUCT_S):$H322),"")</f>
        <v>7521</v>
      </c>
      <c r="AK322" s="48" t="str">
        <f aca="false">IF($U322&gt;=STRUCT_L,MAX(INDEX($G$72:$G322,252-STRUCT_L):$G322),"")</f>
        <v/>
      </c>
      <c r="AL322" s="48" t="str">
        <f aca="false">IF($U322&gt;=STRUCT_L,MIN(INDEX($H$72:$H322,252-STRUCT_L):$H322),"")</f>
        <v/>
      </c>
      <c r="AM322" s="46" t="n">
        <f aca="false">IF($A322&lt;&gt;$A323,1,0)</f>
        <v>0</v>
      </c>
      <c r="AN322" s="47" t="str">
        <f aca="false">IF($AM322=1,$A322,"")</f>
        <v/>
      </c>
    </row>
    <row r="323" customFormat="false" ht="15" hidden="false" customHeight="false" outlineLevel="0" collapsed="false">
      <c r="A323" s="43" t="s">
        <v>138</v>
      </c>
      <c r="B323" s="44" t="s">
        <v>140</v>
      </c>
      <c r="C323" s="45" t="n">
        <v>45986</v>
      </c>
      <c r="D323" s="46" t="n">
        <v>20251125</v>
      </c>
      <c r="E323" s="47" t="s">
        <v>346</v>
      </c>
      <c r="F323" s="48" t="n">
        <v>7763</v>
      </c>
      <c r="G323" s="48" t="n">
        <v>7916</v>
      </c>
      <c r="H323" s="48" t="n">
        <v>7550</v>
      </c>
      <c r="I323" s="48" t="n">
        <v>7844</v>
      </c>
      <c r="J323" s="48" t="n">
        <v>7886</v>
      </c>
      <c r="K323" s="48" t="n">
        <v>7620</v>
      </c>
      <c r="L323" s="48" t="n">
        <v>22531988</v>
      </c>
      <c r="M323" s="48" t="n">
        <v>176740913872</v>
      </c>
      <c r="N323" s="48" t="n">
        <v>776</v>
      </c>
      <c r="O323" s="48" t="n">
        <v>16265438</v>
      </c>
      <c r="P323" s="48" t="n">
        <v>5772992</v>
      </c>
      <c r="Q323" s="48" t="n">
        <v>288</v>
      </c>
      <c r="R323" s="48" t="n">
        <v>311</v>
      </c>
      <c r="S323" s="48" t="n">
        <v>6266550</v>
      </c>
      <c r="T323" s="48" t="n">
        <v>16758996</v>
      </c>
      <c r="U323" s="46" t="n">
        <f aca="false">IF($A323=$A322,$U322+1,1)</f>
        <v>59</v>
      </c>
      <c r="V323" s="48" t="n">
        <f aca="false">IF($U323&gt;=MA_SHORT,AVERAGE(INDEX($I$5:$I323,320-MA_SHORT):$I323),"")</f>
        <v>7800.65</v>
      </c>
      <c r="W323" s="48" t="n">
        <f aca="false">IF($U323&gt;=MA_MED,AVERAGE(INDEX($I$5:$I323,320-MA_MED):$I323),"")</f>
        <v>7354.44</v>
      </c>
      <c r="X323" s="48" t="str">
        <f aca="false">IF($U323&gt;=MA_LONG1,AVERAGE(INDEX($I$5:$I323,320-MA_LONG1):$I323),"")</f>
        <v/>
      </c>
      <c r="Y323" s="48" t="str">
        <f aca="false">IF($U323&gt;=MA_LONG2,AVERAGE(INDEX($I$5:$I323,320-MA_LONG2):$I323),"")</f>
        <v/>
      </c>
      <c r="Z323" s="48" t="n">
        <f aca="false">IF($U323&gt;=MA_SHORT,AVERAGE(INDEX($L$203:$L323,122-MA_SHORT):$L323),"")</f>
        <v>18693226.9</v>
      </c>
      <c r="AA323" s="48" t="n">
        <f aca="false">IF($U323=1,$G323-$H323,MAX($G323-$H323,ABS($G323-$I322),ABS($H323-$I322)))</f>
        <v>366</v>
      </c>
      <c r="AB323" s="48" t="n">
        <f aca="false">IF($U323&gt;=ATR_PER,AVERAGE(INDEX($AA$203:$AA323,122-ATR_PER):$AA323),"")</f>
        <v>224.214285714286</v>
      </c>
      <c r="AC323" s="48" t="n">
        <f aca="false">$O323-$P323</f>
        <v>10492446</v>
      </c>
      <c r="AD323" s="48" t="n">
        <f aca="false">$AC323*$I323</f>
        <v>82302746424</v>
      </c>
      <c r="AE323" s="49" t="n">
        <f aca="false">IF($Q323&gt;0,$O323*$I323/$Q323/1000000,"")</f>
        <v>443.007276638889</v>
      </c>
      <c r="AF323" s="49" t="n">
        <f aca="false">IF($R323&gt;0,$P323*$I323/$R323/1000000,"")</f>
        <v>145.60562459164</v>
      </c>
      <c r="AG323" s="50" t="n">
        <f aca="false">IF(AND(ISNUMBER($AE323),ISNUMBER($AF323),$AF323&gt;0),$AE323/$AF323,"")</f>
        <v>3.04251486081895</v>
      </c>
      <c r="AH323" s="48" t="n">
        <f aca="false">IF($U323&gt;=5,SUM(INDEX($AD$293:$AD323,32-5):$AD323),"")</f>
        <v>143021541194</v>
      </c>
      <c r="AI323" s="48" t="n">
        <f aca="false">IF($U323&gt;=STRUCT_S,MAX(INDEX($G$173:$G323,152-STRUCT_S):$G323),"")</f>
        <v>8226</v>
      </c>
      <c r="AJ323" s="48" t="n">
        <f aca="false">IF($U323&gt;=STRUCT_S,MIN(INDEX($H$173:$H323,152-STRUCT_S):$H323),"")</f>
        <v>7541</v>
      </c>
      <c r="AK323" s="48" t="str">
        <f aca="false">IF($U323&gt;=STRUCT_L,MAX(INDEX($G$73:$G323,252-STRUCT_L):$G323),"")</f>
        <v/>
      </c>
      <c r="AL323" s="48" t="str">
        <f aca="false">IF($U323&gt;=STRUCT_L,MIN(INDEX($H$73:$H323,252-STRUCT_L):$H323),"")</f>
        <v/>
      </c>
      <c r="AM323" s="46" t="n">
        <f aca="false">IF($A323&lt;&gt;$A324,1,0)</f>
        <v>0</v>
      </c>
      <c r="AN323" s="47" t="str">
        <f aca="false">IF($AM323=1,$A323,"")</f>
        <v/>
      </c>
    </row>
    <row r="324" customFormat="false" ht="15" hidden="false" customHeight="false" outlineLevel="0" collapsed="false">
      <c r="A324" s="43" t="s">
        <v>138</v>
      </c>
      <c r="B324" s="44" t="s">
        <v>140</v>
      </c>
      <c r="C324" s="45" t="n">
        <v>45987</v>
      </c>
      <c r="D324" s="46" t="n">
        <v>20251126</v>
      </c>
      <c r="E324" s="47" t="s">
        <v>347</v>
      </c>
      <c r="F324" s="48" t="n">
        <v>7708</v>
      </c>
      <c r="G324" s="48" t="n">
        <v>8003</v>
      </c>
      <c r="H324" s="48" t="n">
        <v>7578</v>
      </c>
      <c r="I324" s="48" t="n">
        <v>7735</v>
      </c>
      <c r="J324" s="48" t="n">
        <v>7655</v>
      </c>
      <c r="K324" s="48" t="n">
        <v>7844</v>
      </c>
      <c r="L324" s="48" t="n">
        <v>21997169</v>
      </c>
      <c r="M324" s="48" t="n">
        <v>170148102215</v>
      </c>
      <c r="N324" s="48" t="n">
        <v>1278</v>
      </c>
      <c r="O324" s="48" t="n">
        <v>10522288</v>
      </c>
      <c r="P324" s="48" t="n">
        <v>11896314</v>
      </c>
      <c r="Q324" s="48" t="n">
        <v>636</v>
      </c>
      <c r="R324" s="48" t="n">
        <v>412</v>
      </c>
      <c r="S324" s="48" t="n">
        <v>11474881</v>
      </c>
      <c r="T324" s="48" t="n">
        <v>10100855</v>
      </c>
      <c r="U324" s="46" t="n">
        <f aca="false">IF($A324=$A323,$U323+1,1)</f>
        <v>60</v>
      </c>
      <c r="V324" s="48" t="n">
        <f aca="false">IF($U324&gt;=MA_SHORT,AVERAGE(INDEX($I$5:$I324,321-MA_SHORT):$I324),"")</f>
        <v>7791.6</v>
      </c>
      <c r="W324" s="48" t="n">
        <f aca="false">IF($U324&gt;=MA_MED,AVERAGE(INDEX($I$5:$I324,321-MA_MED):$I324),"")</f>
        <v>7373.18</v>
      </c>
      <c r="X324" s="48" t="str">
        <f aca="false">IF($U324&gt;=MA_LONG1,AVERAGE(INDEX($I$5:$I324,321-MA_LONG1):$I324),"")</f>
        <v/>
      </c>
      <c r="Y324" s="48" t="str">
        <f aca="false">IF($U324&gt;=MA_LONG2,AVERAGE(INDEX($I$5:$I324,321-MA_LONG2):$I324),"")</f>
        <v/>
      </c>
      <c r="Z324" s="48" t="n">
        <f aca="false">IF($U324&gt;=MA_SHORT,AVERAGE(INDEX($L$204:$L324,122-MA_SHORT):$L324),"")</f>
        <v>18990477.45</v>
      </c>
      <c r="AA324" s="48" t="n">
        <f aca="false">IF($U324=1,$G324-$H324,MAX($G324-$H324,ABS($G324-$I323),ABS($H324-$I323)))</f>
        <v>425</v>
      </c>
      <c r="AB324" s="48" t="n">
        <f aca="false">IF($U324&gt;=ATR_PER,AVERAGE(INDEX($AA$204:$AA324,122-ATR_PER):$AA324),"")</f>
        <v>235.285714285714</v>
      </c>
      <c r="AC324" s="48" t="n">
        <f aca="false">$O324-$P324</f>
        <v>-1374026</v>
      </c>
      <c r="AD324" s="48" t="n">
        <f aca="false">$AC324*$I324</f>
        <v>-10628091110</v>
      </c>
      <c r="AE324" s="49" t="n">
        <f aca="false">IF($Q324&gt;0,$O324*$I324/$Q324/1000000,"")</f>
        <v>127.971537232704</v>
      </c>
      <c r="AF324" s="49" t="n">
        <f aca="false">IF($R324&gt;0,$P324*$I324/$R324/1000000,"")</f>
        <v>223.344632985437</v>
      </c>
      <c r="AG324" s="50" t="n">
        <f aca="false">IF(AND(ISNUMBER($AE324),ISNUMBER($AF324),$AF324&gt;0),$AE324/$AF324,"")</f>
        <v>0.572977893053059</v>
      </c>
      <c r="AH324" s="48" t="n">
        <f aca="false">IF($U324&gt;=5,SUM(INDEX($AD$294:$AD324,32-5):$AD324),"")</f>
        <v>111887329852</v>
      </c>
      <c r="AI324" s="48" t="n">
        <f aca="false">IF($U324&gt;=STRUCT_S,MAX(INDEX($G$174:$G324,152-STRUCT_S):$G324),"")</f>
        <v>8226</v>
      </c>
      <c r="AJ324" s="48" t="n">
        <f aca="false">IF($U324&gt;=STRUCT_S,MIN(INDEX($H$174:$H324,152-STRUCT_S):$H324),"")</f>
        <v>7541</v>
      </c>
      <c r="AK324" s="48" t="n">
        <f aca="false">IF($U324&gt;=STRUCT_L,MAX(INDEX($G$74:$G324,252-STRUCT_L):$G324),"")</f>
        <v>8226</v>
      </c>
      <c r="AL324" s="48" t="n">
        <f aca="false">IF($U324&gt;=STRUCT_L,MIN(INDEX($H$74:$H324,252-STRUCT_L):$H324),"")</f>
        <v>6631</v>
      </c>
      <c r="AM324" s="46" t="n">
        <f aca="false">IF($A324&lt;&gt;$A325,1,0)</f>
        <v>0</v>
      </c>
      <c r="AN324" s="47" t="str">
        <f aca="false">IF($AM324=1,$A324,"")</f>
        <v/>
      </c>
    </row>
    <row r="325" customFormat="false" ht="15" hidden="false" customHeight="false" outlineLevel="0" collapsed="false">
      <c r="A325" s="43" t="s">
        <v>138</v>
      </c>
      <c r="B325" s="44" t="s">
        <v>140</v>
      </c>
      <c r="C325" s="45" t="n">
        <v>45990</v>
      </c>
      <c r="D325" s="46" t="n">
        <v>20251129</v>
      </c>
      <c r="E325" s="47" t="s">
        <v>348</v>
      </c>
      <c r="F325" s="48" t="n">
        <v>7712</v>
      </c>
      <c r="G325" s="48" t="n">
        <v>7814</v>
      </c>
      <c r="H325" s="48" t="n">
        <v>7630</v>
      </c>
      <c r="I325" s="48" t="n">
        <v>7709</v>
      </c>
      <c r="J325" s="48" t="n">
        <v>7790</v>
      </c>
      <c r="K325" s="48" t="n">
        <v>7735</v>
      </c>
      <c r="L325" s="48" t="n">
        <v>14810850</v>
      </c>
      <c r="M325" s="48" t="n">
        <v>114176842650</v>
      </c>
      <c r="N325" s="48" t="n">
        <v>579</v>
      </c>
      <c r="O325" s="48" t="n">
        <v>8743140</v>
      </c>
      <c r="P325" s="48" t="n">
        <v>7651583</v>
      </c>
      <c r="Q325" s="48" t="n">
        <v>255</v>
      </c>
      <c r="R325" s="48" t="n">
        <v>152</v>
      </c>
      <c r="S325" s="48" t="n">
        <v>6067710</v>
      </c>
      <c r="T325" s="48" t="n">
        <v>7159267</v>
      </c>
      <c r="U325" s="46" t="n">
        <f aca="false">IF($A325=$A324,$U324+1,1)</f>
        <v>61</v>
      </c>
      <c r="V325" s="48" t="n">
        <f aca="false">IF($U325&gt;=MA_SHORT,AVERAGE(INDEX($I$5:$I325,322-MA_SHORT):$I325),"")</f>
        <v>7769.9</v>
      </c>
      <c r="W325" s="48" t="n">
        <f aca="false">IF($U325&gt;=MA_MED,AVERAGE(INDEX($I$5:$I325,322-MA_MED):$I325),"")</f>
        <v>7391.62</v>
      </c>
      <c r="X325" s="48" t="str">
        <f aca="false">IF($U325&gt;=MA_LONG1,AVERAGE(INDEX($I$5:$I325,322-MA_LONG1):$I325),"")</f>
        <v/>
      </c>
      <c r="Y325" s="48" t="str">
        <f aca="false">IF($U325&gt;=MA_LONG2,AVERAGE(INDEX($I$5:$I325,322-MA_LONG2):$I325),"")</f>
        <v/>
      </c>
      <c r="Z325" s="48" t="n">
        <f aca="false">IF($U325&gt;=MA_SHORT,AVERAGE(INDEX($L$205:$L325,122-MA_SHORT):$L325),"")</f>
        <v>18644629.55</v>
      </c>
      <c r="AA325" s="48" t="n">
        <f aca="false">IF($U325=1,$G325-$H325,MAX($G325-$H325,ABS($G325-$I324),ABS($H325-$I324)))</f>
        <v>184</v>
      </c>
      <c r="AB325" s="48" t="n">
        <f aca="false">IF($U325&gt;=ATR_PER,AVERAGE(INDEX($AA$205:$AA325,122-ATR_PER):$AA325),"")</f>
        <v>226.571428571429</v>
      </c>
      <c r="AC325" s="48" t="n">
        <f aca="false">$O325-$P325</f>
        <v>1091557</v>
      </c>
      <c r="AD325" s="48" t="n">
        <f aca="false">$AC325*$I325</f>
        <v>8414812913</v>
      </c>
      <c r="AE325" s="49" t="n">
        <f aca="false">IF($Q325&gt;0,$O325*$I325/$Q325/1000000,"")</f>
        <v>264.317122588235</v>
      </c>
      <c r="AF325" s="49" t="n">
        <f aca="false">IF($R325&gt;0,$P325*$I325/$R325/1000000,"")</f>
        <v>388.066140440789</v>
      </c>
      <c r="AG325" s="50" t="n">
        <f aca="false">IF(AND(ISNUMBER($AE325),ISNUMBER($AF325),$AF325&gt;0),$AE325/$AF325,"")</f>
        <v>0.681113591327519</v>
      </c>
      <c r="AH325" s="48" t="n">
        <f aca="false">IF($U325&gt;=5,SUM(INDEX($AD$295:$AD325,32-5):$AD325),"")</f>
        <v>117179336337</v>
      </c>
      <c r="AI325" s="48" t="n">
        <f aca="false">IF($U325&gt;=STRUCT_S,MAX(INDEX($G$175:$G325,152-STRUCT_S):$G325),"")</f>
        <v>8224</v>
      </c>
      <c r="AJ325" s="48" t="n">
        <f aca="false">IF($U325&gt;=STRUCT_S,MIN(INDEX($H$175:$H325,152-STRUCT_S):$H325),"")</f>
        <v>7541</v>
      </c>
      <c r="AK325" s="48" t="n">
        <f aca="false">IF($U325&gt;=STRUCT_L,MAX(INDEX($G$75:$G325,252-STRUCT_L):$G325),"")</f>
        <v>8226</v>
      </c>
      <c r="AL325" s="48" t="n">
        <f aca="false">IF($U325&gt;=STRUCT_L,MIN(INDEX($H$75:$H325,252-STRUCT_L):$H325),"")</f>
        <v>6631</v>
      </c>
      <c r="AM325" s="46" t="n">
        <f aca="false">IF($A325&lt;&gt;$A326,1,0)</f>
        <v>0</v>
      </c>
      <c r="AN325" s="47" t="str">
        <f aca="false">IF($AM325=1,$A325,"")</f>
        <v/>
      </c>
    </row>
    <row r="326" customFormat="false" ht="15" hidden="false" customHeight="false" outlineLevel="0" collapsed="false">
      <c r="A326" s="43" t="s">
        <v>138</v>
      </c>
      <c r="B326" s="44" t="s">
        <v>140</v>
      </c>
      <c r="C326" s="45" t="n">
        <v>45991</v>
      </c>
      <c r="D326" s="46" t="n">
        <v>20251130</v>
      </c>
      <c r="E326" s="47" t="s">
        <v>349</v>
      </c>
      <c r="F326" s="48" t="n">
        <v>7697</v>
      </c>
      <c r="G326" s="48" t="n">
        <v>7849</v>
      </c>
      <c r="H326" s="48" t="n">
        <v>7639</v>
      </c>
      <c r="I326" s="48" t="n">
        <v>7779</v>
      </c>
      <c r="J326" s="48" t="n">
        <v>7842</v>
      </c>
      <c r="K326" s="48" t="n">
        <v>7709</v>
      </c>
      <c r="L326" s="48" t="n">
        <v>17510208</v>
      </c>
      <c r="M326" s="48" t="n">
        <v>136211908032</v>
      </c>
      <c r="N326" s="48" t="n">
        <v>426</v>
      </c>
      <c r="O326" s="48" t="n">
        <v>11621300</v>
      </c>
      <c r="P326" s="48" t="n">
        <v>5425922</v>
      </c>
      <c r="Q326" s="48" t="n">
        <v>154</v>
      </c>
      <c r="R326" s="48" t="n">
        <v>226</v>
      </c>
      <c r="S326" s="48" t="n">
        <v>5888908</v>
      </c>
      <c r="T326" s="48" t="n">
        <v>12084286</v>
      </c>
      <c r="U326" s="46" t="n">
        <f aca="false">IF($A326=$A325,$U325+1,1)</f>
        <v>62</v>
      </c>
      <c r="V326" s="48" t="n">
        <f aca="false">IF($U326&gt;=MA_SHORT,AVERAGE(INDEX($I$5:$I326,323-MA_SHORT):$I326),"")</f>
        <v>7753.35</v>
      </c>
      <c r="W326" s="48" t="n">
        <f aca="false">IF($U326&gt;=MA_MED,AVERAGE(INDEX($I$5:$I326,323-MA_MED):$I326),"")</f>
        <v>7411.44</v>
      </c>
      <c r="X326" s="48" t="str">
        <f aca="false">IF($U326&gt;=MA_LONG1,AVERAGE(INDEX($I$5:$I326,323-MA_LONG1):$I326),"")</f>
        <v/>
      </c>
      <c r="Y326" s="48" t="str">
        <f aca="false">IF($U326&gt;=MA_LONG2,AVERAGE(INDEX($I$5:$I326,323-MA_LONG2):$I326),"")</f>
        <v/>
      </c>
      <c r="Z326" s="48" t="n">
        <f aca="false">IF($U326&gt;=MA_SHORT,AVERAGE(INDEX($L$206:$L326,122-MA_SHORT):$L326),"")</f>
        <v>18776586.95</v>
      </c>
      <c r="AA326" s="48" t="n">
        <f aca="false">IF($U326=1,$G326-$H326,MAX($G326-$H326,ABS($G326-$I325),ABS($H326-$I325)))</f>
        <v>210</v>
      </c>
      <c r="AB326" s="48" t="n">
        <f aca="false">IF($U326&gt;=ATR_PER,AVERAGE(INDEX($AA$206:$AA326,122-ATR_PER):$AA326),"")</f>
        <v>225.5</v>
      </c>
      <c r="AC326" s="48" t="n">
        <f aca="false">$O326-$P326</f>
        <v>6195378</v>
      </c>
      <c r="AD326" s="48" t="n">
        <f aca="false">$AC326*$I326</f>
        <v>48193845462</v>
      </c>
      <c r="AE326" s="49" t="n">
        <f aca="false">IF($Q326&gt;0,$O326*$I326/$Q326/1000000,"")</f>
        <v>587.026575974026</v>
      </c>
      <c r="AF326" s="49" t="n">
        <f aca="false">IF($R326&gt;0,$P326*$I326/$R326/1000000,"")</f>
        <v>186.762155920354</v>
      </c>
      <c r="AG326" s="50" t="n">
        <f aca="false">IF(AND(ISNUMBER($AE326),ISNUMBER($AF326),$AF326&gt;0),$AE326/$AF326,"")</f>
        <v>3.14317733740645</v>
      </c>
      <c r="AH326" s="48" t="n">
        <f aca="false">IF($U326&gt;=5,SUM(INDEX($AD$296:$AD326,32-5):$AD326),"")</f>
        <v>152154830589</v>
      </c>
      <c r="AI326" s="48" t="n">
        <f aca="false">IF($U326&gt;=STRUCT_S,MAX(INDEX($G$176:$G326,152-STRUCT_S):$G326),"")</f>
        <v>8224</v>
      </c>
      <c r="AJ326" s="48" t="n">
        <f aca="false">IF($U326&gt;=STRUCT_S,MIN(INDEX($H$176:$H326,152-STRUCT_S):$H326),"")</f>
        <v>7541</v>
      </c>
      <c r="AK326" s="48" t="n">
        <f aca="false">IF($U326&gt;=STRUCT_L,MAX(INDEX($G$76:$G326,252-STRUCT_L):$G326),"")</f>
        <v>8226</v>
      </c>
      <c r="AL326" s="48" t="n">
        <f aca="false">IF($U326&gt;=STRUCT_L,MIN(INDEX($H$76:$H326,252-STRUCT_L):$H326),"")</f>
        <v>6631</v>
      </c>
      <c r="AM326" s="46" t="n">
        <f aca="false">IF($A326&lt;&gt;$A327,1,0)</f>
        <v>0</v>
      </c>
      <c r="AN326" s="47" t="str">
        <f aca="false">IF($AM326=1,$A326,"")</f>
        <v/>
      </c>
    </row>
    <row r="327" customFormat="false" ht="15" hidden="false" customHeight="false" outlineLevel="0" collapsed="false">
      <c r="A327" s="43" t="s">
        <v>138</v>
      </c>
      <c r="B327" s="44" t="s">
        <v>140</v>
      </c>
      <c r="C327" s="45" t="n">
        <v>45992</v>
      </c>
      <c r="D327" s="46" t="n">
        <v>20251201</v>
      </c>
      <c r="E327" s="47" t="s">
        <v>350</v>
      </c>
      <c r="F327" s="48" t="n">
        <v>7784</v>
      </c>
      <c r="G327" s="48" t="n">
        <v>8080</v>
      </c>
      <c r="H327" s="48" t="n">
        <v>7646</v>
      </c>
      <c r="I327" s="48" t="n">
        <v>7944</v>
      </c>
      <c r="J327" s="48" t="n">
        <v>7716</v>
      </c>
      <c r="K327" s="48" t="n">
        <v>7779</v>
      </c>
      <c r="L327" s="48" t="n">
        <v>16365698</v>
      </c>
      <c r="M327" s="48" t="n">
        <v>130009104912</v>
      </c>
      <c r="N327" s="48" t="n">
        <v>1542</v>
      </c>
      <c r="O327" s="48" t="n">
        <v>9682176</v>
      </c>
      <c r="P327" s="48" t="n">
        <v>6206259</v>
      </c>
      <c r="Q327" s="48" t="n">
        <v>591</v>
      </c>
      <c r="R327" s="48" t="n">
        <v>834</v>
      </c>
      <c r="S327" s="48" t="n">
        <v>6683522</v>
      </c>
      <c r="T327" s="48" t="n">
        <v>10159439</v>
      </c>
      <c r="U327" s="46" t="n">
        <f aca="false">IF($A327=$A326,$U326+1,1)</f>
        <v>63</v>
      </c>
      <c r="V327" s="48" t="n">
        <f aca="false">IF($U327&gt;=MA_SHORT,AVERAGE(INDEX($I$5:$I327,324-MA_SHORT):$I327),"")</f>
        <v>7749.05</v>
      </c>
      <c r="W327" s="48" t="n">
        <f aca="false">IF($U327&gt;=MA_MED,AVERAGE(INDEX($I$5:$I327,324-MA_MED):$I327),"")</f>
        <v>7431.42</v>
      </c>
      <c r="X327" s="48" t="str">
        <f aca="false">IF($U327&gt;=MA_LONG1,AVERAGE(INDEX($I$5:$I327,324-MA_LONG1):$I327),"")</f>
        <v/>
      </c>
      <c r="Y327" s="48" t="str">
        <f aca="false">IF($U327&gt;=MA_LONG2,AVERAGE(INDEX($I$5:$I327,324-MA_LONG2):$I327),"")</f>
        <v/>
      </c>
      <c r="Z327" s="48" t="n">
        <f aca="false">IF($U327&gt;=MA_SHORT,AVERAGE(INDEX($L$207:$L327,122-MA_SHORT):$L327),"")</f>
        <v>18550556.7</v>
      </c>
      <c r="AA327" s="48" t="n">
        <f aca="false">IF($U327=1,$G327-$H327,MAX($G327-$H327,ABS($G327-$I326),ABS($H327-$I326)))</f>
        <v>434</v>
      </c>
      <c r="AB327" s="48" t="n">
        <f aca="false">IF($U327&gt;=ATR_PER,AVERAGE(INDEX($AA$207:$AA327,122-ATR_PER):$AA327),"")</f>
        <v>245.857142857143</v>
      </c>
      <c r="AC327" s="48" t="n">
        <f aca="false">$O327-$P327</f>
        <v>3475917</v>
      </c>
      <c r="AD327" s="48" t="n">
        <f aca="false">$AC327*$I327</f>
        <v>27612684648</v>
      </c>
      <c r="AE327" s="49" t="n">
        <f aca="false">IF($Q327&gt;0,$O327*$I327/$Q327/1000000,"")</f>
        <v>130.144172832487</v>
      </c>
      <c r="AF327" s="49" t="n">
        <f aca="false">IF($R327&gt;0,$P327*$I327/$R327/1000000,"")</f>
        <v>59.1157332086331</v>
      </c>
      <c r="AG327" s="50" t="n">
        <f aca="false">IF(AND(ISNUMBER($AE327),ISNUMBER($AF327),$AF327&gt;0),$AE327/$AF327,"")</f>
        <v>2.20151499048787</v>
      </c>
      <c r="AH327" s="48" t="n">
        <f aca="false">IF($U327&gt;=5,SUM(INDEX($AD$297:$AD327,32-5):$AD327),"")</f>
        <v>155895998337</v>
      </c>
      <c r="AI327" s="48" t="n">
        <f aca="false">IF($U327&gt;=STRUCT_S,MAX(INDEX($G$177:$G327,152-STRUCT_S):$G327),"")</f>
        <v>8092</v>
      </c>
      <c r="AJ327" s="48" t="n">
        <f aca="false">IF($U327&gt;=STRUCT_S,MIN(INDEX($H$177:$H327,152-STRUCT_S):$H327),"")</f>
        <v>7541</v>
      </c>
      <c r="AK327" s="48" t="n">
        <f aca="false">IF($U327&gt;=STRUCT_L,MAX(INDEX($G$77:$G327,252-STRUCT_L):$G327),"")</f>
        <v>8226</v>
      </c>
      <c r="AL327" s="48" t="n">
        <f aca="false">IF($U327&gt;=STRUCT_L,MIN(INDEX($H$77:$H327,252-STRUCT_L):$H327),"")</f>
        <v>6631</v>
      </c>
      <c r="AM327" s="46" t="n">
        <f aca="false">IF($A327&lt;&gt;$A328,1,0)</f>
        <v>0</v>
      </c>
      <c r="AN327" s="47" t="str">
        <f aca="false">IF($AM327=1,$A327,"")</f>
        <v/>
      </c>
    </row>
    <row r="328" customFormat="false" ht="15" hidden="false" customHeight="false" outlineLevel="0" collapsed="false">
      <c r="A328" s="43" t="s">
        <v>138</v>
      </c>
      <c r="B328" s="44" t="s">
        <v>140</v>
      </c>
      <c r="C328" s="45" t="n">
        <v>45993</v>
      </c>
      <c r="D328" s="46" t="n">
        <v>20251202</v>
      </c>
      <c r="E328" s="47" t="s">
        <v>351</v>
      </c>
      <c r="F328" s="48" t="n">
        <v>7948</v>
      </c>
      <c r="G328" s="48" t="n">
        <v>8099</v>
      </c>
      <c r="H328" s="48" t="n">
        <v>7873</v>
      </c>
      <c r="I328" s="48" t="n">
        <v>8027</v>
      </c>
      <c r="J328" s="48" t="n">
        <v>8007</v>
      </c>
      <c r="K328" s="48" t="n">
        <v>7944</v>
      </c>
      <c r="L328" s="48" t="n">
        <v>19462622</v>
      </c>
      <c r="M328" s="48" t="n">
        <v>156226466794</v>
      </c>
      <c r="N328" s="48" t="n">
        <v>1257</v>
      </c>
      <c r="O328" s="48" t="n">
        <v>12018250</v>
      </c>
      <c r="P328" s="48" t="n">
        <v>6892005</v>
      </c>
      <c r="Q328" s="48" t="n">
        <v>383</v>
      </c>
      <c r="R328" s="48" t="n">
        <v>517</v>
      </c>
      <c r="S328" s="48" t="n">
        <v>7444372</v>
      </c>
      <c r="T328" s="48" t="n">
        <v>12570617</v>
      </c>
      <c r="U328" s="46" t="n">
        <f aca="false">IF($A328=$A327,$U327+1,1)</f>
        <v>64</v>
      </c>
      <c r="V328" s="48" t="n">
        <f aca="false">IF($U328&gt;=MA_SHORT,AVERAGE(INDEX($I$5:$I328,325-MA_SHORT):$I328),"")</f>
        <v>7758.15</v>
      </c>
      <c r="W328" s="48" t="n">
        <f aca="false">IF($U328&gt;=MA_MED,AVERAGE(INDEX($I$5:$I328,325-MA_MED):$I328),"")</f>
        <v>7454.98</v>
      </c>
      <c r="X328" s="48" t="str">
        <f aca="false">IF($U328&gt;=MA_LONG1,AVERAGE(INDEX($I$5:$I328,325-MA_LONG1):$I328),"")</f>
        <v/>
      </c>
      <c r="Y328" s="48" t="str">
        <f aca="false">IF($U328&gt;=MA_LONG2,AVERAGE(INDEX($I$5:$I328,325-MA_LONG2):$I328),"")</f>
        <v/>
      </c>
      <c r="Z328" s="48" t="n">
        <f aca="false">IF($U328&gt;=MA_SHORT,AVERAGE(INDEX($L$208:$L328,122-MA_SHORT):$L328),"")</f>
        <v>18290747.15</v>
      </c>
      <c r="AA328" s="48" t="n">
        <f aca="false">IF($U328=1,$G328-$H328,MAX($G328-$H328,ABS($G328-$I327),ABS($H328-$I327)))</f>
        <v>226</v>
      </c>
      <c r="AB328" s="48" t="n">
        <f aca="false">IF($U328&gt;=ATR_PER,AVERAGE(INDEX($AA$208:$AA328,122-ATR_PER):$AA328),"")</f>
        <v>246.928571428571</v>
      </c>
      <c r="AC328" s="48" t="n">
        <f aca="false">$O328-$P328</f>
        <v>5126245</v>
      </c>
      <c r="AD328" s="48" t="n">
        <f aca="false">$AC328*$I328</f>
        <v>41148368615</v>
      </c>
      <c r="AE328" s="49" t="n">
        <f aca="false">IF($Q328&gt;0,$O328*$I328/$Q328/1000000,"")</f>
        <v>251.881182114883</v>
      </c>
      <c r="AF328" s="49" t="n">
        <f aca="false">IF($R328&gt;0,$P328*$I328/$R328/1000000,"")</f>
        <v>107.006042814313</v>
      </c>
      <c r="AG328" s="50" t="n">
        <f aca="false">IF(AND(ISNUMBER($AE328),ISNUMBER($AF328),$AF328&gt;0),$AE328/$AF328,"")</f>
        <v>2.35389680330455</v>
      </c>
      <c r="AH328" s="48" t="n">
        <f aca="false">IF($U328&gt;=5,SUM(INDEX($AD$298:$AD328,32-5):$AD328),"")</f>
        <v>114741620528</v>
      </c>
      <c r="AI328" s="48" t="n">
        <f aca="false">IF($U328&gt;=STRUCT_S,MAX(INDEX($G$178:$G328,152-STRUCT_S):$G328),"")</f>
        <v>8099</v>
      </c>
      <c r="AJ328" s="48" t="n">
        <f aca="false">IF($U328&gt;=STRUCT_S,MIN(INDEX($H$178:$H328,152-STRUCT_S):$H328),"")</f>
        <v>7541</v>
      </c>
      <c r="AK328" s="48" t="n">
        <f aca="false">IF($U328&gt;=STRUCT_L,MAX(INDEX($G$78:$G328,252-STRUCT_L):$G328),"")</f>
        <v>8226</v>
      </c>
      <c r="AL328" s="48" t="n">
        <f aca="false">IF($U328&gt;=STRUCT_L,MIN(INDEX($H$78:$H328,252-STRUCT_L):$H328),"")</f>
        <v>6631</v>
      </c>
      <c r="AM328" s="46" t="n">
        <f aca="false">IF($A328&lt;&gt;$A329,1,0)</f>
        <v>0</v>
      </c>
      <c r="AN328" s="47" t="str">
        <f aca="false">IF($AM328=1,$A328,"")</f>
        <v/>
      </c>
    </row>
    <row r="329" customFormat="false" ht="15" hidden="false" customHeight="false" outlineLevel="0" collapsed="false">
      <c r="A329" s="43" t="s">
        <v>138</v>
      </c>
      <c r="B329" s="44" t="s">
        <v>140</v>
      </c>
      <c r="C329" s="45" t="n">
        <v>45994</v>
      </c>
      <c r="D329" s="46" t="n">
        <v>20251203</v>
      </c>
      <c r="E329" s="47" t="s">
        <v>352</v>
      </c>
      <c r="F329" s="48" t="n">
        <v>8075</v>
      </c>
      <c r="G329" s="48" t="n">
        <v>8079</v>
      </c>
      <c r="H329" s="48" t="n">
        <v>7881</v>
      </c>
      <c r="I329" s="48" t="n">
        <v>7933</v>
      </c>
      <c r="J329" s="48" t="n">
        <v>7997</v>
      </c>
      <c r="K329" s="48" t="n">
        <v>8027</v>
      </c>
      <c r="L329" s="48" t="n">
        <v>15538128</v>
      </c>
      <c r="M329" s="48" t="n">
        <v>123263969424</v>
      </c>
      <c r="N329" s="48" t="n">
        <v>467</v>
      </c>
      <c r="O329" s="48" t="n">
        <v>8311598</v>
      </c>
      <c r="P329" s="48" t="n">
        <v>7174596</v>
      </c>
      <c r="Q329" s="48" t="n">
        <v>248</v>
      </c>
      <c r="R329" s="48" t="n">
        <v>205</v>
      </c>
      <c r="S329" s="48" t="n">
        <v>7226530</v>
      </c>
      <c r="T329" s="48" t="n">
        <v>8363532</v>
      </c>
      <c r="U329" s="46" t="n">
        <f aca="false">IF($A329=$A328,$U328+1,1)</f>
        <v>65</v>
      </c>
      <c r="V329" s="48" t="n">
        <f aca="false">IF($U329&gt;=MA_SHORT,AVERAGE(INDEX($I$5:$I329,326-MA_SHORT):$I329),"")</f>
        <v>7771.2</v>
      </c>
      <c r="W329" s="48" t="n">
        <f aca="false">IF($U329&gt;=MA_MED,AVERAGE(INDEX($I$5:$I329,326-MA_MED):$I329),"")</f>
        <v>7476.58</v>
      </c>
      <c r="X329" s="48" t="str">
        <f aca="false">IF($U329&gt;=MA_LONG1,AVERAGE(INDEX($I$5:$I329,326-MA_LONG1):$I329),"")</f>
        <v/>
      </c>
      <c r="Y329" s="48" t="str">
        <f aca="false">IF($U329&gt;=MA_LONG2,AVERAGE(INDEX($I$5:$I329,326-MA_LONG2):$I329),"")</f>
        <v/>
      </c>
      <c r="Z329" s="48" t="n">
        <f aca="false">IF($U329&gt;=MA_SHORT,AVERAGE(INDEX($L$209:$L329,122-MA_SHORT):$L329),"")</f>
        <v>18245704.35</v>
      </c>
      <c r="AA329" s="48" t="n">
        <f aca="false">IF($U329=1,$G329-$H329,MAX($G329-$H329,ABS($G329-$I328),ABS($H329-$I328)))</f>
        <v>198</v>
      </c>
      <c r="AB329" s="48" t="n">
        <f aca="false">IF($U329&gt;=ATR_PER,AVERAGE(INDEX($AA$209:$AA329,122-ATR_PER):$AA329),"")</f>
        <v>245.714285714286</v>
      </c>
      <c r="AC329" s="48" t="n">
        <f aca="false">$O329-$P329</f>
        <v>1137002</v>
      </c>
      <c r="AD329" s="48" t="n">
        <f aca="false">$AC329*$I329</f>
        <v>9019836866</v>
      </c>
      <c r="AE329" s="49" t="n">
        <f aca="false">IF($Q329&gt;0,$O329*$I329/$Q329/1000000,"")</f>
        <v>265.870592475806</v>
      </c>
      <c r="AF329" s="49" t="n">
        <f aca="false">IF($R329&gt;0,$P329*$I329/$R329/1000000,"")</f>
        <v>277.639366185366</v>
      </c>
      <c r="AG329" s="50" t="n">
        <f aca="false">IF(AND(ISNUMBER($AE329),ISNUMBER($AF329),$AF329&gt;0),$AE329/$AF329,"")</f>
        <v>0.957611293127279</v>
      </c>
      <c r="AH329" s="48" t="n">
        <f aca="false">IF($U329&gt;=5,SUM(INDEX($AD$299:$AD329,32-5):$AD329),"")</f>
        <v>134389548504</v>
      </c>
      <c r="AI329" s="48" t="n">
        <f aca="false">IF($U329&gt;=STRUCT_S,MAX(INDEX($G$179:$G329,152-STRUCT_S):$G329),"")</f>
        <v>8099</v>
      </c>
      <c r="AJ329" s="48" t="n">
        <f aca="false">IF($U329&gt;=STRUCT_S,MIN(INDEX($H$179:$H329,152-STRUCT_S):$H329),"")</f>
        <v>7541</v>
      </c>
      <c r="AK329" s="48" t="n">
        <f aca="false">IF($U329&gt;=STRUCT_L,MAX(INDEX($G$79:$G329,252-STRUCT_L):$G329),"")</f>
        <v>8226</v>
      </c>
      <c r="AL329" s="48" t="n">
        <f aca="false">IF($U329&gt;=STRUCT_L,MIN(INDEX($H$79:$H329,252-STRUCT_L):$H329),"")</f>
        <v>6631</v>
      </c>
      <c r="AM329" s="46" t="n">
        <f aca="false">IF($A329&lt;&gt;$A330,1,0)</f>
        <v>0</v>
      </c>
      <c r="AN329" s="47" t="str">
        <f aca="false">IF($AM329=1,$A329,"")</f>
        <v/>
      </c>
    </row>
    <row r="330" customFormat="false" ht="15" hidden="false" customHeight="false" outlineLevel="0" collapsed="false">
      <c r="A330" s="43" t="s">
        <v>138</v>
      </c>
      <c r="B330" s="44" t="s">
        <v>140</v>
      </c>
      <c r="C330" s="45" t="n">
        <v>45997</v>
      </c>
      <c r="D330" s="46" t="n">
        <v>20251206</v>
      </c>
      <c r="E330" s="47" t="s">
        <v>353</v>
      </c>
      <c r="F330" s="48" t="n">
        <v>8015</v>
      </c>
      <c r="G330" s="48" t="n">
        <v>8225</v>
      </c>
      <c r="H330" s="48" t="n">
        <v>7781</v>
      </c>
      <c r="I330" s="48" t="n">
        <v>8070</v>
      </c>
      <c r="J330" s="48" t="n">
        <v>7986</v>
      </c>
      <c r="K330" s="48" t="n">
        <v>7933</v>
      </c>
      <c r="L330" s="48" t="n">
        <v>16022377</v>
      </c>
      <c r="M330" s="48" t="n">
        <v>129300582390</v>
      </c>
      <c r="N330" s="48" t="n">
        <v>433</v>
      </c>
      <c r="O330" s="48" t="n">
        <v>9685361</v>
      </c>
      <c r="P330" s="48" t="n">
        <v>7093438</v>
      </c>
      <c r="Q330" s="48" t="n">
        <v>148</v>
      </c>
      <c r="R330" s="48" t="n">
        <v>182</v>
      </c>
      <c r="S330" s="48" t="n">
        <v>6337016</v>
      </c>
      <c r="T330" s="48" t="n">
        <v>8928939</v>
      </c>
      <c r="U330" s="46" t="n">
        <f aca="false">IF($A330=$A329,$U329+1,1)</f>
        <v>66</v>
      </c>
      <c r="V330" s="48" t="n">
        <f aca="false">IF($U330&gt;=MA_SHORT,AVERAGE(INDEX($I$5:$I330,327-MA_SHORT):$I330),"")</f>
        <v>7789.25</v>
      </c>
      <c r="W330" s="48" t="n">
        <f aca="false">IF($U330&gt;=MA_MED,AVERAGE(INDEX($I$5:$I330,327-MA_MED):$I330),"")</f>
        <v>7499.64</v>
      </c>
      <c r="X330" s="48" t="str">
        <f aca="false">IF($U330&gt;=MA_LONG1,AVERAGE(INDEX($I$5:$I330,327-MA_LONG1):$I330),"")</f>
        <v/>
      </c>
      <c r="Y330" s="48" t="str">
        <f aca="false">IF($U330&gt;=MA_LONG2,AVERAGE(INDEX($I$5:$I330,327-MA_LONG2):$I330),"")</f>
        <v/>
      </c>
      <c r="Z330" s="48" t="n">
        <f aca="false">IF($U330&gt;=MA_SHORT,AVERAGE(INDEX($L$210:$L330,122-MA_SHORT):$L330),"")</f>
        <v>18299915.75</v>
      </c>
      <c r="AA330" s="48" t="n">
        <f aca="false">IF($U330=1,$G330-$H330,MAX($G330-$H330,ABS($G330-$I329),ABS($H330-$I329)))</f>
        <v>444</v>
      </c>
      <c r="AB330" s="48" t="n">
        <f aca="false">IF($U330&gt;=ATR_PER,AVERAGE(INDEX($AA$210:$AA330,122-ATR_PER):$AA330),"")</f>
        <v>268.785714285714</v>
      </c>
      <c r="AC330" s="48" t="n">
        <f aca="false">$O330-$P330</f>
        <v>2591923</v>
      </c>
      <c r="AD330" s="48" t="n">
        <f aca="false">$AC330*$I330</f>
        <v>20916818610</v>
      </c>
      <c r="AE330" s="49" t="n">
        <f aca="false">IF($Q330&gt;0,$O330*$I330/$Q330/1000000,"")</f>
        <v>528.113941013514</v>
      </c>
      <c r="AF330" s="49" t="n">
        <f aca="false">IF($R330&gt;0,$P330*$I330/$R330/1000000,"")</f>
        <v>314.527717912088</v>
      </c>
      <c r="AG330" s="50" t="n">
        <f aca="false">IF(AND(ISNUMBER($AE330),ISNUMBER($AF330),$AF330&gt;0),$AE330/$AF330,"")</f>
        <v>1.67906963659439</v>
      </c>
      <c r="AH330" s="48" t="n">
        <f aca="false">IF($U330&gt;=5,SUM(INDEX($AD$300:$AD330,32-5):$AD330),"")</f>
        <v>146891554201</v>
      </c>
      <c r="AI330" s="48" t="n">
        <f aca="false">IF($U330&gt;=STRUCT_S,MAX(INDEX($G$180:$G330,152-STRUCT_S):$G330),"")</f>
        <v>8225</v>
      </c>
      <c r="AJ330" s="48" t="n">
        <f aca="false">IF($U330&gt;=STRUCT_S,MIN(INDEX($H$180:$H330,152-STRUCT_S):$H330),"")</f>
        <v>7541</v>
      </c>
      <c r="AK330" s="48" t="n">
        <f aca="false">IF($U330&gt;=STRUCT_L,MAX(INDEX($G$80:$G330,252-STRUCT_L):$G330),"")</f>
        <v>8226</v>
      </c>
      <c r="AL330" s="48" t="n">
        <f aca="false">IF($U330&gt;=STRUCT_L,MIN(INDEX($H$80:$H330,252-STRUCT_L):$H330),"")</f>
        <v>6631</v>
      </c>
      <c r="AM330" s="46" t="n">
        <f aca="false">IF($A330&lt;&gt;$A331,1,0)</f>
        <v>0</v>
      </c>
      <c r="AN330" s="47" t="str">
        <f aca="false">IF($AM330=1,$A330,"")</f>
        <v/>
      </c>
    </row>
    <row r="331" customFormat="false" ht="15" hidden="false" customHeight="false" outlineLevel="0" collapsed="false">
      <c r="A331" s="43" t="s">
        <v>138</v>
      </c>
      <c r="B331" s="44" t="s">
        <v>140</v>
      </c>
      <c r="C331" s="45" t="n">
        <v>45998</v>
      </c>
      <c r="D331" s="46" t="n">
        <v>20251207</v>
      </c>
      <c r="E331" s="47" t="s">
        <v>354</v>
      </c>
      <c r="F331" s="48" t="n">
        <v>8306</v>
      </c>
      <c r="G331" s="48" t="n">
        <v>8334</v>
      </c>
      <c r="H331" s="48" t="n">
        <v>7975</v>
      </c>
      <c r="I331" s="48" t="n">
        <v>8237</v>
      </c>
      <c r="J331" s="48" t="n">
        <v>8130</v>
      </c>
      <c r="K331" s="48" t="n">
        <v>8070</v>
      </c>
      <c r="L331" s="48" t="n">
        <v>19491088</v>
      </c>
      <c r="M331" s="48" t="n">
        <v>160548091856</v>
      </c>
      <c r="N331" s="48" t="n">
        <v>1156</v>
      </c>
      <c r="O331" s="48" t="n">
        <v>12636792</v>
      </c>
      <c r="P331" s="48" t="n">
        <v>7256197</v>
      </c>
      <c r="Q331" s="48" t="n">
        <v>388</v>
      </c>
      <c r="R331" s="48" t="n">
        <v>590</v>
      </c>
      <c r="S331" s="48" t="n">
        <v>6854296</v>
      </c>
      <c r="T331" s="48" t="n">
        <v>12234891</v>
      </c>
      <c r="U331" s="46" t="n">
        <f aca="false">IF($A331=$A330,$U330+1,1)</f>
        <v>67</v>
      </c>
      <c r="V331" s="48" t="n">
        <f aca="false">IF($U331&gt;=MA_SHORT,AVERAGE(INDEX($I$5:$I331,328-MA_SHORT):$I331),"")</f>
        <v>7806.95</v>
      </c>
      <c r="W331" s="48" t="n">
        <f aca="false">IF($U331&gt;=MA_MED,AVERAGE(INDEX($I$5:$I331,328-MA_MED):$I331),"")</f>
        <v>7522.36</v>
      </c>
      <c r="X331" s="48" t="str">
        <f aca="false">IF($U331&gt;=MA_LONG1,AVERAGE(INDEX($I$5:$I331,328-MA_LONG1):$I331),"")</f>
        <v/>
      </c>
      <c r="Y331" s="48" t="str">
        <f aca="false">IF($U331&gt;=MA_LONG2,AVERAGE(INDEX($I$5:$I331,328-MA_LONG2):$I331),"")</f>
        <v/>
      </c>
      <c r="Z331" s="48" t="n">
        <f aca="false">IF($U331&gt;=MA_SHORT,AVERAGE(INDEX($L$211:$L331,122-MA_SHORT):$L331),"")</f>
        <v>18450261.55</v>
      </c>
      <c r="AA331" s="48" t="n">
        <f aca="false">IF($U331=1,$G331-$H331,MAX($G331-$H331,ABS($G331-$I330),ABS($H331-$I330)))</f>
        <v>359</v>
      </c>
      <c r="AB331" s="48" t="n">
        <f aca="false">IF($U331&gt;=ATR_PER,AVERAGE(INDEX($AA$211:$AA331,122-ATR_PER):$AA331),"")</f>
        <v>289.285714285714</v>
      </c>
      <c r="AC331" s="48" t="n">
        <f aca="false">$O331-$P331</f>
        <v>5380595</v>
      </c>
      <c r="AD331" s="48" t="n">
        <f aca="false">$AC331*$I331</f>
        <v>44319961015</v>
      </c>
      <c r="AE331" s="49" t="n">
        <f aca="false">IF($Q331&gt;0,$O331*$I331/$Q331/1000000,"")</f>
        <v>268.271277587629</v>
      </c>
      <c r="AF331" s="49" t="n">
        <f aca="false">IF($R331&gt;0,$P331*$I331/$R331/1000000,"")</f>
        <v>101.30388930339</v>
      </c>
      <c r="AG331" s="50" t="n">
        <f aca="false">IF(AND(ISNUMBER($AE331),ISNUMBER($AF331),$AF331&gt;0),$AE331/$AF331,"")</f>
        <v>2.64818339584374</v>
      </c>
      <c r="AH331" s="48" t="n">
        <f aca="false">IF($U331&gt;=5,SUM(INDEX($AD$301:$AD331,32-5):$AD331),"")</f>
        <v>143017669754</v>
      </c>
      <c r="AI331" s="48" t="n">
        <f aca="false">IF($U331&gt;=STRUCT_S,MAX(INDEX($G$181:$G331,152-STRUCT_S):$G331),"")</f>
        <v>8334</v>
      </c>
      <c r="AJ331" s="48" t="n">
        <f aca="false">IF($U331&gt;=STRUCT_S,MIN(INDEX($H$181:$H331,152-STRUCT_S):$H331),"")</f>
        <v>7541</v>
      </c>
      <c r="AK331" s="48" t="n">
        <f aca="false">IF($U331&gt;=STRUCT_L,MAX(INDEX($G$81:$G331,252-STRUCT_L):$G331),"")</f>
        <v>8334</v>
      </c>
      <c r="AL331" s="48" t="n">
        <f aca="false">IF($U331&gt;=STRUCT_L,MIN(INDEX($H$81:$H331,252-STRUCT_L):$H331),"")</f>
        <v>6631</v>
      </c>
      <c r="AM331" s="46" t="n">
        <f aca="false">IF($A331&lt;&gt;$A332,1,0)</f>
        <v>0</v>
      </c>
      <c r="AN331" s="47" t="str">
        <f aca="false">IF($AM331=1,$A331,"")</f>
        <v/>
      </c>
    </row>
    <row r="332" customFormat="false" ht="15" hidden="false" customHeight="false" outlineLevel="0" collapsed="false">
      <c r="A332" s="43" t="s">
        <v>138</v>
      </c>
      <c r="B332" s="44" t="s">
        <v>140</v>
      </c>
      <c r="C332" s="45" t="n">
        <v>45999</v>
      </c>
      <c r="D332" s="46" t="n">
        <v>20251208</v>
      </c>
      <c r="E332" s="47" t="s">
        <v>355</v>
      </c>
      <c r="F332" s="48" t="n">
        <v>8210</v>
      </c>
      <c r="G332" s="48" t="n">
        <v>8438</v>
      </c>
      <c r="H332" s="48" t="n">
        <v>8132</v>
      </c>
      <c r="I332" s="48" t="n">
        <v>8332</v>
      </c>
      <c r="J332" s="48" t="n">
        <v>8159</v>
      </c>
      <c r="K332" s="48" t="n">
        <v>8237</v>
      </c>
      <c r="L332" s="48" t="n">
        <v>16272283</v>
      </c>
      <c r="M332" s="48" t="n">
        <v>135580661956</v>
      </c>
      <c r="N332" s="48" t="n">
        <v>371</v>
      </c>
      <c r="O332" s="48" t="n">
        <v>8779384</v>
      </c>
      <c r="P332" s="48" t="n">
        <v>7681901</v>
      </c>
      <c r="Q332" s="48" t="n">
        <v>110</v>
      </c>
      <c r="R332" s="48" t="n">
        <v>176</v>
      </c>
      <c r="S332" s="48" t="n">
        <v>7492899</v>
      </c>
      <c r="T332" s="48" t="n">
        <v>8590382</v>
      </c>
      <c r="U332" s="46" t="n">
        <f aca="false">IF($A332=$A331,$U331+1,1)</f>
        <v>68</v>
      </c>
      <c r="V332" s="48" t="n">
        <f aca="false">IF($U332&gt;=MA_SHORT,AVERAGE(INDEX($I$5:$I332,329-MA_SHORT):$I332),"")</f>
        <v>7834.75</v>
      </c>
      <c r="W332" s="48" t="n">
        <f aca="false">IF($U332&gt;=MA_MED,AVERAGE(INDEX($I$5:$I332,329-MA_MED):$I332),"")</f>
        <v>7550.32</v>
      </c>
      <c r="X332" s="48" t="str">
        <f aca="false">IF($U332&gt;=MA_LONG1,AVERAGE(INDEX($I$5:$I332,329-MA_LONG1):$I332),"")</f>
        <v/>
      </c>
      <c r="Y332" s="48" t="str">
        <f aca="false">IF($U332&gt;=MA_LONG2,AVERAGE(INDEX($I$5:$I332,329-MA_LONG2):$I332),"")</f>
        <v/>
      </c>
      <c r="Z332" s="48" t="n">
        <f aca="false">IF($U332&gt;=MA_SHORT,AVERAGE(INDEX($L$212:$L332,122-MA_SHORT):$L332),"")</f>
        <v>18366151.75</v>
      </c>
      <c r="AA332" s="48" t="n">
        <f aca="false">IF($U332=1,$G332-$H332,MAX($G332-$H332,ABS($G332-$I331),ABS($H332-$I331)))</f>
        <v>306</v>
      </c>
      <c r="AB332" s="48" t="n">
        <f aca="false">IF($U332&gt;=ATR_PER,AVERAGE(INDEX($AA$212:$AA332,122-ATR_PER):$AA332),"")</f>
        <v>287.642857142857</v>
      </c>
      <c r="AC332" s="48" t="n">
        <f aca="false">$O332-$P332</f>
        <v>1097483</v>
      </c>
      <c r="AD332" s="48" t="n">
        <f aca="false">$AC332*$I332</f>
        <v>9144228356</v>
      </c>
      <c r="AE332" s="49" t="n">
        <f aca="false">IF($Q332&gt;0,$O332*$I332/$Q332/1000000,"")</f>
        <v>664.998431709091</v>
      </c>
      <c r="AF332" s="49" t="n">
        <f aca="false">IF($R332&gt;0,$P332*$I332/$R332/1000000,"")</f>
        <v>363.668176886364</v>
      </c>
      <c r="AG332" s="50" t="n">
        <f aca="false">IF(AND(ISNUMBER($AE332),ISNUMBER($AF332),$AF332&gt;0),$AE332/$AF332,"")</f>
        <v>1.8285857107505</v>
      </c>
      <c r="AH332" s="48" t="n">
        <f aca="false">IF($U332&gt;=5,SUM(INDEX($AD$302:$AD332,32-5):$AD332),"")</f>
        <v>124549213462</v>
      </c>
      <c r="AI332" s="48" t="n">
        <f aca="false">IF($U332&gt;=STRUCT_S,MAX(INDEX($G$182:$G332,152-STRUCT_S):$G332),"")</f>
        <v>8438</v>
      </c>
      <c r="AJ332" s="48" t="n">
        <f aca="false">IF($U332&gt;=STRUCT_S,MIN(INDEX($H$182:$H332,152-STRUCT_S):$H332),"")</f>
        <v>7541</v>
      </c>
      <c r="AK332" s="48" t="n">
        <f aca="false">IF($U332&gt;=STRUCT_L,MAX(INDEX($G$82:$G332,252-STRUCT_L):$G332),"")</f>
        <v>8438</v>
      </c>
      <c r="AL332" s="48" t="n">
        <f aca="false">IF($U332&gt;=STRUCT_L,MIN(INDEX($H$82:$H332,252-STRUCT_L):$H332),"")</f>
        <v>6631</v>
      </c>
      <c r="AM332" s="46" t="n">
        <f aca="false">IF($A332&lt;&gt;$A333,1,0)</f>
        <v>0</v>
      </c>
      <c r="AN332" s="47" t="str">
        <f aca="false">IF($AM332=1,$A332,"")</f>
        <v/>
      </c>
    </row>
    <row r="333" customFormat="false" ht="15" hidden="false" customHeight="false" outlineLevel="0" collapsed="false">
      <c r="A333" s="43" t="s">
        <v>138</v>
      </c>
      <c r="B333" s="44" t="s">
        <v>140</v>
      </c>
      <c r="C333" s="45" t="n">
        <v>46000</v>
      </c>
      <c r="D333" s="46" t="n">
        <v>20251209</v>
      </c>
      <c r="E333" s="47" t="s">
        <v>356</v>
      </c>
      <c r="F333" s="48" t="n">
        <v>8218</v>
      </c>
      <c r="G333" s="48" t="n">
        <v>8394</v>
      </c>
      <c r="H333" s="48" t="n">
        <v>8161</v>
      </c>
      <c r="I333" s="48" t="n">
        <v>8223</v>
      </c>
      <c r="J333" s="48" t="n">
        <v>8236</v>
      </c>
      <c r="K333" s="48" t="n">
        <v>8332</v>
      </c>
      <c r="L333" s="48" t="n">
        <v>15657607</v>
      </c>
      <c r="M333" s="48" t="n">
        <v>128752502361</v>
      </c>
      <c r="N333" s="48" t="n">
        <v>360</v>
      </c>
      <c r="O333" s="48" t="n">
        <v>8516917</v>
      </c>
      <c r="P333" s="48" t="n">
        <v>7149594</v>
      </c>
      <c r="Q333" s="48" t="n">
        <v>140</v>
      </c>
      <c r="R333" s="48" t="n">
        <v>133</v>
      </c>
      <c r="S333" s="48" t="n">
        <v>7140690</v>
      </c>
      <c r="T333" s="48" t="n">
        <v>8508013</v>
      </c>
      <c r="U333" s="46" t="n">
        <f aca="false">IF($A333=$A332,$U332+1,1)</f>
        <v>69</v>
      </c>
      <c r="V333" s="48" t="n">
        <f aca="false">IF($U333&gt;=MA_SHORT,AVERAGE(INDEX($I$5:$I333,330-MA_SHORT):$I333),"")</f>
        <v>7861.3</v>
      </c>
      <c r="W333" s="48" t="n">
        <f aca="false">IF($U333&gt;=MA_MED,AVERAGE(INDEX($I$5:$I333,330-MA_MED):$I333),"")</f>
        <v>7576.74</v>
      </c>
      <c r="X333" s="48" t="str">
        <f aca="false">IF($U333&gt;=MA_LONG1,AVERAGE(INDEX($I$5:$I333,330-MA_LONG1):$I333),"")</f>
        <v/>
      </c>
      <c r="Y333" s="48" t="str">
        <f aca="false">IF($U333&gt;=MA_LONG2,AVERAGE(INDEX($I$5:$I333,330-MA_LONG2):$I333),"")</f>
        <v/>
      </c>
      <c r="Z333" s="48" t="n">
        <f aca="false">IF($U333&gt;=MA_SHORT,AVERAGE(INDEX($L$213:$L333,122-MA_SHORT):$L333),"")</f>
        <v>18376080.45</v>
      </c>
      <c r="AA333" s="48" t="n">
        <f aca="false">IF($U333=1,$G333-$H333,MAX($G333-$H333,ABS($G333-$I332),ABS($H333-$I332)))</f>
        <v>233</v>
      </c>
      <c r="AB333" s="48" t="n">
        <f aca="false">IF($U333&gt;=ATR_PER,AVERAGE(INDEX($AA$213:$AA333,122-ATR_PER):$AA333),"")</f>
        <v>298.642857142857</v>
      </c>
      <c r="AC333" s="48" t="n">
        <f aca="false">$O333-$P333</f>
        <v>1367323</v>
      </c>
      <c r="AD333" s="48" t="n">
        <f aca="false">$AC333*$I333</f>
        <v>11243497029</v>
      </c>
      <c r="AE333" s="49" t="n">
        <f aca="false">IF($Q333&gt;0,$O333*$I333/$Q333/1000000,"")</f>
        <v>500.247203507143</v>
      </c>
      <c r="AF333" s="49" t="n">
        <f aca="false">IF($R333&gt;0,$P333*$I333/$R333/1000000,"")</f>
        <v>442.038432045113</v>
      </c>
      <c r="AG333" s="50" t="n">
        <f aca="false">IF(AND(ISNUMBER($AE333),ISNUMBER($AF333),$AF333&gt;0),$AE333/$AF333,"")</f>
        <v>1.13168260323593</v>
      </c>
      <c r="AH333" s="48" t="n">
        <f aca="false">IF($U333&gt;=5,SUM(INDEX($AD$303:$AD333,32-5):$AD333),"")</f>
        <v>94644341876</v>
      </c>
      <c r="AI333" s="48" t="n">
        <f aca="false">IF($U333&gt;=STRUCT_S,MAX(INDEX($G$183:$G333,152-STRUCT_S):$G333),"")</f>
        <v>8438</v>
      </c>
      <c r="AJ333" s="48" t="n">
        <f aca="false">IF($U333&gt;=STRUCT_S,MIN(INDEX($H$183:$H333,152-STRUCT_S):$H333),"")</f>
        <v>7541</v>
      </c>
      <c r="AK333" s="48" t="n">
        <f aca="false">IF($U333&gt;=STRUCT_L,MAX(INDEX($G$83:$G333,252-STRUCT_L):$G333),"")</f>
        <v>8438</v>
      </c>
      <c r="AL333" s="48" t="n">
        <f aca="false">IF($U333&gt;=STRUCT_L,MIN(INDEX($H$83:$H333,252-STRUCT_L):$H333),"")</f>
        <v>6631</v>
      </c>
      <c r="AM333" s="46" t="n">
        <f aca="false">IF($A333&lt;&gt;$A334,1,0)</f>
        <v>0</v>
      </c>
      <c r="AN333" s="47" t="str">
        <f aca="false">IF($AM333=1,$A333,"")</f>
        <v/>
      </c>
    </row>
    <row r="334" customFormat="false" ht="15" hidden="false" customHeight="false" outlineLevel="0" collapsed="false">
      <c r="A334" s="43" t="s">
        <v>138</v>
      </c>
      <c r="B334" s="44" t="s">
        <v>140</v>
      </c>
      <c r="C334" s="45" t="n">
        <v>46001</v>
      </c>
      <c r="D334" s="46" t="n">
        <v>20251210</v>
      </c>
      <c r="E334" s="47" t="s">
        <v>357</v>
      </c>
      <c r="F334" s="48" t="n">
        <v>8446</v>
      </c>
      <c r="G334" s="48" t="n">
        <v>8518</v>
      </c>
      <c r="H334" s="48" t="n">
        <v>8154</v>
      </c>
      <c r="I334" s="48" t="n">
        <v>8447</v>
      </c>
      <c r="J334" s="48" t="n">
        <v>8342</v>
      </c>
      <c r="K334" s="48" t="n">
        <v>8223</v>
      </c>
      <c r="L334" s="48" t="n">
        <v>16890937</v>
      </c>
      <c r="M334" s="48" t="n">
        <v>142677744839</v>
      </c>
      <c r="N334" s="48" t="n">
        <v>765</v>
      </c>
      <c r="O334" s="48" t="n">
        <v>11127237</v>
      </c>
      <c r="P334" s="48" t="n">
        <v>5075703</v>
      </c>
      <c r="Q334" s="48" t="n">
        <v>288</v>
      </c>
      <c r="R334" s="48" t="n">
        <v>298</v>
      </c>
      <c r="S334" s="48" t="n">
        <v>5763700</v>
      </c>
      <c r="T334" s="48" t="n">
        <v>11815234</v>
      </c>
      <c r="U334" s="46" t="n">
        <f aca="false">IF($A334=$A333,$U333+1,1)</f>
        <v>70</v>
      </c>
      <c r="V334" s="48" t="n">
        <f aca="false">IF($U334&gt;=MA_SHORT,AVERAGE(INDEX($I$5:$I334,331-MA_SHORT):$I334),"")</f>
        <v>7894.55</v>
      </c>
      <c r="W334" s="48" t="n">
        <f aca="false">IF($U334&gt;=MA_MED,AVERAGE(INDEX($I$5:$I334,331-MA_MED):$I334),"")</f>
        <v>7608.12</v>
      </c>
      <c r="X334" s="48" t="str">
        <f aca="false">IF($U334&gt;=MA_LONG1,AVERAGE(INDEX($I$5:$I334,331-MA_LONG1):$I334),"")</f>
        <v/>
      </c>
      <c r="Y334" s="48" t="str">
        <f aca="false">IF($U334&gt;=MA_LONG2,AVERAGE(INDEX($I$5:$I334,331-MA_LONG2):$I334),"")</f>
        <v/>
      </c>
      <c r="Z334" s="48" t="n">
        <f aca="false">IF($U334&gt;=MA_SHORT,AVERAGE(INDEX($L$214:$L334,122-MA_SHORT):$L334),"")</f>
        <v>18443764.5</v>
      </c>
      <c r="AA334" s="48" t="n">
        <f aca="false">IF($U334=1,$G334-$H334,MAX($G334-$H334,ABS($G334-$I333),ABS($H334-$I333)))</f>
        <v>364</v>
      </c>
      <c r="AB334" s="48" t="n">
        <f aca="false">IF($U334&gt;=ATR_PER,AVERAGE(INDEX($AA$214:$AA334,122-ATR_PER):$AA334),"")</f>
        <v>315.642857142857</v>
      </c>
      <c r="AC334" s="48" t="n">
        <f aca="false">$O334-$P334</f>
        <v>6051534</v>
      </c>
      <c r="AD334" s="48" t="n">
        <f aca="false">$AC334*$I334</f>
        <v>51117307698</v>
      </c>
      <c r="AE334" s="49" t="n">
        <f aca="false">IF($Q334&gt;0,$O334*$I334/$Q334/1000000,"")</f>
        <v>326.360315760417</v>
      </c>
      <c r="AF334" s="49" t="n">
        <f aca="false">IF($R334&gt;0,$P334*$I334/$R334/1000000,"")</f>
        <v>143.874037721477</v>
      </c>
      <c r="AG334" s="50" t="n">
        <f aca="false">IF(AND(ISNUMBER($AE334),ISNUMBER($AF334),$AF334&gt;0),$AE334/$AF334,"")</f>
        <v>2.26837531585937</v>
      </c>
      <c r="AH334" s="48" t="n">
        <f aca="false">IF($U334&gt;=5,SUM(INDEX($AD$304:$AD334,32-5):$AD334),"")</f>
        <v>136741812708</v>
      </c>
      <c r="AI334" s="48" t="n">
        <f aca="false">IF($U334&gt;=STRUCT_S,MAX(INDEX($G$184:$G334,152-STRUCT_S):$G334),"")</f>
        <v>8518</v>
      </c>
      <c r="AJ334" s="48" t="n">
        <f aca="false">IF($U334&gt;=STRUCT_S,MIN(INDEX($H$184:$H334,152-STRUCT_S):$H334),"")</f>
        <v>7541</v>
      </c>
      <c r="AK334" s="48" t="n">
        <f aca="false">IF($U334&gt;=STRUCT_L,MAX(INDEX($G$84:$G334,252-STRUCT_L):$G334),"")</f>
        <v>8518</v>
      </c>
      <c r="AL334" s="48" t="n">
        <f aca="false">IF($U334&gt;=STRUCT_L,MIN(INDEX($H$84:$H334,252-STRUCT_L):$H334),"")</f>
        <v>6631</v>
      </c>
      <c r="AM334" s="46" t="n">
        <f aca="false">IF($A334&lt;&gt;$A335,1,0)</f>
        <v>0</v>
      </c>
      <c r="AN334" s="47" t="str">
        <f aca="false">IF($AM334=1,$A334,"")</f>
        <v/>
      </c>
    </row>
    <row r="335" customFormat="false" ht="15" hidden="false" customHeight="false" outlineLevel="0" collapsed="false">
      <c r="A335" s="43" t="s">
        <v>138</v>
      </c>
      <c r="B335" s="44" t="s">
        <v>140</v>
      </c>
      <c r="C335" s="45" t="n">
        <v>46004</v>
      </c>
      <c r="D335" s="46" t="n">
        <v>20251213</v>
      </c>
      <c r="E335" s="47" t="s">
        <v>358</v>
      </c>
      <c r="F335" s="48" t="n">
        <v>8381</v>
      </c>
      <c r="G335" s="48" t="n">
        <v>8477</v>
      </c>
      <c r="H335" s="48" t="n">
        <v>8098</v>
      </c>
      <c r="I335" s="48" t="n">
        <v>8127</v>
      </c>
      <c r="J335" s="48" t="n">
        <v>8406</v>
      </c>
      <c r="K335" s="48" t="n">
        <v>8447</v>
      </c>
      <c r="L335" s="48" t="n">
        <v>17817996</v>
      </c>
      <c r="M335" s="48" t="n">
        <v>144806853492</v>
      </c>
      <c r="N335" s="48" t="n">
        <v>517</v>
      </c>
      <c r="O335" s="48" t="n">
        <v>10219264</v>
      </c>
      <c r="P335" s="48" t="n">
        <v>8361963</v>
      </c>
      <c r="Q335" s="48" t="n">
        <v>236</v>
      </c>
      <c r="R335" s="48" t="n">
        <v>176</v>
      </c>
      <c r="S335" s="48" t="n">
        <v>7598732</v>
      </c>
      <c r="T335" s="48" t="n">
        <v>9456033</v>
      </c>
      <c r="U335" s="46" t="n">
        <f aca="false">IF($A335=$A334,$U334+1,1)</f>
        <v>71</v>
      </c>
      <c r="V335" s="48" t="n">
        <f aca="false">IF($U335&gt;=MA_SHORT,AVERAGE(INDEX($I$5:$I335,332-MA_SHORT):$I335),"")</f>
        <v>7918.6</v>
      </c>
      <c r="W335" s="48" t="n">
        <f aca="false">IF($U335&gt;=MA_MED,AVERAGE(INDEX($I$5:$I335,332-MA_MED):$I335),"")</f>
        <v>7629.58</v>
      </c>
      <c r="X335" s="48" t="str">
        <f aca="false">IF($U335&gt;=MA_LONG1,AVERAGE(INDEX($I$5:$I335,332-MA_LONG1):$I335),"")</f>
        <v/>
      </c>
      <c r="Y335" s="48" t="str">
        <f aca="false">IF($U335&gt;=MA_LONG2,AVERAGE(INDEX($I$5:$I335,332-MA_LONG2):$I335),"")</f>
        <v/>
      </c>
      <c r="Z335" s="48" t="n">
        <f aca="false">IF($U335&gt;=MA_SHORT,AVERAGE(INDEX($L$215:$L335,122-MA_SHORT):$L335),"")</f>
        <v>18532645.65</v>
      </c>
      <c r="AA335" s="48" t="n">
        <f aca="false">IF($U335=1,$G335-$H335,MAX($G335-$H335,ABS($G335-$I334),ABS($H335-$I334)))</f>
        <v>379</v>
      </c>
      <c r="AB335" s="48" t="n">
        <f aca="false">IF($U335&gt;=ATR_PER,AVERAGE(INDEX($AA$215:$AA335,122-ATR_PER):$AA335),"")</f>
        <v>318.714285714286</v>
      </c>
      <c r="AC335" s="48" t="n">
        <f aca="false">$O335-$P335</f>
        <v>1857301</v>
      </c>
      <c r="AD335" s="48" t="n">
        <f aca="false">$AC335*$I335</f>
        <v>15094285227</v>
      </c>
      <c r="AE335" s="49" t="n">
        <f aca="false">IF($Q335&gt;0,$O335*$I335/$Q335/1000000,"")</f>
        <v>351.915078508475</v>
      </c>
      <c r="AF335" s="49" t="n">
        <f aca="false">IF($R335&gt;0,$P335*$I335/$R335/1000000,"")</f>
        <v>386.123143755682</v>
      </c>
      <c r="AG335" s="50" t="n">
        <f aca="false">IF(AND(ISNUMBER($AE335),ISNUMBER($AF335),$AF335&gt;0),$AE335/$AF335,"")</f>
        <v>0.911406332926647</v>
      </c>
      <c r="AH335" s="48" t="n">
        <f aca="false">IF($U335&gt;=5,SUM(INDEX($AD$305:$AD335,32-5):$AD335),"")</f>
        <v>130919279325</v>
      </c>
      <c r="AI335" s="48" t="n">
        <f aca="false">IF($U335&gt;=STRUCT_S,MAX(INDEX($G$185:$G335,152-STRUCT_S):$G335),"")</f>
        <v>8518</v>
      </c>
      <c r="AJ335" s="48" t="n">
        <f aca="false">IF($U335&gt;=STRUCT_S,MIN(INDEX($H$185:$H335,152-STRUCT_S):$H335),"")</f>
        <v>7541</v>
      </c>
      <c r="AK335" s="48" t="n">
        <f aca="false">IF($U335&gt;=STRUCT_L,MAX(INDEX($G$85:$G335,252-STRUCT_L):$G335),"")</f>
        <v>8518</v>
      </c>
      <c r="AL335" s="48" t="n">
        <f aca="false">IF($U335&gt;=STRUCT_L,MIN(INDEX($H$85:$H335,252-STRUCT_L):$H335),"")</f>
        <v>6631</v>
      </c>
      <c r="AM335" s="46" t="n">
        <f aca="false">IF($A335&lt;&gt;$A336,1,0)</f>
        <v>0</v>
      </c>
      <c r="AN335" s="47" t="str">
        <f aca="false">IF($AM335=1,$A335,"")</f>
        <v/>
      </c>
    </row>
    <row r="336" customFormat="false" ht="15" hidden="false" customHeight="false" outlineLevel="0" collapsed="false">
      <c r="A336" s="43" t="s">
        <v>138</v>
      </c>
      <c r="B336" s="44" t="s">
        <v>140</v>
      </c>
      <c r="C336" s="45" t="n">
        <v>46005</v>
      </c>
      <c r="D336" s="46" t="n">
        <v>20251214</v>
      </c>
      <c r="E336" s="47" t="s">
        <v>359</v>
      </c>
      <c r="F336" s="48" t="n">
        <v>8108</v>
      </c>
      <c r="G336" s="48" t="n">
        <v>8162</v>
      </c>
      <c r="H336" s="48" t="n">
        <v>8093</v>
      </c>
      <c r="I336" s="48" t="n">
        <v>8128</v>
      </c>
      <c r="J336" s="48" t="n">
        <v>8123</v>
      </c>
      <c r="K336" s="48" t="n">
        <v>8127</v>
      </c>
      <c r="L336" s="48" t="n">
        <v>14528767</v>
      </c>
      <c r="M336" s="48" t="n">
        <v>118089818176</v>
      </c>
      <c r="N336" s="48" t="n">
        <v>433</v>
      </c>
      <c r="O336" s="48" t="n">
        <v>7834855</v>
      </c>
      <c r="P336" s="48" t="n">
        <v>6918868</v>
      </c>
      <c r="Q336" s="48" t="n">
        <v>178</v>
      </c>
      <c r="R336" s="48" t="n">
        <v>273</v>
      </c>
      <c r="S336" s="48" t="n">
        <v>6693912</v>
      </c>
      <c r="T336" s="48" t="n">
        <v>7609899</v>
      </c>
      <c r="U336" s="46" t="n">
        <f aca="false">IF($A336=$A335,$U335+1,1)</f>
        <v>72</v>
      </c>
      <c r="V336" s="48" t="n">
        <f aca="false">IF($U336&gt;=MA_SHORT,AVERAGE(INDEX($I$5:$I336,333-MA_SHORT):$I336),"")</f>
        <v>7941.15</v>
      </c>
      <c r="W336" s="48" t="n">
        <f aca="false">IF($U336&gt;=MA_MED,AVERAGE(INDEX($I$5:$I336,333-MA_MED):$I336),"")</f>
        <v>7649.64</v>
      </c>
      <c r="X336" s="48" t="str">
        <f aca="false">IF($U336&gt;=MA_LONG1,AVERAGE(INDEX($I$5:$I336,333-MA_LONG1):$I336),"")</f>
        <v/>
      </c>
      <c r="Y336" s="48" t="str">
        <f aca="false">IF($U336&gt;=MA_LONG2,AVERAGE(INDEX($I$5:$I336,333-MA_LONG2):$I336),"")</f>
        <v/>
      </c>
      <c r="Z336" s="48" t="n">
        <f aca="false">IF($U336&gt;=MA_SHORT,AVERAGE(INDEX($L$216:$L336,122-MA_SHORT):$L336),"")</f>
        <v>18193269.95</v>
      </c>
      <c r="AA336" s="48" t="n">
        <f aca="false">IF($U336=1,$G336-$H336,MAX($G336-$H336,ABS($G336-$I335),ABS($H336-$I335)))</f>
        <v>69</v>
      </c>
      <c r="AB336" s="48" t="n">
        <f aca="false">IF($U336&gt;=ATR_PER,AVERAGE(INDEX($AA$216:$AA336,122-ATR_PER):$AA336),"")</f>
        <v>299.785714285714</v>
      </c>
      <c r="AC336" s="48" t="n">
        <f aca="false">$O336-$P336</f>
        <v>915987</v>
      </c>
      <c r="AD336" s="48" t="n">
        <f aca="false">$AC336*$I336</f>
        <v>7445142336</v>
      </c>
      <c r="AE336" s="49" t="n">
        <f aca="false">IF($Q336&gt;0,$O336*$I336/$Q336/1000000,"")</f>
        <v>357.762367640449</v>
      </c>
      <c r="AF336" s="49" t="n">
        <f aca="false">IF($R336&gt;0,$P336*$I336/$R336/1000000,"")</f>
        <v>205.994721992674</v>
      </c>
      <c r="AG336" s="50" t="n">
        <f aca="false">IF(AND(ISNUMBER($AE336),ISNUMBER($AF336),$AF336&gt;0),$AE336/$AF336,"")</f>
        <v>1.73675502061248</v>
      </c>
      <c r="AH336" s="48" t="n">
        <f aca="false">IF($U336&gt;=5,SUM(INDEX($AD$306:$AD336,32-5):$AD336),"")</f>
        <v>94044460646</v>
      </c>
      <c r="AI336" s="48" t="n">
        <f aca="false">IF($U336&gt;=STRUCT_S,MAX(INDEX($G$186:$G336,152-STRUCT_S):$G336),"")</f>
        <v>8518</v>
      </c>
      <c r="AJ336" s="48" t="n">
        <f aca="false">IF($U336&gt;=STRUCT_S,MIN(INDEX($H$186:$H336,152-STRUCT_S):$H336),"")</f>
        <v>7541</v>
      </c>
      <c r="AK336" s="48" t="n">
        <f aca="false">IF($U336&gt;=STRUCT_L,MAX(INDEX($G$86:$G336,252-STRUCT_L):$G336),"")</f>
        <v>8518</v>
      </c>
      <c r="AL336" s="48" t="n">
        <f aca="false">IF($U336&gt;=STRUCT_L,MIN(INDEX($H$86:$H336,252-STRUCT_L):$H336),"")</f>
        <v>6631</v>
      </c>
      <c r="AM336" s="46" t="n">
        <f aca="false">IF($A336&lt;&gt;$A337,1,0)</f>
        <v>0</v>
      </c>
      <c r="AN336" s="47" t="str">
        <f aca="false">IF($AM336=1,$A336,"")</f>
        <v/>
      </c>
    </row>
    <row r="337" customFormat="false" ht="15" hidden="false" customHeight="false" outlineLevel="0" collapsed="false">
      <c r="A337" s="43" t="s">
        <v>138</v>
      </c>
      <c r="B337" s="44" t="s">
        <v>140</v>
      </c>
      <c r="C337" s="45" t="n">
        <v>46006</v>
      </c>
      <c r="D337" s="46" t="n">
        <v>20251215</v>
      </c>
      <c r="E337" s="47" t="s">
        <v>360</v>
      </c>
      <c r="F337" s="48" t="n">
        <v>8146</v>
      </c>
      <c r="G337" s="48" t="n">
        <v>8293</v>
      </c>
      <c r="H337" s="48" t="n">
        <v>7735</v>
      </c>
      <c r="I337" s="48" t="n">
        <v>7895</v>
      </c>
      <c r="J337" s="48" t="n">
        <v>7905</v>
      </c>
      <c r="K337" s="48" t="n">
        <v>8128</v>
      </c>
      <c r="L337" s="48" t="n">
        <v>17791715</v>
      </c>
      <c r="M337" s="48" t="n">
        <v>140465589925</v>
      </c>
      <c r="N337" s="48" t="n">
        <v>1010</v>
      </c>
      <c r="O337" s="48" t="n">
        <v>8592689</v>
      </c>
      <c r="P337" s="48" t="n">
        <v>10231469</v>
      </c>
      <c r="Q337" s="48" t="n">
        <v>398</v>
      </c>
      <c r="R337" s="48" t="n">
        <v>433</v>
      </c>
      <c r="S337" s="48" t="n">
        <v>9199026</v>
      </c>
      <c r="T337" s="48" t="n">
        <v>7560246</v>
      </c>
      <c r="U337" s="46" t="n">
        <f aca="false">IF($A337=$A336,$U336+1,1)</f>
        <v>73</v>
      </c>
      <c r="V337" s="48" t="n">
        <f aca="false">IF($U337&gt;=MA_SHORT,AVERAGE(INDEX($I$5:$I337,334-MA_SHORT):$I337),"")</f>
        <v>7952.35</v>
      </c>
      <c r="W337" s="48" t="n">
        <f aca="false">IF($U337&gt;=MA_MED,AVERAGE(INDEX($I$5:$I337,334-MA_MED):$I337),"")</f>
        <v>7666.24</v>
      </c>
      <c r="X337" s="48" t="str">
        <f aca="false">IF($U337&gt;=MA_LONG1,AVERAGE(INDEX($I$5:$I337,334-MA_LONG1):$I337),"")</f>
        <v/>
      </c>
      <c r="Y337" s="48" t="str">
        <f aca="false">IF($U337&gt;=MA_LONG2,AVERAGE(INDEX($I$5:$I337,334-MA_LONG2):$I337),"")</f>
        <v/>
      </c>
      <c r="Z337" s="48" t="n">
        <f aca="false">IF($U337&gt;=MA_SHORT,AVERAGE(INDEX($L$217:$L337,122-MA_SHORT):$L337),"")</f>
        <v>17860919.3</v>
      </c>
      <c r="AA337" s="48" t="n">
        <f aca="false">IF($U337=1,$G337-$H337,MAX($G337-$H337,ABS($G337-$I336),ABS($H337-$I336)))</f>
        <v>558</v>
      </c>
      <c r="AB337" s="48" t="n">
        <f aca="false">IF($U337&gt;=ATR_PER,AVERAGE(INDEX($AA$217:$AA337,122-ATR_PER):$AA337),"")</f>
        <v>313.5</v>
      </c>
      <c r="AC337" s="48" t="n">
        <f aca="false">$O337-$P337</f>
        <v>-1638780</v>
      </c>
      <c r="AD337" s="48" t="n">
        <f aca="false">$AC337*$I337</f>
        <v>-12938168100</v>
      </c>
      <c r="AE337" s="49" t="n">
        <f aca="false">IF($Q337&gt;0,$O337*$I337/$Q337/1000000,"")</f>
        <v>170.450451394472</v>
      </c>
      <c r="AF337" s="49" t="n">
        <f aca="false">IF($R337&gt;0,$P337*$I337/$R337/1000000,"")</f>
        <v>186.552997124711</v>
      </c>
      <c r="AG337" s="50" t="n">
        <f aca="false">IF(AND(ISNUMBER($AE337),ISNUMBER($AF337),$AF337&gt;0),$AE337/$AF337,"")</f>
        <v>0.913683800429782</v>
      </c>
      <c r="AH337" s="48" t="n">
        <f aca="false">IF($U337&gt;=5,SUM(INDEX($AD$307:$AD337,32-5):$AD337),"")</f>
        <v>71962064190</v>
      </c>
      <c r="AI337" s="48" t="n">
        <f aca="false">IF($U337&gt;=STRUCT_S,MAX(INDEX($G$187:$G337,152-STRUCT_S):$G337),"")</f>
        <v>8518</v>
      </c>
      <c r="AJ337" s="48" t="n">
        <f aca="false">IF($U337&gt;=STRUCT_S,MIN(INDEX($H$187:$H337,152-STRUCT_S):$H337),"")</f>
        <v>7541</v>
      </c>
      <c r="AK337" s="48" t="n">
        <f aca="false">IF($U337&gt;=STRUCT_L,MAX(INDEX($G$87:$G337,252-STRUCT_L):$G337),"")</f>
        <v>8518</v>
      </c>
      <c r="AL337" s="48" t="n">
        <f aca="false">IF($U337&gt;=STRUCT_L,MIN(INDEX($H$87:$H337,252-STRUCT_L):$H337),"")</f>
        <v>6631</v>
      </c>
      <c r="AM337" s="46" t="n">
        <f aca="false">IF($A337&lt;&gt;$A338,1,0)</f>
        <v>0</v>
      </c>
      <c r="AN337" s="47" t="str">
        <f aca="false">IF($AM337=1,$A337,"")</f>
        <v/>
      </c>
    </row>
    <row r="338" customFormat="false" ht="15" hidden="false" customHeight="false" outlineLevel="0" collapsed="false">
      <c r="A338" s="43" t="s">
        <v>138</v>
      </c>
      <c r="B338" s="44" t="s">
        <v>140</v>
      </c>
      <c r="C338" s="45" t="n">
        <v>46007</v>
      </c>
      <c r="D338" s="46" t="n">
        <v>20251216</v>
      </c>
      <c r="E338" s="47" t="s">
        <v>361</v>
      </c>
      <c r="F338" s="48" t="n">
        <v>7916</v>
      </c>
      <c r="G338" s="48" t="n">
        <v>8038</v>
      </c>
      <c r="H338" s="48" t="n">
        <v>7740</v>
      </c>
      <c r="I338" s="48" t="n">
        <v>7883</v>
      </c>
      <c r="J338" s="48" t="n">
        <v>7974</v>
      </c>
      <c r="K338" s="48" t="n">
        <v>7895</v>
      </c>
      <c r="L338" s="48" t="n">
        <v>14650449</v>
      </c>
      <c r="M338" s="48" t="n">
        <v>115489489467</v>
      </c>
      <c r="N338" s="48" t="n">
        <v>663</v>
      </c>
      <c r="O338" s="48" t="n">
        <v>8062224</v>
      </c>
      <c r="P338" s="48" t="n">
        <v>6706020</v>
      </c>
      <c r="Q338" s="48" t="n">
        <v>389</v>
      </c>
      <c r="R338" s="48" t="n">
        <v>231</v>
      </c>
      <c r="S338" s="48" t="n">
        <v>6588225</v>
      </c>
      <c r="T338" s="48" t="n">
        <v>7944429</v>
      </c>
      <c r="U338" s="46" t="n">
        <f aca="false">IF($A338=$A337,$U337+1,1)</f>
        <v>74</v>
      </c>
      <c r="V338" s="48" t="n">
        <f aca="false">IF($U338&gt;=MA_SHORT,AVERAGE(INDEX($I$5:$I338,335-MA_SHORT):$I338),"")</f>
        <v>7957.05</v>
      </c>
      <c r="W338" s="48" t="n">
        <f aca="false">IF($U338&gt;=MA_MED,AVERAGE(INDEX($I$5:$I338,335-MA_MED):$I338),"")</f>
        <v>7688.6</v>
      </c>
      <c r="X338" s="48" t="str">
        <f aca="false">IF($U338&gt;=MA_LONG1,AVERAGE(INDEX($I$5:$I338,335-MA_LONG1):$I338),"")</f>
        <v/>
      </c>
      <c r="Y338" s="48" t="str">
        <f aca="false">IF($U338&gt;=MA_LONG2,AVERAGE(INDEX($I$5:$I338,335-MA_LONG2):$I338),"")</f>
        <v/>
      </c>
      <c r="Z338" s="48" t="n">
        <f aca="false">IF($U338&gt;=MA_SHORT,AVERAGE(INDEX($L$218:$L338,122-MA_SHORT):$L338),"")</f>
        <v>17800541.65</v>
      </c>
      <c r="AA338" s="48" t="n">
        <f aca="false">IF($U338=1,$G338-$H338,MAX($G338-$H338,ABS($G338-$I337),ABS($H338-$I337)))</f>
        <v>298</v>
      </c>
      <c r="AB338" s="48" t="n">
        <f aca="false">IF($U338&gt;=ATR_PER,AVERAGE(INDEX($AA$218:$AA338,122-ATR_PER):$AA338),"")</f>
        <v>304.428571428571</v>
      </c>
      <c r="AC338" s="48" t="n">
        <f aca="false">$O338-$P338</f>
        <v>1356204</v>
      </c>
      <c r="AD338" s="48" t="n">
        <f aca="false">$AC338*$I338</f>
        <v>10690956132</v>
      </c>
      <c r="AE338" s="49" t="n">
        <f aca="false">IF($Q338&gt;0,$O338*$I338/$Q338/1000000,"")</f>
        <v>163.379207691517</v>
      </c>
      <c r="AF338" s="49" t="n">
        <f aca="false">IF($R338&gt;0,$P338*$I338/$R338/1000000,"")</f>
        <v>228.846561298701</v>
      </c>
      <c r="AG338" s="50" t="n">
        <f aca="false">IF(AND(ISNUMBER($AE338),ISNUMBER($AF338),$AF338&gt;0),$AE338/$AF338,"")</f>
        <v>0.713924678458535</v>
      </c>
      <c r="AH338" s="48" t="n">
        <f aca="false">IF($U338&gt;=5,SUM(INDEX($AD$308:$AD338,32-5):$AD338),"")</f>
        <v>71409523293</v>
      </c>
      <c r="AI338" s="48" t="n">
        <f aca="false">IF($U338&gt;=STRUCT_S,MAX(INDEX($G$188:$G338,152-STRUCT_S):$G338),"")</f>
        <v>8518</v>
      </c>
      <c r="AJ338" s="48" t="n">
        <f aca="false">IF($U338&gt;=STRUCT_S,MIN(INDEX($H$188:$H338,152-STRUCT_S):$H338),"")</f>
        <v>7541</v>
      </c>
      <c r="AK338" s="48" t="n">
        <f aca="false">IF($U338&gt;=STRUCT_L,MAX(INDEX($G$88:$G338,252-STRUCT_L):$G338),"")</f>
        <v>8518</v>
      </c>
      <c r="AL338" s="48" t="n">
        <f aca="false">IF($U338&gt;=STRUCT_L,MIN(INDEX($H$88:$H338,252-STRUCT_L):$H338),"")</f>
        <v>6631</v>
      </c>
      <c r="AM338" s="46" t="n">
        <f aca="false">IF($A338&lt;&gt;$A339,1,0)</f>
        <v>0</v>
      </c>
      <c r="AN338" s="47" t="str">
        <f aca="false">IF($AM338=1,$A338,"")</f>
        <v/>
      </c>
    </row>
    <row r="339" customFormat="false" ht="15" hidden="false" customHeight="false" outlineLevel="0" collapsed="false">
      <c r="A339" s="43" t="s">
        <v>138</v>
      </c>
      <c r="B339" s="44" t="s">
        <v>140</v>
      </c>
      <c r="C339" s="45" t="n">
        <v>46008</v>
      </c>
      <c r="D339" s="46" t="n">
        <v>20251217</v>
      </c>
      <c r="E339" s="47" t="s">
        <v>362</v>
      </c>
      <c r="F339" s="48" t="n">
        <v>7982</v>
      </c>
      <c r="G339" s="48" t="n">
        <v>7989</v>
      </c>
      <c r="H339" s="48" t="n">
        <v>7739</v>
      </c>
      <c r="I339" s="48" t="n">
        <v>7845</v>
      </c>
      <c r="J339" s="48" t="n">
        <v>7765</v>
      </c>
      <c r="K339" s="48" t="n">
        <v>7883</v>
      </c>
      <c r="L339" s="48" t="n">
        <v>29159660</v>
      </c>
      <c r="M339" s="48" t="n">
        <v>228757532700</v>
      </c>
      <c r="N339" s="48" t="n">
        <v>732</v>
      </c>
      <c r="O339" s="48" t="n">
        <v>14900205</v>
      </c>
      <c r="P339" s="48" t="n">
        <v>15823070</v>
      </c>
      <c r="Q339" s="48" t="n">
        <v>469</v>
      </c>
      <c r="R339" s="48" t="n">
        <v>224</v>
      </c>
      <c r="S339" s="48" t="n">
        <v>14259455</v>
      </c>
      <c r="T339" s="48" t="n">
        <v>13336590</v>
      </c>
      <c r="U339" s="46" t="n">
        <f aca="false">IF($A339=$A338,$U338+1,1)</f>
        <v>75</v>
      </c>
      <c r="V339" s="48" t="n">
        <f aca="false">IF($U339&gt;=MA_SHORT,AVERAGE(INDEX($I$5:$I339,336-MA_SHORT):$I339),"")</f>
        <v>7961.9</v>
      </c>
      <c r="W339" s="48" t="n">
        <f aca="false">IF($U339&gt;=MA_MED,AVERAGE(INDEX($I$5:$I339,336-MA_MED):$I339),"")</f>
        <v>7711.78</v>
      </c>
      <c r="X339" s="48" t="str">
        <f aca="false">IF($U339&gt;=MA_LONG1,AVERAGE(INDEX($I$5:$I339,336-MA_LONG1):$I339),"")</f>
        <v/>
      </c>
      <c r="Y339" s="48" t="str">
        <f aca="false">IF($U339&gt;=MA_LONG2,AVERAGE(INDEX($I$5:$I339,336-MA_LONG2):$I339),"")</f>
        <v/>
      </c>
      <c r="Z339" s="48" t="n">
        <f aca="false">IF($U339&gt;=MA_SHORT,AVERAGE(INDEX($L$219:$L339,122-MA_SHORT):$L339),"")</f>
        <v>18188069.9</v>
      </c>
      <c r="AA339" s="48" t="n">
        <f aca="false">IF($U339=1,$G339-$H339,MAX($G339-$H339,ABS($G339-$I338),ABS($H339-$I338)))</f>
        <v>250</v>
      </c>
      <c r="AB339" s="48" t="n">
        <f aca="false">IF($U339&gt;=ATR_PER,AVERAGE(INDEX($AA$219:$AA339,122-ATR_PER):$AA339),"")</f>
        <v>309.142857142857</v>
      </c>
      <c r="AC339" s="48" t="n">
        <f aca="false">$O339-$P339</f>
        <v>-922865</v>
      </c>
      <c r="AD339" s="48" t="n">
        <f aca="false">$AC339*$I339</f>
        <v>-7239875925</v>
      </c>
      <c r="AE339" s="49" t="n">
        <f aca="false">IF($Q339&gt;0,$O339*$I339/$Q339/1000000,"")</f>
        <v>249.236904530917</v>
      </c>
      <c r="AF339" s="49" t="n">
        <f aca="false">IF($R339&gt;0,$P339*$I339/$R339/1000000,"")</f>
        <v>554.160643526786</v>
      </c>
      <c r="AG339" s="50" t="n">
        <f aca="false">IF(AND(ISNUMBER($AE339),ISNUMBER($AF339),$AF339&gt;0),$AE339/$AF339,"")</f>
        <v>0.449755693483978</v>
      </c>
      <c r="AH339" s="48" t="n">
        <f aca="false">IF($U339&gt;=5,SUM(INDEX($AD$309:$AD339,32-5):$AD339),"")</f>
        <v>13052339670</v>
      </c>
      <c r="AI339" s="48" t="n">
        <f aca="false">IF($U339&gt;=STRUCT_S,MAX(INDEX($G$189:$G339,152-STRUCT_S):$G339),"")</f>
        <v>8518</v>
      </c>
      <c r="AJ339" s="48" t="n">
        <f aca="false">IF($U339&gt;=STRUCT_S,MIN(INDEX($H$189:$H339,152-STRUCT_S):$H339),"")</f>
        <v>7541</v>
      </c>
      <c r="AK339" s="48" t="n">
        <f aca="false">IF($U339&gt;=STRUCT_L,MAX(INDEX($G$89:$G339,252-STRUCT_L):$G339),"")</f>
        <v>8518</v>
      </c>
      <c r="AL339" s="48" t="n">
        <f aca="false">IF($U339&gt;=STRUCT_L,MIN(INDEX($H$89:$H339,252-STRUCT_L):$H339),"")</f>
        <v>6631</v>
      </c>
      <c r="AM339" s="46" t="n">
        <f aca="false">IF($A339&lt;&gt;$A340,1,0)</f>
        <v>0</v>
      </c>
      <c r="AN339" s="47" t="str">
        <f aca="false">IF($AM339=1,$A339,"")</f>
        <v/>
      </c>
    </row>
    <row r="340" customFormat="false" ht="15" hidden="false" customHeight="false" outlineLevel="0" collapsed="false">
      <c r="A340" s="43" t="s">
        <v>138</v>
      </c>
      <c r="B340" s="44" t="s">
        <v>140</v>
      </c>
      <c r="C340" s="45" t="n">
        <v>46011</v>
      </c>
      <c r="D340" s="46" t="n">
        <v>20251220</v>
      </c>
      <c r="E340" s="47" t="s">
        <v>363</v>
      </c>
      <c r="F340" s="48" t="n">
        <v>7855</v>
      </c>
      <c r="G340" s="48" t="n">
        <v>7933</v>
      </c>
      <c r="H340" s="48" t="n">
        <v>7750</v>
      </c>
      <c r="I340" s="48" t="n">
        <v>7838</v>
      </c>
      <c r="J340" s="48" t="n">
        <v>7888</v>
      </c>
      <c r="K340" s="48" t="n">
        <v>7845</v>
      </c>
      <c r="L340" s="48" t="n">
        <v>17820217</v>
      </c>
      <c r="M340" s="48" t="n">
        <v>139674860846</v>
      </c>
      <c r="N340" s="48" t="n">
        <v>530</v>
      </c>
      <c r="O340" s="48" t="n">
        <v>10270621</v>
      </c>
      <c r="P340" s="48" t="n">
        <v>9116852</v>
      </c>
      <c r="Q340" s="48" t="n">
        <v>258</v>
      </c>
      <c r="R340" s="48" t="n">
        <v>224</v>
      </c>
      <c r="S340" s="48" t="n">
        <v>7549596</v>
      </c>
      <c r="T340" s="48" t="n">
        <v>8703365</v>
      </c>
      <c r="U340" s="46" t="n">
        <f aca="false">IF($A340=$A339,$U339+1,1)</f>
        <v>76</v>
      </c>
      <c r="V340" s="48" t="n">
        <f aca="false">IF($U340&gt;=MA_SHORT,AVERAGE(INDEX($I$5:$I340,337-MA_SHORT):$I340),"")</f>
        <v>7970.5</v>
      </c>
      <c r="W340" s="48" t="n">
        <f aca="false">IF($U340&gt;=MA_MED,AVERAGE(INDEX($I$5:$I340,337-MA_MED):$I340),"")</f>
        <v>7732.18</v>
      </c>
      <c r="X340" s="48" t="str">
        <f aca="false">IF($U340&gt;=MA_LONG1,AVERAGE(INDEX($I$5:$I340,337-MA_LONG1):$I340),"")</f>
        <v/>
      </c>
      <c r="Y340" s="48" t="str">
        <f aca="false">IF($U340&gt;=MA_LONG2,AVERAGE(INDEX($I$5:$I340,337-MA_LONG2):$I340),"")</f>
        <v/>
      </c>
      <c r="Z340" s="48" t="n">
        <f aca="false">IF($U340&gt;=MA_SHORT,AVERAGE(INDEX($L$220:$L340,122-MA_SHORT):$L340),"")</f>
        <v>18288755.8</v>
      </c>
      <c r="AA340" s="48" t="n">
        <f aca="false">IF($U340=1,$G340-$H340,MAX($G340-$H340,ABS($G340-$I339),ABS($H340-$I339)))</f>
        <v>183</v>
      </c>
      <c r="AB340" s="48" t="n">
        <f aca="false">IF($U340&gt;=ATR_PER,AVERAGE(INDEX($AA$220:$AA340,122-ATR_PER):$AA340),"")</f>
        <v>307.214285714286</v>
      </c>
      <c r="AC340" s="48" t="n">
        <f aca="false">$O340-$P340</f>
        <v>1153769</v>
      </c>
      <c r="AD340" s="48" t="n">
        <f aca="false">$AC340*$I340</f>
        <v>9043241422</v>
      </c>
      <c r="AE340" s="49" t="n">
        <f aca="false">IF($Q340&gt;0,$O340*$I340/$Q340/1000000,"")</f>
        <v>312.019873635659</v>
      </c>
      <c r="AF340" s="49" t="n">
        <f aca="false">IF($R340&gt;0,$P340*$I340/$R340/1000000,"")</f>
        <v>319.008419535714</v>
      </c>
      <c r="AG340" s="50" t="n">
        <f aca="false">IF(AND(ISNUMBER($AE340),ISNUMBER($AF340),$AF340&gt;0),$AE340/$AF340,"")</f>
        <v>0.978092910807099</v>
      </c>
      <c r="AH340" s="48" t="n">
        <f aca="false">IF($U340&gt;=5,SUM(INDEX($AD$310:$AD340,32-5):$AD340),"")</f>
        <v>7001295865</v>
      </c>
      <c r="AI340" s="48" t="n">
        <f aca="false">IF($U340&gt;=STRUCT_S,MAX(INDEX($G$190:$G340,152-STRUCT_S):$G340),"")</f>
        <v>8518</v>
      </c>
      <c r="AJ340" s="48" t="n">
        <f aca="false">IF($U340&gt;=STRUCT_S,MIN(INDEX($H$190:$H340,152-STRUCT_S):$H340),"")</f>
        <v>7541</v>
      </c>
      <c r="AK340" s="48" t="n">
        <f aca="false">IF($U340&gt;=STRUCT_L,MAX(INDEX($G$90:$G340,252-STRUCT_L):$G340),"")</f>
        <v>8518</v>
      </c>
      <c r="AL340" s="48" t="n">
        <f aca="false">IF($U340&gt;=STRUCT_L,MIN(INDEX($H$90:$H340,252-STRUCT_L):$H340),"")</f>
        <v>6631</v>
      </c>
      <c r="AM340" s="46" t="n">
        <f aca="false">IF($A340&lt;&gt;$A341,1,0)</f>
        <v>0</v>
      </c>
      <c r="AN340" s="47" t="str">
        <f aca="false">IF($AM340=1,$A340,"")</f>
        <v/>
      </c>
    </row>
    <row r="341" customFormat="false" ht="15" hidden="false" customHeight="false" outlineLevel="0" collapsed="false">
      <c r="A341" s="43" t="s">
        <v>138</v>
      </c>
      <c r="B341" s="44" t="s">
        <v>140</v>
      </c>
      <c r="C341" s="45" t="n">
        <v>46012</v>
      </c>
      <c r="D341" s="46" t="n">
        <v>20251221</v>
      </c>
      <c r="E341" s="47" t="s">
        <v>364</v>
      </c>
      <c r="F341" s="48" t="n">
        <v>7962</v>
      </c>
      <c r="G341" s="48" t="n">
        <v>8013</v>
      </c>
      <c r="H341" s="48" t="n">
        <v>7721</v>
      </c>
      <c r="I341" s="48" t="n">
        <v>7895</v>
      </c>
      <c r="J341" s="48" t="n">
        <v>7870</v>
      </c>
      <c r="K341" s="48" t="n">
        <v>7838</v>
      </c>
      <c r="L341" s="48" t="n">
        <v>15151523</v>
      </c>
      <c r="M341" s="48" t="n">
        <v>119621274085</v>
      </c>
      <c r="N341" s="48" t="n">
        <v>546</v>
      </c>
      <c r="O341" s="48" t="n">
        <v>8045496</v>
      </c>
      <c r="P341" s="48" t="n">
        <v>6227794</v>
      </c>
      <c r="Q341" s="48" t="n">
        <v>162</v>
      </c>
      <c r="R341" s="48" t="n">
        <v>295</v>
      </c>
      <c r="S341" s="48" t="n">
        <v>7106027</v>
      </c>
      <c r="T341" s="48" t="n">
        <v>8923729</v>
      </c>
      <c r="U341" s="46" t="n">
        <f aca="false">IF($A341=$A340,$U340+1,1)</f>
        <v>77</v>
      </c>
      <c r="V341" s="48" t="n">
        <f aca="false">IF($U341&gt;=MA_SHORT,AVERAGE(INDEX($I$5:$I341,338-MA_SHORT):$I341),"")</f>
        <v>7975.55</v>
      </c>
      <c r="W341" s="48" t="n">
        <f aca="false">IF($U341&gt;=MA_MED,AVERAGE(INDEX($I$5:$I341,338-MA_MED):$I341),"")</f>
        <v>7749.68</v>
      </c>
      <c r="X341" s="48" t="str">
        <f aca="false">IF($U341&gt;=MA_LONG1,AVERAGE(INDEX($I$5:$I341,338-MA_LONG1):$I341),"")</f>
        <v/>
      </c>
      <c r="Y341" s="48" t="str">
        <f aca="false">IF($U341&gt;=MA_LONG2,AVERAGE(INDEX($I$5:$I341,338-MA_LONG2):$I341),"")</f>
        <v/>
      </c>
      <c r="Z341" s="48" t="n">
        <f aca="false">IF($U341&gt;=MA_SHORT,AVERAGE(INDEX($L$221:$L341,122-MA_SHORT):$L341),"")</f>
        <v>17877071.7</v>
      </c>
      <c r="AA341" s="48" t="n">
        <f aca="false">IF($U341=1,$G341-$H341,MAX($G341-$H341,ABS($G341-$I340),ABS($H341-$I340)))</f>
        <v>292</v>
      </c>
      <c r="AB341" s="48" t="n">
        <f aca="false">IF($U341&gt;=ATR_PER,AVERAGE(INDEX($AA$221:$AA341,122-ATR_PER):$AA341),"")</f>
        <v>297.071428571429</v>
      </c>
      <c r="AC341" s="48" t="n">
        <f aca="false">$O341-$P341</f>
        <v>1817702</v>
      </c>
      <c r="AD341" s="48" t="n">
        <f aca="false">$AC341*$I341</f>
        <v>14350757290</v>
      </c>
      <c r="AE341" s="49" t="n">
        <f aca="false">IF($Q341&gt;0,$O341*$I341/$Q341/1000000,"")</f>
        <v>392.093771111111</v>
      </c>
      <c r="AF341" s="49" t="n">
        <f aca="false">IF($R341&gt;0,$P341*$I341/$R341/1000000,"")</f>
        <v>166.672656372881</v>
      </c>
      <c r="AG341" s="50" t="n">
        <f aca="false">IF(AND(ISNUMBER($AE341),ISNUMBER($AF341),$AF341&gt;0),$AE341/$AF341,"")</f>
        <v>2.35247808275111</v>
      </c>
      <c r="AH341" s="48" t="n">
        <f aca="false">IF($U341&gt;=5,SUM(INDEX($AD$311:$AD341,32-5):$AD341),"")</f>
        <v>13906910819</v>
      </c>
      <c r="AI341" s="48" t="n">
        <f aca="false">IF($U341&gt;=STRUCT_S,MAX(INDEX($G$191:$G341,152-STRUCT_S):$G341),"")</f>
        <v>8518</v>
      </c>
      <c r="AJ341" s="48" t="n">
        <f aca="false">IF($U341&gt;=STRUCT_S,MIN(INDEX($H$191:$H341,152-STRUCT_S):$H341),"")</f>
        <v>7541</v>
      </c>
      <c r="AK341" s="48" t="n">
        <f aca="false">IF($U341&gt;=STRUCT_L,MAX(INDEX($G$91:$G341,252-STRUCT_L):$G341),"")</f>
        <v>8518</v>
      </c>
      <c r="AL341" s="48" t="n">
        <f aca="false">IF($U341&gt;=STRUCT_L,MIN(INDEX($H$91:$H341,252-STRUCT_L):$H341),"")</f>
        <v>6631</v>
      </c>
      <c r="AM341" s="46" t="n">
        <f aca="false">IF($A341&lt;&gt;$A342,1,0)</f>
        <v>0</v>
      </c>
      <c r="AN341" s="47" t="str">
        <f aca="false">IF($AM341=1,$A341,"")</f>
        <v/>
      </c>
    </row>
    <row r="342" customFormat="false" ht="15" hidden="false" customHeight="false" outlineLevel="0" collapsed="false">
      <c r="A342" s="43" t="s">
        <v>138</v>
      </c>
      <c r="B342" s="44" t="s">
        <v>140</v>
      </c>
      <c r="C342" s="45" t="n">
        <v>46013</v>
      </c>
      <c r="D342" s="46" t="n">
        <v>20251222</v>
      </c>
      <c r="E342" s="47" t="s">
        <v>365</v>
      </c>
      <c r="F342" s="48" t="n">
        <v>7842</v>
      </c>
      <c r="G342" s="48" t="n">
        <v>7925</v>
      </c>
      <c r="H342" s="48" t="n">
        <v>7809</v>
      </c>
      <c r="I342" s="48" t="n">
        <v>7839</v>
      </c>
      <c r="J342" s="48" t="n">
        <v>7905</v>
      </c>
      <c r="K342" s="48" t="n">
        <v>7895</v>
      </c>
      <c r="L342" s="48" t="n">
        <v>15135916</v>
      </c>
      <c r="M342" s="48" t="n">
        <v>118650445524</v>
      </c>
      <c r="N342" s="48" t="n">
        <v>686</v>
      </c>
      <c r="O342" s="48" t="n">
        <v>8560005</v>
      </c>
      <c r="P342" s="48" t="n">
        <v>6894338</v>
      </c>
      <c r="Q342" s="48" t="n">
        <v>359</v>
      </c>
      <c r="R342" s="48" t="n">
        <v>226</v>
      </c>
      <c r="S342" s="48" t="n">
        <v>6575911</v>
      </c>
      <c r="T342" s="48" t="n">
        <v>8241578</v>
      </c>
      <c r="U342" s="46" t="n">
        <f aca="false">IF($A342=$A341,$U341+1,1)</f>
        <v>78</v>
      </c>
      <c r="V342" s="48" t="n">
        <f aca="false">IF($U342&gt;=MA_SHORT,AVERAGE(INDEX($I$5:$I342,339-MA_SHORT):$I342),"")</f>
        <v>7986.5</v>
      </c>
      <c r="W342" s="48" t="n">
        <f aca="false">IF($U342&gt;=MA_MED,AVERAGE(INDEX($I$5:$I342,339-MA_MED):$I342),"")</f>
        <v>7765.7</v>
      </c>
      <c r="X342" s="48" t="str">
        <f aca="false">IF($U342&gt;=MA_LONG1,AVERAGE(INDEX($I$5:$I342,339-MA_LONG1):$I342),"")</f>
        <v/>
      </c>
      <c r="Y342" s="48" t="str">
        <f aca="false">IF($U342&gt;=MA_LONG2,AVERAGE(INDEX($I$5:$I342,339-MA_LONG2):$I342),"")</f>
        <v/>
      </c>
      <c r="Z342" s="48" t="n">
        <f aca="false">IF($U342&gt;=MA_SHORT,AVERAGE(INDEX($L$222:$L342,122-MA_SHORT):$L342),"")</f>
        <v>17730359.9</v>
      </c>
      <c r="AA342" s="48" t="n">
        <f aca="false">IF($U342=1,$G342-$H342,MAX($G342-$H342,ABS($G342-$I341),ABS($H342-$I341)))</f>
        <v>116</v>
      </c>
      <c r="AB342" s="48" t="n">
        <f aca="false">IF($U342&gt;=ATR_PER,AVERAGE(INDEX($AA$222:$AA342,122-ATR_PER):$AA342),"")</f>
        <v>289.214285714286</v>
      </c>
      <c r="AC342" s="48" t="n">
        <f aca="false">$O342-$P342</f>
        <v>1665667</v>
      </c>
      <c r="AD342" s="48" t="n">
        <f aca="false">$AC342*$I342</f>
        <v>13057163613</v>
      </c>
      <c r="AE342" s="49" t="n">
        <f aca="false">IF($Q342&gt;0,$O342*$I342/$Q342/1000000,"")</f>
        <v>186.913312520891</v>
      </c>
      <c r="AF342" s="49" t="n">
        <f aca="false">IF($R342&gt;0,$P342*$I342/$R342/1000000,"")</f>
        <v>239.135909654867</v>
      </c>
      <c r="AG342" s="50" t="n">
        <f aca="false">IF(AND(ISNUMBER($AE342),ISNUMBER($AF342),$AF342&gt;0),$AE342/$AF342,"")</f>
        <v>0.781619593605385</v>
      </c>
      <c r="AH342" s="48" t="n">
        <f aca="false">IF($U342&gt;=5,SUM(INDEX($AD$312:$AD342,32-5):$AD342),"")</f>
        <v>39902242532</v>
      </c>
      <c r="AI342" s="48" t="n">
        <f aca="false">IF($U342&gt;=STRUCT_S,MAX(INDEX($G$192:$G342,152-STRUCT_S):$G342),"")</f>
        <v>8518</v>
      </c>
      <c r="AJ342" s="48" t="n">
        <f aca="false">IF($U342&gt;=STRUCT_S,MIN(INDEX($H$192:$H342,152-STRUCT_S):$H342),"")</f>
        <v>7550</v>
      </c>
      <c r="AK342" s="48" t="n">
        <f aca="false">IF($U342&gt;=STRUCT_L,MAX(INDEX($G$92:$G342,252-STRUCT_L):$G342),"")</f>
        <v>8518</v>
      </c>
      <c r="AL342" s="48" t="n">
        <f aca="false">IF($U342&gt;=STRUCT_L,MIN(INDEX($H$92:$H342,252-STRUCT_L):$H342),"")</f>
        <v>6631</v>
      </c>
      <c r="AM342" s="46" t="n">
        <f aca="false">IF($A342&lt;&gt;$A343,1,0)</f>
        <v>0</v>
      </c>
      <c r="AN342" s="47" t="str">
        <f aca="false">IF($AM342=1,$A342,"")</f>
        <v/>
      </c>
    </row>
    <row r="343" customFormat="false" ht="15" hidden="false" customHeight="false" outlineLevel="0" collapsed="false">
      <c r="A343" s="43" t="s">
        <v>138</v>
      </c>
      <c r="B343" s="44" t="s">
        <v>140</v>
      </c>
      <c r="C343" s="45" t="n">
        <v>46014</v>
      </c>
      <c r="D343" s="46" t="n">
        <v>20251223</v>
      </c>
      <c r="E343" s="47" t="s">
        <v>366</v>
      </c>
      <c r="F343" s="48" t="n">
        <v>7854</v>
      </c>
      <c r="G343" s="48" t="n">
        <v>7937</v>
      </c>
      <c r="H343" s="48" t="n">
        <v>7710</v>
      </c>
      <c r="I343" s="48" t="n">
        <v>7807</v>
      </c>
      <c r="J343" s="48" t="n">
        <v>7791</v>
      </c>
      <c r="K343" s="48" t="n">
        <v>7839</v>
      </c>
      <c r="L343" s="48" t="n">
        <v>51321346</v>
      </c>
      <c r="M343" s="48" t="n">
        <v>400665748222</v>
      </c>
      <c r="N343" s="48" t="n">
        <v>4372</v>
      </c>
      <c r="O343" s="48" t="n">
        <v>27287081</v>
      </c>
      <c r="P343" s="48" t="n">
        <v>22039743</v>
      </c>
      <c r="Q343" s="48" t="n">
        <v>2812</v>
      </c>
      <c r="R343" s="48" t="n">
        <v>1959</v>
      </c>
      <c r="S343" s="48" t="n">
        <v>24034265</v>
      </c>
      <c r="T343" s="48" t="n">
        <v>29281603</v>
      </c>
      <c r="U343" s="46" t="n">
        <f aca="false">IF($A343=$A342,$U342+1,1)</f>
        <v>79</v>
      </c>
      <c r="V343" s="48" t="n">
        <f aca="false">IF($U343&gt;=MA_SHORT,AVERAGE(INDEX($I$5:$I343,340-MA_SHORT):$I343),"")</f>
        <v>7984.65</v>
      </c>
      <c r="W343" s="48" t="n">
        <f aca="false">IF($U343&gt;=MA_MED,AVERAGE(INDEX($I$5:$I343,340-MA_MED):$I343),"")</f>
        <v>7779.42</v>
      </c>
      <c r="X343" s="48" t="str">
        <f aca="false">IF($U343&gt;=MA_LONG1,AVERAGE(INDEX($I$5:$I343,340-MA_LONG1):$I343),"")</f>
        <v/>
      </c>
      <c r="Y343" s="48" t="str">
        <f aca="false">IF($U343&gt;=MA_LONG2,AVERAGE(INDEX($I$5:$I343,340-MA_LONG2):$I343),"")</f>
        <v/>
      </c>
      <c r="Z343" s="48" t="n">
        <f aca="false">IF($U343&gt;=MA_SHORT,AVERAGE(INDEX($L$223:$L343,122-MA_SHORT):$L343),"")</f>
        <v>19169827.8</v>
      </c>
      <c r="AA343" s="48" t="n">
        <f aca="false">IF($U343=1,$G343-$H343,MAX($G343-$H343,ABS($G343-$I342),ABS($H343-$I342)))</f>
        <v>227</v>
      </c>
      <c r="AB343" s="48" t="n">
        <f aca="false">IF($U343&gt;=ATR_PER,AVERAGE(INDEX($AA$223:$AA343,122-ATR_PER):$AA343),"")</f>
        <v>291.285714285714</v>
      </c>
      <c r="AC343" s="48" t="n">
        <f aca="false">$O343-$P343</f>
        <v>5247338</v>
      </c>
      <c r="AD343" s="48" t="n">
        <f aca="false">$AC343*$I343</f>
        <v>40965967766</v>
      </c>
      <c r="AE343" s="49" t="n">
        <f aca="false">IF($Q343&gt;0,$O343*$I343/$Q343/1000000,"")</f>
        <v>75.7575538289474</v>
      </c>
      <c r="AF343" s="49" t="n">
        <f aca="false">IF($R343&gt;0,$P343*$I343/$R343/1000000,"")</f>
        <v>87.8327073001531</v>
      </c>
      <c r="AG343" s="50" t="n">
        <f aca="false">IF(AND(ISNUMBER($AE343),ISNUMBER($AF343),$AF343&gt;0),$AE343/$AF343,"")</f>
        <v>0.862520991981484</v>
      </c>
      <c r="AH343" s="48" t="n">
        <f aca="false">IF($U343&gt;=5,SUM(INDEX($AD$313:$AD343,32-5):$AD343),"")</f>
        <v>70177254166</v>
      </c>
      <c r="AI343" s="48" t="n">
        <f aca="false">IF($U343&gt;=STRUCT_S,MAX(INDEX($G$193:$G343,152-STRUCT_S):$G343),"")</f>
        <v>8518</v>
      </c>
      <c r="AJ343" s="48" t="n">
        <f aca="false">IF($U343&gt;=STRUCT_S,MIN(INDEX($H$193:$H343,152-STRUCT_S):$H343),"")</f>
        <v>7578</v>
      </c>
      <c r="AK343" s="48" t="n">
        <f aca="false">IF($U343&gt;=STRUCT_L,MAX(INDEX($G$93:$G343,252-STRUCT_L):$G343),"")</f>
        <v>8518</v>
      </c>
      <c r="AL343" s="48" t="n">
        <f aca="false">IF($U343&gt;=STRUCT_L,MIN(INDEX($H$93:$H343,252-STRUCT_L):$H343),"")</f>
        <v>6631</v>
      </c>
      <c r="AM343" s="46" t="n">
        <f aca="false">IF($A343&lt;&gt;$A344,1,0)</f>
        <v>0</v>
      </c>
      <c r="AN343" s="47" t="str">
        <f aca="false">IF($AM343=1,$A343,"")</f>
        <v/>
      </c>
    </row>
    <row r="344" customFormat="false" ht="15" hidden="false" customHeight="false" outlineLevel="0" collapsed="false">
      <c r="A344" s="43" t="s">
        <v>138</v>
      </c>
      <c r="B344" s="44" t="s">
        <v>140</v>
      </c>
      <c r="C344" s="45" t="n">
        <v>46015</v>
      </c>
      <c r="D344" s="46" t="n">
        <v>20251224</v>
      </c>
      <c r="E344" s="47" t="s">
        <v>367</v>
      </c>
      <c r="F344" s="48" t="n">
        <v>7793</v>
      </c>
      <c r="G344" s="48" t="n">
        <v>7953</v>
      </c>
      <c r="H344" s="48" t="n">
        <v>7708</v>
      </c>
      <c r="I344" s="48" t="n">
        <v>7853</v>
      </c>
      <c r="J344" s="48" t="n">
        <v>7896</v>
      </c>
      <c r="K344" s="48" t="n">
        <v>7807</v>
      </c>
      <c r="L344" s="48" t="n">
        <v>15031304</v>
      </c>
      <c r="M344" s="48" t="n">
        <v>118040830312</v>
      </c>
      <c r="N344" s="48" t="n">
        <v>1100</v>
      </c>
      <c r="O344" s="48" t="n">
        <v>7897104</v>
      </c>
      <c r="P344" s="48" t="n">
        <v>6888437</v>
      </c>
      <c r="Q344" s="48" t="n">
        <v>359</v>
      </c>
      <c r="R344" s="48" t="n">
        <v>416</v>
      </c>
      <c r="S344" s="48" t="n">
        <v>7134200</v>
      </c>
      <c r="T344" s="48" t="n">
        <v>8142867</v>
      </c>
      <c r="U344" s="46" t="n">
        <f aca="false">IF($A344=$A343,$U343+1,1)</f>
        <v>80</v>
      </c>
      <c r="V344" s="48" t="n">
        <f aca="false">IF($U344&gt;=MA_SHORT,AVERAGE(INDEX($I$5:$I344,341-MA_SHORT):$I344),"")</f>
        <v>7990.55</v>
      </c>
      <c r="W344" s="48" t="n">
        <f aca="false">IF($U344&gt;=MA_MED,AVERAGE(INDEX($I$5:$I344,341-MA_MED):$I344),"")</f>
        <v>7793.88</v>
      </c>
      <c r="X344" s="48" t="str">
        <f aca="false">IF($U344&gt;=MA_LONG1,AVERAGE(INDEX($I$5:$I344,341-MA_LONG1):$I344),"")</f>
        <v/>
      </c>
      <c r="Y344" s="48" t="str">
        <f aca="false">IF($U344&gt;=MA_LONG2,AVERAGE(INDEX($I$5:$I344,341-MA_LONG2):$I344),"")</f>
        <v/>
      </c>
      <c r="Z344" s="48" t="n">
        <f aca="false">IF($U344&gt;=MA_SHORT,AVERAGE(INDEX($L$224:$L344,122-MA_SHORT):$L344),"")</f>
        <v>18821534.55</v>
      </c>
      <c r="AA344" s="48" t="n">
        <f aca="false">IF($U344=1,$G344-$H344,MAX($G344-$H344,ABS($G344-$I343),ABS($H344-$I343)))</f>
        <v>245</v>
      </c>
      <c r="AB344" s="48" t="n">
        <f aca="false">IF($U344&gt;=ATR_PER,AVERAGE(INDEX($AA$224:$AA344,122-ATR_PER):$AA344),"")</f>
        <v>277.071428571429</v>
      </c>
      <c r="AC344" s="48" t="n">
        <f aca="false">$O344-$P344</f>
        <v>1008667</v>
      </c>
      <c r="AD344" s="48" t="n">
        <f aca="false">$AC344*$I344</f>
        <v>7921061951</v>
      </c>
      <c r="AE344" s="49" t="n">
        <f aca="false">IF($Q344&gt;0,$O344*$I344/$Q344/1000000,"")</f>
        <v>172.746400311978</v>
      </c>
      <c r="AF344" s="49" t="n">
        <f aca="false">IF($R344&gt;0,$P344*$I344/$R344/1000000,"")</f>
        <v>130.035807117788</v>
      </c>
      <c r="AG344" s="50" t="n">
        <f aca="false">IF(AND(ISNUMBER($AE344),ISNUMBER($AF344),$AF344&gt;0),$AE344/$AF344,"")</f>
        <v>1.32845255580643</v>
      </c>
      <c r="AH344" s="48" t="n">
        <f aca="false">IF($U344&gt;=5,SUM(INDEX($AD$314:$AD344,32-5):$AD344),"")</f>
        <v>85338192042</v>
      </c>
      <c r="AI344" s="48" t="n">
        <f aca="false">IF($U344&gt;=STRUCT_S,MAX(INDEX($G$194:$G344,152-STRUCT_S):$G344),"")</f>
        <v>8518</v>
      </c>
      <c r="AJ344" s="48" t="n">
        <f aca="false">IF($U344&gt;=STRUCT_S,MIN(INDEX($H$194:$H344,152-STRUCT_S):$H344),"")</f>
        <v>7630</v>
      </c>
      <c r="AK344" s="48" t="n">
        <f aca="false">IF($U344&gt;=STRUCT_L,MAX(INDEX($G$94:$G344,252-STRUCT_L):$G344),"")</f>
        <v>8518</v>
      </c>
      <c r="AL344" s="48" t="n">
        <f aca="false">IF($U344&gt;=STRUCT_L,MIN(INDEX($H$94:$H344,252-STRUCT_L):$H344),"")</f>
        <v>6631</v>
      </c>
      <c r="AM344" s="46" t="n">
        <f aca="false">IF($A344&lt;&gt;$A345,1,0)</f>
        <v>0</v>
      </c>
      <c r="AN344" s="47" t="str">
        <f aca="false">IF($AM344=1,$A344,"")</f>
        <v/>
      </c>
    </row>
    <row r="345" customFormat="false" ht="15" hidden="false" customHeight="false" outlineLevel="0" collapsed="false">
      <c r="A345" s="43" t="s">
        <v>138</v>
      </c>
      <c r="B345" s="44" t="s">
        <v>140</v>
      </c>
      <c r="C345" s="45" t="n">
        <v>46018</v>
      </c>
      <c r="D345" s="46" t="n">
        <v>20251227</v>
      </c>
      <c r="E345" s="47" t="s">
        <v>368</v>
      </c>
      <c r="F345" s="48" t="n">
        <v>7859</v>
      </c>
      <c r="G345" s="48" t="n">
        <v>7897</v>
      </c>
      <c r="H345" s="48" t="n">
        <v>7819</v>
      </c>
      <c r="I345" s="48" t="n">
        <v>7863</v>
      </c>
      <c r="J345" s="48" t="n">
        <v>7859</v>
      </c>
      <c r="K345" s="48" t="n">
        <v>7853</v>
      </c>
      <c r="L345" s="48" t="n">
        <v>14628972</v>
      </c>
      <c r="M345" s="48" t="n">
        <v>115027606836</v>
      </c>
      <c r="N345" s="48" t="n">
        <v>378</v>
      </c>
      <c r="O345" s="48" t="n">
        <v>9026667</v>
      </c>
      <c r="P345" s="48" t="n">
        <v>6090080</v>
      </c>
      <c r="Q345" s="48" t="n">
        <v>165</v>
      </c>
      <c r="R345" s="48" t="n">
        <v>221</v>
      </c>
      <c r="S345" s="48" t="n">
        <v>5602305</v>
      </c>
      <c r="T345" s="48" t="n">
        <v>8538892</v>
      </c>
      <c r="U345" s="46" t="n">
        <f aca="false">IF($A345=$A344,$U344+1,1)</f>
        <v>81</v>
      </c>
      <c r="V345" s="48" t="n">
        <f aca="false">IF($U345&gt;=MA_SHORT,AVERAGE(INDEX($I$5:$I345,342-MA_SHORT):$I345),"")</f>
        <v>7998.25</v>
      </c>
      <c r="W345" s="48" t="n">
        <f aca="false">IF($U345&gt;=MA_MED,AVERAGE(INDEX($I$5:$I345,342-MA_MED):$I345),"")</f>
        <v>7809.44</v>
      </c>
      <c r="X345" s="48" t="str">
        <f aca="false">IF($U345&gt;=MA_LONG1,AVERAGE(INDEX($I$5:$I345,342-MA_LONG1):$I345),"")</f>
        <v/>
      </c>
      <c r="Y345" s="48" t="str">
        <f aca="false">IF($U345&gt;=MA_LONG2,AVERAGE(INDEX($I$5:$I345,342-MA_LONG2):$I345),"")</f>
        <v/>
      </c>
      <c r="Z345" s="48" t="n">
        <f aca="false">IF($U345&gt;=MA_SHORT,AVERAGE(INDEX($L$225:$L345,122-MA_SHORT):$L345),"")</f>
        <v>18812440.65</v>
      </c>
      <c r="AA345" s="48" t="n">
        <f aca="false">IF($U345=1,$G345-$H345,MAX($G345-$H345,ABS($G345-$I344),ABS($H345-$I344)))</f>
        <v>78</v>
      </c>
      <c r="AB345" s="48" t="n">
        <f aca="false">IF($U345&gt;=ATR_PER,AVERAGE(INDEX($AA$225:$AA345,122-ATR_PER):$AA345),"")</f>
        <v>257</v>
      </c>
      <c r="AC345" s="48" t="n">
        <f aca="false">$O345-$P345</f>
        <v>2936587</v>
      </c>
      <c r="AD345" s="48" t="n">
        <f aca="false">$AC345*$I345</f>
        <v>23090383581</v>
      </c>
      <c r="AE345" s="49" t="n">
        <f aca="false">IF($Q345&gt;0,$O345*$I345/$Q345/1000000,"")</f>
        <v>430.161712854546</v>
      </c>
      <c r="AF345" s="49" t="n">
        <f aca="false">IF($R345&gt;0,$P345*$I345/$R345/1000000,"")</f>
        <v>216.680086153846</v>
      </c>
      <c r="AG345" s="50" t="n">
        <f aca="false">IF(AND(ISNUMBER($AE345),ISNUMBER($AF345),$AF345&gt;0),$AE345/$AF345,"")</f>
        <v>1.98523879369849</v>
      </c>
      <c r="AH345" s="48" t="n">
        <f aca="false">IF($U345&gt;=5,SUM(INDEX($AD$315:$AD345,32-5):$AD345),"")</f>
        <v>99385334201</v>
      </c>
      <c r="AI345" s="48" t="n">
        <f aca="false">IF($U345&gt;=STRUCT_S,MAX(INDEX($G$195:$G345,152-STRUCT_S):$G345),"")</f>
        <v>8518</v>
      </c>
      <c r="AJ345" s="48" t="n">
        <f aca="false">IF($U345&gt;=STRUCT_S,MIN(INDEX($H$195:$H345,152-STRUCT_S):$H345),"")</f>
        <v>7639</v>
      </c>
      <c r="AK345" s="48" t="n">
        <f aca="false">IF($U345&gt;=STRUCT_L,MAX(INDEX($G$95:$G345,252-STRUCT_L):$G345),"")</f>
        <v>8518</v>
      </c>
      <c r="AL345" s="48" t="n">
        <f aca="false">IF($U345&gt;=STRUCT_L,MIN(INDEX($H$95:$H345,252-STRUCT_L):$H345),"")</f>
        <v>6631</v>
      </c>
      <c r="AM345" s="46" t="n">
        <f aca="false">IF($A345&lt;&gt;$A346,1,0)</f>
        <v>0</v>
      </c>
      <c r="AN345" s="47" t="str">
        <f aca="false">IF($AM345=1,$A345,"")</f>
        <v/>
      </c>
    </row>
    <row r="346" customFormat="false" ht="15" hidden="false" customHeight="false" outlineLevel="0" collapsed="false">
      <c r="A346" s="43" t="s">
        <v>138</v>
      </c>
      <c r="B346" s="44" t="s">
        <v>140</v>
      </c>
      <c r="C346" s="45" t="n">
        <v>46019</v>
      </c>
      <c r="D346" s="46" t="n">
        <v>20251228</v>
      </c>
      <c r="E346" s="47" t="s">
        <v>369</v>
      </c>
      <c r="F346" s="48" t="n">
        <v>7781</v>
      </c>
      <c r="G346" s="48" t="n">
        <v>7991</v>
      </c>
      <c r="H346" s="48" t="n">
        <v>7733</v>
      </c>
      <c r="I346" s="48" t="n">
        <v>7861</v>
      </c>
      <c r="J346" s="48" t="n">
        <v>7776</v>
      </c>
      <c r="K346" s="48" t="n">
        <v>7863</v>
      </c>
      <c r="L346" s="48" t="n">
        <v>32659709</v>
      </c>
      <c r="M346" s="48" t="n">
        <v>256737972449</v>
      </c>
      <c r="N346" s="48" t="n">
        <v>1489</v>
      </c>
      <c r="O346" s="48" t="n">
        <v>18339700</v>
      </c>
      <c r="P346" s="48" t="n">
        <v>16207047</v>
      </c>
      <c r="Q346" s="48" t="n">
        <v>884</v>
      </c>
      <c r="R346" s="48" t="n">
        <v>590</v>
      </c>
      <c r="S346" s="48" t="n">
        <v>14320009</v>
      </c>
      <c r="T346" s="48" t="n">
        <v>16452662</v>
      </c>
      <c r="U346" s="46" t="n">
        <f aca="false">IF($A346=$A345,$U345+1,1)</f>
        <v>82</v>
      </c>
      <c r="V346" s="48" t="n">
        <f aca="false">IF($U346&gt;=MA_SHORT,AVERAGE(INDEX($I$5:$I346,343-MA_SHORT):$I346),"")</f>
        <v>8002.35</v>
      </c>
      <c r="W346" s="48" t="n">
        <f aca="false">IF($U346&gt;=MA_MED,AVERAGE(INDEX($I$5:$I346,343-MA_MED):$I346),"")</f>
        <v>7830.98</v>
      </c>
      <c r="X346" s="48" t="str">
        <f aca="false">IF($U346&gt;=MA_LONG1,AVERAGE(INDEX($I$5:$I346,343-MA_LONG1):$I346),"")</f>
        <v/>
      </c>
      <c r="Y346" s="48" t="str">
        <f aca="false">IF($U346&gt;=MA_LONG2,AVERAGE(INDEX($I$5:$I346,343-MA_LONG2):$I346),"")</f>
        <v/>
      </c>
      <c r="Z346" s="48" t="n">
        <f aca="false">IF($U346&gt;=MA_SHORT,AVERAGE(INDEX($L$226:$L346,122-MA_SHORT):$L346),"")</f>
        <v>19569915.7</v>
      </c>
      <c r="AA346" s="48" t="n">
        <f aca="false">IF($U346=1,$G346-$H346,MAX($G346-$H346,ABS($G346-$I345),ABS($H346-$I345)))</f>
        <v>258</v>
      </c>
      <c r="AB346" s="48" t="n">
        <f aca="false">IF($U346&gt;=ATR_PER,AVERAGE(INDEX($AA$226:$AA346,122-ATR_PER):$AA346),"")</f>
        <v>253.571428571429</v>
      </c>
      <c r="AC346" s="48" t="n">
        <f aca="false">$O346-$P346</f>
        <v>2132653</v>
      </c>
      <c r="AD346" s="48" t="n">
        <f aca="false">$AC346*$I346</f>
        <v>16764785233</v>
      </c>
      <c r="AE346" s="49" t="n">
        <f aca="false">IF($Q346&gt;0,$O346*$I346/$Q346/1000000,"")</f>
        <v>163.086404638009</v>
      </c>
      <c r="AF346" s="49" t="n">
        <f aca="false">IF($R346&gt;0,$P346*$I346/$R346/1000000,"")</f>
        <v>215.93829909661</v>
      </c>
      <c r="AG346" s="50" t="n">
        <f aca="false">IF(AND(ISNUMBER($AE346),ISNUMBER($AF346),$AF346&gt;0),$AE346/$AF346,"")</f>
        <v>0.755245388707284</v>
      </c>
      <c r="AH346" s="48" t="n">
        <f aca="false">IF($U346&gt;=5,SUM(INDEX($AD$316:$AD346,32-5):$AD346),"")</f>
        <v>101799362144</v>
      </c>
      <c r="AI346" s="48" t="n">
        <f aca="false">IF($U346&gt;=STRUCT_S,MAX(INDEX($G$196:$G346,152-STRUCT_S):$G346),"")</f>
        <v>8518</v>
      </c>
      <c r="AJ346" s="48" t="n">
        <f aca="false">IF($U346&gt;=STRUCT_S,MIN(INDEX($H$196:$H346,152-STRUCT_S):$H346),"")</f>
        <v>7646</v>
      </c>
      <c r="AK346" s="48" t="n">
        <f aca="false">IF($U346&gt;=STRUCT_L,MAX(INDEX($G$96:$G346,252-STRUCT_L):$G346),"")</f>
        <v>8518</v>
      </c>
      <c r="AL346" s="48" t="n">
        <f aca="false">IF($U346&gt;=STRUCT_L,MIN(INDEX($H$96:$H346,252-STRUCT_L):$H346),"")</f>
        <v>6631</v>
      </c>
      <c r="AM346" s="46" t="n">
        <f aca="false">IF($A346&lt;&gt;$A347,1,0)</f>
        <v>0</v>
      </c>
      <c r="AN346" s="47" t="str">
        <f aca="false">IF($AM346=1,$A346,"")</f>
        <v/>
      </c>
    </row>
    <row r="347" customFormat="false" ht="15" hidden="false" customHeight="false" outlineLevel="0" collapsed="false">
      <c r="A347" s="43" t="s">
        <v>138</v>
      </c>
      <c r="B347" s="44" t="s">
        <v>140</v>
      </c>
      <c r="C347" s="45" t="n">
        <v>46020</v>
      </c>
      <c r="D347" s="46" t="n">
        <v>20251229</v>
      </c>
      <c r="E347" s="47" t="s">
        <v>370</v>
      </c>
      <c r="F347" s="48" t="n">
        <v>7725</v>
      </c>
      <c r="G347" s="48" t="n">
        <v>8004</v>
      </c>
      <c r="H347" s="48" t="n">
        <v>7358</v>
      </c>
      <c r="I347" s="48" t="n">
        <v>7494</v>
      </c>
      <c r="J347" s="48" t="n">
        <v>7527</v>
      </c>
      <c r="K347" s="48" t="n">
        <v>7861</v>
      </c>
      <c r="L347" s="48" t="n">
        <v>18584801</v>
      </c>
      <c r="M347" s="48" t="n">
        <v>139274498694</v>
      </c>
      <c r="N347" s="48" t="n">
        <v>642</v>
      </c>
      <c r="O347" s="48" t="n">
        <v>7913243</v>
      </c>
      <c r="P347" s="48" t="n">
        <v>10825375</v>
      </c>
      <c r="Q347" s="48" t="n">
        <v>252</v>
      </c>
      <c r="R347" s="48" t="n">
        <v>184</v>
      </c>
      <c r="S347" s="48" t="n">
        <v>10671558</v>
      </c>
      <c r="T347" s="48" t="n">
        <v>7759426</v>
      </c>
      <c r="U347" s="46" t="n">
        <f aca="false">IF($A347=$A346,$U346+1,1)</f>
        <v>83</v>
      </c>
      <c r="V347" s="48" t="n">
        <f aca="false">IF($U347&gt;=MA_SHORT,AVERAGE(INDEX($I$5:$I347,344-MA_SHORT):$I347),"")</f>
        <v>7979.85</v>
      </c>
      <c r="W347" s="48" t="n">
        <f aca="false">IF($U347&gt;=MA_MED,AVERAGE(INDEX($I$5:$I347,344-MA_MED):$I347),"")</f>
        <v>7841.4</v>
      </c>
      <c r="X347" s="48" t="str">
        <f aca="false">IF($U347&gt;=MA_LONG1,AVERAGE(INDEX($I$5:$I347,344-MA_LONG1):$I347),"")</f>
        <v/>
      </c>
      <c r="Y347" s="48" t="str">
        <f aca="false">IF($U347&gt;=MA_LONG2,AVERAGE(INDEX($I$5:$I347,344-MA_LONG2):$I347),"")</f>
        <v/>
      </c>
      <c r="Z347" s="48" t="n">
        <f aca="false">IF($U347&gt;=MA_SHORT,AVERAGE(INDEX($L$227:$L347,122-MA_SHORT):$L347),"")</f>
        <v>19680870.85</v>
      </c>
      <c r="AA347" s="48" t="n">
        <f aca="false">IF($U347=1,$G347-$H347,MAX($G347-$H347,ABS($G347-$I346),ABS($H347-$I346)))</f>
        <v>646</v>
      </c>
      <c r="AB347" s="48" t="n">
        <f aca="false">IF($U347&gt;=ATR_PER,AVERAGE(INDEX($AA$227:$AA347,122-ATR_PER):$AA347),"")</f>
        <v>283.071428571429</v>
      </c>
      <c r="AC347" s="48" t="n">
        <f aca="false">$O347-$P347</f>
        <v>-2912132</v>
      </c>
      <c r="AD347" s="48" t="n">
        <f aca="false">$AC347*$I347</f>
        <v>-21823517208</v>
      </c>
      <c r="AE347" s="49" t="n">
        <f aca="false">IF($Q347&gt;0,$O347*$I347/$Q347/1000000,"")</f>
        <v>235.32477397619</v>
      </c>
      <c r="AF347" s="49" t="n">
        <f aca="false">IF($R347&gt;0,$P347*$I347/$R347/1000000,"")</f>
        <v>440.89869701087</v>
      </c>
      <c r="AG347" s="50" t="n">
        <f aca="false">IF(AND(ISNUMBER($AE347),ISNUMBER($AF347),$AF347&gt;0),$AE347/$AF347,"")</f>
        <v>0.533738873740398</v>
      </c>
      <c r="AH347" s="48" t="n">
        <f aca="false">IF($U347&gt;=5,SUM(INDEX($AD$317:$AD347,32-5):$AD347),"")</f>
        <v>66918681323</v>
      </c>
      <c r="AI347" s="48" t="n">
        <f aca="false">IF($U347&gt;=STRUCT_S,MAX(INDEX($G$197:$G347,152-STRUCT_S):$G347),"")</f>
        <v>8518</v>
      </c>
      <c r="AJ347" s="48" t="n">
        <f aca="false">IF($U347&gt;=STRUCT_S,MIN(INDEX($H$197:$H347,152-STRUCT_S):$H347),"")</f>
        <v>7358</v>
      </c>
      <c r="AK347" s="48" t="n">
        <f aca="false">IF($U347&gt;=STRUCT_L,MAX(INDEX($G$97:$G347,252-STRUCT_L):$G347),"")</f>
        <v>8518</v>
      </c>
      <c r="AL347" s="48" t="n">
        <f aca="false">IF($U347&gt;=STRUCT_L,MIN(INDEX($H$97:$H347,252-STRUCT_L):$H347),"")</f>
        <v>6631</v>
      </c>
      <c r="AM347" s="46" t="n">
        <f aca="false">IF($A347&lt;&gt;$A348,1,0)</f>
        <v>0</v>
      </c>
      <c r="AN347" s="47" t="str">
        <f aca="false">IF($AM347=1,$A347,"")</f>
        <v/>
      </c>
    </row>
    <row r="348" customFormat="false" ht="15" hidden="false" customHeight="false" outlineLevel="0" collapsed="false">
      <c r="A348" s="43" t="s">
        <v>138</v>
      </c>
      <c r="B348" s="44" t="s">
        <v>140</v>
      </c>
      <c r="C348" s="45" t="n">
        <v>46021</v>
      </c>
      <c r="D348" s="46" t="n">
        <v>20251230</v>
      </c>
      <c r="E348" s="47" t="s">
        <v>371</v>
      </c>
      <c r="F348" s="48" t="n">
        <v>7545</v>
      </c>
      <c r="G348" s="48" t="n">
        <v>7589</v>
      </c>
      <c r="H348" s="48" t="n">
        <v>7408</v>
      </c>
      <c r="I348" s="48" t="n">
        <v>7503</v>
      </c>
      <c r="J348" s="48" t="n">
        <v>7485</v>
      </c>
      <c r="K348" s="48" t="n">
        <v>7494</v>
      </c>
      <c r="L348" s="48" t="n">
        <v>14622662</v>
      </c>
      <c r="M348" s="48" t="n">
        <v>109713832986</v>
      </c>
      <c r="N348" s="48" t="n">
        <v>456</v>
      </c>
      <c r="O348" s="48" t="n">
        <v>8571948</v>
      </c>
      <c r="P348" s="48" t="n">
        <v>6613173</v>
      </c>
      <c r="Q348" s="48" t="n">
        <v>172</v>
      </c>
      <c r="R348" s="48" t="n">
        <v>204</v>
      </c>
      <c r="S348" s="48" t="n">
        <v>6050714</v>
      </c>
      <c r="T348" s="48" t="n">
        <v>8009489</v>
      </c>
      <c r="U348" s="46" t="n">
        <f aca="false">IF($A348=$A347,$U347+1,1)</f>
        <v>84</v>
      </c>
      <c r="V348" s="48" t="n">
        <f aca="false">IF($U348&gt;=MA_SHORT,AVERAGE(INDEX($I$5:$I348,345-MA_SHORT):$I348),"")</f>
        <v>7953.65</v>
      </c>
      <c r="W348" s="48" t="n">
        <f aca="false">IF($U348&gt;=MA_MED,AVERAGE(INDEX($I$5:$I348,345-MA_MED):$I348),"")</f>
        <v>7846.72</v>
      </c>
      <c r="X348" s="48" t="str">
        <f aca="false">IF($U348&gt;=MA_LONG1,AVERAGE(INDEX($I$5:$I348,345-MA_LONG1):$I348),"")</f>
        <v/>
      </c>
      <c r="Y348" s="48" t="str">
        <f aca="false">IF($U348&gt;=MA_LONG2,AVERAGE(INDEX($I$5:$I348,345-MA_LONG2):$I348),"")</f>
        <v/>
      </c>
      <c r="Z348" s="48" t="n">
        <f aca="false">IF($U348&gt;=MA_SHORT,AVERAGE(INDEX($L$228:$L348,122-MA_SHORT):$L348),"")</f>
        <v>19438872.85</v>
      </c>
      <c r="AA348" s="48" t="n">
        <f aca="false">IF($U348=1,$G348-$H348,MAX($G348-$H348,ABS($G348-$I347),ABS($H348-$I347)))</f>
        <v>181</v>
      </c>
      <c r="AB348" s="48" t="n">
        <f aca="false">IF($U348&gt;=ATR_PER,AVERAGE(INDEX($AA$228:$AA348,122-ATR_PER):$AA348),"")</f>
        <v>270</v>
      </c>
      <c r="AC348" s="48" t="n">
        <f aca="false">$O348-$P348</f>
        <v>1958775</v>
      </c>
      <c r="AD348" s="48" t="n">
        <f aca="false">$AC348*$I348</f>
        <v>14696688825</v>
      </c>
      <c r="AE348" s="49" t="n">
        <f aca="false">IF($Q348&gt;0,$O348*$I348/$Q348/1000000,"")</f>
        <v>373.926313046512</v>
      </c>
      <c r="AF348" s="49" t="n">
        <f aca="false">IF($R348&gt;0,$P348*$I348/$R348/1000000,"")</f>
        <v>243.228612838235</v>
      </c>
      <c r="AG348" s="50" t="n">
        <f aca="false">IF(AND(ISNUMBER($AE348),ISNUMBER($AF348),$AF348&gt;0),$AE348/$AF348,"")</f>
        <v>1.53734508733641</v>
      </c>
      <c r="AH348" s="48" t="n">
        <f aca="false">IF($U348&gt;=5,SUM(INDEX($AD$318:$AD348,32-5):$AD348),"")</f>
        <v>40649402382</v>
      </c>
      <c r="AI348" s="48" t="n">
        <f aca="false">IF($U348&gt;=STRUCT_S,MAX(INDEX($G$198:$G348,152-STRUCT_S):$G348),"")</f>
        <v>8518</v>
      </c>
      <c r="AJ348" s="48" t="n">
        <f aca="false">IF($U348&gt;=STRUCT_S,MIN(INDEX($H$198:$H348,152-STRUCT_S):$H348),"")</f>
        <v>7358</v>
      </c>
      <c r="AK348" s="48" t="n">
        <f aca="false">IF($U348&gt;=STRUCT_L,MAX(INDEX($G$98:$G348,252-STRUCT_L):$G348),"")</f>
        <v>8518</v>
      </c>
      <c r="AL348" s="48" t="n">
        <f aca="false">IF($U348&gt;=STRUCT_L,MIN(INDEX($H$98:$H348,252-STRUCT_L):$H348),"")</f>
        <v>6631</v>
      </c>
      <c r="AM348" s="46" t="n">
        <f aca="false">IF($A348&lt;&gt;$A349,1,0)</f>
        <v>0</v>
      </c>
      <c r="AN348" s="47" t="str">
        <f aca="false">IF($AM348=1,$A348,"")</f>
        <v/>
      </c>
    </row>
    <row r="349" customFormat="false" ht="15" hidden="false" customHeight="false" outlineLevel="0" collapsed="false">
      <c r="A349" s="43" t="s">
        <v>138</v>
      </c>
      <c r="B349" s="44" t="s">
        <v>140</v>
      </c>
      <c r="C349" s="45" t="n">
        <v>46022</v>
      </c>
      <c r="D349" s="46" t="n">
        <v>20251231</v>
      </c>
      <c r="E349" s="47" t="s">
        <v>372</v>
      </c>
      <c r="F349" s="48" t="n">
        <v>7469</v>
      </c>
      <c r="G349" s="48" t="n">
        <v>7549</v>
      </c>
      <c r="H349" s="48" t="n">
        <v>7449</v>
      </c>
      <c r="I349" s="48" t="n">
        <v>7494</v>
      </c>
      <c r="J349" s="48" t="n">
        <v>7543</v>
      </c>
      <c r="K349" s="48" t="n">
        <v>7503</v>
      </c>
      <c r="L349" s="48" t="n">
        <v>17857050</v>
      </c>
      <c r="M349" s="48" t="n">
        <v>133820732700</v>
      </c>
      <c r="N349" s="48" t="n">
        <v>414</v>
      </c>
      <c r="O349" s="48" t="n">
        <v>10565307</v>
      </c>
      <c r="P349" s="48" t="n">
        <v>7433142</v>
      </c>
      <c r="Q349" s="48" t="n">
        <v>253</v>
      </c>
      <c r="R349" s="48" t="n">
        <v>132</v>
      </c>
      <c r="S349" s="48" t="n">
        <v>7291743</v>
      </c>
      <c r="T349" s="48" t="n">
        <v>10423908</v>
      </c>
      <c r="U349" s="46" t="n">
        <f aca="false">IF($A349=$A348,$U348+1,1)</f>
        <v>85</v>
      </c>
      <c r="V349" s="48" t="n">
        <f aca="false">IF($U349&gt;=MA_SHORT,AVERAGE(INDEX($I$5:$I349,346-MA_SHORT):$I349),"")</f>
        <v>7931.7</v>
      </c>
      <c r="W349" s="48" t="n">
        <f aca="false">IF($U349&gt;=MA_MED,AVERAGE(INDEX($I$5:$I349,346-MA_MED):$I349),"")</f>
        <v>7847.18</v>
      </c>
      <c r="X349" s="48" t="str">
        <f aca="false">IF($U349&gt;=MA_LONG1,AVERAGE(INDEX($I$5:$I349,346-MA_LONG1):$I349),"")</f>
        <v/>
      </c>
      <c r="Y349" s="48" t="str">
        <f aca="false">IF($U349&gt;=MA_LONG2,AVERAGE(INDEX($I$5:$I349,346-MA_LONG2):$I349),"")</f>
        <v/>
      </c>
      <c r="Z349" s="48" t="n">
        <f aca="false">IF($U349&gt;=MA_SHORT,AVERAGE(INDEX($L$229:$L349,122-MA_SHORT):$L349),"")</f>
        <v>19554818.95</v>
      </c>
      <c r="AA349" s="48" t="n">
        <f aca="false">IF($U349=1,$G349-$H349,MAX($G349-$H349,ABS($G349-$I348),ABS($H349-$I348)))</f>
        <v>100</v>
      </c>
      <c r="AB349" s="48" t="n">
        <f aca="false">IF($U349&gt;=ATR_PER,AVERAGE(INDEX($AA$229:$AA349,122-ATR_PER):$AA349),"")</f>
        <v>250.071428571429</v>
      </c>
      <c r="AC349" s="48" t="n">
        <f aca="false">$O349-$P349</f>
        <v>3132165</v>
      </c>
      <c r="AD349" s="48" t="n">
        <f aca="false">$AC349*$I349</f>
        <v>23472444510</v>
      </c>
      <c r="AE349" s="49" t="n">
        <f aca="false">IF($Q349&gt;0,$O349*$I349/$Q349/1000000,"")</f>
        <v>312.950239754941</v>
      </c>
      <c r="AF349" s="49" t="n">
        <f aca="false">IF($R349&gt;0,$P349*$I349/$R349/1000000,"")</f>
        <v>421.999743545455</v>
      </c>
      <c r="AG349" s="50" t="n">
        <f aca="false">IF(AND(ISNUMBER($AE349),ISNUMBER($AF349),$AF349&gt;0),$AE349/$AF349,"")</f>
        <v>0.741588696537281</v>
      </c>
      <c r="AH349" s="48" t="n">
        <f aca="false">IF($U349&gt;=5,SUM(INDEX($AD$319:$AD349,32-5):$AD349),"")</f>
        <v>56200784941</v>
      </c>
      <c r="AI349" s="48" t="n">
        <f aca="false">IF($U349&gt;=STRUCT_S,MAX(INDEX($G$199:$G349,152-STRUCT_S):$G349),"")</f>
        <v>8518</v>
      </c>
      <c r="AJ349" s="48" t="n">
        <f aca="false">IF($U349&gt;=STRUCT_S,MIN(INDEX($H$199:$H349,152-STRUCT_S):$H349),"")</f>
        <v>7358</v>
      </c>
      <c r="AK349" s="48" t="n">
        <f aca="false">IF($U349&gt;=STRUCT_L,MAX(INDEX($G$99:$G349,252-STRUCT_L):$G349),"")</f>
        <v>8518</v>
      </c>
      <c r="AL349" s="48" t="n">
        <f aca="false">IF($U349&gt;=STRUCT_L,MIN(INDEX($H$99:$H349,252-STRUCT_L):$H349),"")</f>
        <v>6663</v>
      </c>
      <c r="AM349" s="46" t="n">
        <f aca="false">IF($A349&lt;&gt;$A350,1,0)</f>
        <v>0</v>
      </c>
      <c r="AN349" s="47" t="str">
        <f aca="false">IF($AM349=1,$A349,"")</f>
        <v/>
      </c>
    </row>
    <row r="350" customFormat="false" ht="15" hidden="false" customHeight="false" outlineLevel="0" collapsed="false">
      <c r="A350" s="43" t="s">
        <v>138</v>
      </c>
      <c r="B350" s="44" t="s">
        <v>140</v>
      </c>
      <c r="C350" s="45" t="n">
        <v>46025</v>
      </c>
      <c r="D350" s="46" t="n">
        <v>20260103</v>
      </c>
      <c r="E350" s="47" t="s">
        <v>373</v>
      </c>
      <c r="F350" s="48" t="n">
        <v>7432</v>
      </c>
      <c r="G350" s="48" t="n">
        <v>7617</v>
      </c>
      <c r="H350" s="48" t="n">
        <v>7383</v>
      </c>
      <c r="I350" s="48" t="n">
        <v>7506</v>
      </c>
      <c r="J350" s="48" t="n">
        <v>7432</v>
      </c>
      <c r="K350" s="48" t="n">
        <v>7494</v>
      </c>
      <c r="L350" s="48" t="n">
        <v>25636149</v>
      </c>
      <c r="M350" s="48" t="n">
        <v>192424934394</v>
      </c>
      <c r="N350" s="48" t="n">
        <v>1026</v>
      </c>
      <c r="O350" s="48" t="n">
        <v>14627348</v>
      </c>
      <c r="P350" s="48" t="n">
        <v>10710231</v>
      </c>
      <c r="Q350" s="48" t="n">
        <v>340</v>
      </c>
      <c r="R350" s="48" t="n">
        <v>498</v>
      </c>
      <c r="S350" s="48" t="n">
        <v>11008801</v>
      </c>
      <c r="T350" s="48" t="n">
        <v>14925918</v>
      </c>
      <c r="U350" s="46" t="n">
        <f aca="false">IF($A350=$A349,$U349+1,1)</f>
        <v>86</v>
      </c>
      <c r="V350" s="48" t="n">
        <f aca="false">IF($U350&gt;=MA_SHORT,AVERAGE(INDEX($I$5:$I350,347-MA_SHORT):$I350),"")</f>
        <v>7903.5</v>
      </c>
      <c r="W350" s="48" t="n">
        <f aca="false">IF($U350&gt;=MA_MED,AVERAGE(INDEX($I$5:$I350,347-MA_MED):$I350),"")</f>
        <v>7847.64</v>
      </c>
      <c r="X350" s="48" t="str">
        <f aca="false">IF($U350&gt;=MA_LONG1,AVERAGE(INDEX($I$5:$I350,347-MA_LONG1):$I350),"")</f>
        <v/>
      </c>
      <c r="Y350" s="48" t="str">
        <f aca="false">IF($U350&gt;=MA_LONG2,AVERAGE(INDEX($I$5:$I350,347-MA_LONG2):$I350),"")</f>
        <v/>
      </c>
      <c r="Z350" s="48" t="n">
        <f aca="false">IF($U350&gt;=MA_SHORT,AVERAGE(INDEX($L$230:$L350,122-MA_SHORT):$L350),"")</f>
        <v>20035507.55</v>
      </c>
      <c r="AA350" s="48" t="n">
        <f aca="false">IF($U350=1,$G350-$H350,MAX($G350-$H350,ABS($G350-$I349),ABS($H350-$I349)))</f>
        <v>234</v>
      </c>
      <c r="AB350" s="48" t="n">
        <f aca="false">IF($U350&gt;=ATR_PER,AVERAGE(INDEX($AA$230:$AA350,122-ATR_PER):$AA350),"")</f>
        <v>261.857142857143</v>
      </c>
      <c r="AC350" s="48" t="n">
        <f aca="false">$O350-$P350</f>
        <v>3917117</v>
      </c>
      <c r="AD350" s="48" t="n">
        <f aca="false">$AC350*$I350</f>
        <v>29401880202</v>
      </c>
      <c r="AE350" s="49" t="n">
        <f aca="false">IF($Q350&gt;0,$O350*$I350/$Q350/1000000,"")</f>
        <v>322.920217905882</v>
      </c>
      <c r="AF350" s="49" t="n">
        <f aca="false">IF($R350&gt;0,$P350*$I350/$R350/1000000,"")</f>
        <v>161.427698566265</v>
      </c>
      <c r="AG350" s="50" t="n">
        <f aca="false">IF(AND(ISNUMBER($AE350),ISNUMBER($AF350),$AF350&gt;0),$AE350/$AF350,"")</f>
        <v>2.0004015467849</v>
      </c>
      <c r="AH350" s="48" t="n">
        <f aca="false">IF($U350&gt;=5,SUM(INDEX($AD$320:$AD350,32-5):$AD350),"")</f>
        <v>62512281562</v>
      </c>
      <c r="AI350" s="48" t="n">
        <f aca="false">IF($U350&gt;=STRUCT_S,MAX(INDEX($G$200:$G350,152-STRUCT_S):$G350),"")</f>
        <v>8518</v>
      </c>
      <c r="AJ350" s="48" t="n">
        <f aca="false">IF($U350&gt;=STRUCT_S,MIN(INDEX($H$200:$H350,152-STRUCT_S):$H350),"")</f>
        <v>7358</v>
      </c>
      <c r="AK350" s="48" t="n">
        <f aca="false">IF($U350&gt;=STRUCT_L,MAX(INDEX($G$100:$G350,252-STRUCT_L):$G350),"")</f>
        <v>8518</v>
      </c>
      <c r="AL350" s="48" t="n">
        <f aca="false">IF($U350&gt;=STRUCT_L,MIN(INDEX($H$100:$H350,252-STRUCT_L):$H350),"")</f>
        <v>6674</v>
      </c>
      <c r="AM350" s="46" t="n">
        <f aca="false">IF($A350&lt;&gt;$A351,1,0)</f>
        <v>0</v>
      </c>
      <c r="AN350" s="47" t="str">
        <f aca="false">IF($AM350=1,$A350,"")</f>
        <v/>
      </c>
    </row>
    <row r="351" customFormat="false" ht="15" hidden="false" customHeight="false" outlineLevel="0" collapsed="false">
      <c r="A351" s="43" t="s">
        <v>138</v>
      </c>
      <c r="B351" s="44" t="s">
        <v>140</v>
      </c>
      <c r="C351" s="45" t="n">
        <v>46026</v>
      </c>
      <c r="D351" s="46" t="n">
        <v>20260104</v>
      </c>
      <c r="E351" s="47" t="s">
        <v>374</v>
      </c>
      <c r="F351" s="48" t="n">
        <v>7556</v>
      </c>
      <c r="G351" s="48" t="n">
        <v>7671</v>
      </c>
      <c r="H351" s="48" t="n">
        <v>7334</v>
      </c>
      <c r="I351" s="48" t="n">
        <v>7499</v>
      </c>
      <c r="J351" s="48" t="n">
        <v>7486</v>
      </c>
      <c r="K351" s="48" t="n">
        <v>7506</v>
      </c>
      <c r="L351" s="48" t="n">
        <v>14599285</v>
      </c>
      <c r="M351" s="48" t="n">
        <v>109480038215</v>
      </c>
      <c r="N351" s="48" t="n">
        <v>1047</v>
      </c>
      <c r="O351" s="48" t="n">
        <v>8915563</v>
      </c>
      <c r="P351" s="48" t="n">
        <v>6046563</v>
      </c>
      <c r="Q351" s="48" t="n">
        <v>531</v>
      </c>
      <c r="R351" s="48" t="n">
        <v>424</v>
      </c>
      <c r="S351" s="48" t="n">
        <v>5683722</v>
      </c>
      <c r="T351" s="48" t="n">
        <v>8552722</v>
      </c>
      <c r="U351" s="46" t="n">
        <f aca="false">IF($A351=$A350,$U350+1,1)</f>
        <v>87</v>
      </c>
      <c r="V351" s="48" t="n">
        <f aca="false">IF($U351&gt;=MA_SHORT,AVERAGE(INDEX($I$5:$I351,348-MA_SHORT):$I351),"")</f>
        <v>7866.6</v>
      </c>
      <c r="W351" s="48" t="n">
        <f aca="false">IF($U351&gt;=MA_MED,AVERAGE(INDEX($I$5:$I351,348-MA_MED):$I351),"")</f>
        <v>7844.5</v>
      </c>
      <c r="X351" s="48" t="str">
        <f aca="false">IF($U351&gt;=MA_LONG1,AVERAGE(INDEX($I$5:$I351,348-MA_LONG1):$I351),"")</f>
        <v/>
      </c>
      <c r="Y351" s="48" t="str">
        <f aca="false">IF($U351&gt;=MA_LONG2,AVERAGE(INDEX($I$5:$I351,348-MA_LONG2):$I351),"")</f>
        <v/>
      </c>
      <c r="Z351" s="48" t="n">
        <f aca="false">IF($U351&gt;=MA_SHORT,AVERAGE(INDEX($L$231:$L351,122-MA_SHORT):$L351),"")</f>
        <v>19790917.4</v>
      </c>
      <c r="AA351" s="48" t="n">
        <f aca="false">IF($U351=1,$G351-$H351,MAX($G351-$H351,ABS($G351-$I350),ABS($H351-$I350)))</f>
        <v>337</v>
      </c>
      <c r="AB351" s="48" t="n">
        <f aca="false">IF($U351&gt;=ATR_PER,AVERAGE(INDEX($AA$231:$AA351,122-ATR_PER):$AA351),"")</f>
        <v>246.071428571429</v>
      </c>
      <c r="AC351" s="48" t="n">
        <f aca="false">$O351-$P351</f>
        <v>2869000</v>
      </c>
      <c r="AD351" s="48" t="n">
        <f aca="false">$AC351*$I351</f>
        <v>21514631000</v>
      </c>
      <c r="AE351" s="49" t="n">
        <f aca="false">IF($Q351&gt;0,$O351*$I351/$Q351/1000000,"")</f>
        <v>125.90924093597</v>
      </c>
      <c r="AF351" s="49" t="n">
        <f aca="false">IF($R351&gt;0,$P351*$I351/$R351/1000000,"")</f>
        <v>106.941452681604</v>
      </c>
      <c r="AG351" s="50" t="n">
        <f aca="false">IF(AND(ISNUMBER($AE351),ISNUMBER($AF351),$AF351&gt;0),$AE351/$AF351,"")</f>
        <v>1.1773660987273</v>
      </c>
      <c r="AH351" s="48" t="n">
        <f aca="false">IF($U351&gt;=5,SUM(INDEX($AD$321:$AD351,32-5):$AD351),"")</f>
        <v>67262127329</v>
      </c>
      <c r="AI351" s="48" t="n">
        <f aca="false">IF($U351&gt;=STRUCT_S,MAX(INDEX($G$201:$G351,152-STRUCT_S):$G351),"")</f>
        <v>8518</v>
      </c>
      <c r="AJ351" s="48" t="n">
        <f aca="false">IF($U351&gt;=STRUCT_S,MIN(INDEX($H$201:$H351,152-STRUCT_S):$H351),"")</f>
        <v>7334</v>
      </c>
      <c r="AK351" s="48" t="n">
        <f aca="false">IF($U351&gt;=STRUCT_L,MAX(INDEX($G$101:$G351,252-STRUCT_L):$G351),"")</f>
        <v>8518</v>
      </c>
      <c r="AL351" s="48" t="n">
        <f aca="false">IF($U351&gt;=STRUCT_L,MIN(INDEX($H$101:$H351,252-STRUCT_L):$H351),"")</f>
        <v>6674</v>
      </c>
      <c r="AM351" s="46" t="n">
        <f aca="false">IF($A351&lt;&gt;$A352,1,0)</f>
        <v>0</v>
      </c>
      <c r="AN351" s="47" t="str">
        <f aca="false">IF($AM351=1,$A351,"")</f>
        <v/>
      </c>
    </row>
    <row r="352" customFormat="false" ht="15" hidden="false" customHeight="false" outlineLevel="0" collapsed="false">
      <c r="A352" s="43" t="s">
        <v>138</v>
      </c>
      <c r="B352" s="44" t="s">
        <v>140</v>
      </c>
      <c r="C352" s="45" t="n">
        <v>46027</v>
      </c>
      <c r="D352" s="46" t="n">
        <v>20260105</v>
      </c>
      <c r="E352" s="47" t="s">
        <v>375</v>
      </c>
      <c r="F352" s="48" t="n">
        <v>7565</v>
      </c>
      <c r="G352" s="48" t="n">
        <v>7677</v>
      </c>
      <c r="H352" s="48" t="n">
        <v>7473</v>
      </c>
      <c r="I352" s="48" t="n">
        <v>7650</v>
      </c>
      <c r="J352" s="48" t="n">
        <v>7654</v>
      </c>
      <c r="K352" s="48" t="n">
        <v>7499</v>
      </c>
      <c r="L352" s="48" t="n">
        <v>16272063</v>
      </c>
      <c r="M352" s="48" t="n">
        <v>124481281950</v>
      </c>
      <c r="N352" s="48" t="n">
        <v>522</v>
      </c>
      <c r="O352" s="48" t="n">
        <v>9006702</v>
      </c>
      <c r="P352" s="48" t="n">
        <v>5750763</v>
      </c>
      <c r="Q352" s="48" t="n">
        <v>208</v>
      </c>
      <c r="R352" s="48" t="n">
        <v>334</v>
      </c>
      <c r="S352" s="48" t="n">
        <v>7265361</v>
      </c>
      <c r="T352" s="48" t="n">
        <v>10521300</v>
      </c>
      <c r="U352" s="46" t="n">
        <f aca="false">IF($A352=$A351,$U351+1,1)</f>
        <v>88</v>
      </c>
      <c r="V352" s="48" t="n">
        <f aca="false">IF($U352&gt;=MA_SHORT,AVERAGE(INDEX($I$5:$I352,349-MA_SHORT):$I352),"")</f>
        <v>7832.5</v>
      </c>
      <c r="W352" s="48" t="n">
        <f aca="false">IF($U352&gt;=MA_MED,AVERAGE(INDEX($I$5:$I352,349-MA_MED):$I352),"")</f>
        <v>7844.16</v>
      </c>
      <c r="X352" s="48" t="str">
        <f aca="false">IF($U352&gt;=MA_LONG1,AVERAGE(INDEX($I$5:$I352,349-MA_LONG1):$I352),"")</f>
        <v/>
      </c>
      <c r="Y352" s="48" t="str">
        <f aca="false">IF($U352&gt;=MA_LONG2,AVERAGE(INDEX($I$5:$I352,349-MA_LONG2):$I352),"")</f>
        <v/>
      </c>
      <c r="Z352" s="48" t="n">
        <f aca="false">IF($U352&gt;=MA_SHORT,AVERAGE(INDEX($L$232:$L352,122-MA_SHORT):$L352),"")</f>
        <v>19790906.4</v>
      </c>
      <c r="AA352" s="48" t="n">
        <f aca="false">IF($U352=1,$G352-$H352,MAX($G352-$H352,ABS($G352-$I351),ABS($H352-$I351)))</f>
        <v>204</v>
      </c>
      <c r="AB352" s="48" t="n">
        <f aca="false">IF($U352&gt;=ATR_PER,AVERAGE(INDEX($AA$232:$AA352,122-ATR_PER):$AA352),"")</f>
        <v>239.357142857143</v>
      </c>
      <c r="AC352" s="48" t="n">
        <f aca="false">$O352-$P352</f>
        <v>3255939</v>
      </c>
      <c r="AD352" s="48" t="n">
        <f aca="false">$AC352*$I352</f>
        <v>24907933350</v>
      </c>
      <c r="AE352" s="49" t="n">
        <f aca="false">IF($Q352&gt;0,$O352*$I352/$Q352/1000000,"")</f>
        <v>331.256107211538</v>
      </c>
      <c r="AF352" s="49" t="n">
        <f aca="false">IF($R352&gt;0,$P352*$I352/$R352/1000000,"")</f>
        <v>131.716577694611</v>
      </c>
      <c r="AG352" s="50" t="n">
        <f aca="false">IF(AND(ISNUMBER($AE352),ISNUMBER($AF352),$AF352&gt;0),$AE352/$AF352,"")</f>
        <v>2.51491583678682</v>
      </c>
      <c r="AH352" s="48" t="n">
        <f aca="false">IF($U352&gt;=5,SUM(INDEX($AD$322:$AD352,32-5):$AD352),"")</f>
        <v>113993577887</v>
      </c>
      <c r="AI352" s="48" t="n">
        <f aca="false">IF($U352&gt;=STRUCT_S,MAX(INDEX($G$202:$G352,152-STRUCT_S):$G352),"")</f>
        <v>8518</v>
      </c>
      <c r="AJ352" s="48" t="n">
        <f aca="false">IF($U352&gt;=STRUCT_S,MIN(INDEX($H$202:$H352,152-STRUCT_S):$H352),"")</f>
        <v>7334</v>
      </c>
      <c r="AK352" s="48" t="n">
        <f aca="false">IF($U352&gt;=STRUCT_L,MAX(INDEX($G$102:$G352,252-STRUCT_L):$G352),"")</f>
        <v>8518</v>
      </c>
      <c r="AL352" s="48" t="n">
        <f aca="false">IF($U352&gt;=STRUCT_L,MIN(INDEX($H$102:$H352,252-STRUCT_L):$H352),"")</f>
        <v>6674</v>
      </c>
      <c r="AM352" s="46" t="n">
        <f aca="false">IF($A352&lt;&gt;$A353,1,0)</f>
        <v>0</v>
      </c>
      <c r="AN352" s="47" t="str">
        <f aca="false">IF($AM352=1,$A352,"")</f>
        <v/>
      </c>
    </row>
    <row r="353" customFormat="false" ht="15" hidden="false" customHeight="false" outlineLevel="0" collapsed="false">
      <c r="A353" s="43" t="s">
        <v>138</v>
      </c>
      <c r="B353" s="44" t="s">
        <v>140</v>
      </c>
      <c r="C353" s="45" t="n">
        <v>46028</v>
      </c>
      <c r="D353" s="46" t="n">
        <v>20260106</v>
      </c>
      <c r="E353" s="47" t="s">
        <v>376</v>
      </c>
      <c r="F353" s="48" t="n">
        <v>7717</v>
      </c>
      <c r="G353" s="48" t="n">
        <v>7859</v>
      </c>
      <c r="H353" s="48" t="n">
        <v>7501</v>
      </c>
      <c r="I353" s="48" t="n">
        <v>7709</v>
      </c>
      <c r="J353" s="48" t="n">
        <v>7731</v>
      </c>
      <c r="K353" s="48" t="n">
        <v>7650</v>
      </c>
      <c r="L353" s="48" t="n">
        <v>15189864</v>
      </c>
      <c r="M353" s="48" t="n">
        <v>117098661576</v>
      </c>
      <c r="N353" s="48" t="n">
        <v>549</v>
      </c>
      <c r="O353" s="48" t="n">
        <v>9673628</v>
      </c>
      <c r="P353" s="48" t="n">
        <v>5215031</v>
      </c>
      <c r="Q353" s="48" t="n">
        <v>201</v>
      </c>
      <c r="R353" s="48" t="n">
        <v>373</v>
      </c>
      <c r="S353" s="48" t="n">
        <v>5516236</v>
      </c>
      <c r="T353" s="48" t="n">
        <v>9974833</v>
      </c>
      <c r="U353" s="46" t="n">
        <f aca="false">IF($A353=$A352,$U352+1,1)</f>
        <v>89</v>
      </c>
      <c r="V353" s="48" t="n">
        <f aca="false">IF($U353&gt;=MA_SHORT,AVERAGE(INDEX($I$5:$I353,350-MA_SHORT):$I353),"")</f>
        <v>7806.8</v>
      </c>
      <c r="W353" s="48" t="n">
        <f aca="false">IF($U353&gt;=MA_MED,AVERAGE(INDEX($I$5:$I353,350-MA_MED):$I353),"")</f>
        <v>7842.76</v>
      </c>
      <c r="X353" s="48" t="str">
        <f aca="false">IF($U353&gt;=MA_LONG1,AVERAGE(INDEX($I$5:$I353,350-MA_LONG1):$I353),"")</f>
        <v/>
      </c>
      <c r="Y353" s="48" t="str">
        <f aca="false">IF($U353&gt;=MA_LONG2,AVERAGE(INDEX($I$5:$I353,350-MA_LONG2):$I353),"")</f>
        <v/>
      </c>
      <c r="Z353" s="48" t="n">
        <f aca="false">IF($U353&gt;=MA_SHORT,AVERAGE(INDEX($L$233:$L353,122-MA_SHORT):$L353),"")</f>
        <v>19767519.25</v>
      </c>
      <c r="AA353" s="48" t="n">
        <f aca="false">IF($U353=1,$G353-$H353,MAX($G353-$H353,ABS($G353-$I352),ABS($H353-$I352)))</f>
        <v>358</v>
      </c>
      <c r="AB353" s="48" t="n">
        <f aca="false">IF($U353&gt;=ATR_PER,AVERAGE(INDEX($AA$233:$AA353,122-ATR_PER):$AA353),"")</f>
        <v>247.071428571429</v>
      </c>
      <c r="AC353" s="48" t="n">
        <f aca="false">$O353-$P353</f>
        <v>4458597</v>
      </c>
      <c r="AD353" s="48" t="n">
        <f aca="false">$AC353*$I353</f>
        <v>34371324273</v>
      </c>
      <c r="AE353" s="49" t="n">
        <f aca="false">IF($Q353&gt;0,$O353*$I353/$Q353/1000000,"")</f>
        <v>371.014916676617</v>
      </c>
      <c r="AF353" s="49" t="n">
        <f aca="false">IF($R353&gt;0,$P353*$I353/$R353/1000000,"")</f>
        <v>107.781967772118</v>
      </c>
      <c r="AG353" s="50" t="n">
        <f aca="false">IF(AND(ISNUMBER($AE353),ISNUMBER($AF353),$AF353&gt;0),$AE353/$AF353,"")</f>
        <v>3.44227262078801</v>
      </c>
      <c r="AH353" s="48" t="n">
        <f aca="false">IF($U353&gt;=5,SUM(INDEX($AD$323:$AD353,32-5):$AD353),"")</f>
        <v>133668213335</v>
      </c>
      <c r="AI353" s="48" t="n">
        <f aca="false">IF($U353&gt;=STRUCT_S,MAX(INDEX($G$203:$G353,152-STRUCT_S):$G353),"")</f>
        <v>8518</v>
      </c>
      <c r="AJ353" s="48" t="n">
        <f aca="false">IF($U353&gt;=STRUCT_S,MIN(INDEX($H$203:$H353,152-STRUCT_S):$H353),"")</f>
        <v>7334</v>
      </c>
      <c r="AK353" s="48" t="n">
        <f aca="false">IF($U353&gt;=STRUCT_L,MAX(INDEX($G$103:$G353,252-STRUCT_L):$G353),"")</f>
        <v>8518</v>
      </c>
      <c r="AL353" s="48" t="n">
        <f aca="false">IF($U353&gt;=STRUCT_L,MIN(INDEX($H$103:$H353,252-STRUCT_L):$H353),"")</f>
        <v>6674</v>
      </c>
      <c r="AM353" s="46" t="n">
        <f aca="false">IF($A353&lt;&gt;$A354,1,0)</f>
        <v>0</v>
      </c>
      <c r="AN353" s="47" t="str">
        <f aca="false">IF($AM353=1,$A353,"")</f>
        <v/>
      </c>
    </row>
    <row r="354" customFormat="false" ht="15" hidden="false" customHeight="false" outlineLevel="0" collapsed="false">
      <c r="A354" s="43" t="s">
        <v>138</v>
      </c>
      <c r="B354" s="44" t="s">
        <v>140</v>
      </c>
      <c r="C354" s="45" t="n">
        <v>46029</v>
      </c>
      <c r="D354" s="46" t="n">
        <v>20260107</v>
      </c>
      <c r="E354" s="47" t="s">
        <v>377</v>
      </c>
      <c r="F354" s="48" t="n">
        <v>7595</v>
      </c>
      <c r="G354" s="48" t="n">
        <v>7732</v>
      </c>
      <c r="H354" s="48" t="n">
        <v>7494</v>
      </c>
      <c r="I354" s="48" t="n">
        <v>7517</v>
      </c>
      <c r="J354" s="48" t="n">
        <v>7649</v>
      </c>
      <c r="K354" s="48" t="n">
        <v>7709</v>
      </c>
      <c r="L354" s="48" t="n">
        <v>23058098</v>
      </c>
      <c r="M354" s="48" t="n">
        <v>173327722666</v>
      </c>
      <c r="N354" s="48" t="n">
        <v>521</v>
      </c>
      <c r="O354" s="48" t="n">
        <v>8499017</v>
      </c>
      <c r="P354" s="48" t="n">
        <v>14841739</v>
      </c>
      <c r="Q354" s="48" t="n">
        <v>244</v>
      </c>
      <c r="R354" s="48" t="n">
        <v>176</v>
      </c>
      <c r="S354" s="48" t="n">
        <v>14559081</v>
      </c>
      <c r="T354" s="48" t="n">
        <v>8216359</v>
      </c>
      <c r="U354" s="46" t="n">
        <f aca="false">IF($A354=$A353,$U353+1,1)</f>
        <v>90</v>
      </c>
      <c r="V354" s="48" t="n">
        <f aca="false">IF($U354&gt;=MA_SHORT,AVERAGE(INDEX($I$5:$I354,351-MA_SHORT):$I354),"")</f>
        <v>7760.3</v>
      </c>
      <c r="W354" s="48" t="n">
        <f aca="false">IF($U354&gt;=MA_MED,AVERAGE(INDEX($I$5:$I354,351-MA_MED):$I354),"")</f>
        <v>7834.78</v>
      </c>
      <c r="X354" s="48" t="str">
        <f aca="false">IF($U354&gt;=MA_LONG1,AVERAGE(INDEX($I$5:$I354,351-MA_LONG1):$I354),"")</f>
        <v/>
      </c>
      <c r="Y354" s="48" t="str">
        <f aca="false">IF($U354&gt;=MA_LONG2,AVERAGE(INDEX($I$5:$I354,351-MA_LONG2):$I354),"")</f>
        <v/>
      </c>
      <c r="Z354" s="48" t="n">
        <f aca="false">IF($U354&gt;=MA_SHORT,AVERAGE(INDEX($L$234:$L354,122-MA_SHORT):$L354),"")</f>
        <v>20075877.3</v>
      </c>
      <c r="AA354" s="48" t="n">
        <f aca="false">IF($U354=1,$G354-$H354,MAX($G354-$H354,ABS($G354-$I353),ABS($H354-$I353)))</f>
        <v>238</v>
      </c>
      <c r="AB354" s="48" t="n">
        <f aca="false">IF($U354&gt;=ATR_PER,AVERAGE(INDEX($AA$234:$AA354,122-ATR_PER):$AA354),"")</f>
        <v>251</v>
      </c>
      <c r="AC354" s="48" t="n">
        <f aca="false">$O354-$P354</f>
        <v>-6342722</v>
      </c>
      <c r="AD354" s="48" t="n">
        <f aca="false">$AC354*$I354</f>
        <v>-47678241274</v>
      </c>
      <c r="AE354" s="49" t="n">
        <f aca="false">IF($Q354&gt;0,$O354*$I354/$Q354/1000000,"")</f>
        <v>261.832421266393</v>
      </c>
      <c r="AF354" s="49" t="n">
        <f aca="false">IF($R354&gt;0,$P354*$I354/$R354/1000000,"")</f>
        <v>633.8940458125</v>
      </c>
      <c r="AG354" s="50" t="n">
        <f aca="false">IF(AND(ISNUMBER($AE354),ISNUMBER($AF354),$AF354&gt;0),$AE354/$AF354,"")</f>
        <v>0.413053921228724</v>
      </c>
      <c r="AH354" s="48" t="n">
        <f aca="false">IF($U354&gt;=5,SUM(INDEX($AD$324:$AD354,32-5):$AD354),"")</f>
        <v>62517527551</v>
      </c>
      <c r="AI354" s="48" t="n">
        <f aca="false">IF($U354&gt;=STRUCT_S,MAX(INDEX($G$204:$G354,152-STRUCT_S):$G354),"")</f>
        <v>8477</v>
      </c>
      <c r="AJ354" s="48" t="n">
        <f aca="false">IF($U354&gt;=STRUCT_S,MIN(INDEX($H$204:$H354,152-STRUCT_S):$H354),"")</f>
        <v>7334</v>
      </c>
      <c r="AK354" s="48" t="n">
        <f aca="false">IF($U354&gt;=STRUCT_L,MAX(INDEX($G$104:$G354,252-STRUCT_L):$G354),"")</f>
        <v>8518</v>
      </c>
      <c r="AL354" s="48" t="n">
        <f aca="false">IF($U354&gt;=STRUCT_L,MIN(INDEX($H$104:$H354,252-STRUCT_L):$H354),"")</f>
        <v>6674</v>
      </c>
      <c r="AM354" s="46" t="n">
        <f aca="false">IF($A354&lt;&gt;$A355,1,0)</f>
        <v>0</v>
      </c>
      <c r="AN354" s="47" t="str">
        <f aca="false">IF($AM354=1,$A354,"")</f>
        <v/>
      </c>
    </row>
    <row r="355" customFormat="false" ht="15" hidden="false" customHeight="false" outlineLevel="0" collapsed="false">
      <c r="A355" s="43" t="s">
        <v>138</v>
      </c>
      <c r="B355" s="44" t="s">
        <v>140</v>
      </c>
      <c r="C355" s="45" t="n">
        <v>46032</v>
      </c>
      <c r="D355" s="46" t="n">
        <v>20260110</v>
      </c>
      <c r="E355" s="47" t="s">
        <v>378</v>
      </c>
      <c r="F355" s="48" t="n">
        <v>7451</v>
      </c>
      <c r="G355" s="48" t="n">
        <v>7631</v>
      </c>
      <c r="H355" s="48" t="n">
        <v>7360</v>
      </c>
      <c r="I355" s="48" t="n">
        <v>7473</v>
      </c>
      <c r="J355" s="48" t="n">
        <v>7451</v>
      </c>
      <c r="K355" s="48" t="n">
        <v>7517</v>
      </c>
      <c r="L355" s="48" t="n">
        <v>16823534</v>
      </c>
      <c r="M355" s="48" t="n">
        <v>125722269582</v>
      </c>
      <c r="N355" s="48" t="n">
        <v>699</v>
      </c>
      <c r="O355" s="48" t="n">
        <v>9757778</v>
      </c>
      <c r="P355" s="48" t="n">
        <v>7340399</v>
      </c>
      <c r="Q355" s="48" t="n">
        <v>362</v>
      </c>
      <c r="R355" s="48" t="n">
        <v>246</v>
      </c>
      <c r="S355" s="48" t="n">
        <v>7065756</v>
      </c>
      <c r="T355" s="48" t="n">
        <v>9483135</v>
      </c>
      <c r="U355" s="46" t="n">
        <f aca="false">IF($A355=$A354,$U354+1,1)</f>
        <v>91</v>
      </c>
      <c r="V355" s="48" t="n">
        <f aca="false">IF($U355&gt;=MA_SHORT,AVERAGE(INDEX($I$5:$I355,352-MA_SHORT):$I355),"")</f>
        <v>7727.6</v>
      </c>
      <c r="W355" s="48" t="n">
        <f aca="false">IF($U355&gt;=MA_MED,AVERAGE(INDEX($I$5:$I355,352-MA_MED):$I355),"")</f>
        <v>7821.38</v>
      </c>
      <c r="X355" s="48" t="str">
        <f aca="false">IF($U355&gt;=MA_LONG1,AVERAGE(INDEX($I$5:$I355,352-MA_LONG1):$I355),"")</f>
        <v/>
      </c>
      <c r="Y355" s="48" t="str">
        <f aca="false">IF($U355&gt;=MA_LONG2,AVERAGE(INDEX($I$5:$I355,352-MA_LONG2):$I355),"")</f>
        <v/>
      </c>
      <c r="Z355" s="48" t="n">
        <f aca="false">IF($U355&gt;=MA_SHORT,AVERAGE(INDEX($L$235:$L355,122-MA_SHORT):$L355),"")</f>
        <v>20026154.2</v>
      </c>
      <c r="AA355" s="48" t="n">
        <f aca="false">IF($U355=1,$G355-$H355,MAX($G355-$H355,ABS($G355-$I354),ABS($H355-$I354)))</f>
        <v>271</v>
      </c>
      <c r="AB355" s="48" t="n">
        <f aca="false">IF($U355&gt;=ATR_PER,AVERAGE(INDEX($AA$235:$AA355,122-ATR_PER):$AA355),"")</f>
        <v>249.5</v>
      </c>
      <c r="AC355" s="48" t="n">
        <f aca="false">$O355-$P355</f>
        <v>2417379</v>
      </c>
      <c r="AD355" s="48" t="n">
        <f aca="false">$AC355*$I355</f>
        <v>18065073267</v>
      </c>
      <c r="AE355" s="49" t="n">
        <f aca="false">IF($Q355&gt;0,$O355*$I355/$Q355/1000000,"")</f>
        <v>201.436118767956</v>
      </c>
      <c r="AF355" s="49" t="n">
        <f aca="false">IF($R355&gt;0,$P355*$I355/$R355/1000000,"")</f>
        <v>222.986998890244</v>
      </c>
      <c r="AG355" s="50" t="n">
        <f aca="false">IF(AND(ISNUMBER($AE355),ISNUMBER($AF355),$AF355&gt;0),$AE355/$AF355,"")</f>
        <v>0.90335364738957</v>
      </c>
      <c r="AH355" s="48" t="n">
        <f aca="false">IF($U355&gt;=5,SUM(INDEX($AD$325:$AD355,32-5):$AD355),"")</f>
        <v>51180720616</v>
      </c>
      <c r="AI355" s="48" t="n">
        <f aca="false">IF($U355&gt;=STRUCT_S,MAX(INDEX($G$205:$G355,152-STRUCT_S):$G355),"")</f>
        <v>8293</v>
      </c>
      <c r="AJ355" s="48" t="n">
        <f aca="false">IF($U355&gt;=STRUCT_S,MIN(INDEX($H$205:$H355,152-STRUCT_S):$H355),"")</f>
        <v>7334</v>
      </c>
      <c r="AK355" s="48" t="n">
        <f aca="false">IF($U355&gt;=STRUCT_L,MAX(INDEX($G$105:$G355,252-STRUCT_L):$G355),"")</f>
        <v>8518</v>
      </c>
      <c r="AL355" s="48" t="n">
        <f aca="false">IF($U355&gt;=STRUCT_L,MIN(INDEX($H$105:$H355,252-STRUCT_L):$H355),"")</f>
        <v>6674</v>
      </c>
      <c r="AM355" s="46" t="n">
        <f aca="false">IF($A355&lt;&gt;$A356,1,0)</f>
        <v>0</v>
      </c>
      <c r="AN355" s="47" t="str">
        <f aca="false">IF($AM355=1,$A355,"")</f>
        <v/>
      </c>
    </row>
    <row r="356" customFormat="false" ht="15" hidden="false" customHeight="false" outlineLevel="0" collapsed="false">
      <c r="A356" s="43" t="s">
        <v>138</v>
      </c>
      <c r="B356" s="44" t="s">
        <v>140</v>
      </c>
      <c r="C356" s="45" t="n">
        <v>46033</v>
      </c>
      <c r="D356" s="46" t="n">
        <v>20260111</v>
      </c>
      <c r="E356" s="47" t="s">
        <v>379</v>
      </c>
      <c r="F356" s="48" t="n">
        <v>7566</v>
      </c>
      <c r="G356" s="48" t="n">
        <v>7609</v>
      </c>
      <c r="H356" s="48" t="n">
        <v>7291</v>
      </c>
      <c r="I356" s="48" t="n">
        <v>7426</v>
      </c>
      <c r="J356" s="48" t="n">
        <v>7321</v>
      </c>
      <c r="K356" s="48" t="n">
        <v>7473</v>
      </c>
      <c r="L356" s="48" t="n">
        <v>15223637</v>
      </c>
      <c r="M356" s="48" t="n">
        <v>113050728362</v>
      </c>
      <c r="N356" s="48" t="n">
        <v>429</v>
      </c>
      <c r="O356" s="48" t="n">
        <v>8765801</v>
      </c>
      <c r="P356" s="48" t="n">
        <v>7259281</v>
      </c>
      <c r="Q356" s="48" t="n">
        <v>162</v>
      </c>
      <c r="R356" s="48" t="n">
        <v>113</v>
      </c>
      <c r="S356" s="48" t="n">
        <v>6457836</v>
      </c>
      <c r="T356" s="48" t="n">
        <v>7964356</v>
      </c>
      <c r="U356" s="46" t="n">
        <f aca="false">IF($A356=$A355,$U355+1,1)</f>
        <v>92</v>
      </c>
      <c r="V356" s="48" t="n">
        <f aca="false">IF($U356&gt;=MA_SHORT,AVERAGE(INDEX($I$5:$I356,353-MA_SHORT):$I356),"")</f>
        <v>7692.5</v>
      </c>
      <c r="W356" s="48" t="n">
        <f aca="false">IF($U356&gt;=MA_MED,AVERAGE(INDEX($I$5:$I356,353-MA_MED):$I356),"")</f>
        <v>7807.7</v>
      </c>
      <c r="X356" s="48" t="str">
        <f aca="false">IF($U356&gt;=MA_LONG1,AVERAGE(INDEX($I$5:$I356,353-MA_LONG1):$I356),"")</f>
        <v/>
      </c>
      <c r="Y356" s="48" t="str">
        <f aca="false">IF($U356&gt;=MA_LONG2,AVERAGE(INDEX($I$5:$I356,353-MA_LONG2):$I356),"")</f>
        <v/>
      </c>
      <c r="Z356" s="48" t="n">
        <f aca="false">IF($U356&gt;=MA_SHORT,AVERAGE(INDEX($L$236:$L356,122-MA_SHORT):$L356),"")</f>
        <v>20060897.7</v>
      </c>
      <c r="AA356" s="48" t="n">
        <f aca="false">IF($U356=1,$G356-$H356,MAX($G356-$H356,ABS($G356-$I355),ABS($H356-$I355)))</f>
        <v>318</v>
      </c>
      <c r="AB356" s="48" t="n">
        <f aca="false">IF($U356&gt;=ATR_PER,AVERAGE(INDEX($AA$236:$AA356,122-ATR_PER):$AA356),"")</f>
        <v>263.928571428571</v>
      </c>
      <c r="AC356" s="48" t="n">
        <f aca="false">$O356-$P356</f>
        <v>1506520</v>
      </c>
      <c r="AD356" s="48" t="n">
        <f aca="false">$AC356*$I356</f>
        <v>11187417520</v>
      </c>
      <c r="AE356" s="49" t="n">
        <f aca="false">IF($Q356&gt;0,$O356*$I356/$Q356/1000000,"")</f>
        <v>401.819989049383</v>
      </c>
      <c r="AF356" s="49" t="n">
        <f aca="false">IF($R356&gt;0,$P356*$I356/$R356/1000000,"")</f>
        <v>477.05682040708</v>
      </c>
      <c r="AG356" s="50" t="n">
        <f aca="false">IF(AND(ISNUMBER($AE356),ISNUMBER($AF356),$AF356&gt;0),$AE356/$AF356,"")</f>
        <v>0.842289580319811</v>
      </c>
      <c r="AH356" s="48" t="n">
        <f aca="false">IF($U356&gt;=5,SUM(INDEX($AD$326:$AD356,32-5):$AD356),"")</f>
        <v>40853507136</v>
      </c>
      <c r="AI356" s="48" t="n">
        <f aca="false">IF($U356&gt;=STRUCT_S,MAX(INDEX($G$206:$G356,152-STRUCT_S):$G356),"")</f>
        <v>8293</v>
      </c>
      <c r="AJ356" s="48" t="n">
        <f aca="false">IF($U356&gt;=STRUCT_S,MIN(INDEX($H$206:$H356,152-STRUCT_S):$H356),"")</f>
        <v>7291</v>
      </c>
      <c r="AK356" s="48" t="n">
        <f aca="false">IF($U356&gt;=STRUCT_L,MAX(INDEX($G$106:$G356,252-STRUCT_L):$G356),"")</f>
        <v>8518</v>
      </c>
      <c r="AL356" s="48" t="n">
        <f aca="false">IF($U356&gt;=STRUCT_L,MIN(INDEX($H$106:$H356,252-STRUCT_L):$H356),"")</f>
        <v>6674</v>
      </c>
      <c r="AM356" s="46" t="n">
        <f aca="false">IF($A356&lt;&gt;$A357,1,0)</f>
        <v>0</v>
      </c>
      <c r="AN356" s="47" t="str">
        <f aca="false">IF($AM356=1,$A356,"")</f>
        <v/>
      </c>
    </row>
    <row r="357" customFormat="false" ht="15" hidden="false" customHeight="false" outlineLevel="0" collapsed="false">
      <c r="A357" s="43" t="s">
        <v>138</v>
      </c>
      <c r="B357" s="44" t="s">
        <v>140</v>
      </c>
      <c r="C357" s="45" t="n">
        <v>46034</v>
      </c>
      <c r="D357" s="46" t="n">
        <v>20260112</v>
      </c>
      <c r="E357" s="47" t="s">
        <v>380</v>
      </c>
      <c r="F357" s="48" t="n">
        <v>7324</v>
      </c>
      <c r="G357" s="48" t="n">
        <v>7510</v>
      </c>
      <c r="H357" s="48" t="n">
        <v>7322</v>
      </c>
      <c r="I357" s="48" t="n">
        <v>7405</v>
      </c>
      <c r="J357" s="48" t="n">
        <v>7497</v>
      </c>
      <c r="K357" s="48" t="n">
        <v>7426</v>
      </c>
      <c r="L357" s="48" t="n">
        <v>23287581</v>
      </c>
      <c r="M357" s="48" t="n">
        <v>172444537305</v>
      </c>
      <c r="N357" s="48" t="n">
        <v>1412</v>
      </c>
      <c r="O357" s="48" t="n">
        <v>15660370</v>
      </c>
      <c r="P357" s="48" t="n">
        <v>8174097</v>
      </c>
      <c r="Q357" s="48" t="n">
        <v>790</v>
      </c>
      <c r="R357" s="48" t="n">
        <v>485</v>
      </c>
      <c r="S357" s="48" t="n">
        <v>7627211</v>
      </c>
      <c r="T357" s="48" t="n">
        <v>15113484</v>
      </c>
      <c r="U357" s="46" t="n">
        <f aca="false">IF($A357=$A356,$U356+1,1)</f>
        <v>93</v>
      </c>
      <c r="V357" s="48" t="n">
        <f aca="false">IF($U357&gt;=MA_SHORT,AVERAGE(INDEX($I$5:$I357,354-MA_SHORT):$I357),"")</f>
        <v>7668</v>
      </c>
      <c r="W357" s="48" t="n">
        <f aca="false">IF($U357&gt;=MA_MED,AVERAGE(INDEX($I$5:$I357,354-MA_MED):$I357),"")</f>
        <v>7795.2</v>
      </c>
      <c r="X357" s="48" t="str">
        <f aca="false">IF($U357&gt;=MA_LONG1,AVERAGE(INDEX($I$5:$I357,354-MA_LONG1):$I357),"")</f>
        <v/>
      </c>
      <c r="Y357" s="48" t="str">
        <f aca="false">IF($U357&gt;=MA_LONG2,AVERAGE(INDEX($I$5:$I357,354-MA_LONG2):$I357),"")</f>
        <v/>
      </c>
      <c r="Z357" s="48" t="n">
        <f aca="false">IF($U357&gt;=MA_SHORT,AVERAGE(INDEX($L$237:$L357,122-MA_SHORT):$L357),"")</f>
        <v>20335691</v>
      </c>
      <c r="AA357" s="48" t="n">
        <f aca="false">IF($U357=1,$G357-$H357,MAX($G357-$H357,ABS($G357-$I356),ABS($H357-$I356)))</f>
        <v>188</v>
      </c>
      <c r="AB357" s="48" t="n">
        <f aca="false">IF($U357&gt;=ATR_PER,AVERAGE(INDEX($AA$237:$AA357,122-ATR_PER):$AA357),"")</f>
        <v>261.142857142857</v>
      </c>
      <c r="AC357" s="48" t="n">
        <f aca="false">$O357-$P357</f>
        <v>7486273</v>
      </c>
      <c r="AD357" s="48" t="n">
        <f aca="false">$AC357*$I357</f>
        <v>55435851565</v>
      </c>
      <c r="AE357" s="49" t="n">
        <f aca="false">IF($Q357&gt;0,$O357*$I357/$Q357/1000000,"")</f>
        <v>146.791189683544</v>
      </c>
      <c r="AF357" s="49" t="n">
        <f aca="false">IF($R357&gt;0,$P357*$I357/$R357/1000000,"")</f>
        <v>124.802450072165</v>
      </c>
      <c r="AG357" s="50" t="n">
        <f aca="false">IF(AND(ISNUMBER($AE357),ISNUMBER($AF357),$AF357&gt;0),$AE357/$AF357,"")</f>
        <v>1.17618836488118</v>
      </c>
      <c r="AH357" s="48" t="n">
        <f aca="false">IF($U357&gt;=5,SUM(INDEX($AD$327:$AD357,32-5):$AD357),"")</f>
        <v>71381425351</v>
      </c>
      <c r="AI357" s="48" t="n">
        <f aca="false">IF($U357&gt;=STRUCT_S,MAX(INDEX($G$207:$G357,152-STRUCT_S):$G357),"")</f>
        <v>8038</v>
      </c>
      <c r="AJ357" s="48" t="n">
        <f aca="false">IF($U357&gt;=STRUCT_S,MIN(INDEX($H$207:$H357,152-STRUCT_S):$H357),"")</f>
        <v>7291</v>
      </c>
      <c r="AK357" s="48" t="n">
        <f aca="false">IF($U357&gt;=STRUCT_L,MAX(INDEX($G$107:$G357,252-STRUCT_L):$G357),"")</f>
        <v>8518</v>
      </c>
      <c r="AL357" s="48" t="n">
        <f aca="false">IF($U357&gt;=STRUCT_L,MIN(INDEX($H$107:$H357,252-STRUCT_L):$H357),"")</f>
        <v>6855</v>
      </c>
      <c r="AM357" s="46" t="n">
        <f aca="false">IF($A357&lt;&gt;$A358,1,0)</f>
        <v>0</v>
      </c>
      <c r="AN357" s="47" t="str">
        <f aca="false">IF($AM357=1,$A357,"")</f>
        <v/>
      </c>
    </row>
    <row r="358" customFormat="false" ht="15" hidden="false" customHeight="false" outlineLevel="0" collapsed="false">
      <c r="A358" s="43" t="s">
        <v>138</v>
      </c>
      <c r="B358" s="44" t="s">
        <v>140</v>
      </c>
      <c r="C358" s="45" t="n">
        <v>46035</v>
      </c>
      <c r="D358" s="46" t="n">
        <v>20260113</v>
      </c>
      <c r="E358" s="47" t="s">
        <v>381</v>
      </c>
      <c r="F358" s="48" t="n">
        <v>7519</v>
      </c>
      <c r="G358" s="48" t="n">
        <v>7610</v>
      </c>
      <c r="H358" s="48" t="n">
        <v>7254</v>
      </c>
      <c r="I358" s="48" t="n">
        <v>7458</v>
      </c>
      <c r="J358" s="48" t="n">
        <v>7538</v>
      </c>
      <c r="K358" s="48" t="n">
        <v>7405</v>
      </c>
      <c r="L358" s="48" t="n">
        <v>15920343</v>
      </c>
      <c r="M358" s="48" t="n">
        <v>118733918094</v>
      </c>
      <c r="N358" s="48" t="n">
        <v>494</v>
      </c>
      <c r="O358" s="48" t="n">
        <v>8944663</v>
      </c>
      <c r="P358" s="48" t="n">
        <v>7363364</v>
      </c>
      <c r="Q358" s="48" t="n">
        <v>136</v>
      </c>
      <c r="R358" s="48" t="n">
        <v>310</v>
      </c>
      <c r="S358" s="48" t="n">
        <v>6975680</v>
      </c>
      <c r="T358" s="48" t="n">
        <v>8556979</v>
      </c>
      <c r="U358" s="46" t="n">
        <f aca="false">IF($A358=$A357,$U357+1,1)</f>
        <v>94</v>
      </c>
      <c r="V358" s="48" t="n">
        <f aca="false">IF($U358&gt;=MA_SHORT,AVERAGE(INDEX($I$5:$I358,355-MA_SHORT):$I358),"")</f>
        <v>7646.75</v>
      </c>
      <c r="W358" s="48" t="n">
        <f aca="false">IF($U358&gt;=MA_MED,AVERAGE(INDEX($I$5:$I358,355-MA_MED):$I358),"")</f>
        <v>7787.46</v>
      </c>
      <c r="X358" s="48" t="str">
        <f aca="false">IF($U358&gt;=MA_LONG1,AVERAGE(INDEX($I$5:$I358,355-MA_LONG1):$I358),"")</f>
        <v/>
      </c>
      <c r="Y358" s="48" t="str">
        <f aca="false">IF($U358&gt;=MA_LONG2,AVERAGE(INDEX($I$5:$I358,355-MA_LONG2):$I358),"")</f>
        <v/>
      </c>
      <c r="Z358" s="48" t="n">
        <f aca="false">IF($U358&gt;=MA_SHORT,AVERAGE(INDEX($L$238:$L358,122-MA_SHORT):$L358),"")</f>
        <v>20399185.7</v>
      </c>
      <c r="AA358" s="48" t="n">
        <f aca="false">IF($U358=1,$G358-$H358,MAX($G358-$H358,ABS($G358-$I357),ABS($H358-$I357)))</f>
        <v>356</v>
      </c>
      <c r="AB358" s="48" t="n">
        <f aca="false">IF($U358&gt;=ATR_PER,AVERAGE(INDEX($AA$238:$AA358,122-ATR_PER):$AA358),"")</f>
        <v>269.071428571429</v>
      </c>
      <c r="AC358" s="48" t="n">
        <f aca="false">$O358-$P358</f>
        <v>1581299</v>
      </c>
      <c r="AD358" s="48" t="n">
        <f aca="false">$AC358*$I358</f>
        <v>11793327942</v>
      </c>
      <c r="AE358" s="49" t="n">
        <f aca="false">IF($Q358&gt;0,$O358*$I358/$Q358/1000000,"")</f>
        <v>490.509534220588</v>
      </c>
      <c r="AF358" s="49" t="n">
        <f aca="false">IF($R358&gt;0,$P358*$I358/$R358/1000000,"")</f>
        <v>177.148286167742</v>
      </c>
      <c r="AG358" s="50" t="n">
        <f aca="false">IF(AND(ISNUMBER($AE358),ISNUMBER($AF358),$AF358&gt;0),$AE358/$AF358,"")</f>
        <v>2.76892057401066</v>
      </c>
      <c r="AH358" s="48" t="n">
        <f aca="false">IF($U358&gt;=5,SUM(INDEX($AD$328:$AD358,32-5):$AD358),"")</f>
        <v>48803429020</v>
      </c>
      <c r="AI358" s="48" t="n">
        <f aca="false">IF($U358&gt;=STRUCT_S,MAX(INDEX($G$208:$G358,152-STRUCT_S):$G358),"")</f>
        <v>8013</v>
      </c>
      <c r="AJ358" s="48" t="n">
        <f aca="false">IF($U358&gt;=STRUCT_S,MIN(INDEX($H$208:$H358,152-STRUCT_S):$H358),"")</f>
        <v>7254</v>
      </c>
      <c r="AK358" s="48" t="n">
        <f aca="false">IF($U358&gt;=STRUCT_L,MAX(INDEX($G$108:$G358,252-STRUCT_L):$G358),"")</f>
        <v>8518</v>
      </c>
      <c r="AL358" s="48" t="n">
        <f aca="false">IF($U358&gt;=STRUCT_L,MIN(INDEX($H$108:$H358,252-STRUCT_L):$H358),"")</f>
        <v>7215</v>
      </c>
      <c r="AM358" s="46" t="n">
        <f aca="false">IF($A358&lt;&gt;$A359,1,0)</f>
        <v>0</v>
      </c>
      <c r="AN358" s="47" t="str">
        <f aca="false">IF($AM358=1,$A358,"")</f>
        <v/>
      </c>
    </row>
    <row r="359" customFormat="false" ht="15" hidden="false" customHeight="false" outlineLevel="0" collapsed="false">
      <c r="A359" s="43" t="s">
        <v>138</v>
      </c>
      <c r="B359" s="44" t="s">
        <v>140</v>
      </c>
      <c r="C359" s="45" t="n">
        <v>46036</v>
      </c>
      <c r="D359" s="46" t="n">
        <v>20260114</v>
      </c>
      <c r="E359" s="47" t="s">
        <v>382</v>
      </c>
      <c r="F359" s="48" t="n">
        <v>7402</v>
      </c>
      <c r="G359" s="48" t="n">
        <v>7497</v>
      </c>
      <c r="H359" s="48" t="n">
        <v>7377</v>
      </c>
      <c r="I359" s="48" t="n">
        <v>7416</v>
      </c>
      <c r="J359" s="48" t="n">
        <v>7412</v>
      </c>
      <c r="K359" s="48" t="n">
        <v>7458</v>
      </c>
      <c r="L359" s="48" t="n">
        <v>23711746</v>
      </c>
      <c r="M359" s="48" t="n">
        <v>175846308336</v>
      </c>
      <c r="N359" s="48" t="n">
        <v>1528</v>
      </c>
      <c r="O359" s="48" t="n">
        <v>12509803</v>
      </c>
      <c r="P359" s="48" t="n">
        <v>11465066</v>
      </c>
      <c r="Q359" s="48" t="n">
        <v>678</v>
      </c>
      <c r="R359" s="48" t="n">
        <v>438</v>
      </c>
      <c r="S359" s="48" t="n">
        <v>11201943</v>
      </c>
      <c r="T359" s="48" t="n">
        <v>12246680</v>
      </c>
      <c r="U359" s="46" t="n">
        <f aca="false">IF($A359=$A358,$U358+1,1)</f>
        <v>95</v>
      </c>
      <c r="V359" s="48" t="n">
        <f aca="false">IF($U359&gt;=MA_SHORT,AVERAGE(INDEX($I$5:$I359,356-MA_SHORT):$I359),"")</f>
        <v>7625.3</v>
      </c>
      <c r="W359" s="48" t="n">
        <f aca="false">IF($U359&gt;=MA_MED,AVERAGE(INDEX($I$5:$I359,356-MA_MED):$I359),"")</f>
        <v>7782.34</v>
      </c>
      <c r="X359" s="48" t="str">
        <f aca="false">IF($U359&gt;=MA_LONG1,AVERAGE(INDEX($I$5:$I359,356-MA_LONG1):$I359),"")</f>
        <v/>
      </c>
      <c r="Y359" s="48" t="str">
        <f aca="false">IF($U359&gt;=MA_LONG2,AVERAGE(INDEX($I$5:$I359,356-MA_LONG2):$I359),"")</f>
        <v/>
      </c>
      <c r="Z359" s="48" t="n">
        <f aca="false">IF($U359&gt;=MA_SHORT,AVERAGE(INDEX($L$239:$L359,122-MA_SHORT):$L359),"")</f>
        <v>20126790</v>
      </c>
      <c r="AA359" s="48" t="n">
        <f aca="false">IF($U359=1,$G359-$H359,MAX($G359-$H359,ABS($G359-$I358),ABS($H359-$I358)))</f>
        <v>120</v>
      </c>
      <c r="AB359" s="48" t="n">
        <f aca="false">IF($U359&gt;=ATR_PER,AVERAGE(INDEX($AA$239:$AA359,122-ATR_PER):$AA359),"")</f>
        <v>272.071428571429</v>
      </c>
      <c r="AC359" s="48" t="n">
        <f aca="false">$O359-$P359</f>
        <v>1044737</v>
      </c>
      <c r="AD359" s="48" t="n">
        <f aca="false">$AC359*$I359</f>
        <v>7747769592</v>
      </c>
      <c r="AE359" s="49" t="n">
        <f aca="false">IF($Q359&gt;0,$O359*$I359/$Q359/1000000,"")</f>
        <v>136.832889451327</v>
      </c>
      <c r="AF359" s="49" t="n">
        <f aca="false">IF($R359&gt;0,$P359*$I359/$R359/1000000,"")</f>
        <v>194.120843506849</v>
      </c>
      <c r="AG359" s="50" t="n">
        <f aca="false">IF(AND(ISNUMBER($AE359),ISNUMBER($AF359),$AF359&gt;0),$AE359/$AF359,"")</f>
        <v>0.704885096208123</v>
      </c>
      <c r="AH359" s="48" t="n">
        <f aca="false">IF($U359&gt;=5,SUM(INDEX($AD$329:$AD359,32-5):$AD359),"")</f>
        <v>104229439886</v>
      </c>
      <c r="AI359" s="48" t="n">
        <f aca="false">IF($U359&gt;=STRUCT_S,MAX(INDEX($G$209:$G359,152-STRUCT_S):$G359),"")</f>
        <v>8013</v>
      </c>
      <c r="AJ359" s="48" t="n">
        <f aca="false">IF($U359&gt;=STRUCT_S,MIN(INDEX($H$209:$H359,152-STRUCT_S):$H359),"")</f>
        <v>7254</v>
      </c>
      <c r="AK359" s="48" t="n">
        <f aca="false">IF($U359&gt;=STRUCT_L,MAX(INDEX($G$109:$G359,252-STRUCT_L):$G359),"")</f>
        <v>8518</v>
      </c>
      <c r="AL359" s="48" t="n">
        <f aca="false">IF($U359&gt;=STRUCT_L,MIN(INDEX($H$109:$H359,252-STRUCT_L):$H359),"")</f>
        <v>7254</v>
      </c>
      <c r="AM359" s="46" t="n">
        <f aca="false">IF($A359&lt;&gt;$A360,1,0)</f>
        <v>0</v>
      </c>
      <c r="AN359" s="47" t="str">
        <f aca="false">IF($AM359=1,$A359,"")</f>
        <v/>
      </c>
    </row>
    <row r="360" customFormat="false" ht="15" hidden="false" customHeight="false" outlineLevel="0" collapsed="false">
      <c r="A360" s="43" t="s">
        <v>138</v>
      </c>
      <c r="B360" s="44" t="s">
        <v>140</v>
      </c>
      <c r="C360" s="45" t="n">
        <v>46039</v>
      </c>
      <c r="D360" s="46" t="n">
        <v>20260117</v>
      </c>
      <c r="E360" s="47" t="s">
        <v>383</v>
      </c>
      <c r="F360" s="48" t="n">
        <v>7447</v>
      </c>
      <c r="G360" s="48" t="n">
        <v>7491</v>
      </c>
      <c r="H360" s="48" t="n">
        <v>7352</v>
      </c>
      <c r="I360" s="48" t="n">
        <v>7427</v>
      </c>
      <c r="J360" s="48" t="n">
        <v>7428</v>
      </c>
      <c r="K360" s="48" t="n">
        <v>7416</v>
      </c>
      <c r="L360" s="48" t="n">
        <v>14647255</v>
      </c>
      <c r="M360" s="48" t="n">
        <v>108785162885</v>
      </c>
      <c r="N360" s="48" t="n">
        <v>529</v>
      </c>
      <c r="O360" s="48" t="n">
        <v>8542989</v>
      </c>
      <c r="P360" s="48" t="n">
        <v>6076369</v>
      </c>
      <c r="Q360" s="48" t="n">
        <v>139</v>
      </c>
      <c r="R360" s="48" t="n">
        <v>359</v>
      </c>
      <c r="S360" s="48" t="n">
        <v>6104266</v>
      </c>
      <c r="T360" s="48" t="n">
        <v>8570886</v>
      </c>
      <c r="U360" s="46" t="n">
        <f aca="false">IF($A360=$A359,$U359+1,1)</f>
        <v>96</v>
      </c>
      <c r="V360" s="48" t="n">
        <f aca="false">IF($U360&gt;=MA_SHORT,AVERAGE(INDEX($I$5:$I360,357-MA_SHORT):$I360),"")</f>
        <v>7604.75</v>
      </c>
      <c r="W360" s="48" t="n">
        <f aca="false">IF($U360&gt;=MA_MED,AVERAGE(INDEX($I$5:$I360,357-MA_MED):$I360),"")</f>
        <v>7776.7</v>
      </c>
      <c r="X360" s="48" t="str">
        <f aca="false">IF($U360&gt;=MA_LONG1,AVERAGE(INDEX($I$5:$I360,357-MA_LONG1):$I360),"")</f>
        <v/>
      </c>
      <c r="Y360" s="48" t="str">
        <f aca="false">IF($U360&gt;=MA_LONG2,AVERAGE(INDEX($I$5:$I360,357-MA_LONG2):$I360),"")</f>
        <v/>
      </c>
      <c r="Z360" s="48" t="n">
        <f aca="false">IF($U360&gt;=MA_SHORT,AVERAGE(INDEX($L$240:$L360,122-MA_SHORT):$L360),"")</f>
        <v>19968141.9</v>
      </c>
      <c r="AA360" s="48" t="n">
        <f aca="false">IF($U360=1,$G360-$H360,MAX($G360-$H360,ABS($G360-$I359),ABS($H360-$I359)))</f>
        <v>139</v>
      </c>
      <c r="AB360" s="48" t="n">
        <f aca="false">IF($U360&gt;=ATR_PER,AVERAGE(INDEX($AA$240:$AA360,122-ATR_PER):$AA360),"")</f>
        <v>263.571428571429</v>
      </c>
      <c r="AC360" s="48" t="n">
        <f aca="false">$O360-$P360</f>
        <v>2466620</v>
      </c>
      <c r="AD360" s="48" t="n">
        <f aca="false">$AC360*$I360</f>
        <v>18319586740</v>
      </c>
      <c r="AE360" s="49" t="n">
        <f aca="false">IF($Q360&gt;0,$O360*$I360/$Q360/1000000,"")</f>
        <v>456.466038151079</v>
      </c>
      <c r="AF360" s="49" t="n">
        <f aca="false">IF($R360&gt;0,$P360*$I360/$R360/1000000,"")</f>
        <v>125.708057278552</v>
      </c>
      <c r="AG360" s="50" t="n">
        <f aca="false">IF(AND(ISNUMBER($AE360),ISNUMBER($AF360),$AF360&gt;0),$AE360/$AF360,"")</f>
        <v>3.63115975247007</v>
      </c>
      <c r="AH360" s="48" t="n">
        <f aca="false">IF($U360&gt;=5,SUM(INDEX($AD$330:$AD360,32-5):$AD360),"")</f>
        <v>104483953359</v>
      </c>
      <c r="AI360" s="48" t="n">
        <f aca="false">IF($U360&gt;=STRUCT_S,MAX(INDEX($G$210:$G360,152-STRUCT_S):$G360),"")</f>
        <v>8013</v>
      </c>
      <c r="AJ360" s="48" t="n">
        <f aca="false">IF($U360&gt;=STRUCT_S,MIN(INDEX($H$210:$H360,152-STRUCT_S):$H360),"")</f>
        <v>7254</v>
      </c>
      <c r="AK360" s="48" t="n">
        <f aca="false">IF($U360&gt;=STRUCT_L,MAX(INDEX($G$110:$G360,252-STRUCT_L):$G360),"")</f>
        <v>8518</v>
      </c>
      <c r="AL360" s="48" t="n">
        <f aca="false">IF($U360&gt;=STRUCT_L,MIN(INDEX($H$110:$H360,252-STRUCT_L):$H360),"")</f>
        <v>7254</v>
      </c>
      <c r="AM360" s="46" t="n">
        <f aca="false">IF($A360&lt;&gt;$A361,1,0)</f>
        <v>0</v>
      </c>
      <c r="AN360" s="47" t="str">
        <f aca="false">IF($AM360=1,$A360,"")</f>
        <v/>
      </c>
    </row>
    <row r="361" customFormat="false" ht="15" hidden="false" customHeight="false" outlineLevel="0" collapsed="false">
      <c r="A361" s="43" t="s">
        <v>138</v>
      </c>
      <c r="B361" s="44" t="s">
        <v>140</v>
      </c>
      <c r="C361" s="45" t="n">
        <v>46040</v>
      </c>
      <c r="D361" s="46" t="n">
        <v>20260118</v>
      </c>
      <c r="E361" s="47" t="s">
        <v>384</v>
      </c>
      <c r="F361" s="48" t="n">
        <v>7288</v>
      </c>
      <c r="G361" s="48" t="n">
        <v>7467</v>
      </c>
      <c r="H361" s="48" t="n">
        <v>7285</v>
      </c>
      <c r="I361" s="48" t="n">
        <v>7324</v>
      </c>
      <c r="J361" s="48" t="n">
        <v>7441</v>
      </c>
      <c r="K361" s="48" t="n">
        <v>7427</v>
      </c>
      <c r="L361" s="48" t="n">
        <v>33217374</v>
      </c>
      <c r="M361" s="48" t="n">
        <v>243284047176</v>
      </c>
      <c r="N361" s="48" t="n">
        <v>1485</v>
      </c>
      <c r="O361" s="48" t="n">
        <v>19238681</v>
      </c>
      <c r="P361" s="48" t="n">
        <v>13521332</v>
      </c>
      <c r="Q361" s="48" t="n">
        <v>885</v>
      </c>
      <c r="R361" s="48" t="n">
        <v>403</v>
      </c>
      <c r="S361" s="48" t="n">
        <v>13978693</v>
      </c>
      <c r="T361" s="48" t="n">
        <v>19696042</v>
      </c>
      <c r="U361" s="46" t="n">
        <f aca="false">IF($A361=$A360,$U360+1,1)</f>
        <v>97</v>
      </c>
      <c r="V361" s="48" t="n">
        <f aca="false">IF($U361&gt;=MA_SHORT,AVERAGE(INDEX($I$5:$I361,358-MA_SHORT):$I361),"")</f>
        <v>7576.2</v>
      </c>
      <c r="W361" s="48" t="n">
        <f aca="false">IF($U361&gt;=MA_MED,AVERAGE(INDEX($I$5:$I361,358-MA_MED):$I361),"")</f>
        <v>7765.52</v>
      </c>
      <c r="X361" s="48" t="str">
        <f aca="false">IF($U361&gt;=MA_LONG1,AVERAGE(INDEX($I$5:$I361,358-MA_LONG1):$I361),"")</f>
        <v/>
      </c>
      <c r="Y361" s="48" t="str">
        <f aca="false">IF($U361&gt;=MA_LONG2,AVERAGE(INDEX($I$5:$I361,358-MA_LONG2):$I361),"")</f>
        <v/>
      </c>
      <c r="Z361" s="48" t="n">
        <f aca="false">IF($U361&gt;=MA_SHORT,AVERAGE(INDEX($L$241:$L361,122-MA_SHORT):$L361),"")</f>
        <v>20871434.45</v>
      </c>
      <c r="AA361" s="48" t="n">
        <f aca="false">IF($U361=1,$G361-$H361,MAX($G361-$H361,ABS($G361-$I360),ABS($H361-$I360)))</f>
        <v>182</v>
      </c>
      <c r="AB361" s="48" t="n">
        <f aca="false">IF($U361&gt;=ATR_PER,AVERAGE(INDEX($AA$241:$AA361,122-ATR_PER):$AA361),"")</f>
        <v>230.428571428571</v>
      </c>
      <c r="AC361" s="48" t="n">
        <f aca="false">$O361-$P361</f>
        <v>5717349</v>
      </c>
      <c r="AD361" s="48" t="n">
        <f aca="false">$AC361*$I361</f>
        <v>41873864076</v>
      </c>
      <c r="AE361" s="49" t="n">
        <f aca="false">IF($Q361&gt;0,$O361*$I361/$Q361/1000000,"")</f>
        <v>159.213671914124</v>
      </c>
      <c r="AF361" s="49" t="n">
        <f aca="false">IF($R361&gt;0,$P361*$I361/$R361/1000000,"")</f>
        <v>245.732594461538</v>
      </c>
      <c r="AG361" s="50" t="n">
        <f aca="false">IF(AND(ISNUMBER($AE361),ISNUMBER($AF361),$AF361&gt;0),$AE361/$AF361,"")</f>
        <v>0.647914340639268</v>
      </c>
      <c r="AH361" s="48" t="n">
        <f aca="false">IF($U361&gt;=5,SUM(INDEX($AD$331:$AD361,32-5):$AD361),"")</f>
        <v>135170399915</v>
      </c>
      <c r="AI361" s="48" t="n">
        <f aca="false">IF($U361&gt;=STRUCT_S,MAX(INDEX($G$211:$G361,152-STRUCT_S):$G361),"")</f>
        <v>8004</v>
      </c>
      <c r="AJ361" s="48" t="n">
        <f aca="false">IF($U361&gt;=STRUCT_S,MIN(INDEX($H$211:$H361,152-STRUCT_S):$H361),"")</f>
        <v>7254</v>
      </c>
      <c r="AK361" s="48" t="n">
        <f aca="false">IF($U361&gt;=STRUCT_L,MAX(INDEX($G$111:$G361,252-STRUCT_L):$G361),"")</f>
        <v>8518</v>
      </c>
      <c r="AL361" s="48" t="n">
        <f aca="false">IF($U361&gt;=STRUCT_L,MIN(INDEX($H$111:$H361,252-STRUCT_L):$H361),"")</f>
        <v>7254</v>
      </c>
      <c r="AM361" s="46" t="n">
        <f aca="false">IF($A361&lt;&gt;$A362,1,0)</f>
        <v>0</v>
      </c>
      <c r="AN361" s="47" t="str">
        <f aca="false">IF($AM361=1,$A361,"")</f>
        <v/>
      </c>
    </row>
    <row r="362" customFormat="false" ht="15" hidden="false" customHeight="false" outlineLevel="0" collapsed="false">
      <c r="A362" s="43" t="s">
        <v>138</v>
      </c>
      <c r="B362" s="44" t="s">
        <v>140</v>
      </c>
      <c r="C362" s="45" t="n">
        <v>46041</v>
      </c>
      <c r="D362" s="46" t="n">
        <v>20260119</v>
      </c>
      <c r="E362" s="47" t="s">
        <v>385</v>
      </c>
      <c r="F362" s="48" t="n">
        <v>7393</v>
      </c>
      <c r="G362" s="48" t="n">
        <v>7483</v>
      </c>
      <c r="H362" s="48" t="n">
        <v>7175</v>
      </c>
      <c r="I362" s="48" t="n">
        <v>7334</v>
      </c>
      <c r="J362" s="48" t="n">
        <v>7260</v>
      </c>
      <c r="K362" s="48" t="n">
        <v>7324</v>
      </c>
      <c r="L362" s="48" t="n">
        <v>16066552</v>
      </c>
      <c r="M362" s="48" t="n">
        <v>117832092368</v>
      </c>
      <c r="N362" s="48" t="n">
        <v>705</v>
      </c>
      <c r="O362" s="48" t="n">
        <v>9612304</v>
      </c>
      <c r="P362" s="48" t="n">
        <v>6498220</v>
      </c>
      <c r="Q362" s="48" t="n">
        <v>255</v>
      </c>
      <c r="R362" s="48" t="n">
        <v>471</v>
      </c>
      <c r="S362" s="48" t="n">
        <v>6454248</v>
      </c>
      <c r="T362" s="48" t="n">
        <v>9568332</v>
      </c>
      <c r="U362" s="46" t="n">
        <f aca="false">IF($A362=$A361,$U361+1,1)</f>
        <v>98</v>
      </c>
      <c r="V362" s="48" t="n">
        <f aca="false">IF($U362&gt;=MA_SHORT,AVERAGE(INDEX($I$5:$I362,359-MA_SHORT):$I362),"")</f>
        <v>7550.95</v>
      </c>
      <c r="W362" s="48" t="n">
        <f aca="false">IF($U362&gt;=MA_MED,AVERAGE(INDEX($I$5:$I362,359-MA_MED):$I362),"")</f>
        <v>7756.68</v>
      </c>
      <c r="X362" s="48" t="str">
        <f aca="false">IF($U362&gt;=MA_LONG1,AVERAGE(INDEX($I$5:$I362,359-MA_LONG1):$I362),"")</f>
        <v/>
      </c>
      <c r="Y362" s="48" t="str">
        <f aca="false">IF($U362&gt;=MA_LONG2,AVERAGE(INDEX($I$5:$I362,359-MA_LONG2):$I362),"")</f>
        <v/>
      </c>
      <c r="Z362" s="48" t="n">
        <f aca="false">IF($U362&gt;=MA_SHORT,AVERAGE(INDEX($L$242:$L362,122-MA_SHORT):$L362),"")</f>
        <v>20917966.25</v>
      </c>
      <c r="AA362" s="48" t="n">
        <f aca="false">IF($U362=1,$G362-$H362,MAX($G362-$H362,ABS($G362-$I361),ABS($H362-$I361)))</f>
        <v>308</v>
      </c>
      <c r="AB362" s="48" t="n">
        <f aca="false">IF($U362&gt;=ATR_PER,AVERAGE(INDEX($AA$242:$AA362,122-ATR_PER):$AA362),"")</f>
        <v>239.5</v>
      </c>
      <c r="AC362" s="48" t="n">
        <f aca="false">$O362-$P362</f>
        <v>3114084</v>
      </c>
      <c r="AD362" s="48" t="n">
        <f aca="false">$AC362*$I362</f>
        <v>22838692056</v>
      </c>
      <c r="AE362" s="49" t="n">
        <f aca="false">IF($Q362&gt;0,$O362*$I362/$Q362/1000000,"")</f>
        <v>276.457402101961</v>
      </c>
      <c r="AF362" s="49" t="n">
        <f aca="false">IF($R362&gt;0,$P362*$I362/$R362/1000000,"")</f>
        <v>101.184597622081</v>
      </c>
      <c r="AG362" s="50" t="n">
        <f aca="false">IF(AND(ISNUMBER($AE362),ISNUMBER($AF362),$AF362&gt;0),$AE362/$AF362,"")</f>
        <v>2.73220834592351</v>
      </c>
      <c r="AH362" s="48" t="n">
        <f aca="false">IF($U362&gt;=5,SUM(INDEX($AD$332:$AD362,32-5):$AD362),"")</f>
        <v>102573240406</v>
      </c>
      <c r="AI362" s="48" t="n">
        <f aca="false">IF($U362&gt;=STRUCT_S,MAX(INDEX($G$212:$G362,152-STRUCT_S):$G362),"")</f>
        <v>8004</v>
      </c>
      <c r="AJ362" s="48" t="n">
        <f aca="false">IF($U362&gt;=STRUCT_S,MIN(INDEX($H$212:$H362,152-STRUCT_S):$H362),"")</f>
        <v>7175</v>
      </c>
      <c r="AK362" s="48" t="n">
        <f aca="false">IF($U362&gt;=STRUCT_L,MAX(INDEX($G$112:$G362,252-STRUCT_L):$G362),"")</f>
        <v>8518</v>
      </c>
      <c r="AL362" s="48" t="n">
        <f aca="false">IF($U362&gt;=STRUCT_L,MIN(INDEX($H$112:$H362,252-STRUCT_L):$H362),"")</f>
        <v>7175</v>
      </c>
      <c r="AM362" s="46" t="n">
        <f aca="false">IF($A362&lt;&gt;$A363,1,0)</f>
        <v>0</v>
      </c>
      <c r="AN362" s="47" t="str">
        <f aca="false">IF($AM362=1,$A362,"")</f>
        <v/>
      </c>
    </row>
    <row r="363" customFormat="false" ht="15" hidden="false" customHeight="false" outlineLevel="0" collapsed="false">
      <c r="A363" s="43" t="s">
        <v>138</v>
      </c>
      <c r="B363" s="44" t="s">
        <v>140</v>
      </c>
      <c r="C363" s="45" t="n">
        <v>46042</v>
      </c>
      <c r="D363" s="46" t="n">
        <v>20260120</v>
      </c>
      <c r="E363" s="47" t="s">
        <v>386</v>
      </c>
      <c r="F363" s="48" t="n">
        <v>7351</v>
      </c>
      <c r="G363" s="48" t="n">
        <v>7736</v>
      </c>
      <c r="H363" s="48" t="n">
        <v>7209</v>
      </c>
      <c r="I363" s="48" t="n">
        <v>7606</v>
      </c>
      <c r="J363" s="48" t="n">
        <v>7549</v>
      </c>
      <c r="K363" s="48" t="n">
        <v>7334</v>
      </c>
      <c r="L363" s="48" t="n">
        <v>17748681</v>
      </c>
      <c r="M363" s="48" t="n">
        <v>134996467686</v>
      </c>
      <c r="N363" s="48" t="n">
        <v>1053</v>
      </c>
      <c r="O363" s="48" t="n">
        <v>11598368</v>
      </c>
      <c r="P363" s="48" t="n">
        <v>5329346</v>
      </c>
      <c r="Q363" s="48" t="n">
        <v>435</v>
      </c>
      <c r="R363" s="48" t="n">
        <v>675</v>
      </c>
      <c r="S363" s="48" t="n">
        <v>6150313</v>
      </c>
      <c r="T363" s="48" t="n">
        <v>12419335</v>
      </c>
      <c r="U363" s="46" t="n">
        <f aca="false">IF($A363=$A362,$U362+1,1)</f>
        <v>99</v>
      </c>
      <c r="V363" s="48" t="n">
        <f aca="false">IF($U363&gt;=MA_SHORT,AVERAGE(INDEX($I$5:$I363,360-MA_SHORT):$I363),"")</f>
        <v>7540.9</v>
      </c>
      <c r="W363" s="48" t="n">
        <f aca="false">IF($U363&gt;=MA_MED,AVERAGE(INDEX($I$5:$I363,360-MA_MED):$I363),"")</f>
        <v>7754.96</v>
      </c>
      <c r="X363" s="48" t="str">
        <f aca="false">IF($U363&gt;=MA_LONG1,AVERAGE(INDEX($I$5:$I363,360-MA_LONG1):$I363),"")</f>
        <v/>
      </c>
      <c r="Y363" s="48" t="str">
        <f aca="false">IF($U363&gt;=MA_LONG2,AVERAGE(INDEX($I$5:$I363,360-MA_LONG2):$I363),"")</f>
        <v/>
      </c>
      <c r="Z363" s="48" t="n">
        <f aca="false">IF($U363&gt;=MA_SHORT,AVERAGE(INDEX($L$243:$L363,122-MA_SHORT):$L363),"")</f>
        <v>19239333</v>
      </c>
      <c r="AA363" s="48" t="n">
        <f aca="false">IF($U363=1,$G363-$H363,MAX($G363-$H363,ABS($G363-$I362),ABS($H363-$I362)))</f>
        <v>527</v>
      </c>
      <c r="AB363" s="48" t="n">
        <f aca="false">IF($U363&gt;=ATR_PER,AVERAGE(INDEX($AA$243:$AA363,122-ATR_PER):$AA363),"")</f>
        <v>270</v>
      </c>
      <c r="AC363" s="48" t="n">
        <f aca="false">$O363-$P363</f>
        <v>6269022</v>
      </c>
      <c r="AD363" s="48" t="n">
        <f aca="false">$AC363*$I363</f>
        <v>47682181332</v>
      </c>
      <c r="AE363" s="49" t="n">
        <f aca="false">IF($Q363&gt;0,$O363*$I363/$Q363/1000000,"")</f>
        <v>202.798131052874</v>
      </c>
      <c r="AF363" s="49" t="n">
        <f aca="false">IF($R363&gt;0,$P363*$I363/$R363/1000000,"")</f>
        <v>60.0518602607407</v>
      </c>
      <c r="AG363" s="50" t="n">
        <f aca="false">IF(AND(ISNUMBER($AE363),ISNUMBER($AF363),$AF363&gt;0),$AE363/$AF363,"")</f>
        <v>3.37704993937472</v>
      </c>
      <c r="AH363" s="48" t="n">
        <f aca="false">IF($U363&gt;=5,SUM(INDEX($AD$333:$AD363,32-5):$AD363),"")</f>
        <v>138462093796</v>
      </c>
      <c r="AI363" s="48" t="n">
        <f aca="false">IF($U363&gt;=STRUCT_S,MAX(INDEX($G$213:$G363,152-STRUCT_S):$G363),"")</f>
        <v>8004</v>
      </c>
      <c r="AJ363" s="48" t="n">
        <f aca="false">IF($U363&gt;=STRUCT_S,MIN(INDEX($H$213:$H363,152-STRUCT_S):$H363),"")</f>
        <v>7175</v>
      </c>
      <c r="AK363" s="48" t="n">
        <f aca="false">IF($U363&gt;=STRUCT_L,MAX(INDEX($G$113:$G363,252-STRUCT_L):$G363),"")</f>
        <v>8518</v>
      </c>
      <c r="AL363" s="48" t="n">
        <f aca="false">IF($U363&gt;=STRUCT_L,MIN(INDEX($H$113:$H363,252-STRUCT_L):$H363),"")</f>
        <v>7175</v>
      </c>
      <c r="AM363" s="46" t="n">
        <f aca="false">IF($A363&lt;&gt;$A364,1,0)</f>
        <v>0</v>
      </c>
      <c r="AN363" s="47" t="str">
        <f aca="false">IF($AM363=1,$A363,"")</f>
        <v/>
      </c>
    </row>
    <row r="364" customFormat="false" ht="15" hidden="false" customHeight="false" outlineLevel="0" collapsed="false">
      <c r="A364" s="43" t="s">
        <v>138</v>
      </c>
      <c r="B364" s="44" t="s">
        <v>140</v>
      </c>
      <c r="C364" s="45" t="n">
        <v>46043</v>
      </c>
      <c r="D364" s="46" t="n">
        <v>20260121</v>
      </c>
      <c r="E364" s="47" t="s">
        <v>387</v>
      </c>
      <c r="F364" s="48" t="n">
        <v>7650</v>
      </c>
      <c r="G364" s="48" t="n">
        <v>7834</v>
      </c>
      <c r="H364" s="48" t="n">
        <v>7556</v>
      </c>
      <c r="I364" s="48" t="n">
        <v>7783</v>
      </c>
      <c r="J364" s="48" t="n">
        <v>7647</v>
      </c>
      <c r="K364" s="48" t="n">
        <v>7606</v>
      </c>
      <c r="L364" s="48" t="n">
        <v>19893921</v>
      </c>
      <c r="M364" s="48" t="n">
        <v>154834387143</v>
      </c>
      <c r="N364" s="48" t="n">
        <v>1480</v>
      </c>
      <c r="O364" s="48" t="n">
        <v>15035956</v>
      </c>
      <c r="P364" s="48" t="n">
        <v>3978784</v>
      </c>
      <c r="Q364" s="48" t="n">
        <v>608</v>
      </c>
      <c r="R364" s="48" t="n">
        <v>865</v>
      </c>
      <c r="S364" s="48" t="n">
        <v>4857965</v>
      </c>
      <c r="T364" s="48" t="n">
        <v>15915137</v>
      </c>
      <c r="U364" s="46" t="n">
        <f aca="false">IF($A364=$A363,$U363+1,1)</f>
        <v>100</v>
      </c>
      <c r="V364" s="48" t="n">
        <f aca="false">IF($U364&gt;=MA_SHORT,AVERAGE(INDEX($I$5:$I364,361-MA_SHORT):$I364),"")</f>
        <v>7537.4</v>
      </c>
      <c r="W364" s="48" t="n">
        <f aca="false">IF($U364&gt;=MA_MED,AVERAGE(INDEX($I$5:$I364,361-MA_MED):$I364),"")</f>
        <v>7754.98</v>
      </c>
      <c r="X364" s="48" t="n">
        <f aca="false">IF($U364&gt;=MA_LONG1,AVERAGE(INDEX($I$5:$I364,361-MA_LONG1):$I364),"")</f>
        <v>7508.49</v>
      </c>
      <c r="Y364" s="48" t="str">
        <f aca="false">IF($U364&gt;=MA_LONG2,AVERAGE(INDEX($I$5:$I364,361-MA_LONG2):$I364),"")</f>
        <v/>
      </c>
      <c r="Z364" s="48" t="n">
        <f aca="false">IF($U364&gt;=MA_SHORT,AVERAGE(INDEX($L$244:$L364,122-MA_SHORT):$L364),"")</f>
        <v>19482463.85</v>
      </c>
      <c r="AA364" s="48" t="n">
        <f aca="false">IF($U364=1,$G364-$H364,MAX($G364-$H364,ABS($G364-$I363),ABS($H364-$I363)))</f>
        <v>278</v>
      </c>
      <c r="AB364" s="48" t="n">
        <f aca="false">IF($U364&gt;=ATR_PER,AVERAGE(INDEX($AA$244:$AA364,122-ATR_PER):$AA364),"")</f>
        <v>273.142857142857</v>
      </c>
      <c r="AC364" s="48" t="n">
        <f aca="false">$O364-$P364</f>
        <v>11057172</v>
      </c>
      <c r="AD364" s="48" t="n">
        <f aca="false">$AC364*$I364</f>
        <v>86057969676</v>
      </c>
      <c r="AE364" s="49" t="n">
        <f aca="false">IF($Q364&gt;0,$O364*$I364/$Q364/1000000,"")</f>
        <v>192.475074914474</v>
      </c>
      <c r="AF364" s="49" t="n">
        <f aca="false">IF($R364&gt;0,$P364*$I364/$R364/1000000,"")</f>
        <v>35.799856499422</v>
      </c>
      <c r="AG364" s="50" t="n">
        <f aca="false">IF(AND(ISNUMBER($AE364),ISNUMBER($AF364),$AF364&gt;0),$AE364/$AF364,"")</f>
        <v>5.37642029144953</v>
      </c>
      <c r="AH364" s="48" t="n">
        <f aca="false">IF($U364&gt;=5,SUM(INDEX($AD$334:$AD364,32-5):$AD364),"")</f>
        <v>216772293880</v>
      </c>
      <c r="AI364" s="48" t="n">
        <f aca="false">IF($U364&gt;=STRUCT_S,MAX(INDEX($G$214:$G364,152-STRUCT_S):$G364),"")</f>
        <v>8004</v>
      </c>
      <c r="AJ364" s="48" t="n">
        <f aca="false">IF($U364&gt;=STRUCT_S,MIN(INDEX($H$214:$H364,152-STRUCT_S):$H364),"")</f>
        <v>7175</v>
      </c>
      <c r="AK364" s="48" t="n">
        <f aca="false">IF($U364&gt;=STRUCT_L,MAX(INDEX($G$114:$G364,252-STRUCT_L):$G364),"")</f>
        <v>8518</v>
      </c>
      <c r="AL364" s="48" t="n">
        <f aca="false">IF($U364&gt;=STRUCT_L,MIN(INDEX($H$114:$H364,252-STRUCT_L):$H364),"")</f>
        <v>7175</v>
      </c>
      <c r="AM364" s="46" t="n">
        <f aca="false">IF($A364&lt;&gt;$A365,1,0)</f>
        <v>0</v>
      </c>
      <c r="AN364" s="47" t="str">
        <f aca="false">IF($AM364=1,$A364,"")</f>
        <v/>
      </c>
    </row>
    <row r="365" customFormat="false" ht="15" hidden="false" customHeight="false" outlineLevel="0" collapsed="false">
      <c r="A365" s="43" t="s">
        <v>138</v>
      </c>
      <c r="B365" s="44" t="s">
        <v>140</v>
      </c>
      <c r="C365" s="45" t="n">
        <v>46046</v>
      </c>
      <c r="D365" s="46" t="n">
        <v>20260124</v>
      </c>
      <c r="E365" s="47" t="s">
        <v>388</v>
      </c>
      <c r="F365" s="48" t="n">
        <v>7707</v>
      </c>
      <c r="G365" s="48" t="n">
        <v>7829</v>
      </c>
      <c r="H365" s="48" t="n">
        <v>7638</v>
      </c>
      <c r="I365" s="48" t="n">
        <v>7684</v>
      </c>
      <c r="J365" s="48" t="n">
        <v>7717</v>
      </c>
      <c r="K365" s="48" t="n">
        <v>7783</v>
      </c>
      <c r="L365" s="48" t="n">
        <v>23627766</v>
      </c>
      <c r="M365" s="48" t="n">
        <v>181555753944</v>
      </c>
      <c r="N365" s="48" t="n">
        <v>872</v>
      </c>
      <c r="O365" s="48" t="n">
        <v>14589004</v>
      </c>
      <c r="P365" s="48" t="n">
        <v>10703225</v>
      </c>
      <c r="Q365" s="48" t="n">
        <v>566</v>
      </c>
      <c r="R365" s="48" t="n">
        <v>232</v>
      </c>
      <c r="S365" s="48" t="n">
        <v>9038762</v>
      </c>
      <c r="T365" s="48" t="n">
        <v>12924541</v>
      </c>
      <c r="U365" s="46" t="n">
        <f aca="false">IF($A365=$A364,$U364+1,1)</f>
        <v>101</v>
      </c>
      <c r="V365" s="48" t="n">
        <f aca="false">IF($U365&gt;=MA_SHORT,AVERAGE(INDEX($I$5:$I365,362-MA_SHORT):$I365),"")</f>
        <v>7528.45</v>
      </c>
      <c r="W365" s="48" t="n">
        <f aca="false">IF($U365&gt;=MA_MED,AVERAGE(INDEX($I$5:$I365,362-MA_MED):$I365),"")</f>
        <v>7755.74</v>
      </c>
      <c r="X365" s="48" t="n">
        <f aca="false">IF($U365&gt;=MA_LONG1,AVERAGE(INDEX($I$5:$I365,362-MA_LONG1):$I365),"")</f>
        <v>7508.84</v>
      </c>
      <c r="Y365" s="48" t="str">
        <f aca="false">IF($U365&gt;=MA_LONG2,AVERAGE(INDEX($I$5:$I365,362-MA_LONG2):$I365),"")</f>
        <v/>
      </c>
      <c r="Z365" s="48" t="n">
        <f aca="false">IF($U365&gt;=MA_SHORT,AVERAGE(INDEX($L$245:$L365,122-MA_SHORT):$L365),"")</f>
        <v>19932403.55</v>
      </c>
      <c r="AA365" s="48" t="n">
        <f aca="false">IF($U365=1,$G365-$H365,MAX($G365-$H365,ABS($G365-$I364),ABS($H365-$I364)))</f>
        <v>191</v>
      </c>
      <c r="AB365" s="48" t="n">
        <f aca="false">IF($U365&gt;=ATR_PER,AVERAGE(INDEX($AA$245:$AA365,122-ATR_PER):$AA365),"")</f>
        <v>262.714285714286</v>
      </c>
      <c r="AC365" s="48" t="n">
        <f aca="false">$O365-$P365</f>
        <v>3885779</v>
      </c>
      <c r="AD365" s="48" t="n">
        <f aca="false">$AC365*$I365</f>
        <v>29858325836</v>
      </c>
      <c r="AE365" s="49" t="n">
        <f aca="false">IF($Q365&gt;0,$O365*$I365/$Q365/1000000,"")</f>
        <v>198.059905893993</v>
      </c>
      <c r="AF365" s="49" t="n">
        <f aca="false">IF($R365&gt;0,$P365*$I365/$R365/1000000,"")</f>
        <v>354.498193534483</v>
      </c>
      <c r="AG365" s="50" t="n">
        <f aca="false">IF(AND(ISNUMBER($AE365),ISNUMBER($AF365),$AF365&gt;0),$AE365/$AF365,"")</f>
        <v>0.558704979337863</v>
      </c>
      <c r="AH365" s="48" t="n">
        <f aca="false">IF($U365&gt;=5,SUM(INDEX($AD$335:$AD365,32-5):$AD365),"")</f>
        <v>228311032976</v>
      </c>
      <c r="AI365" s="48" t="n">
        <f aca="false">IF($U365&gt;=STRUCT_S,MAX(INDEX($G$215:$G365,152-STRUCT_S):$G365),"")</f>
        <v>8004</v>
      </c>
      <c r="AJ365" s="48" t="n">
        <f aca="false">IF($U365&gt;=STRUCT_S,MIN(INDEX($H$215:$H365,152-STRUCT_S):$H365),"")</f>
        <v>7175</v>
      </c>
      <c r="AK365" s="48" t="n">
        <f aca="false">IF($U365&gt;=STRUCT_L,MAX(INDEX($G$115:$G365,252-STRUCT_L):$G365),"")</f>
        <v>8518</v>
      </c>
      <c r="AL365" s="48" t="n">
        <f aca="false">IF($U365&gt;=STRUCT_L,MIN(INDEX($H$115:$H365,252-STRUCT_L):$H365),"")</f>
        <v>7175</v>
      </c>
      <c r="AM365" s="46" t="n">
        <f aca="false">IF($A365&lt;&gt;$A366,1,0)</f>
        <v>0</v>
      </c>
      <c r="AN365" s="47" t="str">
        <f aca="false">IF($AM365=1,$A365,"")</f>
        <v/>
      </c>
    </row>
    <row r="366" customFormat="false" ht="15" hidden="false" customHeight="false" outlineLevel="0" collapsed="false">
      <c r="A366" s="43" t="s">
        <v>138</v>
      </c>
      <c r="B366" s="44" t="s">
        <v>140</v>
      </c>
      <c r="C366" s="45" t="n">
        <v>46047</v>
      </c>
      <c r="D366" s="46" t="n">
        <v>20260125</v>
      </c>
      <c r="E366" s="47" t="s">
        <v>389</v>
      </c>
      <c r="F366" s="48" t="n">
        <v>7572</v>
      </c>
      <c r="G366" s="48" t="n">
        <v>7916</v>
      </c>
      <c r="H366" s="48" t="n">
        <v>7381</v>
      </c>
      <c r="I366" s="48" t="n">
        <v>7611</v>
      </c>
      <c r="J366" s="48" t="n">
        <v>7671</v>
      </c>
      <c r="K366" s="48" t="n">
        <v>7684</v>
      </c>
      <c r="L366" s="48" t="n">
        <v>16463146</v>
      </c>
      <c r="M366" s="48" t="n">
        <v>125301004206</v>
      </c>
      <c r="N366" s="48" t="n">
        <v>543</v>
      </c>
      <c r="O366" s="48" t="n">
        <v>7515827</v>
      </c>
      <c r="P366" s="48" t="n">
        <v>8585857</v>
      </c>
      <c r="Q366" s="48" t="n">
        <v>234</v>
      </c>
      <c r="R366" s="48" t="n">
        <v>226</v>
      </c>
      <c r="S366" s="48" t="n">
        <v>8947319</v>
      </c>
      <c r="T366" s="48" t="n">
        <v>7877289</v>
      </c>
      <c r="U366" s="46" t="n">
        <f aca="false">IF($A366=$A365,$U365+1,1)</f>
        <v>102</v>
      </c>
      <c r="V366" s="48" t="n">
        <f aca="false">IF($U366&gt;=MA_SHORT,AVERAGE(INDEX($I$5:$I366,363-MA_SHORT):$I366),"")</f>
        <v>7515.95</v>
      </c>
      <c r="W366" s="48" t="n">
        <f aca="false">IF($U366&gt;=MA_MED,AVERAGE(INDEX($I$5:$I366,363-MA_MED):$I366),"")</f>
        <v>7754.42</v>
      </c>
      <c r="X366" s="48" t="n">
        <f aca="false">IF($U366&gt;=MA_LONG1,AVERAGE(INDEX($I$5:$I366,363-MA_LONG1):$I366),"")</f>
        <v>7512.21</v>
      </c>
      <c r="Y366" s="48" t="str">
        <f aca="false">IF($U366&gt;=MA_LONG2,AVERAGE(INDEX($I$5:$I366,363-MA_LONG2):$I366),"")</f>
        <v/>
      </c>
      <c r="Z366" s="48" t="n">
        <f aca="false">IF($U366&gt;=MA_SHORT,AVERAGE(INDEX($L$246:$L366,122-MA_SHORT):$L366),"")</f>
        <v>19122575.4</v>
      </c>
      <c r="AA366" s="48" t="n">
        <f aca="false">IF($U366=1,$G366-$H366,MAX($G366-$H366,ABS($G366-$I365),ABS($H366-$I365)))</f>
        <v>535</v>
      </c>
      <c r="AB366" s="48" t="n">
        <f aca="false">IF($U366&gt;=ATR_PER,AVERAGE(INDEX($AA$246:$AA366,122-ATR_PER):$AA366),"")</f>
        <v>286.357142857143</v>
      </c>
      <c r="AC366" s="48" t="n">
        <f aca="false">$O366-$P366</f>
        <v>-1070030</v>
      </c>
      <c r="AD366" s="48" t="n">
        <f aca="false">$AC366*$I366</f>
        <v>-8143998330</v>
      </c>
      <c r="AE366" s="49" t="n">
        <f aca="false">IF($Q366&gt;0,$O366*$I366/$Q366/1000000,"")</f>
        <v>244.457091012821</v>
      </c>
      <c r="AF366" s="49" t="n">
        <f aca="false">IF($R366&gt;0,$P366*$I366/$R366/1000000,"")</f>
        <v>289.145830207965</v>
      </c>
      <c r="AG366" s="50" t="n">
        <f aca="false">IF(AND(ISNUMBER($AE366),ISNUMBER($AF366),$AF366&gt;0),$AE366/$AF366,"")</f>
        <v>0.845445672991368</v>
      </c>
      <c r="AH366" s="48" t="n">
        <f aca="false">IF($U366&gt;=5,SUM(INDEX($AD$336:$AD366,32-5):$AD366),"")</f>
        <v>178293170570</v>
      </c>
      <c r="AI366" s="48" t="n">
        <f aca="false">IF($U366&gt;=STRUCT_S,MAX(INDEX($G$216:$G366,152-STRUCT_S):$G366),"")</f>
        <v>8004</v>
      </c>
      <c r="AJ366" s="48" t="n">
        <f aca="false">IF($U366&gt;=STRUCT_S,MIN(INDEX($H$216:$H366,152-STRUCT_S):$H366),"")</f>
        <v>7175</v>
      </c>
      <c r="AK366" s="48" t="n">
        <f aca="false">IF($U366&gt;=STRUCT_L,MAX(INDEX($G$116:$G366,252-STRUCT_L):$G366),"")</f>
        <v>8518</v>
      </c>
      <c r="AL366" s="48" t="n">
        <f aca="false">IF($U366&gt;=STRUCT_L,MIN(INDEX($H$116:$H366,252-STRUCT_L):$H366),"")</f>
        <v>7175</v>
      </c>
      <c r="AM366" s="46" t="n">
        <f aca="false">IF($A366&lt;&gt;$A367,1,0)</f>
        <v>0</v>
      </c>
      <c r="AN366" s="47" t="str">
        <f aca="false">IF($AM366=1,$A366,"")</f>
        <v/>
      </c>
    </row>
    <row r="367" customFormat="false" ht="15" hidden="false" customHeight="false" outlineLevel="0" collapsed="false">
      <c r="A367" s="43" t="s">
        <v>138</v>
      </c>
      <c r="B367" s="44" t="s">
        <v>140</v>
      </c>
      <c r="C367" s="45" t="n">
        <v>46048</v>
      </c>
      <c r="D367" s="46" t="n">
        <v>20260126</v>
      </c>
      <c r="E367" s="47" t="s">
        <v>390</v>
      </c>
      <c r="F367" s="48" t="n">
        <v>7390</v>
      </c>
      <c r="G367" s="48" t="n">
        <v>7674</v>
      </c>
      <c r="H367" s="48" t="n">
        <v>7338</v>
      </c>
      <c r="I367" s="48" t="n">
        <v>7399</v>
      </c>
      <c r="J367" s="48" t="n">
        <v>7532</v>
      </c>
      <c r="K367" s="48" t="n">
        <v>7611</v>
      </c>
      <c r="L367" s="48" t="n">
        <v>19074999</v>
      </c>
      <c r="M367" s="48" t="n">
        <v>141135917601</v>
      </c>
      <c r="N367" s="48" t="n">
        <v>1029</v>
      </c>
      <c r="O367" s="48" t="n">
        <v>9099556</v>
      </c>
      <c r="P367" s="48" t="n">
        <v>9405866</v>
      </c>
      <c r="Q367" s="48" t="n">
        <v>524</v>
      </c>
      <c r="R367" s="48" t="n">
        <v>417</v>
      </c>
      <c r="S367" s="48" t="n">
        <v>9975443</v>
      </c>
      <c r="T367" s="48" t="n">
        <v>9669133</v>
      </c>
      <c r="U367" s="46" t="n">
        <f aca="false">IF($A367=$A366,$U366+1,1)</f>
        <v>103</v>
      </c>
      <c r="V367" s="48" t="n">
        <f aca="false">IF($U367&gt;=MA_SHORT,AVERAGE(INDEX($I$5:$I367,364-MA_SHORT):$I367),"")</f>
        <v>7511.2</v>
      </c>
      <c r="W367" s="48" t="n">
        <f aca="false">IF($U367&gt;=MA_MED,AVERAGE(INDEX($I$5:$I367,364-MA_MED):$I367),"")</f>
        <v>7748.98</v>
      </c>
      <c r="X367" s="48" t="n">
        <f aca="false">IF($U367&gt;=MA_LONG1,AVERAGE(INDEX($I$5:$I367,364-MA_LONG1):$I367),"")</f>
        <v>7514.02</v>
      </c>
      <c r="Y367" s="48" t="str">
        <f aca="false">IF($U367&gt;=MA_LONG2,AVERAGE(INDEX($I$5:$I367,364-MA_LONG2):$I367),"")</f>
        <v/>
      </c>
      <c r="Z367" s="48" t="n">
        <f aca="false">IF($U367&gt;=MA_SHORT,AVERAGE(INDEX($L$247:$L367,122-MA_SHORT):$L367),"")</f>
        <v>19147085.3</v>
      </c>
      <c r="AA367" s="48" t="n">
        <f aca="false">IF($U367=1,$G367-$H367,MAX($G367-$H367,ABS($G367-$I366),ABS($H367-$I366)))</f>
        <v>336</v>
      </c>
      <c r="AB367" s="48" t="n">
        <f aca="false">IF($U367&gt;=ATR_PER,AVERAGE(INDEX($AA$247:$AA367,122-ATR_PER):$AA367),"")</f>
        <v>284.785714285714</v>
      </c>
      <c r="AC367" s="48" t="n">
        <f aca="false">$O367-$P367</f>
        <v>-306310</v>
      </c>
      <c r="AD367" s="48" t="n">
        <f aca="false">$AC367*$I367</f>
        <v>-2266387690</v>
      </c>
      <c r="AE367" s="49" t="n">
        <f aca="false">IF($Q367&gt;0,$O367*$I367/$Q367/1000000,"")</f>
        <v>128.487814587786</v>
      </c>
      <c r="AF367" s="49" t="n">
        <f aca="false">IF($R367&gt;0,$P367*$I367/$R367/1000000,"")</f>
        <v>166.892092407674</v>
      </c>
      <c r="AG367" s="50" t="n">
        <f aca="false">IF(AND(ISNUMBER($AE367),ISNUMBER($AF367),$AF367&gt;0),$AE367/$AF367,"")</f>
        <v>0.769885575368808</v>
      </c>
      <c r="AH367" s="48" t="n">
        <f aca="false">IF($U367&gt;=5,SUM(INDEX($AD$337:$AD367,32-5):$AD367),"")</f>
        <v>153188090824</v>
      </c>
      <c r="AI367" s="48" t="n">
        <f aca="false">IF($U367&gt;=STRUCT_S,MAX(INDEX($G$217:$G367,152-STRUCT_S):$G367),"")</f>
        <v>7916</v>
      </c>
      <c r="AJ367" s="48" t="n">
        <f aca="false">IF($U367&gt;=STRUCT_S,MIN(INDEX($H$217:$H367,152-STRUCT_S):$H367),"")</f>
        <v>7175</v>
      </c>
      <c r="AK367" s="48" t="n">
        <f aca="false">IF($U367&gt;=STRUCT_L,MAX(INDEX($G$117:$G367,252-STRUCT_L):$G367),"")</f>
        <v>8518</v>
      </c>
      <c r="AL367" s="48" t="n">
        <f aca="false">IF($U367&gt;=STRUCT_L,MIN(INDEX($H$117:$H367,252-STRUCT_L):$H367),"")</f>
        <v>7175</v>
      </c>
      <c r="AM367" s="46" t="n">
        <f aca="false">IF($A367&lt;&gt;$A368,1,0)</f>
        <v>0</v>
      </c>
      <c r="AN367" s="47" t="str">
        <f aca="false">IF($AM367=1,$A367,"")</f>
        <v/>
      </c>
    </row>
    <row r="368" customFormat="false" ht="15" hidden="false" customHeight="false" outlineLevel="0" collapsed="false">
      <c r="A368" s="43" t="s">
        <v>138</v>
      </c>
      <c r="B368" s="44" t="s">
        <v>140</v>
      </c>
      <c r="C368" s="45" t="n">
        <v>46049</v>
      </c>
      <c r="D368" s="46" t="n">
        <v>20260127</v>
      </c>
      <c r="E368" s="47" t="s">
        <v>391</v>
      </c>
      <c r="F368" s="48" t="n">
        <v>7382</v>
      </c>
      <c r="G368" s="48" t="n">
        <v>7496</v>
      </c>
      <c r="H368" s="48" t="n">
        <v>7244</v>
      </c>
      <c r="I368" s="48" t="n">
        <v>7340</v>
      </c>
      <c r="J368" s="48" t="n">
        <v>7323</v>
      </c>
      <c r="K368" s="48" t="n">
        <v>7399</v>
      </c>
      <c r="L368" s="48" t="n">
        <v>16559773</v>
      </c>
      <c r="M368" s="48" t="n">
        <v>121548733820</v>
      </c>
      <c r="N368" s="48" t="n">
        <v>462</v>
      </c>
      <c r="O368" s="48" t="n">
        <v>9067047</v>
      </c>
      <c r="P368" s="48" t="n">
        <v>7841693</v>
      </c>
      <c r="Q368" s="48" t="n">
        <v>182</v>
      </c>
      <c r="R368" s="48" t="n">
        <v>158</v>
      </c>
      <c r="S368" s="48" t="n">
        <v>7492726</v>
      </c>
      <c r="T368" s="48" t="n">
        <v>8718080</v>
      </c>
      <c r="U368" s="46" t="n">
        <f aca="false">IF($A368=$A367,$U367+1,1)</f>
        <v>104</v>
      </c>
      <c r="V368" s="48" t="n">
        <f aca="false">IF($U368&gt;=MA_SHORT,AVERAGE(INDEX($I$5:$I368,365-MA_SHORT):$I368),"")</f>
        <v>7503.05</v>
      </c>
      <c r="W368" s="48" t="n">
        <f aca="false">IF($U368&gt;=MA_MED,AVERAGE(INDEX($I$5:$I368,365-MA_MED):$I368),"")</f>
        <v>7740</v>
      </c>
      <c r="X368" s="48" t="n">
        <f aca="false">IF($U368&gt;=MA_LONG1,AVERAGE(INDEX($I$5:$I368,365-MA_LONG1):$I368),"")</f>
        <v>7514.69</v>
      </c>
      <c r="Y368" s="48" t="str">
        <f aca="false">IF($U368&gt;=MA_LONG2,AVERAGE(INDEX($I$5:$I368,365-MA_LONG2):$I368),"")</f>
        <v/>
      </c>
      <c r="Z368" s="48" t="n">
        <f aca="false">IF($U368&gt;=MA_SHORT,AVERAGE(INDEX($L$248:$L368,122-MA_SHORT):$L368),"")</f>
        <v>19243940.85</v>
      </c>
      <c r="AA368" s="48" t="n">
        <f aca="false">IF($U368=1,$G368-$H368,MAX($G368-$H368,ABS($G368-$I367),ABS($H368-$I367)))</f>
        <v>252</v>
      </c>
      <c r="AB368" s="48" t="n">
        <f aca="false">IF($U368&gt;=ATR_PER,AVERAGE(INDEX($AA$248:$AA368,122-ATR_PER):$AA368),"")</f>
        <v>285.785714285714</v>
      </c>
      <c r="AC368" s="48" t="n">
        <f aca="false">$O368-$P368</f>
        <v>1225354</v>
      </c>
      <c r="AD368" s="48" t="n">
        <f aca="false">$AC368*$I368</f>
        <v>8994098360</v>
      </c>
      <c r="AE368" s="49" t="n">
        <f aca="false">IF($Q368&gt;0,$O368*$I368/$Q368/1000000,"")</f>
        <v>365.671016373626</v>
      </c>
      <c r="AF368" s="49" t="n">
        <f aca="false">IF($R368&gt;0,$P368*$I368/$R368/1000000,"")</f>
        <v>364.291307721519</v>
      </c>
      <c r="AG368" s="50" t="n">
        <f aca="false">IF(AND(ISNUMBER($AE368),ISNUMBER($AF368),$AF368&gt;0),$AE368/$AF368,"")</f>
        <v>1.00378737736219</v>
      </c>
      <c r="AH368" s="48" t="n">
        <f aca="false">IF($U368&gt;=5,SUM(INDEX($AD$338:$AD368,32-5):$AD368),"")</f>
        <v>114500007852</v>
      </c>
      <c r="AI368" s="48" t="n">
        <f aca="false">IF($U368&gt;=STRUCT_S,MAX(INDEX($G$218:$G368,152-STRUCT_S):$G368),"")</f>
        <v>7916</v>
      </c>
      <c r="AJ368" s="48" t="n">
        <f aca="false">IF($U368&gt;=STRUCT_S,MIN(INDEX($H$218:$H368,152-STRUCT_S):$H368),"")</f>
        <v>7175</v>
      </c>
      <c r="AK368" s="48" t="n">
        <f aca="false">IF($U368&gt;=STRUCT_L,MAX(INDEX($G$118:$G368,252-STRUCT_L):$G368),"")</f>
        <v>8518</v>
      </c>
      <c r="AL368" s="48" t="n">
        <f aca="false">IF($U368&gt;=STRUCT_L,MIN(INDEX($H$118:$H368,252-STRUCT_L):$H368),"")</f>
        <v>7175</v>
      </c>
      <c r="AM368" s="46" t="n">
        <f aca="false">IF($A368&lt;&gt;$A369,1,0)</f>
        <v>0</v>
      </c>
      <c r="AN368" s="47" t="str">
        <f aca="false">IF($AM368=1,$A368,"")</f>
        <v/>
      </c>
    </row>
    <row r="369" customFormat="false" ht="15" hidden="false" customHeight="false" outlineLevel="0" collapsed="false">
      <c r="A369" s="43" t="s">
        <v>138</v>
      </c>
      <c r="B369" s="44" t="s">
        <v>140</v>
      </c>
      <c r="C369" s="45" t="n">
        <v>46050</v>
      </c>
      <c r="D369" s="46" t="n">
        <v>20260128</v>
      </c>
      <c r="E369" s="47" t="s">
        <v>392</v>
      </c>
      <c r="F369" s="48" t="n">
        <v>7393</v>
      </c>
      <c r="G369" s="48" t="n">
        <v>7465</v>
      </c>
      <c r="H369" s="48" t="n">
        <v>7271</v>
      </c>
      <c r="I369" s="48" t="n">
        <v>7395</v>
      </c>
      <c r="J369" s="48" t="n">
        <v>7326</v>
      </c>
      <c r="K369" s="48" t="n">
        <v>7340</v>
      </c>
      <c r="L369" s="48" t="n">
        <v>15200690</v>
      </c>
      <c r="M369" s="48" t="n">
        <v>112409102550</v>
      </c>
      <c r="N369" s="48" t="n">
        <v>452</v>
      </c>
      <c r="O369" s="48" t="n">
        <v>9721803</v>
      </c>
      <c r="P369" s="48" t="n">
        <v>5757461</v>
      </c>
      <c r="Q369" s="48" t="n">
        <v>169</v>
      </c>
      <c r="R369" s="48" t="n">
        <v>186</v>
      </c>
      <c r="S369" s="48" t="n">
        <v>5478887</v>
      </c>
      <c r="T369" s="48" t="n">
        <v>9443229</v>
      </c>
      <c r="U369" s="46" t="n">
        <f aca="false">IF($A369=$A368,$U368+1,1)</f>
        <v>105</v>
      </c>
      <c r="V369" s="48" t="n">
        <f aca="false">IF($U369&gt;=MA_SHORT,AVERAGE(INDEX($I$5:$I369,366-MA_SHORT):$I369),"")</f>
        <v>7498.1</v>
      </c>
      <c r="W369" s="48" t="n">
        <f aca="false">IF($U369&gt;=MA_MED,AVERAGE(INDEX($I$5:$I369,366-MA_MED):$I369),"")</f>
        <v>7732.94</v>
      </c>
      <c r="X369" s="48" t="n">
        <f aca="false">IF($U369&gt;=MA_LONG1,AVERAGE(INDEX($I$5:$I369,366-MA_LONG1):$I369),"")</f>
        <v>7516.58</v>
      </c>
      <c r="Y369" s="48" t="str">
        <f aca="false">IF($U369&gt;=MA_LONG2,AVERAGE(INDEX($I$5:$I369,366-MA_LONG2):$I369),"")</f>
        <v/>
      </c>
      <c r="Z369" s="48" t="n">
        <f aca="false">IF($U369&gt;=MA_SHORT,AVERAGE(INDEX($L$249:$L369,122-MA_SHORT):$L369),"")</f>
        <v>19111122.85</v>
      </c>
      <c r="AA369" s="48" t="n">
        <f aca="false">IF($U369=1,$G369-$H369,MAX($G369-$H369,ABS($G369-$I368),ABS($H369-$I368)))</f>
        <v>194</v>
      </c>
      <c r="AB369" s="48" t="n">
        <f aca="false">IF($U369&gt;=ATR_PER,AVERAGE(INDEX($AA$249:$AA369,122-ATR_PER):$AA369),"")</f>
        <v>280.285714285714</v>
      </c>
      <c r="AC369" s="48" t="n">
        <f aca="false">$O369-$P369</f>
        <v>3964342</v>
      </c>
      <c r="AD369" s="48" t="n">
        <f aca="false">$AC369*$I369</f>
        <v>29316309090</v>
      </c>
      <c r="AE369" s="49" t="n">
        <f aca="false">IF($Q369&gt;0,$O369*$I369/$Q369/1000000,"")</f>
        <v>425.400788076923</v>
      </c>
      <c r="AF369" s="49" t="n">
        <f aca="false">IF($R369&gt;0,$P369*$I369/$R369/1000000,"")</f>
        <v>228.905505887097</v>
      </c>
      <c r="AG369" s="50" t="n">
        <f aca="false">IF(AND(ISNUMBER($AE369),ISNUMBER($AF369),$AF369&gt;0),$AE369/$AF369,"")</f>
        <v>1.85841221436912</v>
      </c>
      <c r="AH369" s="48" t="n">
        <f aca="false">IF($U369&gt;=5,SUM(INDEX($AD$339:$AD369,32-5):$AD369),"")</f>
        <v>57758347266</v>
      </c>
      <c r="AI369" s="48" t="n">
        <f aca="false">IF($U369&gt;=STRUCT_S,MAX(INDEX($G$219:$G369,152-STRUCT_S):$G369),"")</f>
        <v>7916</v>
      </c>
      <c r="AJ369" s="48" t="n">
        <f aca="false">IF($U369&gt;=STRUCT_S,MIN(INDEX($H$219:$H369,152-STRUCT_S):$H369),"")</f>
        <v>7175</v>
      </c>
      <c r="AK369" s="48" t="n">
        <f aca="false">IF($U369&gt;=STRUCT_L,MAX(INDEX($G$119:$G369,252-STRUCT_L):$G369),"")</f>
        <v>8518</v>
      </c>
      <c r="AL369" s="48" t="n">
        <f aca="false">IF($U369&gt;=STRUCT_L,MIN(INDEX($H$119:$H369,252-STRUCT_L):$H369),"")</f>
        <v>7175</v>
      </c>
      <c r="AM369" s="46" t="n">
        <f aca="false">IF($A369&lt;&gt;$A370,1,0)</f>
        <v>0</v>
      </c>
      <c r="AN369" s="47" t="str">
        <f aca="false">IF($AM369=1,$A369,"")</f>
        <v/>
      </c>
    </row>
    <row r="370" customFormat="false" ht="15" hidden="false" customHeight="false" outlineLevel="0" collapsed="false">
      <c r="A370" s="43" t="s">
        <v>138</v>
      </c>
      <c r="B370" s="44" t="s">
        <v>140</v>
      </c>
      <c r="C370" s="45" t="n">
        <v>46053</v>
      </c>
      <c r="D370" s="46" t="n">
        <v>20260131</v>
      </c>
      <c r="E370" s="47" t="s">
        <v>393</v>
      </c>
      <c r="F370" s="48" t="n">
        <v>7408</v>
      </c>
      <c r="G370" s="48" t="n">
        <v>7461</v>
      </c>
      <c r="H370" s="48" t="n">
        <v>7239</v>
      </c>
      <c r="I370" s="48" t="n">
        <v>7304</v>
      </c>
      <c r="J370" s="48" t="n">
        <v>7263</v>
      </c>
      <c r="K370" s="48" t="n">
        <v>7395</v>
      </c>
      <c r="L370" s="48" t="n">
        <v>17199320</v>
      </c>
      <c r="M370" s="48" t="n">
        <v>125623833280</v>
      </c>
      <c r="N370" s="48" t="n">
        <v>1097</v>
      </c>
      <c r="O370" s="48" t="n">
        <v>8584541</v>
      </c>
      <c r="P370" s="48" t="n">
        <v>8994982</v>
      </c>
      <c r="Q370" s="48" t="n">
        <v>604</v>
      </c>
      <c r="R370" s="48" t="n">
        <v>350</v>
      </c>
      <c r="S370" s="48" t="n">
        <v>8614779</v>
      </c>
      <c r="T370" s="48" t="n">
        <v>8204338</v>
      </c>
      <c r="U370" s="46" t="n">
        <f aca="false">IF($A370=$A369,$U369+1,1)</f>
        <v>106</v>
      </c>
      <c r="V370" s="48" t="n">
        <f aca="false">IF($U370&gt;=MA_SHORT,AVERAGE(INDEX($I$5:$I370,367-MA_SHORT):$I370),"")</f>
        <v>7488</v>
      </c>
      <c r="W370" s="48" t="n">
        <f aca="false">IF($U370&gt;=MA_MED,AVERAGE(INDEX($I$5:$I370,367-MA_MED):$I370),"")</f>
        <v>7725.7</v>
      </c>
      <c r="X370" s="48" t="n">
        <f aca="false">IF($U370&gt;=MA_LONG1,AVERAGE(INDEX($I$5:$I370,367-MA_LONG1):$I370),"")</f>
        <v>7517.89</v>
      </c>
      <c r="Y370" s="48" t="str">
        <f aca="false">IF($U370&gt;=MA_LONG2,AVERAGE(INDEX($I$5:$I370,367-MA_LONG2):$I370),"")</f>
        <v/>
      </c>
      <c r="Z370" s="48" t="n">
        <f aca="false">IF($U370&gt;=MA_SHORT,AVERAGE(INDEX($L$250:$L370,122-MA_SHORT):$L370),"")</f>
        <v>18689281.4</v>
      </c>
      <c r="AA370" s="48" t="n">
        <f aca="false">IF($U370=1,$G370-$H370,MAX($G370-$H370,ABS($G370-$I369),ABS($H370-$I369)))</f>
        <v>222</v>
      </c>
      <c r="AB370" s="48" t="n">
        <f aca="false">IF($U370&gt;=ATR_PER,AVERAGE(INDEX($AA$250:$AA370,122-ATR_PER):$AA370),"")</f>
        <v>273.428571428571</v>
      </c>
      <c r="AC370" s="48" t="n">
        <f aca="false">$O370-$P370</f>
        <v>-410441</v>
      </c>
      <c r="AD370" s="48" t="n">
        <f aca="false">$AC370*$I370</f>
        <v>-2997861064</v>
      </c>
      <c r="AE370" s="49" t="n">
        <f aca="false">IF($Q370&gt;0,$O370*$I370/$Q370/1000000,"")</f>
        <v>103.810409708609</v>
      </c>
      <c r="AF370" s="49" t="n">
        <f aca="false">IF($R370&gt;0,$P370*$I370/$R370/1000000,"")</f>
        <v>187.712424365714</v>
      </c>
      <c r="AG370" s="50" t="n">
        <f aca="false">IF(AND(ISNUMBER($AE370),ISNUMBER($AF370),$AF370&gt;0),$AE370/$AF370,"")</f>
        <v>0.553028975356254</v>
      </c>
      <c r="AH370" s="48" t="n">
        <f aca="false">IF($U370&gt;=5,SUM(INDEX($AD$340:$AD370,32-5):$AD370),"")</f>
        <v>24902160366</v>
      </c>
      <c r="AI370" s="48" t="n">
        <f aca="false">IF($U370&gt;=STRUCT_S,MAX(INDEX($G$220:$G370,152-STRUCT_S):$G370),"")</f>
        <v>7916</v>
      </c>
      <c r="AJ370" s="48" t="n">
        <f aca="false">IF($U370&gt;=STRUCT_S,MIN(INDEX($H$220:$H370,152-STRUCT_S):$H370),"")</f>
        <v>7175</v>
      </c>
      <c r="AK370" s="48" t="n">
        <f aca="false">IF($U370&gt;=STRUCT_L,MAX(INDEX($G$120:$G370,252-STRUCT_L):$G370),"")</f>
        <v>8518</v>
      </c>
      <c r="AL370" s="48" t="n">
        <f aca="false">IF($U370&gt;=STRUCT_L,MIN(INDEX($H$120:$H370,252-STRUCT_L):$H370),"")</f>
        <v>7175</v>
      </c>
      <c r="AM370" s="46" t="n">
        <f aca="false">IF($A370&lt;&gt;$A371,1,0)</f>
        <v>0</v>
      </c>
      <c r="AN370" s="47" t="str">
        <f aca="false">IF($AM370=1,$A370,"")</f>
        <v/>
      </c>
    </row>
    <row r="371" customFormat="false" ht="15" hidden="false" customHeight="false" outlineLevel="0" collapsed="false">
      <c r="A371" s="43" t="s">
        <v>138</v>
      </c>
      <c r="B371" s="44" t="s">
        <v>140</v>
      </c>
      <c r="C371" s="45" t="n">
        <v>46054</v>
      </c>
      <c r="D371" s="46" t="n">
        <v>20260201</v>
      </c>
      <c r="E371" s="47" t="s">
        <v>394</v>
      </c>
      <c r="F371" s="48" t="n">
        <v>7421</v>
      </c>
      <c r="G371" s="48" t="n">
        <v>7458</v>
      </c>
      <c r="H371" s="48" t="n">
        <v>7096</v>
      </c>
      <c r="I371" s="48" t="n">
        <v>7249</v>
      </c>
      <c r="J371" s="48" t="n">
        <v>7414</v>
      </c>
      <c r="K371" s="48" t="n">
        <v>7304</v>
      </c>
      <c r="L371" s="48" t="n">
        <v>15173985</v>
      </c>
      <c r="M371" s="48" t="n">
        <v>109996217265</v>
      </c>
      <c r="N371" s="48" t="n">
        <v>401</v>
      </c>
      <c r="O371" s="48" t="n">
        <v>7933233</v>
      </c>
      <c r="P371" s="48" t="n">
        <v>7917651</v>
      </c>
      <c r="Q371" s="48" t="n">
        <v>207</v>
      </c>
      <c r="R371" s="48" t="n">
        <v>172</v>
      </c>
      <c r="S371" s="48" t="n">
        <v>7240752</v>
      </c>
      <c r="T371" s="48" t="n">
        <v>7256334</v>
      </c>
      <c r="U371" s="46" t="n">
        <f aca="false">IF($A371=$A370,$U370+1,1)</f>
        <v>107</v>
      </c>
      <c r="V371" s="48" t="n">
        <f aca="false">IF($U371&gt;=MA_SHORT,AVERAGE(INDEX($I$5:$I371,368-MA_SHORT):$I371),"")</f>
        <v>7475.5</v>
      </c>
      <c r="W371" s="48" t="n">
        <f aca="false">IF($U371&gt;=MA_MED,AVERAGE(INDEX($I$5:$I371,368-MA_MED):$I371),"")</f>
        <v>7714.8</v>
      </c>
      <c r="X371" s="48" t="n">
        <f aca="false">IF($U371&gt;=MA_LONG1,AVERAGE(INDEX($I$5:$I371,368-MA_LONG1):$I371),"")</f>
        <v>7519.16</v>
      </c>
      <c r="Y371" s="48" t="str">
        <f aca="false">IF($U371&gt;=MA_LONG2,AVERAGE(INDEX($I$5:$I371,368-MA_LONG2):$I371),"")</f>
        <v/>
      </c>
      <c r="Z371" s="48" t="n">
        <f aca="false">IF($U371&gt;=MA_SHORT,AVERAGE(INDEX($L$251:$L371,122-MA_SHORT):$L371),"")</f>
        <v>18718016.4</v>
      </c>
      <c r="AA371" s="48" t="n">
        <f aca="false">IF($U371=1,$G371-$H371,MAX($G371-$H371,ABS($G371-$I370),ABS($H371-$I370)))</f>
        <v>362</v>
      </c>
      <c r="AB371" s="48" t="n">
        <f aca="false">IF($U371&gt;=ATR_PER,AVERAGE(INDEX($AA$251:$AA371,122-ATR_PER):$AA371),"")</f>
        <v>285.857142857143</v>
      </c>
      <c r="AC371" s="48" t="n">
        <f aca="false">$O371-$P371</f>
        <v>15582</v>
      </c>
      <c r="AD371" s="48" t="n">
        <f aca="false">$AC371*$I371</f>
        <v>112953918</v>
      </c>
      <c r="AE371" s="49" t="n">
        <f aca="false">IF($Q371&gt;0,$O371*$I371/$Q371/1000000,"")</f>
        <v>277.816454188406</v>
      </c>
      <c r="AF371" s="49" t="n">
        <f aca="false">IF($R371&gt;0,$P371*$I371/$R371/1000000,"")</f>
        <v>333.692163366279</v>
      </c>
      <c r="AG371" s="50" t="n">
        <f aca="false">IF(AND(ISNUMBER($AE371),ISNUMBER($AF371),$AF371&gt;0),$AE371/$AF371,"")</f>
        <v>0.832553127366851</v>
      </c>
      <c r="AH371" s="48" t="n">
        <f aca="false">IF($U371&gt;=5,SUM(INDEX($AD$341:$AD371,32-5):$AD371),"")</f>
        <v>33159112614</v>
      </c>
      <c r="AI371" s="48" t="n">
        <f aca="false">IF($U371&gt;=STRUCT_S,MAX(INDEX($G$221:$G371,152-STRUCT_S):$G371),"")</f>
        <v>7916</v>
      </c>
      <c r="AJ371" s="48" t="n">
        <f aca="false">IF($U371&gt;=STRUCT_S,MIN(INDEX($H$221:$H371,152-STRUCT_S):$H371),"")</f>
        <v>7096</v>
      </c>
      <c r="AK371" s="48" t="n">
        <f aca="false">IF($U371&gt;=STRUCT_L,MAX(INDEX($G$121:$G371,252-STRUCT_L):$G371),"")</f>
        <v>8518</v>
      </c>
      <c r="AL371" s="48" t="n">
        <f aca="false">IF($U371&gt;=STRUCT_L,MIN(INDEX($H$121:$H371,252-STRUCT_L):$H371),"")</f>
        <v>7096</v>
      </c>
      <c r="AM371" s="46" t="n">
        <f aca="false">IF($A371&lt;&gt;$A372,1,0)</f>
        <v>0</v>
      </c>
      <c r="AN371" s="47" t="str">
        <f aca="false">IF($AM371=1,$A371,"")</f>
        <v/>
      </c>
    </row>
    <row r="372" customFormat="false" ht="15" hidden="false" customHeight="false" outlineLevel="0" collapsed="false">
      <c r="A372" s="43" t="s">
        <v>138</v>
      </c>
      <c r="B372" s="44" t="s">
        <v>140</v>
      </c>
      <c r="C372" s="45" t="n">
        <v>46055</v>
      </c>
      <c r="D372" s="46" t="n">
        <v>20260202</v>
      </c>
      <c r="E372" s="47" t="s">
        <v>395</v>
      </c>
      <c r="F372" s="48" t="n">
        <v>7109</v>
      </c>
      <c r="G372" s="48" t="n">
        <v>7269</v>
      </c>
      <c r="H372" s="48" t="n">
        <v>7098</v>
      </c>
      <c r="I372" s="48" t="n">
        <v>7118</v>
      </c>
      <c r="J372" s="48" t="n">
        <v>7119</v>
      </c>
      <c r="K372" s="48" t="n">
        <v>7249</v>
      </c>
      <c r="L372" s="48" t="n">
        <v>16092222</v>
      </c>
      <c r="M372" s="48" t="n">
        <v>114544436196</v>
      </c>
      <c r="N372" s="48" t="n">
        <v>837</v>
      </c>
      <c r="O372" s="48" t="n">
        <v>8077514</v>
      </c>
      <c r="P372" s="48" t="n">
        <v>7917995</v>
      </c>
      <c r="Q372" s="48" t="n">
        <v>449</v>
      </c>
      <c r="R372" s="48" t="n">
        <v>327</v>
      </c>
      <c r="S372" s="48" t="n">
        <v>8014708</v>
      </c>
      <c r="T372" s="48" t="n">
        <v>8174227</v>
      </c>
      <c r="U372" s="46" t="n">
        <f aca="false">IF($A372=$A371,$U371+1,1)</f>
        <v>108</v>
      </c>
      <c r="V372" s="48" t="n">
        <f aca="false">IF($U372&gt;=MA_SHORT,AVERAGE(INDEX($I$5:$I372,369-MA_SHORT):$I372),"")</f>
        <v>7448.9</v>
      </c>
      <c r="W372" s="48" t="n">
        <f aca="false">IF($U372&gt;=MA_MED,AVERAGE(INDEX($I$5:$I372,369-MA_MED):$I372),"")</f>
        <v>7704.76</v>
      </c>
      <c r="X372" s="48" t="n">
        <f aca="false">IF($U372&gt;=MA_LONG1,AVERAGE(INDEX($I$5:$I372,369-MA_LONG1):$I372),"")</f>
        <v>7520.31</v>
      </c>
      <c r="Y372" s="48" t="str">
        <f aca="false">IF($U372&gt;=MA_LONG2,AVERAGE(INDEX($I$5:$I372,369-MA_LONG2):$I372),"")</f>
        <v/>
      </c>
      <c r="Z372" s="48" t="n">
        <f aca="false">IF($U372&gt;=MA_SHORT,AVERAGE(INDEX($L$252:$L372,122-MA_SHORT):$L372),"")</f>
        <v>18709024.35</v>
      </c>
      <c r="AA372" s="48" t="n">
        <f aca="false">IF($U372=1,$G372-$H372,MAX($G372-$H372,ABS($G372-$I371),ABS($H372-$I371)))</f>
        <v>171</v>
      </c>
      <c r="AB372" s="48" t="n">
        <f aca="false">IF($U372&gt;=ATR_PER,AVERAGE(INDEX($AA$252:$AA372,122-ATR_PER):$AA372),"")</f>
        <v>272.642857142857</v>
      </c>
      <c r="AC372" s="48" t="n">
        <f aca="false">$O372-$P372</f>
        <v>159519</v>
      </c>
      <c r="AD372" s="48" t="n">
        <f aca="false">$AC372*$I372</f>
        <v>1135456242</v>
      </c>
      <c r="AE372" s="49" t="n">
        <f aca="false">IF($Q372&gt;0,$O372*$I372/$Q372/1000000,"")</f>
        <v>128.052883412027</v>
      </c>
      <c r="AF372" s="49" t="n">
        <f aca="false">IF($R372&gt;0,$P372*$I372/$R372/1000000,"")</f>
        <v>172.35562204893</v>
      </c>
      <c r="AG372" s="50" t="n">
        <f aca="false">IF(AND(ISNUMBER($AE372),ISNUMBER($AF372),$AF372&gt;0),$AE372/$AF372,"")</f>
        <v>0.742957391756412</v>
      </c>
      <c r="AH372" s="48" t="n">
        <f aca="false">IF($U372&gt;=5,SUM(INDEX($AD$342:$AD372,32-5):$AD372),"")</f>
        <v>36560956546</v>
      </c>
      <c r="AI372" s="48" t="n">
        <f aca="false">IF($U372&gt;=STRUCT_S,MAX(INDEX($G$222:$G372,152-STRUCT_S):$G372),"")</f>
        <v>7916</v>
      </c>
      <c r="AJ372" s="48" t="n">
        <f aca="false">IF($U372&gt;=STRUCT_S,MIN(INDEX($H$222:$H372,152-STRUCT_S):$H372),"")</f>
        <v>7096</v>
      </c>
      <c r="AK372" s="48" t="n">
        <f aca="false">IF($U372&gt;=STRUCT_L,MAX(INDEX($G$122:$G372,252-STRUCT_L):$G372),"")</f>
        <v>8518</v>
      </c>
      <c r="AL372" s="48" t="n">
        <f aca="false">IF($U372&gt;=STRUCT_L,MIN(INDEX($H$122:$H372,252-STRUCT_L):$H372),"")</f>
        <v>7096</v>
      </c>
      <c r="AM372" s="46" t="n">
        <f aca="false">IF($A372&lt;&gt;$A373,1,0)</f>
        <v>0</v>
      </c>
      <c r="AN372" s="47" t="str">
        <f aca="false">IF($AM372=1,$A372,"")</f>
        <v/>
      </c>
    </row>
    <row r="373" customFormat="false" ht="15" hidden="false" customHeight="false" outlineLevel="0" collapsed="false">
      <c r="A373" s="43" t="s">
        <v>138</v>
      </c>
      <c r="B373" s="44" t="s">
        <v>140</v>
      </c>
      <c r="C373" s="45" t="n">
        <v>46056</v>
      </c>
      <c r="D373" s="46" t="n">
        <v>20260203</v>
      </c>
      <c r="E373" s="47" t="s">
        <v>396</v>
      </c>
      <c r="F373" s="48" t="n">
        <v>7089</v>
      </c>
      <c r="G373" s="48" t="n">
        <v>7327</v>
      </c>
      <c r="H373" s="48" t="n">
        <v>6986</v>
      </c>
      <c r="I373" s="48" t="n">
        <v>7193</v>
      </c>
      <c r="J373" s="48" t="n">
        <v>7264</v>
      </c>
      <c r="K373" s="48" t="n">
        <v>7118</v>
      </c>
      <c r="L373" s="48" t="n">
        <v>15435880</v>
      </c>
      <c r="M373" s="48" t="n">
        <v>111030284840</v>
      </c>
      <c r="N373" s="48" t="n">
        <v>1133</v>
      </c>
      <c r="O373" s="48" t="n">
        <v>9498212</v>
      </c>
      <c r="P373" s="48" t="n">
        <v>6266850</v>
      </c>
      <c r="Q373" s="48" t="n">
        <v>346</v>
      </c>
      <c r="R373" s="48" t="n">
        <v>465</v>
      </c>
      <c r="S373" s="48" t="n">
        <v>5937668</v>
      </c>
      <c r="T373" s="48" t="n">
        <v>9169030</v>
      </c>
      <c r="U373" s="46" t="n">
        <f aca="false">IF($A373=$A372,$U372+1,1)</f>
        <v>109</v>
      </c>
      <c r="V373" s="48" t="n">
        <f aca="false">IF($U373&gt;=MA_SHORT,AVERAGE(INDEX($I$5:$I373,370-MA_SHORT):$I373),"")</f>
        <v>7423.1</v>
      </c>
      <c r="W373" s="48" t="n">
        <f aca="false">IF($U373&gt;=MA_MED,AVERAGE(INDEX($I$5:$I373,370-MA_MED):$I373),"")</f>
        <v>7691.74</v>
      </c>
      <c r="X373" s="48" t="n">
        <f aca="false">IF($U373&gt;=MA_LONG1,AVERAGE(INDEX($I$5:$I373,370-MA_LONG1):$I373),"")</f>
        <v>7523.09</v>
      </c>
      <c r="Y373" s="48" t="str">
        <f aca="false">IF($U373&gt;=MA_LONG2,AVERAGE(INDEX($I$5:$I373,370-MA_LONG2):$I373),"")</f>
        <v/>
      </c>
      <c r="Z373" s="48" t="n">
        <f aca="false">IF($U373&gt;=MA_SHORT,AVERAGE(INDEX($L$253:$L373,122-MA_SHORT):$L373),"")</f>
        <v>18721325.15</v>
      </c>
      <c r="AA373" s="48" t="n">
        <f aca="false">IF($U373=1,$G373-$H373,MAX($G373-$H373,ABS($G373-$I372),ABS($H373-$I372)))</f>
        <v>341</v>
      </c>
      <c r="AB373" s="48" t="n">
        <f aca="false">IF($U373&gt;=ATR_PER,AVERAGE(INDEX($AA$253:$AA373,122-ATR_PER):$AA373),"")</f>
        <v>288.428571428571</v>
      </c>
      <c r="AC373" s="48" t="n">
        <f aca="false">$O373-$P373</f>
        <v>3231362</v>
      </c>
      <c r="AD373" s="48" t="n">
        <f aca="false">$AC373*$I373</f>
        <v>23243186866</v>
      </c>
      <c r="AE373" s="49" t="n">
        <f aca="false">IF($Q373&gt;0,$O373*$I373/$Q373/1000000,"")</f>
        <v>197.458493976879</v>
      </c>
      <c r="AF373" s="49" t="n">
        <f aca="false">IF($R373&gt;0,$P373*$I373/$R373/1000000,"")</f>
        <v>96.9407570967742</v>
      </c>
      <c r="AG373" s="50" t="n">
        <f aca="false">IF(AND(ISNUMBER($AE373),ISNUMBER($AF373),$AF373&gt;0),$AE373/$AF373,"")</f>
        <v>2.03689861612861</v>
      </c>
      <c r="AH373" s="48" t="n">
        <f aca="false">IF($U373&gt;=5,SUM(INDEX($AD$343:$AD373,32-5):$AD373),"")</f>
        <v>50810045052</v>
      </c>
      <c r="AI373" s="48" t="n">
        <f aca="false">IF($U373&gt;=STRUCT_S,MAX(INDEX($G$223:$G373,152-STRUCT_S):$G373),"")</f>
        <v>7916</v>
      </c>
      <c r="AJ373" s="48" t="n">
        <f aca="false">IF($U373&gt;=STRUCT_S,MIN(INDEX($H$223:$H373,152-STRUCT_S):$H373),"")</f>
        <v>6986</v>
      </c>
      <c r="AK373" s="48" t="n">
        <f aca="false">IF($U373&gt;=STRUCT_L,MAX(INDEX($G$123:$G373,252-STRUCT_L):$G373),"")</f>
        <v>8518</v>
      </c>
      <c r="AL373" s="48" t="n">
        <f aca="false">IF($U373&gt;=STRUCT_L,MIN(INDEX($H$123:$H373,252-STRUCT_L):$H373),"")</f>
        <v>6986</v>
      </c>
      <c r="AM373" s="46" t="n">
        <f aca="false">IF($A373&lt;&gt;$A374,1,0)</f>
        <v>0</v>
      </c>
      <c r="AN373" s="47" t="str">
        <f aca="false">IF($AM373=1,$A373,"")</f>
        <v/>
      </c>
    </row>
    <row r="374" customFormat="false" ht="15" hidden="false" customHeight="false" outlineLevel="0" collapsed="false">
      <c r="A374" s="43" t="s">
        <v>138</v>
      </c>
      <c r="B374" s="44" t="s">
        <v>140</v>
      </c>
      <c r="C374" s="45" t="n">
        <v>46057</v>
      </c>
      <c r="D374" s="46" t="n">
        <v>20260204</v>
      </c>
      <c r="E374" s="47" t="s">
        <v>397</v>
      </c>
      <c r="F374" s="48" t="n">
        <v>7201</v>
      </c>
      <c r="G374" s="48" t="n">
        <v>7248</v>
      </c>
      <c r="H374" s="48" t="n">
        <v>7097</v>
      </c>
      <c r="I374" s="48" t="n">
        <v>7151</v>
      </c>
      <c r="J374" s="48" t="n">
        <v>7189</v>
      </c>
      <c r="K374" s="48" t="n">
        <v>7193</v>
      </c>
      <c r="L374" s="48" t="n">
        <v>15913431</v>
      </c>
      <c r="M374" s="48" t="n">
        <v>113796945081</v>
      </c>
      <c r="N374" s="48" t="n">
        <v>466</v>
      </c>
      <c r="O374" s="48" t="n">
        <v>8489549</v>
      </c>
      <c r="P374" s="48" t="n">
        <v>7729412</v>
      </c>
      <c r="Q374" s="48" t="n">
        <v>203</v>
      </c>
      <c r="R374" s="48" t="n">
        <v>202</v>
      </c>
      <c r="S374" s="48" t="n">
        <v>7423882</v>
      </c>
      <c r="T374" s="48" t="n">
        <v>8184019</v>
      </c>
      <c r="U374" s="46" t="n">
        <f aca="false">IF($A374=$A373,$U373+1,1)</f>
        <v>110</v>
      </c>
      <c r="V374" s="48" t="n">
        <f aca="false">IF($U374&gt;=MA_SHORT,AVERAGE(INDEX($I$5:$I374,371-MA_SHORT):$I374),"")</f>
        <v>7404.8</v>
      </c>
      <c r="W374" s="48" t="n">
        <f aca="false">IF($U374&gt;=MA_MED,AVERAGE(INDEX($I$5:$I374,371-MA_MED):$I374),"")</f>
        <v>7680.06</v>
      </c>
      <c r="X374" s="48" t="n">
        <f aca="false">IF($U374&gt;=MA_LONG1,AVERAGE(INDEX($I$5:$I374,371-MA_LONG1):$I374),"")</f>
        <v>7526.62</v>
      </c>
      <c r="Y374" s="48" t="str">
        <f aca="false">IF($U374&gt;=MA_LONG2,AVERAGE(INDEX($I$5:$I374,371-MA_LONG2):$I374),"")</f>
        <v/>
      </c>
      <c r="Z374" s="48" t="n">
        <f aca="false">IF($U374&gt;=MA_SHORT,AVERAGE(INDEX($L$254:$L374,122-MA_SHORT):$L374),"")</f>
        <v>18364091.8</v>
      </c>
      <c r="AA374" s="48" t="n">
        <f aca="false">IF($U374=1,$G374-$H374,MAX($G374-$H374,ABS($G374-$I373),ABS($H374-$I373)))</f>
        <v>151</v>
      </c>
      <c r="AB374" s="48" t="n">
        <f aca="false">IF($U374&gt;=ATR_PER,AVERAGE(INDEX($AA$254:$AA374,122-ATR_PER):$AA374),"")</f>
        <v>289.285714285714</v>
      </c>
      <c r="AC374" s="48" t="n">
        <f aca="false">$O374-$P374</f>
        <v>760137</v>
      </c>
      <c r="AD374" s="48" t="n">
        <f aca="false">$AC374*$I374</f>
        <v>5435739687</v>
      </c>
      <c r="AE374" s="49" t="n">
        <f aca="false">IF($Q374&gt;0,$O374*$I374/$Q374/1000000,"")</f>
        <v>299.057955167488</v>
      </c>
      <c r="AF374" s="49" t="n">
        <f aca="false">IF($R374&gt;0,$P374*$I374/$R374/1000000,"")</f>
        <v>273.628837683168</v>
      </c>
      <c r="AG374" s="50" t="n">
        <f aca="false">IF(AND(ISNUMBER($AE374),ISNUMBER($AF374),$AF374&gt;0),$AE374/$AF374,"")</f>
        <v>1.092932885655</v>
      </c>
      <c r="AH374" s="48" t="n">
        <f aca="false">IF($U374&gt;=5,SUM(INDEX($AD$344:$AD374,32-5):$AD374),"")</f>
        <v>26929475649</v>
      </c>
      <c r="AI374" s="48" t="n">
        <f aca="false">IF($U374&gt;=STRUCT_S,MAX(INDEX($G$224:$G374,152-STRUCT_S):$G374),"")</f>
        <v>7916</v>
      </c>
      <c r="AJ374" s="48" t="n">
        <f aca="false">IF($U374&gt;=STRUCT_S,MIN(INDEX($H$224:$H374,152-STRUCT_S):$H374),"")</f>
        <v>6986</v>
      </c>
      <c r="AK374" s="48" t="n">
        <f aca="false">IF($U374&gt;=STRUCT_L,MAX(INDEX($G$124:$G374,252-STRUCT_L):$G374),"")</f>
        <v>8518</v>
      </c>
      <c r="AL374" s="48" t="n">
        <f aca="false">IF($U374&gt;=STRUCT_L,MIN(INDEX($H$124:$H374,252-STRUCT_L):$H374),"")</f>
        <v>6986</v>
      </c>
      <c r="AM374" s="46" t="n">
        <f aca="false">IF($A374&lt;&gt;$A375,1,0)</f>
        <v>0</v>
      </c>
      <c r="AN374" s="47" t="str">
        <f aca="false">IF($AM374=1,$A374,"")</f>
        <v/>
      </c>
    </row>
    <row r="375" customFormat="false" ht="15" hidden="false" customHeight="false" outlineLevel="0" collapsed="false">
      <c r="A375" s="43" t="s">
        <v>138</v>
      </c>
      <c r="B375" s="44" t="s">
        <v>140</v>
      </c>
      <c r="C375" s="45" t="n">
        <v>46060</v>
      </c>
      <c r="D375" s="46" t="n">
        <v>20260207</v>
      </c>
      <c r="E375" s="47" t="s">
        <v>398</v>
      </c>
      <c r="F375" s="48" t="n">
        <v>7299</v>
      </c>
      <c r="G375" s="48" t="n">
        <v>7533</v>
      </c>
      <c r="H375" s="48" t="n">
        <v>6987</v>
      </c>
      <c r="I375" s="48" t="n">
        <v>7365</v>
      </c>
      <c r="J375" s="48" t="n">
        <v>7337</v>
      </c>
      <c r="K375" s="48" t="n">
        <v>7151</v>
      </c>
      <c r="L375" s="48" t="n">
        <v>17124841</v>
      </c>
      <c r="M375" s="48" t="n">
        <v>126124453965</v>
      </c>
      <c r="N375" s="48" t="n">
        <v>423</v>
      </c>
      <c r="O375" s="48" t="n">
        <v>12272194</v>
      </c>
      <c r="P375" s="48" t="n">
        <v>4278715</v>
      </c>
      <c r="Q375" s="48" t="n">
        <v>176</v>
      </c>
      <c r="R375" s="48" t="n">
        <v>157</v>
      </c>
      <c r="S375" s="48" t="n">
        <v>4852647</v>
      </c>
      <c r="T375" s="48" t="n">
        <v>12846126</v>
      </c>
      <c r="U375" s="46" t="n">
        <f aca="false">IF($A375=$A374,$U374+1,1)</f>
        <v>111</v>
      </c>
      <c r="V375" s="48" t="n">
        <f aca="false">IF($U375&gt;=MA_SHORT,AVERAGE(INDEX($I$5:$I375,372-MA_SHORT):$I375),"")</f>
        <v>7399.4</v>
      </c>
      <c r="W375" s="48" t="n">
        <f aca="false">IF($U375&gt;=MA_MED,AVERAGE(INDEX($I$5:$I375,372-MA_MED):$I375),"")</f>
        <v>7673.18</v>
      </c>
      <c r="X375" s="48" t="n">
        <f aca="false">IF($U375&gt;=MA_LONG1,AVERAGE(INDEX($I$5:$I375,372-MA_LONG1):$I375),"")</f>
        <v>7532.4</v>
      </c>
      <c r="Y375" s="48" t="str">
        <f aca="false">IF($U375&gt;=MA_LONG2,AVERAGE(INDEX($I$5:$I375,372-MA_LONG2):$I375),"")</f>
        <v/>
      </c>
      <c r="Z375" s="48" t="n">
        <f aca="false">IF($U375&gt;=MA_SHORT,AVERAGE(INDEX($L$255:$L375,122-MA_SHORT):$L375),"")</f>
        <v>18379157.15</v>
      </c>
      <c r="AA375" s="48" t="n">
        <f aca="false">IF($U375=1,$G375-$H375,MAX($G375-$H375,ABS($G375-$I374),ABS($H375-$I374)))</f>
        <v>546</v>
      </c>
      <c r="AB375" s="48" t="n">
        <f aca="false">IF($U375&gt;=ATR_PER,AVERAGE(INDEX($AA$255:$AA375,122-ATR_PER):$AA375),"")</f>
        <v>315.285714285714</v>
      </c>
      <c r="AC375" s="48" t="n">
        <f aca="false">$O375-$P375</f>
        <v>7993479</v>
      </c>
      <c r="AD375" s="48" t="n">
        <f aca="false">$AC375*$I375</f>
        <v>58871972835</v>
      </c>
      <c r="AE375" s="49" t="n">
        <f aca="false">IF($Q375&gt;0,$O375*$I375/$Q375/1000000,"")</f>
        <v>513.549481875</v>
      </c>
      <c r="AF375" s="49" t="n">
        <f aca="false">IF($R375&gt;0,$P375*$I375/$R375/1000000,"")</f>
        <v>200.718063535032</v>
      </c>
      <c r="AG375" s="50" t="n">
        <f aca="false">IF(AND(ISNUMBER($AE375),ISNUMBER($AF375),$AF375&gt;0),$AE375/$AF375,"")</f>
        <v>2.55856136129656</v>
      </c>
      <c r="AH375" s="48" t="n">
        <f aca="false">IF($U375&gt;=5,SUM(INDEX($AD$345:$AD375,32-5):$AD375),"")</f>
        <v>88799309548</v>
      </c>
      <c r="AI375" s="48" t="n">
        <f aca="false">IF($U375&gt;=STRUCT_S,MAX(INDEX($G$225:$G375,152-STRUCT_S):$G375),"")</f>
        <v>7916</v>
      </c>
      <c r="AJ375" s="48" t="n">
        <f aca="false">IF($U375&gt;=STRUCT_S,MIN(INDEX($H$225:$H375,152-STRUCT_S):$H375),"")</f>
        <v>6986</v>
      </c>
      <c r="AK375" s="48" t="n">
        <f aca="false">IF($U375&gt;=STRUCT_L,MAX(INDEX($G$125:$G375,252-STRUCT_L):$G375),"")</f>
        <v>8518</v>
      </c>
      <c r="AL375" s="48" t="n">
        <f aca="false">IF($U375&gt;=STRUCT_L,MIN(INDEX($H$125:$H375,252-STRUCT_L):$H375),"")</f>
        <v>6986</v>
      </c>
      <c r="AM375" s="46" t="n">
        <f aca="false">IF($A375&lt;&gt;$A376,1,0)</f>
        <v>0</v>
      </c>
      <c r="AN375" s="47" t="str">
        <f aca="false">IF($AM375=1,$A375,"")</f>
        <v/>
      </c>
    </row>
    <row r="376" customFormat="false" ht="15" hidden="false" customHeight="false" outlineLevel="0" collapsed="false">
      <c r="A376" s="43" t="s">
        <v>138</v>
      </c>
      <c r="B376" s="44" t="s">
        <v>140</v>
      </c>
      <c r="C376" s="45" t="n">
        <v>46061</v>
      </c>
      <c r="D376" s="46" t="n">
        <v>20260208</v>
      </c>
      <c r="E376" s="47" t="s">
        <v>399</v>
      </c>
      <c r="F376" s="48" t="n">
        <v>7479</v>
      </c>
      <c r="G376" s="48" t="n">
        <v>7526</v>
      </c>
      <c r="H376" s="48" t="n">
        <v>7326</v>
      </c>
      <c r="I376" s="48" t="n">
        <v>7487</v>
      </c>
      <c r="J376" s="48" t="n">
        <v>7397</v>
      </c>
      <c r="K376" s="48" t="n">
        <v>7365</v>
      </c>
      <c r="L376" s="48" t="n">
        <v>15960983</v>
      </c>
      <c r="M376" s="48" t="n">
        <v>119499879721</v>
      </c>
      <c r="N376" s="48" t="n">
        <v>755</v>
      </c>
      <c r="O376" s="48" t="n">
        <v>9303702</v>
      </c>
      <c r="P376" s="48" t="n">
        <v>7615316</v>
      </c>
      <c r="Q376" s="48" t="n">
        <v>293</v>
      </c>
      <c r="R376" s="48" t="n">
        <v>367</v>
      </c>
      <c r="S376" s="48" t="n">
        <v>6657281</v>
      </c>
      <c r="T376" s="48" t="n">
        <v>8345667</v>
      </c>
      <c r="U376" s="46" t="n">
        <f aca="false">IF($A376=$A375,$U375+1,1)</f>
        <v>112</v>
      </c>
      <c r="V376" s="48" t="n">
        <f aca="false">IF($U376&gt;=MA_SHORT,AVERAGE(INDEX($I$5:$I376,373-MA_SHORT):$I376),"")</f>
        <v>7402.45</v>
      </c>
      <c r="W376" s="48" t="n">
        <f aca="false">IF($U376&gt;=MA_MED,AVERAGE(INDEX($I$5:$I376,373-MA_MED):$I376),"")</f>
        <v>7667.34</v>
      </c>
      <c r="X376" s="48" t="n">
        <f aca="false">IF($U376&gt;=MA_LONG1,AVERAGE(INDEX($I$5:$I376,373-MA_LONG1):$I376),"")</f>
        <v>7539.39</v>
      </c>
      <c r="Y376" s="48" t="str">
        <f aca="false">IF($U376&gt;=MA_LONG2,AVERAGE(INDEX($I$5:$I376,373-MA_LONG2):$I376),"")</f>
        <v/>
      </c>
      <c r="Z376" s="48" t="n">
        <f aca="false">IF($U376&gt;=MA_SHORT,AVERAGE(INDEX($L$256:$L376,122-MA_SHORT):$L376),"")</f>
        <v>18416024.45</v>
      </c>
      <c r="AA376" s="48" t="n">
        <f aca="false">IF($U376=1,$G376-$H376,MAX($G376-$H376,ABS($G376-$I375),ABS($H376-$I375)))</f>
        <v>200</v>
      </c>
      <c r="AB376" s="48" t="n">
        <f aca="false">IF($U376&gt;=ATR_PER,AVERAGE(INDEX($AA$256:$AA376,122-ATR_PER):$AA376),"")</f>
        <v>307.571428571429</v>
      </c>
      <c r="AC376" s="48" t="n">
        <f aca="false">$O376-$P376</f>
        <v>1688386</v>
      </c>
      <c r="AD376" s="48" t="n">
        <f aca="false">$AC376*$I376</f>
        <v>12640945982</v>
      </c>
      <c r="AE376" s="49" t="n">
        <f aca="false">IF($Q376&gt;0,$O376*$I376/$Q376/1000000,"")</f>
        <v>237.736576361775</v>
      </c>
      <c r="AF376" s="49" t="n">
        <f aca="false">IF($R376&gt;0,$P376*$I376/$R376/1000000,"")</f>
        <v>155.356596435967</v>
      </c>
      <c r="AG376" s="50" t="n">
        <f aca="false">IF(AND(ISNUMBER($AE376),ISNUMBER($AF376),$AF376&gt;0),$AE376/$AF376,"")</f>
        <v>1.53026380479288</v>
      </c>
      <c r="AH376" s="48" t="n">
        <f aca="false">IF($U376&gt;=5,SUM(INDEX($AD$346:$AD376,32-5):$AD376),"")</f>
        <v>101327301612</v>
      </c>
      <c r="AI376" s="48" t="n">
        <f aca="false">IF($U376&gt;=STRUCT_S,MAX(INDEX($G$226:$G376,152-STRUCT_S):$G376),"")</f>
        <v>7916</v>
      </c>
      <c r="AJ376" s="48" t="n">
        <f aca="false">IF($U376&gt;=STRUCT_S,MIN(INDEX($H$226:$H376,152-STRUCT_S):$H376),"")</f>
        <v>6986</v>
      </c>
      <c r="AK376" s="48" t="n">
        <f aca="false">IF($U376&gt;=STRUCT_L,MAX(INDEX($G$126:$G376,252-STRUCT_L):$G376),"")</f>
        <v>8518</v>
      </c>
      <c r="AL376" s="48" t="n">
        <f aca="false">IF($U376&gt;=STRUCT_L,MIN(INDEX($H$126:$H376,252-STRUCT_L):$H376),"")</f>
        <v>6986</v>
      </c>
      <c r="AM376" s="46" t="n">
        <f aca="false">IF($A376&lt;&gt;$A377,1,0)</f>
        <v>0</v>
      </c>
      <c r="AN376" s="47" t="str">
        <f aca="false">IF($AM376=1,$A376,"")</f>
        <v/>
      </c>
    </row>
    <row r="377" customFormat="false" ht="15" hidden="false" customHeight="false" outlineLevel="0" collapsed="false">
      <c r="A377" s="43" t="s">
        <v>138</v>
      </c>
      <c r="B377" s="44" t="s">
        <v>140</v>
      </c>
      <c r="C377" s="45" t="n">
        <v>46062</v>
      </c>
      <c r="D377" s="46" t="n">
        <v>20260209</v>
      </c>
      <c r="E377" s="47" t="s">
        <v>400</v>
      </c>
      <c r="F377" s="48" t="n">
        <v>7221</v>
      </c>
      <c r="G377" s="48" t="n">
        <v>7591</v>
      </c>
      <c r="H377" s="48" t="n">
        <v>7149</v>
      </c>
      <c r="I377" s="48" t="n">
        <v>7249</v>
      </c>
      <c r="J377" s="48" t="n">
        <v>7563</v>
      </c>
      <c r="K377" s="48" t="n">
        <v>7487</v>
      </c>
      <c r="L377" s="48" t="n">
        <v>21064612</v>
      </c>
      <c r="M377" s="48" t="n">
        <v>152697372388</v>
      </c>
      <c r="N377" s="48" t="n">
        <v>1083</v>
      </c>
      <c r="O377" s="48" t="n">
        <v>8339112</v>
      </c>
      <c r="P377" s="48" t="n">
        <v>13236102</v>
      </c>
      <c r="Q377" s="48" t="n">
        <v>439</v>
      </c>
      <c r="R377" s="48" t="n">
        <v>292</v>
      </c>
      <c r="S377" s="48" t="n">
        <v>12725500</v>
      </c>
      <c r="T377" s="48" t="n">
        <v>7828510</v>
      </c>
      <c r="U377" s="46" t="n">
        <f aca="false">IF($A377=$A376,$U376+1,1)</f>
        <v>113</v>
      </c>
      <c r="V377" s="48" t="n">
        <f aca="false">IF($U377&gt;=MA_SHORT,AVERAGE(INDEX($I$5:$I377,374-MA_SHORT):$I377),"")</f>
        <v>7394.65</v>
      </c>
      <c r="W377" s="48" t="n">
        <f aca="false">IF($U377&gt;=MA_MED,AVERAGE(INDEX($I$5:$I377,374-MA_MED):$I377),"")</f>
        <v>7653.44</v>
      </c>
      <c r="X377" s="48" t="n">
        <f aca="false">IF($U377&gt;=MA_LONG1,AVERAGE(INDEX($I$5:$I377,374-MA_LONG1):$I377),"")</f>
        <v>7542.43</v>
      </c>
      <c r="Y377" s="48" t="str">
        <f aca="false">IF($U377&gt;=MA_LONG2,AVERAGE(INDEX($I$5:$I377,374-MA_LONG2):$I377),"")</f>
        <v/>
      </c>
      <c r="Z377" s="48" t="n">
        <f aca="false">IF($U377&gt;=MA_SHORT,AVERAGE(INDEX($L$257:$L377,122-MA_SHORT):$L377),"")</f>
        <v>18304876</v>
      </c>
      <c r="AA377" s="48" t="n">
        <f aca="false">IF($U377=1,$G377-$H377,MAX($G377-$H377,ABS($G377-$I376),ABS($H377-$I376)))</f>
        <v>442</v>
      </c>
      <c r="AB377" s="48" t="n">
        <f aca="false">IF($U377&gt;=ATR_PER,AVERAGE(INDEX($AA$257:$AA377,122-ATR_PER):$AA377),"")</f>
        <v>301.5</v>
      </c>
      <c r="AC377" s="48" t="n">
        <f aca="false">$O377-$P377</f>
        <v>-4896990</v>
      </c>
      <c r="AD377" s="48" t="n">
        <f aca="false">$AC377*$I377</f>
        <v>-35498280510</v>
      </c>
      <c r="AE377" s="49" t="n">
        <f aca="false">IF($Q377&gt;0,$O377*$I377/$Q377/1000000,"")</f>
        <v>137.699824346241</v>
      </c>
      <c r="AF377" s="49" t="n">
        <f aca="false">IF($R377&gt;0,$P377*$I377/$R377/1000000,"")</f>
        <v>328.590765061644</v>
      </c>
      <c r="AG377" s="50" t="n">
        <f aca="false">IF(AND(ISNUMBER($AE377),ISNUMBER($AF377),$AF377&gt;0),$AE377/$AF377,"")</f>
        <v>0.419061760060143</v>
      </c>
      <c r="AH377" s="48" t="n">
        <f aca="false">IF($U377&gt;=5,SUM(INDEX($AD$347:$AD377,32-5):$AD377),"")</f>
        <v>64693564860</v>
      </c>
      <c r="AI377" s="48" t="n">
        <f aca="false">IF($U377&gt;=STRUCT_S,MAX(INDEX($G$227:$G377,152-STRUCT_S):$G377),"")</f>
        <v>7916</v>
      </c>
      <c r="AJ377" s="48" t="n">
        <f aca="false">IF($U377&gt;=STRUCT_S,MIN(INDEX($H$227:$H377,152-STRUCT_S):$H377),"")</f>
        <v>6986</v>
      </c>
      <c r="AK377" s="48" t="n">
        <f aca="false">IF($U377&gt;=STRUCT_L,MAX(INDEX($G$127:$G377,252-STRUCT_L):$G377),"")</f>
        <v>8518</v>
      </c>
      <c r="AL377" s="48" t="n">
        <f aca="false">IF($U377&gt;=STRUCT_L,MIN(INDEX($H$127:$H377,252-STRUCT_L):$H377),"")</f>
        <v>6986</v>
      </c>
      <c r="AM377" s="46" t="n">
        <f aca="false">IF($A377&lt;&gt;$A378,1,0)</f>
        <v>0</v>
      </c>
      <c r="AN377" s="47" t="str">
        <f aca="false">IF($AM377=1,$A377,"")</f>
        <v/>
      </c>
    </row>
    <row r="378" customFormat="false" ht="15" hidden="false" customHeight="false" outlineLevel="0" collapsed="false">
      <c r="A378" s="43" t="s">
        <v>138</v>
      </c>
      <c r="B378" s="44" t="s">
        <v>140</v>
      </c>
      <c r="C378" s="45" t="n">
        <v>46063</v>
      </c>
      <c r="D378" s="46" t="n">
        <v>20260210</v>
      </c>
      <c r="E378" s="47" t="s">
        <v>401</v>
      </c>
      <c r="F378" s="48" t="n">
        <v>7148</v>
      </c>
      <c r="G378" s="48" t="n">
        <v>7477</v>
      </c>
      <c r="H378" s="48" t="n">
        <v>7131</v>
      </c>
      <c r="I378" s="48" t="n">
        <v>7357</v>
      </c>
      <c r="J378" s="48" t="n">
        <v>7396</v>
      </c>
      <c r="K378" s="48" t="n">
        <v>7249</v>
      </c>
      <c r="L378" s="48" t="n">
        <v>15815841</v>
      </c>
      <c r="M378" s="48" t="n">
        <v>116357142237</v>
      </c>
      <c r="N378" s="48" t="n">
        <v>582</v>
      </c>
      <c r="O378" s="48" t="n">
        <v>10897310</v>
      </c>
      <c r="P378" s="48" t="n">
        <v>5342160</v>
      </c>
      <c r="Q378" s="48" t="n">
        <v>162</v>
      </c>
      <c r="R378" s="48" t="n">
        <v>276</v>
      </c>
      <c r="S378" s="48" t="n">
        <v>4918531</v>
      </c>
      <c r="T378" s="48" t="n">
        <v>10473681</v>
      </c>
      <c r="U378" s="46" t="n">
        <f aca="false">IF($A378=$A377,$U377+1,1)</f>
        <v>114</v>
      </c>
      <c r="V378" s="48" t="n">
        <f aca="false">IF($U378&gt;=MA_SHORT,AVERAGE(INDEX($I$5:$I378,375-MA_SHORT):$I378),"")</f>
        <v>7389.6</v>
      </c>
      <c r="W378" s="48" t="n">
        <f aca="false">IF($U378&gt;=MA_MED,AVERAGE(INDEX($I$5:$I378,375-MA_MED):$I378),"")</f>
        <v>7640.04</v>
      </c>
      <c r="X378" s="48" t="n">
        <f aca="false">IF($U378&gt;=MA_LONG1,AVERAGE(INDEX($I$5:$I378,375-MA_LONG1):$I378),"")</f>
        <v>7547.51</v>
      </c>
      <c r="Y378" s="48" t="str">
        <f aca="false">IF($U378&gt;=MA_LONG2,AVERAGE(INDEX($I$5:$I378,375-MA_LONG2):$I378),"")</f>
        <v/>
      </c>
      <c r="Z378" s="48" t="n">
        <f aca="false">IF($U378&gt;=MA_SHORT,AVERAGE(INDEX($L$258:$L378,122-MA_SHORT):$L378),"")</f>
        <v>18299650.9</v>
      </c>
      <c r="AA378" s="48" t="n">
        <f aca="false">IF($U378=1,$G378-$H378,MAX($G378-$H378,ABS($G378-$I377),ABS($H378-$I377)))</f>
        <v>346</v>
      </c>
      <c r="AB378" s="48" t="n">
        <f aca="false">IF($U378&gt;=ATR_PER,AVERAGE(INDEX($AA$258:$AA378,122-ATR_PER):$AA378),"")</f>
        <v>306.357142857143</v>
      </c>
      <c r="AC378" s="48" t="n">
        <f aca="false">$O378-$P378</f>
        <v>5555150</v>
      </c>
      <c r="AD378" s="48" t="n">
        <f aca="false">$AC378*$I378</f>
        <v>40869238550</v>
      </c>
      <c r="AE378" s="49" t="n">
        <f aca="false">IF($Q378&gt;0,$O378*$I378/$Q378/1000000,"")</f>
        <v>494.885862160494</v>
      </c>
      <c r="AF378" s="49" t="n">
        <f aca="false">IF($R378&gt;0,$P378*$I378/$R378/1000000,"")</f>
        <v>142.399533043478</v>
      </c>
      <c r="AG378" s="50" t="n">
        <f aca="false">IF(AND(ISNUMBER($AE378),ISNUMBER($AF378),$AF378&gt;0),$AE378/$AF378,"")</f>
        <v>3.47533346200926</v>
      </c>
      <c r="AH378" s="48" t="n">
        <f aca="false">IF($U378&gt;=5,SUM(INDEX($AD$348:$AD378,32-5):$AD378),"")</f>
        <v>82319616544</v>
      </c>
      <c r="AI378" s="48" t="n">
        <f aca="false">IF($U378&gt;=STRUCT_S,MAX(INDEX($G$228:$G378,152-STRUCT_S):$G378),"")</f>
        <v>7916</v>
      </c>
      <c r="AJ378" s="48" t="n">
        <f aca="false">IF($U378&gt;=STRUCT_S,MIN(INDEX($H$228:$H378,152-STRUCT_S):$H378),"")</f>
        <v>6986</v>
      </c>
      <c r="AK378" s="48" t="n">
        <f aca="false">IF($U378&gt;=STRUCT_L,MAX(INDEX($G$128:$G378,252-STRUCT_L):$G378),"")</f>
        <v>8518</v>
      </c>
      <c r="AL378" s="48" t="n">
        <f aca="false">IF($U378&gt;=STRUCT_L,MIN(INDEX($H$128:$H378,252-STRUCT_L):$H378),"")</f>
        <v>6986</v>
      </c>
      <c r="AM378" s="46" t="n">
        <f aca="false">IF($A378&lt;&gt;$A379,1,0)</f>
        <v>0</v>
      </c>
      <c r="AN378" s="47" t="str">
        <f aca="false">IF($AM378=1,$A378,"")</f>
        <v/>
      </c>
    </row>
    <row r="379" customFormat="false" ht="15" hidden="false" customHeight="false" outlineLevel="0" collapsed="false">
      <c r="A379" s="43" t="s">
        <v>138</v>
      </c>
      <c r="B379" s="44" t="s">
        <v>140</v>
      </c>
      <c r="C379" s="45" t="n">
        <v>46064</v>
      </c>
      <c r="D379" s="46" t="n">
        <v>20260211</v>
      </c>
      <c r="E379" s="47" t="s">
        <v>402</v>
      </c>
      <c r="F379" s="48" t="n">
        <v>7284</v>
      </c>
      <c r="G379" s="48" t="n">
        <v>7519</v>
      </c>
      <c r="H379" s="48" t="n">
        <v>7085</v>
      </c>
      <c r="I379" s="48" t="n">
        <v>7244</v>
      </c>
      <c r="J379" s="48" t="n">
        <v>7192</v>
      </c>
      <c r="K379" s="48" t="n">
        <v>7357</v>
      </c>
      <c r="L379" s="48" t="n">
        <v>15855990</v>
      </c>
      <c r="M379" s="48" t="n">
        <v>114860791560</v>
      </c>
      <c r="N379" s="48" t="n">
        <v>1191</v>
      </c>
      <c r="O379" s="48" t="n">
        <v>8245574</v>
      </c>
      <c r="P379" s="48" t="n">
        <v>6364888</v>
      </c>
      <c r="Q379" s="48" t="n">
        <v>712</v>
      </c>
      <c r="R379" s="48" t="n">
        <v>459</v>
      </c>
      <c r="S379" s="48" t="n">
        <v>7610416</v>
      </c>
      <c r="T379" s="48" t="n">
        <v>9491102</v>
      </c>
      <c r="U379" s="46" t="n">
        <f aca="false">IF($A379=$A378,$U378+1,1)</f>
        <v>115</v>
      </c>
      <c r="V379" s="48" t="n">
        <f aca="false">IF($U379&gt;=MA_SHORT,AVERAGE(INDEX($I$5:$I379,376-MA_SHORT):$I379),"")</f>
        <v>7381</v>
      </c>
      <c r="W379" s="48" t="n">
        <f aca="false">IF($U379&gt;=MA_MED,AVERAGE(INDEX($I$5:$I379,376-MA_MED):$I379),"")</f>
        <v>7626.26</v>
      </c>
      <c r="X379" s="48" t="n">
        <f aca="false">IF($U379&gt;=MA_LONG1,AVERAGE(INDEX($I$5:$I379,376-MA_LONG1):$I379),"")</f>
        <v>7551.42</v>
      </c>
      <c r="Y379" s="48" t="str">
        <f aca="false">IF($U379&gt;=MA_LONG2,AVERAGE(INDEX($I$5:$I379,376-MA_LONG2):$I379),"")</f>
        <v/>
      </c>
      <c r="Z379" s="48" t="n">
        <f aca="false">IF($U379&gt;=MA_SHORT,AVERAGE(INDEX($L$259:$L379,122-MA_SHORT):$L379),"")</f>
        <v>17906863.1</v>
      </c>
      <c r="AA379" s="48" t="n">
        <f aca="false">IF($U379=1,$G379-$H379,MAX($G379-$H379,ABS($G379-$I378),ABS($H379-$I378)))</f>
        <v>434</v>
      </c>
      <c r="AB379" s="48" t="n">
        <f aca="false">IF($U379&gt;=ATR_PER,AVERAGE(INDEX($AA$259:$AA379,122-ATR_PER):$AA379),"")</f>
        <v>323.714285714286</v>
      </c>
      <c r="AC379" s="48" t="n">
        <f aca="false">$O379-$P379</f>
        <v>1880686</v>
      </c>
      <c r="AD379" s="48" t="n">
        <f aca="false">$AC379*$I379</f>
        <v>13623689384</v>
      </c>
      <c r="AE379" s="49" t="n">
        <f aca="false">IF($Q379&gt;0,$O379*$I379/$Q379/1000000,"")</f>
        <v>83.8917669325843</v>
      </c>
      <c r="AF379" s="49" t="n">
        <f aca="false">IF($R379&gt;0,$P379*$I379/$R379/1000000,"")</f>
        <v>100.45152216122</v>
      </c>
      <c r="AG379" s="50" t="n">
        <f aca="false">IF(AND(ISNUMBER($AE379),ISNUMBER($AF379),$AF379&gt;0),$AE379/$AF379,"")</f>
        <v>0.835146796461102</v>
      </c>
      <c r="AH379" s="48" t="n">
        <f aca="false">IF($U379&gt;=5,SUM(INDEX($AD$349:$AD379,32-5):$AD379),"")</f>
        <v>90507566241</v>
      </c>
      <c r="AI379" s="48" t="n">
        <f aca="false">IF($U379&gt;=STRUCT_S,MAX(INDEX($G$229:$G379,152-STRUCT_S):$G379),"")</f>
        <v>7916</v>
      </c>
      <c r="AJ379" s="48" t="n">
        <f aca="false">IF($U379&gt;=STRUCT_S,MIN(INDEX($H$229:$H379,152-STRUCT_S):$H379),"")</f>
        <v>6986</v>
      </c>
      <c r="AK379" s="48" t="n">
        <f aca="false">IF($U379&gt;=STRUCT_L,MAX(INDEX($G$129:$G379,252-STRUCT_L):$G379),"")</f>
        <v>8518</v>
      </c>
      <c r="AL379" s="48" t="n">
        <f aca="false">IF($U379&gt;=STRUCT_L,MIN(INDEX($H$129:$H379,252-STRUCT_L):$H379),"")</f>
        <v>6986</v>
      </c>
      <c r="AM379" s="46" t="n">
        <f aca="false">IF($A379&lt;&gt;$A380,1,0)</f>
        <v>0</v>
      </c>
      <c r="AN379" s="47" t="str">
        <f aca="false">IF($AM379=1,$A379,"")</f>
        <v/>
      </c>
    </row>
    <row r="380" customFormat="false" ht="15" hidden="false" customHeight="false" outlineLevel="0" collapsed="false">
      <c r="A380" s="43" t="s">
        <v>138</v>
      </c>
      <c r="B380" s="44" t="s">
        <v>140</v>
      </c>
      <c r="C380" s="45" t="n">
        <v>46067</v>
      </c>
      <c r="D380" s="46" t="n">
        <v>20260214</v>
      </c>
      <c r="E380" s="47" t="s">
        <v>403</v>
      </c>
      <c r="F380" s="48" t="n">
        <v>7320</v>
      </c>
      <c r="G380" s="48" t="n">
        <v>7469</v>
      </c>
      <c r="H380" s="48" t="n">
        <v>7091</v>
      </c>
      <c r="I380" s="48" t="n">
        <v>7314</v>
      </c>
      <c r="J380" s="48" t="n">
        <v>7196</v>
      </c>
      <c r="K380" s="48" t="n">
        <v>7244</v>
      </c>
      <c r="L380" s="48" t="n">
        <v>15359791</v>
      </c>
      <c r="M380" s="48" t="n">
        <v>112341511374</v>
      </c>
      <c r="N380" s="48" t="n">
        <v>1292</v>
      </c>
      <c r="O380" s="48" t="n">
        <v>8604888</v>
      </c>
      <c r="P380" s="48" t="n">
        <v>7105452</v>
      </c>
      <c r="Q380" s="48" t="n">
        <v>365</v>
      </c>
      <c r="R380" s="48" t="n">
        <v>559</v>
      </c>
      <c r="S380" s="48" t="n">
        <v>6754903</v>
      </c>
      <c r="T380" s="48" t="n">
        <v>8254339</v>
      </c>
      <c r="U380" s="46" t="n">
        <f aca="false">IF($A380=$A379,$U379+1,1)</f>
        <v>116</v>
      </c>
      <c r="V380" s="48" t="n">
        <f aca="false">IF($U380&gt;=MA_SHORT,AVERAGE(INDEX($I$5:$I380,377-MA_SHORT):$I380),"")</f>
        <v>7375.35</v>
      </c>
      <c r="W380" s="48" t="n">
        <f aca="false">IF($U380&gt;=MA_MED,AVERAGE(INDEX($I$5:$I380,377-MA_MED):$I380),"")</f>
        <v>7611.14</v>
      </c>
      <c r="X380" s="48" t="n">
        <f aca="false">IF($U380&gt;=MA_LONG1,AVERAGE(INDEX($I$5:$I380,377-MA_LONG1):$I380),"")</f>
        <v>7555.39</v>
      </c>
      <c r="Y380" s="48" t="str">
        <f aca="false">IF($U380&gt;=MA_LONG2,AVERAGE(INDEX($I$5:$I380,377-MA_LONG2):$I380),"")</f>
        <v/>
      </c>
      <c r="Z380" s="48" t="n">
        <f aca="false">IF($U380&gt;=MA_SHORT,AVERAGE(INDEX($L$260:$L380,122-MA_SHORT):$L380),"")</f>
        <v>17942489.9</v>
      </c>
      <c r="AA380" s="48" t="n">
        <f aca="false">IF($U380=1,$G380-$H380,MAX($G380-$H380,ABS($G380-$I379),ABS($H380-$I379)))</f>
        <v>378</v>
      </c>
      <c r="AB380" s="48" t="n">
        <f aca="false">IF($U380&gt;=ATR_PER,AVERAGE(INDEX($AA$260:$AA380,122-ATR_PER):$AA380),"")</f>
        <v>312.5</v>
      </c>
      <c r="AC380" s="48" t="n">
        <f aca="false">$O380-$P380</f>
        <v>1499436</v>
      </c>
      <c r="AD380" s="48" t="n">
        <f aca="false">$AC380*$I380</f>
        <v>10966874904</v>
      </c>
      <c r="AE380" s="49" t="n">
        <f aca="false">IF($Q380&gt;0,$O380*$I380/$Q380/1000000,"")</f>
        <v>172.42781049863</v>
      </c>
      <c r="AF380" s="49" t="n">
        <f aca="false">IF($R380&gt;0,$P380*$I380/$R380/1000000,"")</f>
        <v>92.9682932522361</v>
      </c>
      <c r="AG380" s="50" t="n">
        <f aca="false">IF(AND(ISNUMBER($AE380),ISNUMBER($AF380),$AF380&gt;0),$AE380/$AF380,"")</f>
        <v>1.85469480472024</v>
      </c>
      <c r="AH380" s="48" t="n">
        <f aca="false">IF($U380&gt;=5,SUM(INDEX($AD$350:$AD380,32-5):$AD380),"")</f>
        <v>42602468310</v>
      </c>
      <c r="AI380" s="48" t="n">
        <f aca="false">IF($U380&gt;=STRUCT_S,MAX(INDEX($G$230:$G380,152-STRUCT_S):$G380),"")</f>
        <v>7916</v>
      </c>
      <c r="AJ380" s="48" t="n">
        <f aca="false">IF($U380&gt;=STRUCT_S,MIN(INDEX($H$230:$H380,152-STRUCT_S):$H380),"")</f>
        <v>6986</v>
      </c>
      <c r="AK380" s="48" t="n">
        <f aca="false">IF($U380&gt;=STRUCT_L,MAX(INDEX($G$130:$G380,252-STRUCT_L):$G380),"")</f>
        <v>8518</v>
      </c>
      <c r="AL380" s="48" t="n">
        <f aca="false">IF($U380&gt;=STRUCT_L,MIN(INDEX($H$130:$H380,252-STRUCT_L):$H380),"")</f>
        <v>6986</v>
      </c>
      <c r="AM380" s="46" t="n">
        <f aca="false">IF($A380&lt;&gt;$A381,1,0)</f>
        <v>0</v>
      </c>
      <c r="AN380" s="47" t="str">
        <f aca="false">IF($AM380=1,$A380,"")</f>
        <v/>
      </c>
    </row>
    <row r="381" customFormat="false" ht="15" hidden="false" customHeight="false" outlineLevel="0" collapsed="false">
      <c r="A381" s="43" t="s">
        <v>138</v>
      </c>
      <c r="B381" s="44" t="s">
        <v>140</v>
      </c>
      <c r="C381" s="45" t="n">
        <v>46068</v>
      </c>
      <c r="D381" s="46" t="n">
        <v>20260215</v>
      </c>
      <c r="E381" s="47" t="s">
        <v>404</v>
      </c>
      <c r="F381" s="48" t="n">
        <v>7282</v>
      </c>
      <c r="G381" s="48" t="n">
        <v>7463</v>
      </c>
      <c r="H381" s="48" t="n">
        <v>7186</v>
      </c>
      <c r="I381" s="48" t="n">
        <v>7335</v>
      </c>
      <c r="J381" s="48" t="n">
        <v>7343</v>
      </c>
      <c r="K381" s="48" t="n">
        <v>7314</v>
      </c>
      <c r="L381" s="48" t="n">
        <v>14768154</v>
      </c>
      <c r="M381" s="48" t="n">
        <v>108324409590</v>
      </c>
      <c r="N381" s="48" t="n">
        <v>1067</v>
      </c>
      <c r="O381" s="48" t="n">
        <v>8467272</v>
      </c>
      <c r="P381" s="48" t="n">
        <v>7413787</v>
      </c>
      <c r="Q381" s="48" t="n">
        <v>264</v>
      </c>
      <c r="R381" s="48" t="n">
        <v>412</v>
      </c>
      <c r="S381" s="48" t="n">
        <v>6300882</v>
      </c>
      <c r="T381" s="48" t="n">
        <v>7354367</v>
      </c>
      <c r="U381" s="46" t="n">
        <f aca="false">IF($A381=$A380,$U380+1,1)</f>
        <v>117</v>
      </c>
      <c r="V381" s="48" t="n">
        <f aca="false">IF($U381&gt;=MA_SHORT,AVERAGE(INDEX($I$5:$I381,378-MA_SHORT):$I381),"")</f>
        <v>7375.9</v>
      </c>
      <c r="W381" s="48" t="n">
        <f aca="false">IF($U381&gt;=MA_MED,AVERAGE(INDEX($I$5:$I381,378-MA_MED):$I381),"")</f>
        <v>7593.1</v>
      </c>
      <c r="X381" s="48" t="n">
        <f aca="false">IF($U381&gt;=MA_LONG1,AVERAGE(INDEX($I$5:$I381,378-MA_LONG1):$I381),"")</f>
        <v>7557.73</v>
      </c>
      <c r="Y381" s="48" t="str">
        <f aca="false">IF($U381&gt;=MA_LONG2,AVERAGE(INDEX($I$5:$I381,378-MA_LONG2):$I381),"")</f>
        <v/>
      </c>
      <c r="Z381" s="48" t="n">
        <f aca="false">IF($U381&gt;=MA_SHORT,AVERAGE(INDEX($L$261:$L381,122-MA_SHORT):$L381),"")</f>
        <v>17020028.9</v>
      </c>
      <c r="AA381" s="48" t="n">
        <f aca="false">IF($U381=1,$G381-$H381,MAX($G381-$H381,ABS($G381-$I380),ABS($H381-$I380)))</f>
        <v>277</v>
      </c>
      <c r="AB381" s="48" t="n">
        <f aca="false">IF($U381&gt;=ATR_PER,AVERAGE(INDEX($AA$261:$AA381,122-ATR_PER):$AA381),"")</f>
        <v>308.285714285714</v>
      </c>
      <c r="AC381" s="48" t="n">
        <f aca="false">$O381-$P381</f>
        <v>1053485</v>
      </c>
      <c r="AD381" s="48" t="n">
        <f aca="false">$AC381*$I381</f>
        <v>7727312475</v>
      </c>
      <c r="AE381" s="49" t="n">
        <f aca="false">IF($Q381&gt;0,$O381*$I381/$Q381/1000000,"")</f>
        <v>235.255455</v>
      </c>
      <c r="AF381" s="49" t="n">
        <f aca="false">IF($R381&gt;0,$P381*$I381/$R381/1000000,"")</f>
        <v>131.990601080097</v>
      </c>
      <c r="AG381" s="50" t="n">
        <f aca="false">IF(AND(ISNUMBER($AE381),ISNUMBER($AF381),$AF381&gt;0),$AE381/$AF381,"")</f>
        <v>1.7823652068774</v>
      </c>
      <c r="AH381" s="48" t="n">
        <f aca="false">IF($U381&gt;=5,SUM(INDEX($AD$351:$AD381,32-5):$AD381),"")</f>
        <v>37688834803</v>
      </c>
      <c r="AI381" s="48" t="n">
        <f aca="false">IF($U381&gt;=STRUCT_S,MAX(INDEX($G$231:$G381,152-STRUCT_S):$G381),"")</f>
        <v>7916</v>
      </c>
      <c r="AJ381" s="48" t="n">
        <f aca="false">IF($U381&gt;=STRUCT_S,MIN(INDEX($H$231:$H381,152-STRUCT_S):$H381),"")</f>
        <v>6986</v>
      </c>
      <c r="AK381" s="48" t="n">
        <f aca="false">IF($U381&gt;=STRUCT_L,MAX(INDEX($G$131:$G381,252-STRUCT_L):$G381),"")</f>
        <v>8518</v>
      </c>
      <c r="AL381" s="48" t="n">
        <f aca="false">IF($U381&gt;=STRUCT_L,MIN(INDEX($H$131:$H381,252-STRUCT_L):$H381),"")</f>
        <v>6986</v>
      </c>
      <c r="AM381" s="46" t="n">
        <f aca="false">IF($A381&lt;&gt;$A382,1,0)</f>
        <v>0</v>
      </c>
      <c r="AN381" s="47" t="str">
        <f aca="false">IF($AM381=1,$A381,"")</f>
        <v/>
      </c>
    </row>
    <row r="382" customFormat="false" ht="15" hidden="false" customHeight="false" outlineLevel="0" collapsed="false">
      <c r="A382" s="43" t="s">
        <v>138</v>
      </c>
      <c r="B382" s="44" t="s">
        <v>140</v>
      </c>
      <c r="C382" s="45" t="n">
        <v>46069</v>
      </c>
      <c r="D382" s="46" t="n">
        <v>20260216</v>
      </c>
      <c r="E382" s="47" t="s">
        <v>405</v>
      </c>
      <c r="F382" s="48" t="n">
        <v>7431</v>
      </c>
      <c r="G382" s="48" t="n">
        <v>7457</v>
      </c>
      <c r="H382" s="48" t="n">
        <v>7302</v>
      </c>
      <c r="I382" s="48" t="n">
        <v>7423</v>
      </c>
      <c r="J382" s="48" t="n">
        <v>7394</v>
      </c>
      <c r="K382" s="48" t="n">
        <v>7335</v>
      </c>
      <c r="L382" s="48" t="n">
        <v>15563111</v>
      </c>
      <c r="M382" s="48" t="n">
        <v>115524972953</v>
      </c>
      <c r="N382" s="48" t="n">
        <v>434</v>
      </c>
      <c r="O382" s="48" t="n">
        <v>10677253</v>
      </c>
      <c r="P382" s="48" t="n">
        <v>5877763</v>
      </c>
      <c r="Q382" s="48" t="n">
        <v>121</v>
      </c>
      <c r="R382" s="48" t="n">
        <v>233</v>
      </c>
      <c r="S382" s="48" t="n">
        <v>4885858</v>
      </c>
      <c r="T382" s="48" t="n">
        <v>9685348</v>
      </c>
      <c r="U382" s="46" t="n">
        <f aca="false">IF($A382=$A381,$U381+1,1)</f>
        <v>118</v>
      </c>
      <c r="V382" s="48" t="n">
        <f aca="false">IF($U382&gt;=MA_SHORT,AVERAGE(INDEX($I$5:$I382,379-MA_SHORT):$I382),"")</f>
        <v>7380.35</v>
      </c>
      <c r="W382" s="48" t="n">
        <f aca="false">IF($U382&gt;=MA_MED,AVERAGE(INDEX($I$5:$I382,379-MA_MED):$I382),"")</f>
        <v>7574.92</v>
      </c>
      <c r="X382" s="48" t="n">
        <f aca="false">IF($U382&gt;=MA_LONG1,AVERAGE(INDEX($I$5:$I382,379-MA_LONG1):$I382),"")</f>
        <v>7562.62</v>
      </c>
      <c r="Y382" s="48" t="str">
        <f aca="false">IF($U382&gt;=MA_LONG2,AVERAGE(INDEX($I$5:$I382,379-MA_LONG2):$I382),"")</f>
        <v/>
      </c>
      <c r="Z382" s="48" t="n">
        <f aca="false">IF($U382&gt;=MA_SHORT,AVERAGE(INDEX($L$262:$L382,122-MA_SHORT):$L382),"")</f>
        <v>16994856.85</v>
      </c>
      <c r="AA382" s="48" t="n">
        <f aca="false">IF($U382=1,$G382-$H382,MAX($G382-$H382,ABS($G382-$I381),ABS($H382-$I381)))</f>
        <v>155</v>
      </c>
      <c r="AB382" s="48" t="n">
        <f aca="false">IF($U382&gt;=ATR_PER,AVERAGE(INDEX($AA$262:$AA382,122-ATR_PER):$AA382),"")</f>
        <v>301.357142857143</v>
      </c>
      <c r="AC382" s="48" t="n">
        <f aca="false">$O382-$P382</f>
        <v>4799490</v>
      </c>
      <c r="AD382" s="48" t="n">
        <f aca="false">$AC382*$I382</f>
        <v>35626614270</v>
      </c>
      <c r="AE382" s="49" t="n">
        <f aca="false">IF($Q382&gt;0,$O382*$I382/$Q382/1000000,"")</f>
        <v>655.018586933884</v>
      </c>
      <c r="AF382" s="49" t="n">
        <f aca="false">IF($R382&gt;0,$P382*$I382/$R382/1000000,"")</f>
        <v>187.255943128755</v>
      </c>
      <c r="AG382" s="50" t="n">
        <f aca="false">IF(AND(ISNUMBER($AE382),ISNUMBER($AF382),$AF382&gt;0),$AE382/$AF382,"")</f>
        <v>3.49798556985452</v>
      </c>
      <c r="AH382" s="48" t="n">
        <f aca="false">IF($U382&gt;=5,SUM(INDEX($AD$352:$AD382,32-5):$AD382),"")</f>
        <v>108813729583</v>
      </c>
      <c r="AI382" s="48" t="n">
        <f aca="false">IF($U382&gt;=STRUCT_S,MAX(INDEX($G$232:$G382,152-STRUCT_S):$G382),"")</f>
        <v>7916</v>
      </c>
      <c r="AJ382" s="48" t="n">
        <f aca="false">IF($U382&gt;=STRUCT_S,MIN(INDEX($H$232:$H382,152-STRUCT_S):$H382),"")</f>
        <v>6986</v>
      </c>
      <c r="AK382" s="48" t="n">
        <f aca="false">IF($U382&gt;=STRUCT_L,MAX(INDEX($G$132:$G382,252-STRUCT_L):$G382),"")</f>
        <v>8518</v>
      </c>
      <c r="AL382" s="48" t="n">
        <f aca="false">IF($U382&gt;=STRUCT_L,MIN(INDEX($H$132:$H382,252-STRUCT_L):$H382),"")</f>
        <v>6986</v>
      </c>
      <c r="AM382" s="46" t="n">
        <f aca="false">IF($A382&lt;&gt;$A383,1,0)</f>
        <v>0</v>
      </c>
      <c r="AN382" s="47" t="str">
        <f aca="false">IF($AM382=1,$A382,"")</f>
        <v/>
      </c>
    </row>
    <row r="383" customFormat="false" ht="15" hidden="false" customHeight="false" outlineLevel="0" collapsed="false">
      <c r="A383" s="43" t="s">
        <v>138</v>
      </c>
      <c r="B383" s="44" t="s">
        <v>140</v>
      </c>
      <c r="C383" s="45" t="n">
        <v>46070</v>
      </c>
      <c r="D383" s="46" t="n">
        <v>20260217</v>
      </c>
      <c r="E383" s="47" t="s">
        <v>406</v>
      </c>
      <c r="F383" s="48" t="n">
        <v>7508</v>
      </c>
      <c r="G383" s="48" t="n">
        <v>7515</v>
      </c>
      <c r="H383" s="48" t="n">
        <v>7309</v>
      </c>
      <c r="I383" s="48" t="n">
        <v>7400</v>
      </c>
      <c r="J383" s="48" t="n">
        <v>7484</v>
      </c>
      <c r="K383" s="48" t="n">
        <v>7423</v>
      </c>
      <c r="L383" s="48" t="n">
        <v>14787952</v>
      </c>
      <c r="M383" s="48" t="n">
        <v>109430844800</v>
      </c>
      <c r="N383" s="48" t="n">
        <v>459</v>
      </c>
      <c r="O383" s="48" t="n">
        <v>7462484</v>
      </c>
      <c r="P383" s="48" t="n">
        <v>7298431</v>
      </c>
      <c r="Q383" s="48" t="n">
        <v>171</v>
      </c>
      <c r="R383" s="48" t="n">
        <v>123</v>
      </c>
      <c r="S383" s="48" t="n">
        <v>7325468</v>
      </c>
      <c r="T383" s="48" t="n">
        <v>7489521</v>
      </c>
      <c r="U383" s="46" t="n">
        <f aca="false">IF($A383=$A382,$U382+1,1)</f>
        <v>119</v>
      </c>
      <c r="V383" s="48" t="n">
        <f aca="false">IF($U383&gt;=MA_SHORT,AVERAGE(INDEX($I$5:$I383,380-MA_SHORT):$I383),"")</f>
        <v>7370.05</v>
      </c>
      <c r="W383" s="48" t="n">
        <f aca="false">IF($U383&gt;=MA_MED,AVERAGE(INDEX($I$5:$I383,380-MA_MED):$I383),"")</f>
        <v>7558.46</v>
      </c>
      <c r="X383" s="48" t="n">
        <f aca="false">IF($U383&gt;=MA_LONG1,AVERAGE(INDEX($I$5:$I383,380-MA_LONG1):$I383),"")</f>
        <v>7567.6</v>
      </c>
      <c r="Y383" s="48" t="str">
        <f aca="false">IF($U383&gt;=MA_LONG2,AVERAGE(INDEX($I$5:$I383,380-MA_LONG2):$I383),"")</f>
        <v/>
      </c>
      <c r="Z383" s="48" t="n">
        <f aca="false">IF($U383&gt;=MA_SHORT,AVERAGE(INDEX($L$263:$L383,122-MA_SHORT):$L383),"")</f>
        <v>16846820.4</v>
      </c>
      <c r="AA383" s="48" t="n">
        <f aca="false">IF($U383=1,$G383-$H383,MAX($G383-$H383,ABS($G383-$I382),ABS($H383-$I382)))</f>
        <v>206</v>
      </c>
      <c r="AB383" s="48" t="n">
        <f aca="false">IF($U383&gt;=ATR_PER,AVERAGE(INDEX($AA$263:$AA383,122-ATR_PER):$AA383),"")</f>
        <v>302.214285714286</v>
      </c>
      <c r="AC383" s="48" t="n">
        <f aca="false">$O383-$P383</f>
        <v>164053</v>
      </c>
      <c r="AD383" s="48" t="n">
        <f aca="false">$AC383*$I383</f>
        <v>1213992200</v>
      </c>
      <c r="AE383" s="49" t="n">
        <f aca="false">IF($Q383&gt;0,$O383*$I383/$Q383/1000000,"")</f>
        <v>322.937904093567</v>
      </c>
      <c r="AF383" s="49" t="n">
        <f aca="false">IF($R383&gt;0,$P383*$I383/$R383/1000000,"")</f>
        <v>439.092596747968</v>
      </c>
      <c r="AG383" s="50" t="n">
        <f aca="false">IF(AND(ISNUMBER($AE383),ISNUMBER($AF383),$AF383&gt;0),$AE383/$AF383,"")</f>
        <v>0.7354665200127</v>
      </c>
      <c r="AH383" s="48" t="n">
        <f aca="false">IF($U383&gt;=5,SUM(INDEX($AD$353:$AD383,32-5):$AD383),"")</f>
        <v>69158483233</v>
      </c>
      <c r="AI383" s="48" t="n">
        <f aca="false">IF($U383&gt;=STRUCT_S,MAX(INDEX($G$233:$G383,152-STRUCT_S):$G383),"")</f>
        <v>7916</v>
      </c>
      <c r="AJ383" s="48" t="n">
        <f aca="false">IF($U383&gt;=STRUCT_S,MIN(INDEX($H$233:$H383,152-STRUCT_S):$H383),"")</f>
        <v>6986</v>
      </c>
      <c r="AK383" s="48" t="n">
        <f aca="false">IF($U383&gt;=STRUCT_L,MAX(INDEX($G$133:$G383,252-STRUCT_L):$G383),"")</f>
        <v>8518</v>
      </c>
      <c r="AL383" s="48" t="n">
        <f aca="false">IF($U383&gt;=STRUCT_L,MIN(INDEX($H$133:$H383,252-STRUCT_L):$H383),"")</f>
        <v>6986</v>
      </c>
      <c r="AM383" s="46" t="n">
        <f aca="false">IF($A383&lt;&gt;$A384,1,0)</f>
        <v>0</v>
      </c>
      <c r="AN383" s="47" t="str">
        <f aca="false">IF($AM383=1,$A383,"")</f>
        <v/>
      </c>
    </row>
    <row r="384" customFormat="false" ht="15" hidden="false" customHeight="false" outlineLevel="0" collapsed="false">
      <c r="A384" s="43" t="s">
        <v>138</v>
      </c>
      <c r="B384" s="44" t="s">
        <v>140</v>
      </c>
      <c r="C384" s="45" t="n">
        <v>46071</v>
      </c>
      <c r="D384" s="46" t="n">
        <v>20260218</v>
      </c>
      <c r="E384" s="47" t="s">
        <v>407</v>
      </c>
      <c r="F384" s="48" t="n">
        <v>7386</v>
      </c>
      <c r="G384" s="48" t="n">
        <v>7627</v>
      </c>
      <c r="H384" s="48" t="n">
        <v>7317</v>
      </c>
      <c r="I384" s="48" t="n">
        <v>7542</v>
      </c>
      <c r="J384" s="48" t="n">
        <v>7590</v>
      </c>
      <c r="K384" s="48" t="n">
        <v>7400</v>
      </c>
      <c r="L384" s="48" t="n">
        <v>21205412</v>
      </c>
      <c r="M384" s="48" t="n">
        <v>159931217304</v>
      </c>
      <c r="N384" s="48" t="n">
        <v>1310</v>
      </c>
      <c r="O384" s="48" t="n">
        <v>13620268</v>
      </c>
      <c r="P384" s="48" t="n">
        <v>7396609</v>
      </c>
      <c r="Q384" s="48" t="n">
        <v>355</v>
      </c>
      <c r="R384" s="48" t="n">
        <v>697</v>
      </c>
      <c r="S384" s="48" t="n">
        <v>7585144</v>
      </c>
      <c r="T384" s="48" t="n">
        <v>13808803</v>
      </c>
      <c r="U384" s="46" t="n">
        <f aca="false">IF($A384=$A383,$U383+1,1)</f>
        <v>120</v>
      </c>
      <c r="V384" s="48" t="n">
        <f aca="false">IF($U384&gt;=MA_SHORT,AVERAGE(INDEX($I$5:$I384,381-MA_SHORT):$I384),"")</f>
        <v>7358</v>
      </c>
      <c r="W384" s="48" t="n">
        <f aca="false">IF($U384&gt;=MA_MED,AVERAGE(INDEX($I$5:$I384,381-MA_MED):$I384),"")</f>
        <v>7540.36</v>
      </c>
      <c r="X384" s="48" t="n">
        <f aca="false">IF($U384&gt;=MA_LONG1,AVERAGE(INDEX($I$5:$I384,381-MA_LONG1):$I384),"")</f>
        <v>7574.24</v>
      </c>
      <c r="Y384" s="48" t="str">
        <f aca="false">IF($U384&gt;=MA_LONG2,AVERAGE(INDEX($I$5:$I384,381-MA_LONG2):$I384),"")</f>
        <v/>
      </c>
      <c r="Z384" s="48" t="n">
        <f aca="false">IF($U384&gt;=MA_SHORT,AVERAGE(INDEX($L$264:$L384,122-MA_SHORT):$L384),"")</f>
        <v>16912394.95</v>
      </c>
      <c r="AA384" s="48" t="n">
        <f aca="false">IF($U384=1,$G384-$H384,MAX($G384-$H384,ABS($G384-$I383),ABS($H384-$I383)))</f>
        <v>310</v>
      </c>
      <c r="AB384" s="48" t="n">
        <f aca="false">IF($U384&gt;=ATR_PER,AVERAGE(INDEX($AA$264:$AA384,122-ATR_PER):$AA384),"")</f>
        <v>308.5</v>
      </c>
      <c r="AC384" s="48" t="n">
        <f aca="false">$O384-$P384</f>
        <v>6223659</v>
      </c>
      <c r="AD384" s="48" t="n">
        <f aca="false">$AC384*$I384</f>
        <v>46938836178</v>
      </c>
      <c r="AE384" s="49" t="n">
        <f aca="false">IF($Q384&gt;0,$O384*$I384/$Q384/1000000,"")</f>
        <v>289.363552833803</v>
      </c>
      <c r="AF384" s="49" t="n">
        <f aca="false">IF($R384&gt;0,$P384*$I384/$R384/1000000,"")</f>
        <v>80.0361909296987</v>
      </c>
      <c r="AG384" s="50" t="n">
        <f aca="false">IF(AND(ISNUMBER($AE384),ISNUMBER($AF384),$AF384&gt;0),$AE384/$AF384,"")</f>
        <v>3.61540884782949</v>
      </c>
      <c r="AH384" s="48" t="n">
        <f aca="false">IF($U384&gt;=5,SUM(INDEX($AD$354:$AD384,32-5):$AD384),"")</f>
        <v>102473630027</v>
      </c>
      <c r="AI384" s="48" t="n">
        <f aca="false">IF($U384&gt;=STRUCT_S,MAX(INDEX($G$234:$G384,152-STRUCT_S):$G384),"")</f>
        <v>7916</v>
      </c>
      <c r="AJ384" s="48" t="n">
        <f aca="false">IF($U384&gt;=STRUCT_S,MIN(INDEX($H$234:$H384,152-STRUCT_S):$H384),"")</f>
        <v>6986</v>
      </c>
      <c r="AK384" s="48" t="n">
        <f aca="false">IF($U384&gt;=STRUCT_L,MAX(INDEX($G$134:$G384,252-STRUCT_L):$G384),"")</f>
        <v>8518</v>
      </c>
      <c r="AL384" s="48" t="n">
        <f aca="false">IF($U384&gt;=STRUCT_L,MIN(INDEX($H$134:$H384,252-STRUCT_L):$H384),"")</f>
        <v>6986</v>
      </c>
      <c r="AM384" s="46" t="n">
        <f aca="false">IF($A384&lt;&gt;$A385,1,0)</f>
        <v>0</v>
      </c>
      <c r="AN384" s="47" t="str">
        <f aca="false">IF($AM384=1,$A384,"")</f>
        <v/>
      </c>
    </row>
    <row r="385" customFormat="false" ht="15" hidden="false" customHeight="false" outlineLevel="0" collapsed="false">
      <c r="A385" s="43" t="s">
        <v>138</v>
      </c>
      <c r="B385" s="44" t="s">
        <v>140</v>
      </c>
      <c r="C385" s="45" t="n">
        <v>46074</v>
      </c>
      <c r="D385" s="46" t="n">
        <v>20260221</v>
      </c>
      <c r="E385" s="47" t="s">
        <v>408</v>
      </c>
      <c r="F385" s="48" t="n">
        <v>7407</v>
      </c>
      <c r="G385" s="48" t="n">
        <v>7562</v>
      </c>
      <c r="H385" s="48" t="n">
        <v>7342</v>
      </c>
      <c r="I385" s="48" t="n">
        <v>7362</v>
      </c>
      <c r="J385" s="48" t="n">
        <v>7543</v>
      </c>
      <c r="K385" s="48" t="n">
        <v>7542</v>
      </c>
      <c r="L385" s="48" t="n">
        <v>19808941</v>
      </c>
      <c r="M385" s="48" t="n">
        <v>145833423642</v>
      </c>
      <c r="N385" s="48" t="n">
        <v>651</v>
      </c>
      <c r="O385" s="48" t="n">
        <v>10462756</v>
      </c>
      <c r="P385" s="48" t="n">
        <v>7958257</v>
      </c>
      <c r="Q385" s="48" t="n">
        <v>237</v>
      </c>
      <c r="R385" s="48" t="n">
        <v>228</v>
      </c>
      <c r="S385" s="48" t="n">
        <v>9346185</v>
      </c>
      <c r="T385" s="48" t="n">
        <v>11850684</v>
      </c>
      <c r="U385" s="46" t="n">
        <f aca="false">IF($A385=$A384,$U384+1,1)</f>
        <v>121</v>
      </c>
      <c r="V385" s="48" t="n">
        <f aca="false">IF($U385&gt;=MA_SHORT,AVERAGE(INDEX($I$5:$I385,382-MA_SHORT):$I385),"")</f>
        <v>7341.9</v>
      </c>
      <c r="W385" s="48" t="n">
        <f aca="false">IF($U385&gt;=MA_MED,AVERAGE(INDEX($I$5:$I385,382-MA_MED):$I385),"")</f>
        <v>7525.06</v>
      </c>
      <c r="X385" s="48" t="n">
        <f aca="false">IF($U385&gt;=MA_LONG1,AVERAGE(INDEX($I$5:$I385,382-MA_LONG1):$I385),"")</f>
        <v>7577.32</v>
      </c>
      <c r="Y385" s="48" t="str">
        <f aca="false">IF($U385&gt;=MA_LONG2,AVERAGE(INDEX($I$5:$I385,382-MA_LONG2):$I385),"")</f>
        <v/>
      </c>
      <c r="Z385" s="48" t="n">
        <f aca="false">IF($U385&gt;=MA_SHORT,AVERAGE(INDEX($L$265:$L385,122-MA_SHORT):$L385),"")</f>
        <v>16721453.7</v>
      </c>
      <c r="AA385" s="48" t="n">
        <f aca="false">IF($U385=1,$G385-$H385,MAX($G385-$H385,ABS($G385-$I384),ABS($H385-$I384)))</f>
        <v>220</v>
      </c>
      <c r="AB385" s="48" t="n">
        <f aca="false">IF($U385&gt;=ATR_PER,AVERAGE(INDEX($AA$265:$AA385,122-ATR_PER):$AA385),"")</f>
        <v>298.357142857143</v>
      </c>
      <c r="AC385" s="48" t="n">
        <f aca="false">$O385-$P385</f>
        <v>2504499</v>
      </c>
      <c r="AD385" s="48" t="n">
        <f aca="false">$AC385*$I385</f>
        <v>18438121638</v>
      </c>
      <c r="AE385" s="49" t="n">
        <f aca="false">IF($Q385&gt;0,$O385*$I385/$Q385/1000000,"")</f>
        <v>325.007635746836</v>
      </c>
      <c r="AF385" s="49" t="n">
        <f aca="false">IF($R385&gt;0,$P385*$I385/$R385/1000000,"")</f>
        <v>256.967929973684</v>
      </c>
      <c r="AG385" s="50" t="n">
        <f aca="false">IF(AND(ISNUMBER($AE385),ISNUMBER($AF385),$AF385&gt;0),$AE385/$AF385,"")</f>
        <v>1.26477897759506</v>
      </c>
      <c r="AH385" s="48" t="n">
        <f aca="false">IF($U385&gt;=5,SUM(INDEX($AD$355:$AD385,32-5):$AD385),"")</f>
        <v>109944876761</v>
      </c>
      <c r="AI385" s="48" t="n">
        <f aca="false">IF($U385&gt;=STRUCT_S,MAX(INDEX($G$235:$G385,152-STRUCT_S):$G385),"")</f>
        <v>7916</v>
      </c>
      <c r="AJ385" s="48" t="n">
        <f aca="false">IF($U385&gt;=STRUCT_S,MIN(INDEX($H$235:$H385,152-STRUCT_S):$H385),"")</f>
        <v>6986</v>
      </c>
      <c r="AK385" s="48" t="n">
        <f aca="false">IF($U385&gt;=STRUCT_L,MAX(INDEX($G$135:$G385,252-STRUCT_L):$G385),"")</f>
        <v>8518</v>
      </c>
      <c r="AL385" s="48" t="n">
        <f aca="false">IF($U385&gt;=STRUCT_L,MIN(INDEX($H$135:$H385,252-STRUCT_L):$H385),"")</f>
        <v>6986</v>
      </c>
      <c r="AM385" s="46" t="n">
        <f aca="false">IF($A385&lt;&gt;$A386,1,0)</f>
        <v>0</v>
      </c>
      <c r="AN385" s="47" t="str">
        <f aca="false">IF($AM385=1,$A385,"")</f>
        <v/>
      </c>
    </row>
    <row r="386" customFormat="false" ht="15" hidden="false" customHeight="false" outlineLevel="0" collapsed="false">
      <c r="A386" s="43" t="s">
        <v>138</v>
      </c>
      <c r="B386" s="44" t="s">
        <v>140</v>
      </c>
      <c r="C386" s="45" t="n">
        <v>46075</v>
      </c>
      <c r="D386" s="46" t="n">
        <v>20260222</v>
      </c>
      <c r="E386" s="47" t="s">
        <v>409</v>
      </c>
      <c r="F386" s="48" t="n">
        <v>7273</v>
      </c>
      <c r="G386" s="48" t="n">
        <v>7480</v>
      </c>
      <c r="H386" s="48" t="n">
        <v>7265</v>
      </c>
      <c r="I386" s="48" t="n">
        <v>7383</v>
      </c>
      <c r="J386" s="48" t="n">
        <v>7347</v>
      </c>
      <c r="K386" s="48" t="n">
        <v>7362</v>
      </c>
      <c r="L386" s="48" t="n">
        <v>14766524</v>
      </c>
      <c r="M386" s="48" t="n">
        <v>109021246692</v>
      </c>
      <c r="N386" s="48" t="n">
        <v>461</v>
      </c>
      <c r="O386" s="48" t="n">
        <v>8150157</v>
      </c>
      <c r="P386" s="48" t="n">
        <v>7389196</v>
      </c>
      <c r="Q386" s="48" t="n">
        <v>147</v>
      </c>
      <c r="R386" s="48" t="n">
        <v>277</v>
      </c>
      <c r="S386" s="48" t="n">
        <v>6616367</v>
      </c>
      <c r="T386" s="48" t="n">
        <v>7377328</v>
      </c>
      <c r="U386" s="46" t="n">
        <f aca="false">IF($A386=$A385,$U385+1,1)</f>
        <v>122</v>
      </c>
      <c r="V386" s="48" t="n">
        <f aca="false">IF($U386&gt;=MA_SHORT,AVERAGE(INDEX($I$5:$I386,383-MA_SHORT):$I386),"")</f>
        <v>7330.5</v>
      </c>
      <c r="W386" s="48" t="n">
        <f aca="false">IF($U386&gt;=MA_MED,AVERAGE(INDEX($I$5:$I386,383-MA_MED):$I386),"")</f>
        <v>7510.16</v>
      </c>
      <c r="X386" s="48" t="n">
        <f aca="false">IF($U386&gt;=MA_LONG1,AVERAGE(INDEX($I$5:$I386,383-MA_LONG1):$I386),"")</f>
        <v>7579.9</v>
      </c>
      <c r="Y386" s="48" t="str">
        <f aca="false">IF($U386&gt;=MA_LONG2,AVERAGE(INDEX($I$5:$I386,383-MA_LONG2):$I386),"")</f>
        <v/>
      </c>
      <c r="Z386" s="48" t="n">
        <f aca="false">IF($U386&gt;=MA_SHORT,AVERAGE(INDEX($L$266:$L386,122-MA_SHORT):$L386),"")</f>
        <v>16636622.6</v>
      </c>
      <c r="AA386" s="48" t="n">
        <f aca="false">IF($U386=1,$G386-$H386,MAX($G386-$H386,ABS($G386-$I385),ABS($H386-$I385)))</f>
        <v>215</v>
      </c>
      <c r="AB386" s="48" t="n">
        <f aca="false">IF($U386&gt;=ATR_PER,AVERAGE(INDEX($AA$266:$AA386,122-ATR_PER):$AA386),"")</f>
        <v>301.5</v>
      </c>
      <c r="AC386" s="48" t="n">
        <f aca="false">$O386-$P386</f>
        <v>760961</v>
      </c>
      <c r="AD386" s="48" t="n">
        <f aca="false">$AC386*$I386</f>
        <v>5618175063</v>
      </c>
      <c r="AE386" s="49" t="n">
        <f aca="false">IF($Q386&gt;0,$O386*$I386/$Q386/1000000,"")</f>
        <v>409.337477081633</v>
      </c>
      <c r="AF386" s="49" t="n">
        <f aca="false">IF($R386&gt;0,$P386*$I386/$R386/1000000,"")</f>
        <v>196.947415407942</v>
      </c>
      <c r="AG386" s="50" t="n">
        <f aca="false">IF(AND(ISNUMBER($AE386),ISNUMBER($AF386),$AF386&gt;0),$AE386/$AF386,"")</f>
        <v>2.07840999707339</v>
      </c>
      <c r="AH386" s="48" t="n">
        <f aca="false">IF($U386&gt;=5,SUM(INDEX($AD$356:$AD386,32-5):$AD386),"")</f>
        <v>107835739349</v>
      </c>
      <c r="AI386" s="48" t="n">
        <f aca="false">IF($U386&gt;=STRUCT_S,MAX(INDEX($G$236:$G386,152-STRUCT_S):$G386),"")</f>
        <v>7674</v>
      </c>
      <c r="AJ386" s="48" t="n">
        <f aca="false">IF($U386&gt;=STRUCT_S,MIN(INDEX($H$236:$H386,152-STRUCT_S):$H386),"")</f>
        <v>6986</v>
      </c>
      <c r="AK386" s="48" t="n">
        <f aca="false">IF($U386&gt;=STRUCT_L,MAX(INDEX($G$136:$G386,252-STRUCT_L):$G386),"")</f>
        <v>8518</v>
      </c>
      <c r="AL386" s="48" t="n">
        <f aca="false">IF($U386&gt;=STRUCT_L,MIN(INDEX($H$136:$H386,252-STRUCT_L):$H386),"")</f>
        <v>6986</v>
      </c>
      <c r="AM386" s="46" t="n">
        <f aca="false">IF($A386&lt;&gt;$A387,1,0)</f>
        <v>0</v>
      </c>
      <c r="AN386" s="47" t="str">
        <f aca="false">IF($AM386=1,$A386,"")</f>
        <v/>
      </c>
    </row>
    <row r="387" customFormat="false" ht="15" hidden="false" customHeight="false" outlineLevel="0" collapsed="false">
      <c r="A387" s="43" t="s">
        <v>138</v>
      </c>
      <c r="B387" s="44" t="s">
        <v>140</v>
      </c>
      <c r="C387" s="45" t="n">
        <v>46076</v>
      </c>
      <c r="D387" s="46" t="n">
        <v>20260223</v>
      </c>
      <c r="E387" s="47" t="s">
        <v>410</v>
      </c>
      <c r="F387" s="48" t="n">
        <v>7418</v>
      </c>
      <c r="G387" s="48" t="n">
        <v>7441</v>
      </c>
      <c r="H387" s="48" t="n">
        <v>7214</v>
      </c>
      <c r="I387" s="48" t="n">
        <v>7271</v>
      </c>
      <c r="J387" s="48" t="n">
        <v>7229</v>
      </c>
      <c r="K387" s="48" t="n">
        <v>7383</v>
      </c>
      <c r="L387" s="48" t="n">
        <v>22981332</v>
      </c>
      <c r="M387" s="48" t="n">
        <v>167097264972</v>
      </c>
      <c r="N387" s="48" t="n">
        <v>879</v>
      </c>
      <c r="O387" s="48" t="n">
        <v>9237069</v>
      </c>
      <c r="P387" s="48" t="n">
        <v>15041839</v>
      </c>
      <c r="Q387" s="48" t="n">
        <v>486</v>
      </c>
      <c r="R387" s="48" t="n">
        <v>280</v>
      </c>
      <c r="S387" s="48" t="n">
        <v>13744263</v>
      </c>
      <c r="T387" s="48" t="n">
        <v>7939493</v>
      </c>
      <c r="U387" s="46" t="n">
        <f aca="false">IF($A387=$A386,$U386+1,1)</f>
        <v>123</v>
      </c>
      <c r="V387" s="48" t="n">
        <f aca="false">IF($U387&gt;=MA_SHORT,AVERAGE(INDEX($I$5:$I387,384-MA_SHORT):$I387),"")</f>
        <v>7324.1</v>
      </c>
      <c r="W387" s="48" t="n">
        <f aca="false">IF($U387&gt;=MA_MED,AVERAGE(INDEX($I$5:$I387,384-MA_MED):$I387),"")</f>
        <v>7497.68</v>
      </c>
      <c r="X387" s="48" t="n">
        <f aca="false">IF($U387&gt;=MA_LONG1,AVERAGE(INDEX($I$5:$I387,384-MA_LONG1):$I387),"")</f>
        <v>7581.96</v>
      </c>
      <c r="Y387" s="48" t="str">
        <f aca="false">IF($U387&gt;=MA_LONG2,AVERAGE(INDEX($I$5:$I387,384-MA_LONG2):$I387),"")</f>
        <v/>
      </c>
      <c r="Z387" s="48" t="n">
        <f aca="false">IF($U387&gt;=MA_SHORT,AVERAGE(INDEX($L$267:$L387,122-MA_SHORT):$L387),"")</f>
        <v>16831939.25</v>
      </c>
      <c r="AA387" s="48" t="n">
        <f aca="false">IF($U387=1,$G387-$H387,MAX($G387-$H387,ABS($G387-$I386),ABS($H387-$I386)))</f>
        <v>227</v>
      </c>
      <c r="AB387" s="48" t="n">
        <f aca="false">IF($U387&gt;=ATR_PER,AVERAGE(INDEX($AA$267:$AA387,122-ATR_PER):$AA387),"")</f>
        <v>293.357142857143</v>
      </c>
      <c r="AC387" s="48" t="n">
        <f aca="false">$O387-$P387</f>
        <v>-5804770</v>
      </c>
      <c r="AD387" s="48" t="n">
        <f aca="false">$AC387*$I387</f>
        <v>-42206482670</v>
      </c>
      <c r="AE387" s="49" t="n">
        <f aca="false">IF($Q387&gt;0,$O387*$I387/$Q387/1000000,"")</f>
        <v>138.194915018519</v>
      </c>
      <c r="AF387" s="49" t="n">
        <f aca="false">IF($R387&gt;0,$P387*$I387/$R387/1000000,"")</f>
        <v>390.604326317857</v>
      </c>
      <c r="AG387" s="50" t="n">
        <f aca="false">IF(AND(ISNUMBER($AE387),ISNUMBER($AF387),$AF387&gt;0),$AE387/$AF387,"")</f>
        <v>0.353797707058834</v>
      </c>
      <c r="AH387" s="48" t="n">
        <f aca="false">IF($U387&gt;=5,SUM(INDEX($AD$357:$AD387,32-5):$AD387),"")</f>
        <v>30002642409</v>
      </c>
      <c r="AI387" s="48" t="n">
        <f aca="false">IF($U387&gt;=STRUCT_S,MAX(INDEX($G$237:$G387,152-STRUCT_S):$G387),"")</f>
        <v>7627</v>
      </c>
      <c r="AJ387" s="48" t="n">
        <f aca="false">IF($U387&gt;=STRUCT_S,MIN(INDEX($H$237:$H387,152-STRUCT_S):$H387),"")</f>
        <v>6986</v>
      </c>
      <c r="AK387" s="48" t="n">
        <f aca="false">IF($U387&gt;=STRUCT_L,MAX(INDEX($G$137:$G387,252-STRUCT_L):$G387),"")</f>
        <v>8518</v>
      </c>
      <c r="AL387" s="48" t="n">
        <f aca="false">IF($U387&gt;=STRUCT_L,MIN(INDEX($H$137:$H387,252-STRUCT_L):$H387),"")</f>
        <v>6986</v>
      </c>
      <c r="AM387" s="46" t="n">
        <f aca="false">IF($A387&lt;&gt;$A388,1,0)</f>
        <v>0</v>
      </c>
      <c r="AN387" s="47" t="str">
        <f aca="false">IF($AM387=1,$A387,"")</f>
        <v/>
      </c>
    </row>
    <row r="388" customFormat="false" ht="15" hidden="false" customHeight="false" outlineLevel="0" collapsed="false">
      <c r="A388" s="43" t="s">
        <v>138</v>
      </c>
      <c r="B388" s="44" t="s">
        <v>140</v>
      </c>
      <c r="C388" s="45" t="n">
        <v>46077</v>
      </c>
      <c r="D388" s="46" t="n">
        <v>20260224</v>
      </c>
      <c r="E388" s="47" t="s">
        <v>411</v>
      </c>
      <c r="F388" s="48" t="n">
        <v>7491</v>
      </c>
      <c r="G388" s="48" t="n">
        <v>7537</v>
      </c>
      <c r="H388" s="48" t="n">
        <v>7201</v>
      </c>
      <c r="I388" s="48" t="n">
        <v>7465</v>
      </c>
      <c r="J388" s="48" t="n">
        <v>7373</v>
      </c>
      <c r="K388" s="48" t="n">
        <v>7271</v>
      </c>
      <c r="L388" s="48" t="n">
        <v>20592141</v>
      </c>
      <c r="M388" s="48" t="n">
        <v>153720332565</v>
      </c>
      <c r="N388" s="48" t="n">
        <v>464</v>
      </c>
      <c r="O388" s="48" t="n">
        <v>11940541</v>
      </c>
      <c r="P388" s="48" t="n">
        <v>9290778</v>
      </c>
      <c r="Q388" s="48" t="n">
        <v>122</v>
      </c>
      <c r="R388" s="48" t="n">
        <v>304</v>
      </c>
      <c r="S388" s="48" t="n">
        <v>8651600</v>
      </c>
      <c r="T388" s="48" t="n">
        <v>11301363</v>
      </c>
      <c r="U388" s="46" t="n">
        <f aca="false">IF($A388=$A387,$U387+1,1)</f>
        <v>124</v>
      </c>
      <c r="V388" s="48" t="n">
        <f aca="false">IF($U388&gt;=MA_SHORT,AVERAGE(INDEX($I$5:$I388,385-MA_SHORT):$I388),"")</f>
        <v>7330.35</v>
      </c>
      <c r="W388" s="48" t="n">
        <f aca="false">IF($U388&gt;=MA_MED,AVERAGE(INDEX($I$5:$I388,385-MA_MED):$I388),"")</f>
        <v>7489.32</v>
      </c>
      <c r="X388" s="48" t="n">
        <f aca="false">IF($U388&gt;=MA_LONG1,AVERAGE(INDEX($I$5:$I388,385-MA_LONG1):$I388),"")</f>
        <v>7588.96</v>
      </c>
      <c r="Y388" s="48" t="str">
        <f aca="false">IF($U388&gt;=MA_LONG2,AVERAGE(INDEX($I$5:$I388,385-MA_LONG2):$I388),"")</f>
        <v/>
      </c>
      <c r="Z388" s="48" t="n">
        <f aca="false">IF($U388&gt;=MA_SHORT,AVERAGE(INDEX($L$268:$L388,122-MA_SHORT):$L388),"")</f>
        <v>17033557.65</v>
      </c>
      <c r="AA388" s="48" t="n">
        <f aca="false">IF($U388=1,$G388-$H388,MAX($G388-$H388,ABS($G388-$I387),ABS($H388-$I387)))</f>
        <v>336</v>
      </c>
      <c r="AB388" s="48" t="n">
        <f aca="false">IF($U388&gt;=ATR_PER,AVERAGE(INDEX($AA$268:$AA388,122-ATR_PER):$AA388),"")</f>
        <v>306.571428571429</v>
      </c>
      <c r="AC388" s="48" t="n">
        <f aca="false">$O388-$P388</f>
        <v>2649763</v>
      </c>
      <c r="AD388" s="48" t="n">
        <f aca="false">$AC388*$I388</f>
        <v>19780480795</v>
      </c>
      <c r="AE388" s="49" t="n">
        <f aca="false">IF($Q388&gt;0,$O388*$I388/$Q388/1000000,"")</f>
        <v>730.624086598361</v>
      </c>
      <c r="AF388" s="49" t="n">
        <f aca="false">IF($R388&gt;0,$P388*$I388/$R388/1000000,"")</f>
        <v>228.143611085526</v>
      </c>
      <c r="AG388" s="50" t="n">
        <f aca="false">IF(AND(ISNUMBER($AE388),ISNUMBER($AF388),$AF388&gt;0),$AE388/$AF388,"")</f>
        <v>3.20247445511181</v>
      </c>
      <c r="AH388" s="48" t="n">
        <f aca="false">IF($U388&gt;=5,SUM(INDEX($AD$358:$AD388,32-5):$AD388),"")</f>
        <v>48569131004</v>
      </c>
      <c r="AI388" s="48" t="n">
        <f aca="false">IF($U388&gt;=STRUCT_S,MAX(INDEX($G$238:$G388,152-STRUCT_S):$G388),"")</f>
        <v>7627</v>
      </c>
      <c r="AJ388" s="48" t="n">
        <f aca="false">IF($U388&gt;=STRUCT_S,MIN(INDEX($H$238:$H388,152-STRUCT_S):$H388),"")</f>
        <v>6986</v>
      </c>
      <c r="AK388" s="48" t="n">
        <f aca="false">IF($U388&gt;=STRUCT_L,MAX(INDEX($G$138:$G388,252-STRUCT_L):$G388),"")</f>
        <v>8518</v>
      </c>
      <c r="AL388" s="48" t="n">
        <f aca="false">IF($U388&gt;=STRUCT_L,MIN(INDEX($H$138:$H388,252-STRUCT_L):$H388),"")</f>
        <v>6986</v>
      </c>
      <c r="AM388" s="46" t="n">
        <f aca="false">IF($A388&lt;&gt;$A389,1,0)</f>
        <v>0</v>
      </c>
      <c r="AN388" s="47" t="str">
        <f aca="false">IF($AM388=1,$A388,"")</f>
        <v/>
      </c>
    </row>
    <row r="389" customFormat="false" ht="15" hidden="false" customHeight="false" outlineLevel="0" collapsed="false">
      <c r="A389" s="43" t="s">
        <v>138</v>
      </c>
      <c r="B389" s="44" t="s">
        <v>140</v>
      </c>
      <c r="C389" s="45" t="n">
        <v>46078</v>
      </c>
      <c r="D389" s="46" t="n">
        <v>20260225</v>
      </c>
      <c r="E389" s="47" t="s">
        <v>412</v>
      </c>
      <c r="F389" s="48" t="n">
        <v>7538</v>
      </c>
      <c r="G389" s="48" t="n">
        <v>7558</v>
      </c>
      <c r="H389" s="48" t="n">
        <v>7425</v>
      </c>
      <c r="I389" s="48" t="n">
        <v>7518</v>
      </c>
      <c r="J389" s="48" t="n">
        <v>7557</v>
      </c>
      <c r="K389" s="48" t="n">
        <v>7465</v>
      </c>
      <c r="L389" s="48" t="n">
        <v>15136500</v>
      </c>
      <c r="M389" s="48" t="n">
        <v>113796207000</v>
      </c>
      <c r="N389" s="48" t="n">
        <v>343</v>
      </c>
      <c r="O389" s="48" t="n">
        <v>9582146</v>
      </c>
      <c r="P389" s="48" t="n">
        <v>5797236</v>
      </c>
      <c r="Q389" s="48" t="n">
        <v>123</v>
      </c>
      <c r="R389" s="48" t="n">
        <v>200</v>
      </c>
      <c r="S389" s="48" t="n">
        <v>5554354</v>
      </c>
      <c r="T389" s="48" t="n">
        <v>9339264</v>
      </c>
      <c r="U389" s="46" t="n">
        <f aca="false">IF($A389=$A388,$U388+1,1)</f>
        <v>125</v>
      </c>
      <c r="V389" s="48" t="n">
        <f aca="false">IF($U389&gt;=MA_SHORT,AVERAGE(INDEX($I$5:$I389,386-MA_SHORT):$I389),"")</f>
        <v>7336.5</v>
      </c>
      <c r="W389" s="48" t="n">
        <f aca="false">IF($U389&gt;=MA_MED,AVERAGE(INDEX($I$5:$I389,386-MA_MED):$I389),"")</f>
        <v>7482.78</v>
      </c>
      <c r="X389" s="48" t="n">
        <f aca="false">IF($U389&gt;=MA_LONG1,AVERAGE(INDEX($I$5:$I389,386-MA_LONG1):$I389),"")</f>
        <v>7597.28</v>
      </c>
      <c r="Y389" s="48" t="str">
        <f aca="false">IF($U389&gt;=MA_LONG2,AVERAGE(INDEX($I$5:$I389,386-MA_LONG2):$I389),"")</f>
        <v/>
      </c>
      <c r="Z389" s="48" t="n">
        <f aca="false">IF($U389&gt;=MA_SHORT,AVERAGE(INDEX($L$269:$L389,122-MA_SHORT):$L389),"")</f>
        <v>17030348.15</v>
      </c>
      <c r="AA389" s="48" t="n">
        <f aca="false">IF($U389=1,$G389-$H389,MAX($G389-$H389,ABS($G389-$I388),ABS($H389-$I388)))</f>
        <v>133</v>
      </c>
      <c r="AB389" s="48" t="n">
        <f aca="false">IF($U389&gt;=ATR_PER,AVERAGE(INDEX($AA$269:$AA389,122-ATR_PER):$AA389),"")</f>
        <v>277.071428571429</v>
      </c>
      <c r="AC389" s="48" t="n">
        <f aca="false">$O389-$P389</f>
        <v>3784910</v>
      </c>
      <c r="AD389" s="48" t="n">
        <f aca="false">$AC389*$I389</f>
        <v>28454953380</v>
      </c>
      <c r="AE389" s="49" t="n">
        <f aca="false">IF($Q389&gt;0,$O389*$I389/$Q389/1000000,"")</f>
        <v>585.679460390244</v>
      </c>
      <c r="AF389" s="49" t="n">
        <f aca="false">IF($R389&gt;0,$P389*$I389/$R389/1000000,"")</f>
        <v>217.91810124</v>
      </c>
      <c r="AG389" s="50" t="n">
        <f aca="false">IF(AND(ISNUMBER($AE389),ISNUMBER($AF389),$AF389&gt;0),$AE389/$AF389,"")</f>
        <v>2.68761271806979</v>
      </c>
      <c r="AH389" s="48" t="n">
        <f aca="false">IF($U389&gt;=5,SUM(INDEX($AD$359:$AD389,32-5):$AD389),"")</f>
        <v>30085248206</v>
      </c>
      <c r="AI389" s="48" t="n">
        <f aca="false">IF($U389&gt;=STRUCT_S,MAX(INDEX($G$239:$G389,152-STRUCT_S):$G389),"")</f>
        <v>7627</v>
      </c>
      <c r="AJ389" s="48" t="n">
        <f aca="false">IF($U389&gt;=STRUCT_S,MIN(INDEX($H$239:$H389,152-STRUCT_S):$H389),"")</f>
        <v>6986</v>
      </c>
      <c r="AK389" s="48" t="n">
        <f aca="false">IF($U389&gt;=STRUCT_L,MAX(INDEX($G$139:$G389,252-STRUCT_L):$G389),"")</f>
        <v>8518</v>
      </c>
      <c r="AL389" s="48" t="n">
        <f aca="false">IF($U389&gt;=STRUCT_L,MIN(INDEX($H$139:$H389,252-STRUCT_L):$H389),"")</f>
        <v>6986</v>
      </c>
      <c r="AM389" s="46" t="n">
        <f aca="false">IF($A389&lt;&gt;$A390,1,0)</f>
        <v>0</v>
      </c>
      <c r="AN389" s="47" t="str">
        <f aca="false">IF($AM389=1,$A389,"")</f>
        <v/>
      </c>
    </row>
    <row r="390" customFormat="false" ht="15" hidden="false" customHeight="false" outlineLevel="0" collapsed="false">
      <c r="A390" s="43" t="s">
        <v>138</v>
      </c>
      <c r="B390" s="44" t="s">
        <v>140</v>
      </c>
      <c r="C390" s="45" t="n">
        <v>46081</v>
      </c>
      <c r="D390" s="46" t="n">
        <v>20260228</v>
      </c>
      <c r="E390" s="47" t="s">
        <v>413</v>
      </c>
      <c r="F390" s="48" t="n">
        <v>7445</v>
      </c>
      <c r="G390" s="48" t="n">
        <v>7611</v>
      </c>
      <c r="H390" s="48" t="n">
        <v>7398</v>
      </c>
      <c r="I390" s="48" t="n">
        <v>7490</v>
      </c>
      <c r="J390" s="48" t="n">
        <v>7470</v>
      </c>
      <c r="K390" s="48" t="n">
        <v>7518</v>
      </c>
      <c r="L390" s="48" t="n">
        <v>17896260</v>
      </c>
      <c r="M390" s="48" t="n">
        <v>134042987400</v>
      </c>
      <c r="N390" s="48" t="n">
        <v>1569</v>
      </c>
      <c r="O390" s="48" t="n">
        <v>10502500</v>
      </c>
      <c r="P390" s="48" t="n">
        <v>8928787</v>
      </c>
      <c r="Q390" s="48" t="n">
        <v>1017</v>
      </c>
      <c r="R390" s="48" t="n">
        <v>649</v>
      </c>
      <c r="S390" s="48" t="n">
        <v>7393760</v>
      </c>
      <c r="T390" s="48" t="n">
        <v>8967473</v>
      </c>
      <c r="U390" s="46" t="n">
        <f aca="false">IF($A390=$A389,$U389+1,1)</f>
        <v>126</v>
      </c>
      <c r="V390" s="48" t="n">
        <f aca="false">IF($U390&gt;=MA_SHORT,AVERAGE(INDEX($I$5:$I390,387-MA_SHORT):$I390),"")</f>
        <v>7345.8</v>
      </c>
      <c r="W390" s="48" t="n">
        <f aca="false">IF($U390&gt;=MA_MED,AVERAGE(INDEX($I$5:$I390,387-MA_MED):$I390),"")</f>
        <v>7475.82</v>
      </c>
      <c r="X390" s="48" t="n">
        <f aca="false">IF($U390&gt;=MA_LONG1,AVERAGE(INDEX($I$5:$I390,387-MA_LONG1):$I390),"")</f>
        <v>7604</v>
      </c>
      <c r="Y390" s="48" t="str">
        <f aca="false">IF($U390&gt;=MA_LONG2,AVERAGE(INDEX($I$5:$I390,387-MA_LONG2):$I390),"")</f>
        <v/>
      </c>
      <c r="Z390" s="48" t="n">
        <f aca="false">IF($U390&gt;=MA_SHORT,AVERAGE(INDEX($L$270:$L390,122-MA_SHORT):$L390),"")</f>
        <v>17065195.15</v>
      </c>
      <c r="AA390" s="48" t="n">
        <f aca="false">IF($U390=1,$G390-$H390,MAX($G390-$H390,ABS($G390-$I389),ABS($H390-$I389)))</f>
        <v>213</v>
      </c>
      <c r="AB390" s="48" t="n">
        <f aca="false">IF($U390&gt;=ATR_PER,AVERAGE(INDEX($AA$270:$AA390,122-ATR_PER):$AA390),"")</f>
        <v>278</v>
      </c>
      <c r="AC390" s="48" t="n">
        <f aca="false">$O390-$P390</f>
        <v>1573713</v>
      </c>
      <c r="AD390" s="48" t="n">
        <f aca="false">$AC390*$I390</f>
        <v>11787110370</v>
      </c>
      <c r="AE390" s="49" t="n">
        <f aca="false">IF($Q390&gt;0,$O390*$I390/$Q390/1000000,"")</f>
        <v>77.3487954768928</v>
      </c>
      <c r="AF390" s="49" t="n">
        <f aca="false">IF($R390&gt;0,$P390*$I390/$R390/1000000,"")</f>
        <v>103.045631171032</v>
      </c>
      <c r="AG390" s="50" t="n">
        <f aca="false">IF(AND(ISNUMBER($AE390),ISNUMBER($AF390),$AF390&gt;0),$AE390/$AF390,"")</f>
        <v>0.75062663596588</v>
      </c>
      <c r="AH390" s="48" t="n">
        <f aca="false">IF($U390&gt;=5,SUM(INDEX($AD$360:$AD390,32-5):$AD390),"")</f>
        <v>23434236938</v>
      </c>
      <c r="AI390" s="48" t="n">
        <f aca="false">IF($U390&gt;=STRUCT_S,MAX(INDEX($G$240:$G390,152-STRUCT_S):$G390),"")</f>
        <v>7627</v>
      </c>
      <c r="AJ390" s="48" t="n">
        <f aca="false">IF($U390&gt;=STRUCT_S,MIN(INDEX($H$240:$H390,152-STRUCT_S):$H390),"")</f>
        <v>6986</v>
      </c>
      <c r="AK390" s="48" t="n">
        <f aca="false">IF($U390&gt;=STRUCT_L,MAX(INDEX($G$140:$G390,252-STRUCT_L):$G390),"")</f>
        <v>8518</v>
      </c>
      <c r="AL390" s="48" t="n">
        <f aca="false">IF($U390&gt;=STRUCT_L,MIN(INDEX($H$140:$H390,252-STRUCT_L):$H390),"")</f>
        <v>6986</v>
      </c>
      <c r="AM390" s="46" t="n">
        <f aca="false">IF($A390&lt;&gt;$A391,1,0)</f>
        <v>0</v>
      </c>
      <c r="AN390" s="47" t="str">
        <f aca="false">IF($AM390=1,$A390,"")</f>
        <v/>
      </c>
    </row>
    <row r="391" customFormat="false" ht="15" hidden="false" customHeight="false" outlineLevel="0" collapsed="false">
      <c r="A391" s="43" t="s">
        <v>138</v>
      </c>
      <c r="B391" s="44" t="s">
        <v>140</v>
      </c>
      <c r="C391" s="45" t="n">
        <v>46082</v>
      </c>
      <c r="D391" s="46" t="n">
        <v>20260301</v>
      </c>
      <c r="E391" s="47" t="s">
        <v>414</v>
      </c>
      <c r="F391" s="48" t="n">
        <v>7489</v>
      </c>
      <c r="G391" s="48" t="n">
        <v>7556</v>
      </c>
      <c r="H391" s="48" t="n">
        <v>7280</v>
      </c>
      <c r="I391" s="48" t="n">
        <v>7344</v>
      </c>
      <c r="J391" s="48" t="n">
        <v>7548</v>
      </c>
      <c r="K391" s="48" t="n">
        <v>7490</v>
      </c>
      <c r="L391" s="48" t="n">
        <v>16216021</v>
      </c>
      <c r="M391" s="48" t="n">
        <v>119090458224</v>
      </c>
      <c r="N391" s="48" t="n">
        <v>796</v>
      </c>
      <c r="O391" s="48" t="n">
        <v>4992675</v>
      </c>
      <c r="P391" s="48" t="n">
        <v>10665561</v>
      </c>
      <c r="Q391" s="48" t="n">
        <v>515</v>
      </c>
      <c r="R391" s="48" t="n">
        <v>220</v>
      </c>
      <c r="S391" s="48" t="n">
        <v>11223346</v>
      </c>
      <c r="T391" s="48" t="n">
        <v>5550460</v>
      </c>
      <c r="U391" s="46" t="n">
        <f aca="false">IF($A391=$A390,$U390+1,1)</f>
        <v>127</v>
      </c>
      <c r="V391" s="48" t="n">
        <f aca="false">IF($U391&gt;=MA_SHORT,AVERAGE(INDEX($I$5:$I391,388-MA_SHORT):$I391),"")</f>
        <v>7350.55</v>
      </c>
      <c r="W391" s="48" t="n">
        <f aca="false">IF($U391&gt;=MA_MED,AVERAGE(INDEX($I$5:$I391,388-MA_MED):$I391),"")</f>
        <v>7464.8</v>
      </c>
      <c r="X391" s="48" t="n">
        <f aca="false">IF($U391&gt;=MA_LONG1,AVERAGE(INDEX($I$5:$I391,388-MA_LONG1):$I391),"")</f>
        <v>7607.24</v>
      </c>
      <c r="Y391" s="48" t="str">
        <f aca="false">IF($U391&gt;=MA_LONG2,AVERAGE(INDEX($I$5:$I391,388-MA_LONG2):$I391),"")</f>
        <v/>
      </c>
      <c r="Z391" s="48" t="n">
        <f aca="false">IF($U391&gt;=MA_SHORT,AVERAGE(INDEX($L$271:$L391,122-MA_SHORT):$L391),"")</f>
        <v>17117296.95</v>
      </c>
      <c r="AA391" s="48" t="n">
        <f aca="false">IF($U391=1,$G391-$H391,MAX($G391-$H391,ABS($G391-$I390),ABS($H391-$I390)))</f>
        <v>276</v>
      </c>
      <c r="AB391" s="48" t="n">
        <f aca="false">IF($U391&gt;=ATR_PER,AVERAGE(INDEX($AA$271:$AA391,122-ATR_PER):$AA391),"")</f>
        <v>266.142857142857</v>
      </c>
      <c r="AC391" s="48" t="n">
        <f aca="false">$O391-$P391</f>
        <v>-5672886</v>
      </c>
      <c r="AD391" s="48" t="n">
        <f aca="false">$AC391*$I391</f>
        <v>-41661674784</v>
      </c>
      <c r="AE391" s="49" t="n">
        <f aca="false">IF($Q391&gt;0,$O391*$I391/$Q391/1000000,"")</f>
        <v>71.1965149514563</v>
      </c>
      <c r="AF391" s="49" t="n">
        <f aca="false">IF($R391&gt;0,$P391*$I391/$R391/1000000,"")</f>
        <v>356.035818109091</v>
      </c>
      <c r="AG391" s="50" t="n">
        <f aca="false">IF(AND(ISNUMBER($AE391),ISNUMBER($AF391),$AF391&gt;0),$AE391/$AF391,"")</f>
        <v>0.199970091013824</v>
      </c>
      <c r="AH391" s="48" t="n">
        <f aca="false">IF($U391&gt;=5,SUM(INDEX($AD$361:$AD391,32-5):$AD391),"")</f>
        <v>-23845612909</v>
      </c>
      <c r="AI391" s="48" t="n">
        <f aca="false">IF($U391&gt;=STRUCT_S,MAX(INDEX($G$241:$G391,152-STRUCT_S):$G391),"")</f>
        <v>7627</v>
      </c>
      <c r="AJ391" s="48" t="n">
        <f aca="false">IF($U391&gt;=STRUCT_S,MIN(INDEX($H$241:$H391,152-STRUCT_S):$H391),"")</f>
        <v>6986</v>
      </c>
      <c r="AK391" s="48" t="n">
        <f aca="false">IF($U391&gt;=STRUCT_L,MAX(INDEX($G$141:$G391,252-STRUCT_L):$G391),"")</f>
        <v>8518</v>
      </c>
      <c r="AL391" s="48" t="n">
        <f aca="false">IF($U391&gt;=STRUCT_L,MIN(INDEX($H$141:$H391,252-STRUCT_L):$H391),"")</f>
        <v>6986</v>
      </c>
      <c r="AM391" s="46" t="n">
        <f aca="false">IF($A391&lt;&gt;$A392,1,0)</f>
        <v>0</v>
      </c>
      <c r="AN391" s="47" t="str">
        <f aca="false">IF($AM391=1,$A391,"")</f>
        <v/>
      </c>
    </row>
    <row r="392" customFormat="false" ht="15" hidden="false" customHeight="false" outlineLevel="0" collapsed="false">
      <c r="A392" s="43" t="s">
        <v>138</v>
      </c>
      <c r="B392" s="44" t="s">
        <v>140</v>
      </c>
      <c r="C392" s="45" t="n">
        <v>46083</v>
      </c>
      <c r="D392" s="46" t="n">
        <v>20260302</v>
      </c>
      <c r="E392" s="47" t="s">
        <v>415</v>
      </c>
      <c r="F392" s="48" t="n">
        <v>7110</v>
      </c>
      <c r="G392" s="48" t="n">
        <v>7483</v>
      </c>
      <c r="H392" s="48" t="n">
        <v>7050</v>
      </c>
      <c r="I392" s="48" t="n">
        <v>7186</v>
      </c>
      <c r="J392" s="48" t="n">
        <v>7202</v>
      </c>
      <c r="K392" s="48" t="n">
        <v>7344</v>
      </c>
      <c r="L392" s="48" t="n">
        <v>22369498</v>
      </c>
      <c r="M392" s="48" t="n">
        <v>160747212628</v>
      </c>
      <c r="N392" s="48" t="n">
        <v>1450</v>
      </c>
      <c r="O392" s="48" t="n">
        <v>11621770</v>
      </c>
      <c r="P392" s="48" t="n">
        <v>9507677</v>
      </c>
      <c r="Q392" s="48" t="n">
        <v>722</v>
      </c>
      <c r="R392" s="48" t="n">
        <v>391</v>
      </c>
      <c r="S392" s="48" t="n">
        <v>10747728</v>
      </c>
      <c r="T392" s="48" t="n">
        <v>12861821</v>
      </c>
      <c r="U392" s="46" t="n">
        <f aca="false">IF($A392=$A391,$U391+1,1)</f>
        <v>128</v>
      </c>
      <c r="V392" s="48" t="n">
        <f aca="false">IF($U392&gt;=MA_SHORT,AVERAGE(INDEX($I$5:$I392,389-MA_SHORT):$I392),"")</f>
        <v>7353.95</v>
      </c>
      <c r="W392" s="48" t="n">
        <f aca="false">IF($U392&gt;=MA_MED,AVERAGE(INDEX($I$5:$I392,389-MA_MED):$I392),"")</f>
        <v>7451.74</v>
      </c>
      <c r="X392" s="48" t="n">
        <f aca="false">IF($U392&gt;=MA_LONG1,AVERAGE(INDEX($I$5:$I392,389-MA_LONG1):$I392),"")</f>
        <v>7608.72</v>
      </c>
      <c r="Y392" s="48" t="str">
        <f aca="false">IF($U392&gt;=MA_LONG2,AVERAGE(INDEX($I$5:$I392,389-MA_LONG2):$I392),"")</f>
        <v/>
      </c>
      <c r="Z392" s="48" t="n">
        <f aca="false">IF($U392&gt;=MA_SHORT,AVERAGE(INDEX($L$272:$L392,122-MA_SHORT):$L392),"")</f>
        <v>17431160.75</v>
      </c>
      <c r="AA392" s="48" t="n">
        <f aca="false">IF($U392=1,$G392-$H392,MAX($G392-$H392,ABS($G392-$I391),ABS($H392-$I391)))</f>
        <v>433</v>
      </c>
      <c r="AB392" s="48" t="n">
        <f aca="false">IF($U392&gt;=ATR_PER,AVERAGE(INDEX($AA$272:$AA392,122-ATR_PER):$AA392),"")</f>
        <v>272.357142857143</v>
      </c>
      <c r="AC392" s="48" t="n">
        <f aca="false">$O392-$P392</f>
        <v>2114093</v>
      </c>
      <c r="AD392" s="48" t="n">
        <f aca="false">$AC392*$I392</f>
        <v>15191872298</v>
      </c>
      <c r="AE392" s="49" t="n">
        <f aca="false">IF($Q392&gt;0,$O392*$I392/$Q392/1000000,"")</f>
        <v>115.670414432133</v>
      </c>
      <c r="AF392" s="49" t="n">
        <f aca="false">IF($R392&gt;0,$P392*$I392/$R392/1000000,"")</f>
        <v>174.736999800512</v>
      </c>
      <c r="AG392" s="50" t="n">
        <f aca="false">IF(AND(ISNUMBER($AE392),ISNUMBER($AF392),$AF392&gt;0),$AE392/$AF392,"")</f>
        <v>0.66196864181134</v>
      </c>
      <c r="AH392" s="48" t="n">
        <f aca="false">IF($U392&gt;=5,SUM(INDEX($AD$362:$AD392,32-5):$AD392),"")</f>
        <v>33552742059</v>
      </c>
      <c r="AI392" s="48" t="n">
        <f aca="false">IF($U392&gt;=STRUCT_S,MAX(INDEX($G$242:$G392,152-STRUCT_S):$G392),"")</f>
        <v>7627</v>
      </c>
      <c r="AJ392" s="48" t="n">
        <f aca="false">IF($U392&gt;=STRUCT_S,MIN(INDEX($H$242:$H392,152-STRUCT_S):$H392),"")</f>
        <v>6986</v>
      </c>
      <c r="AK392" s="48" t="n">
        <f aca="false">IF($U392&gt;=STRUCT_L,MAX(INDEX($G$142:$G392,252-STRUCT_L):$G392),"")</f>
        <v>8518</v>
      </c>
      <c r="AL392" s="48" t="n">
        <f aca="false">IF($U392&gt;=STRUCT_L,MIN(INDEX($H$142:$H392,252-STRUCT_L):$H392),"")</f>
        <v>6986</v>
      </c>
      <c r="AM392" s="46" t="n">
        <f aca="false">IF($A392&lt;&gt;$A393,1,0)</f>
        <v>0</v>
      </c>
      <c r="AN392" s="47" t="str">
        <f aca="false">IF($AM392=1,$A392,"")</f>
        <v/>
      </c>
    </row>
    <row r="393" customFormat="false" ht="15" hidden="false" customHeight="false" outlineLevel="0" collapsed="false">
      <c r="A393" s="43" t="s">
        <v>138</v>
      </c>
      <c r="B393" s="44" t="s">
        <v>140</v>
      </c>
      <c r="C393" s="45" t="n">
        <v>46084</v>
      </c>
      <c r="D393" s="46" t="n">
        <v>20260303</v>
      </c>
      <c r="E393" s="47" t="s">
        <v>416</v>
      </c>
      <c r="F393" s="48" t="n">
        <v>7319</v>
      </c>
      <c r="G393" s="48" t="n">
        <v>7443</v>
      </c>
      <c r="H393" s="48" t="n">
        <v>6987</v>
      </c>
      <c r="I393" s="48" t="n">
        <v>7242</v>
      </c>
      <c r="J393" s="48" t="n">
        <v>7214</v>
      </c>
      <c r="K393" s="48" t="n">
        <v>7186</v>
      </c>
      <c r="L393" s="48" t="n">
        <v>15196877</v>
      </c>
      <c r="M393" s="48" t="n">
        <v>110055783234</v>
      </c>
      <c r="N393" s="48" t="n">
        <v>1103</v>
      </c>
      <c r="O393" s="48" t="n">
        <v>9809040</v>
      </c>
      <c r="P393" s="48" t="n">
        <v>4922656</v>
      </c>
      <c r="Q393" s="48" t="n">
        <v>373</v>
      </c>
      <c r="R393" s="48" t="n">
        <v>426</v>
      </c>
      <c r="S393" s="48" t="n">
        <v>5387837</v>
      </c>
      <c r="T393" s="48" t="n">
        <v>10274221</v>
      </c>
      <c r="U393" s="46" t="n">
        <f aca="false">IF($A393=$A392,$U392+1,1)</f>
        <v>129</v>
      </c>
      <c r="V393" s="48" t="n">
        <f aca="false">IF($U393&gt;=MA_SHORT,AVERAGE(INDEX($I$5:$I393,390-MA_SHORT):$I393),"")</f>
        <v>7356.4</v>
      </c>
      <c r="W393" s="48" t="n">
        <f aca="false">IF($U393&gt;=MA_MED,AVERAGE(INDEX($I$5:$I393,390-MA_MED):$I393),"")</f>
        <v>7440.44</v>
      </c>
      <c r="X393" s="48" t="n">
        <f aca="false">IF($U393&gt;=MA_LONG1,AVERAGE(INDEX($I$5:$I393,390-MA_LONG1):$I393),"")</f>
        <v>7609.93</v>
      </c>
      <c r="Y393" s="48" t="str">
        <f aca="false">IF($U393&gt;=MA_LONG2,AVERAGE(INDEX($I$5:$I393,390-MA_LONG2):$I393),"")</f>
        <v/>
      </c>
      <c r="Z393" s="48" t="n">
        <f aca="false">IF($U393&gt;=MA_SHORT,AVERAGE(INDEX($L$273:$L393,122-MA_SHORT):$L393),"")</f>
        <v>17419210.6</v>
      </c>
      <c r="AA393" s="48" t="n">
        <f aca="false">IF($U393=1,$G393-$H393,MAX($G393-$H393,ABS($G393-$I392),ABS($H393-$I392)))</f>
        <v>456</v>
      </c>
      <c r="AB393" s="48" t="n">
        <f aca="false">IF($U393&gt;=ATR_PER,AVERAGE(INDEX($AA$273:$AA393,122-ATR_PER):$AA393),"")</f>
        <v>273.928571428571</v>
      </c>
      <c r="AC393" s="48" t="n">
        <f aca="false">$O393-$P393</f>
        <v>4886384</v>
      </c>
      <c r="AD393" s="48" t="n">
        <f aca="false">$AC393*$I393</f>
        <v>35387192928</v>
      </c>
      <c r="AE393" s="49" t="n">
        <f aca="false">IF($Q393&gt;0,$O393*$I393/$Q393/1000000,"")</f>
        <v>190.447902627346</v>
      </c>
      <c r="AF393" s="49" t="n">
        <f aca="false">IF($R393&gt;0,$P393*$I393/$R393/1000000,"")</f>
        <v>83.685152</v>
      </c>
      <c r="AG393" s="50" t="n">
        <f aca="false">IF(AND(ISNUMBER($AE393),ISNUMBER($AF393),$AF393&gt;0),$AE393/$AF393,"")</f>
        <v>2.27576694402546</v>
      </c>
      <c r="AH393" s="48" t="n">
        <f aca="false">IF($U393&gt;=5,SUM(INDEX($AD$363:$AD393,32-5):$AD393),"")</f>
        <v>49159454192</v>
      </c>
      <c r="AI393" s="48" t="n">
        <f aca="false">IF($U393&gt;=STRUCT_S,MAX(INDEX($G$243:$G393,152-STRUCT_S):$G393),"")</f>
        <v>7627</v>
      </c>
      <c r="AJ393" s="48" t="n">
        <f aca="false">IF($U393&gt;=STRUCT_S,MIN(INDEX($H$243:$H393,152-STRUCT_S):$H393),"")</f>
        <v>6987</v>
      </c>
      <c r="AK393" s="48" t="n">
        <f aca="false">IF($U393&gt;=STRUCT_L,MAX(INDEX($G$143:$G393,252-STRUCT_L):$G393),"")</f>
        <v>8518</v>
      </c>
      <c r="AL393" s="48" t="n">
        <f aca="false">IF($U393&gt;=STRUCT_L,MIN(INDEX($H$143:$H393,252-STRUCT_L):$H393),"")</f>
        <v>6986</v>
      </c>
      <c r="AM393" s="46" t="n">
        <f aca="false">IF($A393&lt;&gt;$A394,1,0)</f>
        <v>0</v>
      </c>
      <c r="AN393" s="47" t="str">
        <f aca="false">IF($AM393=1,$A393,"")</f>
        <v/>
      </c>
    </row>
    <row r="394" customFormat="false" ht="15" hidden="false" customHeight="false" outlineLevel="0" collapsed="false">
      <c r="A394" s="43" t="s">
        <v>138</v>
      </c>
      <c r="B394" s="44" t="s">
        <v>140</v>
      </c>
      <c r="C394" s="45" t="n">
        <v>46085</v>
      </c>
      <c r="D394" s="46" t="n">
        <v>20260304</v>
      </c>
      <c r="E394" s="47" t="s">
        <v>417</v>
      </c>
      <c r="F394" s="48" t="n">
        <v>7311</v>
      </c>
      <c r="G394" s="48" t="n">
        <v>7321</v>
      </c>
      <c r="H394" s="48" t="n">
        <v>7194</v>
      </c>
      <c r="I394" s="48" t="n">
        <v>7273</v>
      </c>
      <c r="J394" s="48" t="n">
        <v>7216</v>
      </c>
      <c r="K394" s="48" t="n">
        <v>7242</v>
      </c>
      <c r="L394" s="48" t="n">
        <v>15069154</v>
      </c>
      <c r="M394" s="48" t="n">
        <v>109597957042</v>
      </c>
      <c r="N394" s="48" t="n">
        <v>958</v>
      </c>
      <c r="O394" s="48" t="n">
        <v>8739103</v>
      </c>
      <c r="P394" s="48" t="n">
        <v>4777548</v>
      </c>
      <c r="Q394" s="48" t="n">
        <v>418</v>
      </c>
      <c r="R394" s="48" t="n">
        <v>555</v>
      </c>
      <c r="S394" s="48" t="n">
        <v>6330051</v>
      </c>
      <c r="T394" s="48" t="n">
        <v>10291606</v>
      </c>
      <c r="U394" s="46" t="n">
        <f aca="false">IF($A394=$A393,$U393+1,1)</f>
        <v>130</v>
      </c>
      <c r="V394" s="48" t="n">
        <f aca="false">IF($U394&gt;=MA_SHORT,AVERAGE(INDEX($I$5:$I394,391-MA_SHORT):$I394),"")</f>
        <v>7362.5</v>
      </c>
      <c r="W394" s="48" t="n">
        <f aca="false">IF($U394&gt;=MA_MED,AVERAGE(INDEX($I$5:$I394,391-MA_MED):$I394),"")</f>
        <v>7428.84</v>
      </c>
      <c r="X394" s="48" t="n">
        <f aca="false">IF($U394&gt;=MA_LONG1,AVERAGE(INDEX($I$5:$I394,391-MA_LONG1):$I394),"")</f>
        <v>7611.36</v>
      </c>
      <c r="Y394" s="48" t="str">
        <f aca="false">IF($U394&gt;=MA_LONG2,AVERAGE(INDEX($I$5:$I394,391-MA_LONG2):$I394),"")</f>
        <v/>
      </c>
      <c r="Z394" s="48" t="n">
        <f aca="false">IF($U394&gt;=MA_SHORT,AVERAGE(INDEX($L$274:$L394,122-MA_SHORT):$L394),"")</f>
        <v>17376996.75</v>
      </c>
      <c r="AA394" s="48" t="n">
        <f aca="false">IF($U394=1,$G394-$H394,MAX($G394-$H394,ABS($G394-$I393),ABS($H394-$I393)))</f>
        <v>127</v>
      </c>
      <c r="AB394" s="48" t="n">
        <f aca="false">IF($U394&gt;=ATR_PER,AVERAGE(INDEX($AA$274:$AA394,122-ATR_PER):$AA394),"")</f>
        <v>256</v>
      </c>
      <c r="AC394" s="48" t="n">
        <f aca="false">$O394-$P394</f>
        <v>3961555</v>
      </c>
      <c r="AD394" s="48" t="n">
        <f aca="false">$AC394*$I394</f>
        <v>28812389515</v>
      </c>
      <c r="AE394" s="49" t="n">
        <f aca="false">IF($Q394&gt;0,$O394*$I394/$Q394/1000000,"")</f>
        <v>152.056210811005</v>
      </c>
      <c r="AF394" s="49" t="n">
        <f aca="false">IF($R394&gt;0,$P394*$I394/$R394/1000000,"")</f>
        <v>62.6073992864865</v>
      </c>
      <c r="AG394" s="50" t="n">
        <f aca="false">IF(AND(ISNUMBER($AE394),ISNUMBER($AF394),$AF394&gt;0),$AE394/$AF394,"")</f>
        <v>2.42872587815392</v>
      </c>
      <c r="AH394" s="48" t="n">
        <f aca="false">IF($U394&gt;=5,SUM(INDEX($AD$364:$AD394,32-5):$AD394),"")</f>
        <v>49516890327</v>
      </c>
      <c r="AI394" s="48" t="n">
        <f aca="false">IF($U394&gt;=STRUCT_S,MAX(INDEX($G$244:$G394,152-STRUCT_S):$G394),"")</f>
        <v>7627</v>
      </c>
      <c r="AJ394" s="48" t="n">
        <f aca="false">IF($U394&gt;=STRUCT_S,MIN(INDEX($H$244:$H394,152-STRUCT_S):$H394),"")</f>
        <v>6987</v>
      </c>
      <c r="AK394" s="48" t="n">
        <f aca="false">IF($U394&gt;=STRUCT_L,MAX(INDEX($G$144:$G394,252-STRUCT_L):$G394),"")</f>
        <v>8477</v>
      </c>
      <c r="AL394" s="48" t="n">
        <f aca="false">IF($U394&gt;=STRUCT_L,MIN(INDEX($H$144:$H394,252-STRUCT_L):$H394),"")</f>
        <v>6986</v>
      </c>
      <c r="AM394" s="46" t="n">
        <f aca="false">IF($A394&lt;&gt;$A395,1,0)</f>
        <v>0</v>
      </c>
      <c r="AN394" s="47" t="str">
        <f aca="false">IF($AM394=1,$A394,"")</f>
        <v/>
      </c>
    </row>
    <row r="395" customFormat="false" ht="15" hidden="false" customHeight="false" outlineLevel="0" collapsed="false">
      <c r="A395" s="43" t="s">
        <v>138</v>
      </c>
      <c r="B395" s="44" t="s">
        <v>140</v>
      </c>
      <c r="C395" s="45" t="n">
        <v>46088</v>
      </c>
      <c r="D395" s="46" t="n">
        <v>20260307</v>
      </c>
      <c r="E395" s="47" t="s">
        <v>418</v>
      </c>
      <c r="F395" s="48" t="n">
        <v>7354</v>
      </c>
      <c r="G395" s="48" t="n">
        <v>7612</v>
      </c>
      <c r="H395" s="48" t="n">
        <v>7236</v>
      </c>
      <c r="I395" s="48" t="n">
        <v>7573</v>
      </c>
      <c r="J395" s="48" t="n">
        <v>7518</v>
      </c>
      <c r="K395" s="48" t="n">
        <v>7273</v>
      </c>
      <c r="L395" s="48" t="n">
        <v>24151439</v>
      </c>
      <c r="M395" s="48" t="n">
        <v>182898847547</v>
      </c>
      <c r="N395" s="48" t="n">
        <v>1580</v>
      </c>
      <c r="O395" s="48" t="n">
        <v>14419141</v>
      </c>
      <c r="P395" s="48" t="n">
        <v>9613065</v>
      </c>
      <c r="Q395" s="48" t="n">
        <v>602</v>
      </c>
      <c r="R395" s="48" t="n">
        <v>678</v>
      </c>
      <c r="S395" s="48" t="n">
        <v>9732298</v>
      </c>
      <c r="T395" s="48" t="n">
        <v>14538374</v>
      </c>
      <c r="U395" s="46" t="n">
        <f aca="false">IF($A395=$A394,$U394+1,1)</f>
        <v>131</v>
      </c>
      <c r="V395" s="48" t="n">
        <f aca="false">IF($U395&gt;=MA_SHORT,AVERAGE(INDEX($I$5:$I395,392-MA_SHORT):$I395),"")</f>
        <v>7372.9</v>
      </c>
      <c r="W395" s="48" t="n">
        <f aca="false">IF($U395&gt;=MA_MED,AVERAGE(INDEX($I$5:$I395,392-MA_MED):$I395),"")</f>
        <v>7423.04</v>
      </c>
      <c r="X395" s="48" t="n">
        <f aca="false">IF($U395&gt;=MA_LONG1,AVERAGE(INDEX($I$5:$I395,392-MA_LONG1):$I395),"")</f>
        <v>7616.24</v>
      </c>
      <c r="Y395" s="48" t="str">
        <f aca="false">IF($U395&gt;=MA_LONG2,AVERAGE(INDEX($I$5:$I395,392-MA_LONG2):$I395),"")</f>
        <v/>
      </c>
      <c r="Z395" s="48" t="n">
        <f aca="false">IF($U395&gt;=MA_SHORT,AVERAGE(INDEX($L$275:$L395,122-MA_SHORT):$L395),"")</f>
        <v>17728326.65</v>
      </c>
      <c r="AA395" s="48" t="n">
        <f aca="false">IF($U395=1,$G395-$H395,MAX($G395-$H395,ABS($G395-$I394),ABS($H395-$I394)))</f>
        <v>376</v>
      </c>
      <c r="AB395" s="48" t="n">
        <f aca="false">IF($U395&gt;=ATR_PER,AVERAGE(INDEX($AA$275:$AA395,122-ATR_PER):$AA395),"")</f>
        <v>263.071428571429</v>
      </c>
      <c r="AC395" s="48" t="n">
        <f aca="false">$O395-$P395</f>
        <v>4806076</v>
      </c>
      <c r="AD395" s="48" t="n">
        <f aca="false">$AC395*$I395</f>
        <v>36396413548</v>
      </c>
      <c r="AE395" s="49" t="n">
        <f aca="false">IF($Q395&gt;0,$O395*$I395/$Q395/1000000,"")</f>
        <v>181.388961450166</v>
      </c>
      <c r="AF395" s="49" t="n">
        <f aca="false">IF($R395&gt;0,$P395*$I395/$R395/1000000,"")</f>
        <v>107.374249623894</v>
      </c>
      <c r="AG395" s="50" t="n">
        <f aca="false">IF(AND(ISNUMBER($AE395),ISNUMBER($AF395),$AF395&gt;0),$AE395/$AF395,"")</f>
        <v>1.68931528821415</v>
      </c>
      <c r="AH395" s="48" t="n">
        <f aca="false">IF($U395&gt;=5,SUM(INDEX($AD$365:$AD395,32-5):$AD395),"")</f>
        <v>74126193505</v>
      </c>
      <c r="AI395" s="48" t="n">
        <f aca="false">IF($U395&gt;=STRUCT_S,MAX(INDEX($G$245:$G395,152-STRUCT_S):$G395),"")</f>
        <v>7627</v>
      </c>
      <c r="AJ395" s="48" t="n">
        <f aca="false">IF($U395&gt;=STRUCT_S,MIN(INDEX($H$245:$H395,152-STRUCT_S):$H395),"")</f>
        <v>6987</v>
      </c>
      <c r="AK395" s="48" t="n">
        <f aca="false">IF($U395&gt;=STRUCT_L,MAX(INDEX($G$145:$G395,252-STRUCT_L):$G395),"")</f>
        <v>8293</v>
      </c>
      <c r="AL395" s="48" t="n">
        <f aca="false">IF($U395&gt;=STRUCT_L,MIN(INDEX($H$145:$H395,252-STRUCT_L):$H395),"")</f>
        <v>6986</v>
      </c>
      <c r="AM395" s="46" t="n">
        <f aca="false">IF($A395&lt;&gt;$A396,1,0)</f>
        <v>0</v>
      </c>
      <c r="AN395" s="47" t="str">
        <f aca="false">IF($AM395=1,$A395,"")</f>
        <v/>
      </c>
    </row>
    <row r="396" customFormat="false" ht="15" hidden="false" customHeight="false" outlineLevel="0" collapsed="false">
      <c r="A396" s="43" t="s">
        <v>138</v>
      </c>
      <c r="B396" s="44" t="s">
        <v>140</v>
      </c>
      <c r="C396" s="45" t="n">
        <v>46089</v>
      </c>
      <c r="D396" s="46" t="n">
        <v>20260308</v>
      </c>
      <c r="E396" s="47" t="s">
        <v>419</v>
      </c>
      <c r="F396" s="48" t="n">
        <v>7676</v>
      </c>
      <c r="G396" s="48" t="n">
        <v>7926</v>
      </c>
      <c r="H396" s="48" t="n">
        <v>7530</v>
      </c>
      <c r="I396" s="48" t="n">
        <v>7882</v>
      </c>
      <c r="J396" s="48" t="n">
        <v>7902</v>
      </c>
      <c r="K396" s="48" t="n">
        <v>7573</v>
      </c>
      <c r="L396" s="48" t="n">
        <v>24605056</v>
      </c>
      <c r="M396" s="48" t="n">
        <v>193937051392</v>
      </c>
      <c r="N396" s="48" t="n">
        <v>1192</v>
      </c>
      <c r="O396" s="48" t="n">
        <v>19684044</v>
      </c>
      <c r="P396" s="48" t="n">
        <v>4921011</v>
      </c>
      <c r="Q396" s="48" t="n">
        <v>299</v>
      </c>
      <c r="R396" s="48" t="n">
        <v>490</v>
      </c>
      <c r="S396" s="48" t="n">
        <v>4921012</v>
      </c>
      <c r="T396" s="48" t="n">
        <v>19684045</v>
      </c>
      <c r="U396" s="46" t="n">
        <f aca="false">IF($A396=$A395,$U395+1,1)</f>
        <v>132</v>
      </c>
      <c r="V396" s="48" t="n">
        <f aca="false">IF($U396&gt;=MA_SHORT,AVERAGE(INDEX($I$5:$I396,393-MA_SHORT):$I396),"")</f>
        <v>7392.65</v>
      </c>
      <c r="W396" s="48" t="n">
        <f aca="false">IF($U396&gt;=MA_MED,AVERAGE(INDEX($I$5:$I396,393-MA_MED):$I396),"")</f>
        <v>7423.46</v>
      </c>
      <c r="X396" s="48" t="n">
        <f aca="false">IF($U396&gt;=MA_LONG1,AVERAGE(INDEX($I$5:$I396,393-MA_LONG1):$I396),"")</f>
        <v>7627.22</v>
      </c>
      <c r="Y396" s="48" t="str">
        <f aca="false">IF($U396&gt;=MA_LONG2,AVERAGE(INDEX($I$5:$I396,393-MA_LONG2):$I396),"")</f>
        <v/>
      </c>
      <c r="Z396" s="48" t="n">
        <f aca="false">IF($U396&gt;=MA_SHORT,AVERAGE(INDEX($L$276:$L396,122-MA_SHORT):$L396),"")</f>
        <v>18160530.3</v>
      </c>
      <c r="AA396" s="48" t="n">
        <f aca="false">IF($U396=1,$G396-$H396,MAX($G396-$H396,ABS($G396-$I395),ABS($H396-$I395)))</f>
        <v>396</v>
      </c>
      <c r="AB396" s="48" t="n">
        <f aca="false">IF($U396&gt;=ATR_PER,AVERAGE(INDEX($AA$276:$AA396,122-ATR_PER):$AA396),"")</f>
        <v>280.285714285714</v>
      </c>
      <c r="AC396" s="48" t="n">
        <f aca="false">$O396-$P396</f>
        <v>14763033</v>
      </c>
      <c r="AD396" s="48" t="n">
        <f aca="false">$AC396*$I396</f>
        <v>116362226106</v>
      </c>
      <c r="AE396" s="49" t="n">
        <f aca="false">IF($Q396&gt;0,$O396*$I396/$Q396/1000000,"")</f>
        <v>518.895099692308</v>
      </c>
      <c r="AF396" s="49" t="n">
        <f aca="false">IF($R396&gt;0,$P396*$I396/$R396/1000000,"")</f>
        <v>79.1579769428572</v>
      </c>
      <c r="AG396" s="50" t="n">
        <f aca="false">IF(AND(ISNUMBER($AE396),ISNUMBER($AF396),$AF396&gt;0),$AE396/$AF396,"")</f>
        <v>6.55518394648829</v>
      </c>
      <c r="AH396" s="48" t="n">
        <f aca="false">IF($U396&gt;=5,SUM(INDEX($AD$366:$AD396,32-5):$AD396),"")</f>
        <v>232150094395</v>
      </c>
      <c r="AI396" s="48" t="n">
        <f aca="false">IF($U396&gt;=STRUCT_S,MAX(INDEX($G$246:$G396,152-STRUCT_S):$G396),"")</f>
        <v>7926</v>
      </c>
      <c r="AJ396" s="48" t="n">
        <f aca="false">IF($U396&gt;=STRUCT_S,MIN(INDEX($H$246:$H396,152-STRUCT_S):$H396),"")</f>
        <v>6987</v>
      </c>
      <c r="AK396" s="48" t="n">
        <f aca="false">IF($U396&gt;=STRUCT_L,MAX(INDEX($G$146:$G396,252-STRUCT_L):$G396),"")</f>
        <v>8293</v>
      </c>
      <c r="AL396" s="48" t="n">
        <f aca="false">IF($U396&gt;=STRUCT_L,MIN(INDEX($H$146:$H396,252-STRUCT_L):$H396),"")</f>
        <v>6986</v>
      </c>
      <c r="AM396" s="46" t="n">
        <f aca="false">IF($A396&lt;&gt;$A397,1,0)</f>
        <v>0</v>
      </c>
      <c r="AN396" s="47" t="str">
        <f aca="false">IF($AM396=1,$A396,"")</f>
        <v/>
      </c>
    </row>
    <row r="397" customFormat="false" ht="15" hidden="false" customHeight="false" outlineLevel="0" collapsed="false">
      <c r="A397" s="43" t="s">
        <v>138</v>
      </c>
      <c r="B397" s="44" t="s">
        <v>140</v>
      </c>
      <c r="C397" s="45" t="n">
        <v>46090</v>
      </c>
      <c r="D397" s="46" t="n">
        <v>20260309</v>
      </c>
      <c r="E397" s="47" t="s">
        <v>420</v>
      </c>
      <c r="F397" s="48" t="n">
        <v>7787</v>
      </c>
      <c r="G397" s="48" t="n">
        <v>7993</v>
      </c>
      <c r="H397" s="48" t="n">
        <v>7777</v>
      </c>
      <c r="I397" s="48" t="n">
        <v>7888</v>
      </c>
      <c r="J397" s="48" t="n">
        <v>7953</v>
      </c>
      <c r="K397" s="48" t="n">
        <v>7882</v>
      </c>
      <c r="L397" s="48" t="n">
        <v>21701054</v>
      </c>
      <c r="M397" s="48" t="n">
        <v>171177913952</v>
      </c>
      <c r="N397" s="48" t="n">
        <v>865</v>
      </c>
      <c r="O397" s="48" t="n">
        <v>12070765</v>
      </c>
      <c r="P397" s="48" t="n">
        <v>10830755</v>
      </c>
      <c r="Q397" s="48" t="n">
        <v>254</v>
      </c>
      <c r="R397" s="48" t="n">
        <v>562</v>
      </c>
      <c r="S397" s="48" t="n">
        <v>9630289</v>
      </c>
      <c r="T397" s="48" t="n">
        <v>10870299</v>
      </c>
      <c r="U397" s="46" t="n">
        <f aca="false">IF($A397=$A396,$U396+1,1)</f>
        <v>133</v>
      </c>
      <c r="V397" s="48" t="n">
        <f aca="false">IF($U397&gt;=MA_SHORT,AVERAGE(INDEX($I$5:$I397,394-MA_SHORT):$I397),"")</f>
        <v>7424.6</v>
      </c>
      <c r="W397" s="48" t="n">
        <f aca="false">IF($U397&gt;=MA_MED,AVERAGE(INDEX($I$5:$I397,394-MA_MED):$I397),"")</f>
        <v>7431.34</v>
      </c>
      <c r="X397" s="48" t="n">
        <f aca="false">IF($U397&gt;=MA_LONG1,AVERAGE(INDEX($I$5:$I397,394-MA_LONG1):$I397),"")</f>
        <v>7636.37</v>
      </c>
      <c r="Y397" s="48" t="str">
        <f aca="false">IF($U397&gt;=MA_LONG2,AVERAGE(INDEX($I$5:$I397,394-MA_LONG2):$I397),"")</f>
        <v/>
      </c>
      <c r="Z397" s="48" t="n">
        <f aca="false">IF($U397&gt;=MA_SHORT,AVERAGE(INDEX($L$277:$L397,122-MA_SHORT):$L397),"")</f>
        <v>18192352.4</v>
      </c>
      <c r="AA397" s="48" t="n">
        <f aca="false">IF($U397=1,$G397-$H397,MAX($G397-$H397,ABS($G397-$I396),ABS($H397-$I396)))</f>
        <v>216</v>
      </c>
      <c r="AB397" s="48" t="n">
        <f aca="false">IF($U397&gt;=ATR_PER,AVERAGE(INDEX($AA$277:$AA397,122-ATR_PER):$AA397),"")</f>
        <v>281</v>
      </c>
      <c r="AC397" s="48" t="n">
        <f aca="false">$O397-$P397</f>
        <v>1240010</v>
      </c>
      <c r="AD397" s="48" t="n">
        <f aca="false">$AC397*$I397</f>
        <v>9781198880</v>
      </c>
      <c r="AE397" s="49" t="n">
        <f aca="false">IF($Q397&gt;0,$O397*$I397/$Q397/1000000,"")</f>
        <v>374.859032755906</v>
      </c>
      <c r="AF397" s="49" t="n">
        <f aca="false">IF($R397&gt;0,$P397*$I397/$R397/1000000,"")</f>
        <v>152.016006120996</v>
      </c>
      <c r="AG397" s="50" t="n">
        <f aca="false">IF(AND(ISNUMBER($AE397),ISNUMBER($AF397),$AF397&gt;0),$AE397/$AF397,"")</f>
        <v>2.46591817744204</v>
      </c>
      <c r="AH397" s="48" t="n">
        <f aca="false">IF($U397&gt;=5,SUM(INDEX($AD$367:$AD397,32-5):$AD397),"")</f>
        <v>226739420977</v>
      </c>
      <c r="AI397" s="48" t="n">
        <f aca="false">IF($U397&gt;=STRUCT_S,MAX(INDEX($G$247:$G397,152-STRUCT_S):$G397),"")</f>
        <v>7993</v>
      </c>
      <c r="AJ397" s="48" t="n">
        <f aca="false">IF($U397&gt;=STRUCT_S,MIN(INDEX($H$247:$H397,152-STRUCT_S):$H397),"")</f>
        <v>6987</v>
      </c>
      <c r="AK397" s="48" t="n">
        <f aca="false">IF($U397&gt;=STRUCT_L,MAX(INDEX($G$147:$G397,252-STRUCT_L):$G397),"")</f>
        <v>8038</v>
      </c>
      <c r="AL397" s="48" t="n">
        <f aca="false">IF($U397&gt;=STRUCT_L,MIN(INDEX($H$147:$H397,252-STRUCT_L):$H397),"")</f>
        <v>6986</v>
      </c>
      <c r="AM397" s="46" t="n">
        <f aca="false">IF($A397&lt;&gt;$A398,1,0)</f>
        <v>0</v>
      </c>
      <c r="AN397" s="47" t="str">
        <f aca="false">IF($AM397=1,$A397,"")</f>
        <v/>
      </c>
    </row>
    <row r="398" customFormat="false" ht="15" hidden="false" customHeight="false" outlineLevel="0" collapsed="false">
      <c r="A398" s="43" t="s">
        <v>138</v>
      </c>
      <c r="B398" s="44" t="s">
        <v>140</v>
      </c>
      <c r="C398" s="45" t="n">
        <v>46091</v>
      </c>
      <c r="D398" s="46" t="n">
        <v>20260310</v>
      </c>
      <c r="E398" s="47" t="s">
        <v>421</v>
      </c>
      <c r="F398" s="48" t="n">
        <v>7962</v>
      </c>
      <c r="G398" s="48" t="n">
        <v>8156</v>
      </c>
      <c r="H398" s="48" t="n">
        <v>7766</v>
      </c>
      <c r="I398" s="48" t="n">
        <v>8032</v>
      </c>
      <c r="J398" s="48" t="n">
        <v>7946</v>
      </c>
      <c r="K398" s="48" t="n">
        <v>7888</v>
      </c>
      <c r="L398" s="48" t="n">
        <v>16108261</v>
      </c>
      <c r="M398" s="48" t="n">
        <v>129381552352</v>
      </c>
      <c r="N398" s="48" t="n">
        <v>388</v>
      </c>
      <c r="O398" s="48" t="n">
        <v>9996115</v>
      </c>
      <c r="P398" s="48" t="n">
        <v>6346377</v>
      </c>
      <c r="Q398" s="48" t="n">
        <v>124</v>
      </c>
      <c r="R398" s="48" t="n">
        <v>239</v>
      </c>
      <c r="S398" s="48" t="n">
        <v>6112146</v>
      </c>
      <c r="T398" s="48" t="n">
        <v>9761884</v>
      </c>
      <c r="U398" s="46" t="n">
        <f aca="false">IF($A398=$A397,$U397+1,1)</f>
        <v>134</v>
      </c>
      <c r="V398" s="48" t="n">
        <f aca="false">IF($U398&gt;=MA_SHORT,AVERAGE(INDEX($I$5:$I398,395-MA_SHORT):$I398),"")</f>
        <v>7458.35</v>
      </c>
      <c r="W398" s="48" t="n">
        <f aca="false">IF($U398&gt;=MA_MED,AVERAGE(INDEX($I$5:$I398,395-MA_MED):$I398),"")</f>
        <v>7441.92</v>
      </c>
      <c r="X398" s="48" t="n">
        <f aca="false">IF($U398&gt;=MA_LONG1,AVERAGE(INDEX($I$5:$I398,395-MA_LONG1):$I398),"")</f>
        <v>7644.32</v>
      </c>
      <c r="Y398" s="48" t="str">
        <f aca="false">IF($U398&gt;=MA_LONG2,AVERAGE(INDEX($I$5:$I398,395-MA_LONG2):$I398),"")</f>
        <v/>
      </c>
      <c r="Z398" s="48" t="n">
        <f aca="false">IF($U398&gt;=MA_SHORT,AVERAGE(INDEX($L$278:$L398,122-MA_SHORT):$L398),"")</f>
        <v>18206973.4</v>
      </c>
      <c r="AA398" s="48" t="n">
        <f aca="false">IF($U398=1,$G398-$H398,MAX($G398-$H398,ABS($G398-$I397),ABS($H398-$I397)))</f>
        <v>390</v>
      </c>
      <c r="AB398" s="48" t="n">
        <f aca="false">IF($U398&gt;=ATR_PER,AVERAGE(INDEX($AA$278:$AA398,122-ATR_PER):$AA398),"")</f>
        <v>286.714285714286</v>
      </c>
      <c r="AC398" s="48" t="n">
        <f aca="false">$O398-$P398</f>
        <v>3649738</v>
      </c>
      <c r="AD398" s="48" t="n">
        <f aca="false">$AC398*$I398</f>
        <v>29314695616</v>
      </c>
      <c r="AE398" s="49" t="n">
        <f aca="false">IF($Q398&gt;0,$O398*$I398/$Q398/1000000,"")</f>
        <v>647.490287741936</v>
      </c>
      <c r="AF398" s="49" t="n">
        <f aca="false">IF($R398&gt;0,$P398*$I398/$R398/1000000,"")</f>
        <v>213.280753405858</v>
      </c>
      <c r="AG398" s="50" t="n">
        <f aca="false">IF(AND(ISNUMBER($AE398),ISNUMBER($AF398),$AF398&gt;0),$AE398/$AF398,"")</f>
        <v>3.03585896712306</v>
      </c>
      <c r="AH398" s="48" t="n">
        <f aca="false">IF($U398&gt;=5,SUM(INDEX($AD$368:$AD398,32-5):$AD398),"")</f>
        <v>220666923665</v>
      </c>
      <c r="AI398" s="48" t="n">
        <f aca="false">IF($U398&gt;=STRUCT_S,MAX(INDEX($G$248:$G398,152-STRUCT_S):$G398),"")</f>
        <v>8156</v>
      </c>
      <c r="AJ398" s="48" t="n">
        <f aca="false">IF($U398&gt;=STRUCT_S,MIN(INDEX($H$248:$H398,152-STRUCT_S):$H398),"")</f>
        <v>6987</v>
      </c>
      <c r="AK398" s="48" t="n">
        <f aca="false">IF($U398&gt;=STRUCT_L,MAX(INDEX($G$148:$G398,252-STRUCT_L):$G398),"")</f>
        <v>8156</v>
      </c>
      <c r="AL398" s="48" t="n">
        <f aca="false">IF($U398&gt;=STRUCT_L,MIN(INDEX($H$148:$H398,252-STRUCT_L):$H398),"")</f>
        <v>6986</v>
      </c>
      <c r="AM398" s="46" t="n">
        <f aca="false">IF($A398&lt;&gt;$A399,1,0)</f>
        <v>0</v>
      </c>
      <c r="AN398" s="47" t="str">
        <f aca="false">IF($AM398=1,$A398,"")</f>
        <v/>
      </c>
    </row>
    <row r="399" customFormat="false" ht="15" hidden="false" customHeight="false" outlineLevel="0" collapsed="false">
      <c r="A399" s="43" t="s">
        <v>138</v>
      </c>
      <c r="B399" s="44" t="s">
        <v>140</v>
      </c>
      <c r="C399" s="45" t="n">
        <v>46092</v>
      </c>
      <c r="D399" s="46" t="n">
        <v>20260311</v>
      </c>
      <c r="E399" s="47" t="s">
        <v>422</v>
      </c>
      <c r="F399" s="48" t="n">
        <v>7876</v>
      </c>
      <c r="G399" s="48" t="n">
        <v>8089</v>
      </c>
      <c r="H399" s="48" t="n">
        <v>7783</v>
      </c>
      <c r="I399" s="48" t="n">
        <v>7839</v>
      </c>
      <c r="J399" s="48" t="n">
        <v>7801</v>
      </c>
      <c r="K399" s="48" t="n">
        <v>8032</v>
      </c>
      <c r="L399" s="48" t="n">
        <v>18712264</v>
      </c>
      <c r="M399" s="48" t="n">
        <v>146685437496</v>
      </c>
      <c r="N399" s="48" t="n">
        <v>570</v>
      </c>
      <c r="O399" s="48" t="n">
        <v>10509092</v>
      </c>
      <c r="P399" s="48" t="n">
        <v>8308610</v>
      </c>
      <c r="Q399" s="48" t="n">
        <v>296</v>
      </c>
      <c r="R399" s="48" t="n">
        <v>215</v>
      </c>
      <c r="S399" s="48" t="n">
        <v>8203172</v>
      </c>
      <c r="T399" s="48" t="n">
        <v>10403654</v>
      </c>
      <c r="U399" s="46" t="n">
        <f aca="false">IF($A399=$A398,$U398+1,1)</f>
        <v>135</v>
      </c>
      <c r="V399" s="48" t="n">
        <f aca="false">IF($U399&gt;=MA_SHORT,AVERAGE(INDEX($I$5:$I399,396-MA_SHORT):$I399),"")</f>
        <v>7488.1</v>
      </c>
      <c r="W399" s="48" t="n">
        <f aca="false">IF($U399&gt;=MA_MED,AVERAGE(INDEX($I$5:$I399,396-MA_MED):$I399),"")</f>
        <v>7448.82</v>
      </c>
      <c r="X399" s="48" t="n">
        <f aca="false">IF($U399&gt;=MA_LONG1,AVERAGE(INDEX($I$5:$I399,396-MA_LONG1):$I399),"")</f>
        <v>7648</v>
      </c>
      <c r="Y399" s="48" t="str">
        <f aca="false">IF($U399&gt;=MA_LONG2,AVERAGE(INDEX($I$5:$I399,396-MA_LONG2):$I399),"")</f>
        <v/>
      </c>
      <c r="Z399" s="48" t="n">
        <f aca="false">IF($U399&gt;=MA_SHORT,AVERAGE(INDEX($L$279:$L399,122-MA_SHORT):$L399),"")</f>
        <v>18349787.1</v>
      </c>
      <c r="AA399" s="48" t="n">
        <f aca="false">IF($U399=1,$G399-$H399,MAX($G399-$H399,ABS($G399-$I398),ABS($H399-$I398)))</f>
        <v>306</v>
      </c>
      <c r="AB399" s="48" t="n">
        <f aca="false">IF($U399&gt;=ATR_PER,AVERAGE(INDEX($AA$279:$AA399,122-ATR_PER):$AA399),"")</f>
        <v>292.857142857143</v>
      </c>
      <c r="AC399" s="48" t="n">
        <f aca="false">$O399-$P399</f>
        <v>2200482</v>
      </c>
      <c r="AD399" s="48" t="n">
        <f aca="false">$AC399*$I399</f>
        <v>17249578398</v>
      </c>
      <c r="AE399" s="49" t="n">
        <f aca="false">IF($Q399&gt;0,$O399*$I399/$Q399/1000000,"")</f>
        <v>278.313419554054</v>
      </c>
      <c r="AF399" s="49" t="n">
        <f aca="false">IF($R399&gt;0,$P399*$I399/$R399/1000000,"")</f>
        <v>302.935785069767</v>
      </c>
      <c r="AG399" s="50" t="n">
        <f aca="false">IF(AND(ISNUMBER($AE399),ISNUMBER($AF399),$AF399&gt;0),$AE399/$AF399,"")</f>
        <v>0.91872084207535</v>
      </c>
      <c r="AH399" s="48" t="n">
        <f aca="false">IF($U399&gt;=5,SUM(INDEX($AD$369:$AD399,32-5):$AD399),"")</f>
        <v>209104112548</v>
      </c>
      <c r="AI399" s="48" t="n">
        <f aca="false">IF($U399&gt;=STRUCT_S,MAX(INDEX($G$249:$G399,152-STRUCT_S):$G399),"")</f>
        <v>8156</v>
      </c>
      <c r="AJ399" s="48" t="n">
        <f aca="false">IF($U399&gt;=STRUCT_S,MIN(INDEX($H$249:$H399,152-STRUCT_S):$H399),"")</f>
        <v>6987</v>
      </c>
      <c r="AK399" s="48" t="n">
        <f aca="false">IF($U399&gt;=STRUCT_L,MAX(INDEX($G$149:$G399,252-STRUCT_L):$G399),"")</f>
        <v>8156</v>
      </c>
      <c r="AL399" s="48" t="n">
        <f aca="false">IF($U399&gt;=STRUCT_L,MIN(INDEX($H$149:$H399,252-STRUCT_L):$H399),"")</f>
        <v>6986</v>
      </c>
      <c r="AM399" s="46" t="n">
        <f aca="false">IF($A399&lt;&gt;$A400,1,0)</f>
        <v>0</v>
      </c>
      <c r="AN399" s="47" t="str">
        <f aca="false">IF($AM399=1,$A399,"")</f>
        <v/>
      </c>
    </row>
    <row r="400" customFormat="false" ht="15" hidden="false" customHeight="false" outlineLevel="0" collapsed="false">
      <c r="A400" s="43" t="s">
        <v>138</v>
      </c>
      <c r="B400" s="44" t="s">
        <v>140</v>
      </c>
      <c r="C400" s="45" t="n">
        <v>46095</v>
      </c>
      <c r="D400" s="46" t="n">
        <v>20260314</v>
      </c>
      <c r="E400" s="47" t="s">
        <v>423</v>
      </c>
      <c r="F400" s="48" t="n">
        <v>7815</v>
      </c>
      <c r="G400" s="48" t="n">
        <v>7868</v>
      </c>
      <c r="H400" s="48" t="n">
        <v>7717</v>
      </c>
      <c r="I400" s="48" t="n">
        <v>7746</v>
      </c>
      <c r="J400" s="48" t="n">
        <v>7826</v>
      </c>
      <c r="K400" s="48" t="n">
        <v>7839</v>
      </c>
      <c r="L400" s="48" t="n">
        <v>15551480</v>
      </c>
      <c r="M400" s="48" t="n">
        <v>120461764080</v>
      </c>
      <c r="N400" s="48" t="n">
        <v>701</v>
      </c>
      <c r="O400" s="48" t="n">
        <v>8068168</v>
      </c>
      <c r="P400" s="48" t="n">
        <v>7470553</v>
      </c>
      <c r="Q400" s="48" t="n">
        <v>328</v>
      </c>
      <c r="R400" s="48" t="n">
        <v>258</v>
      </c>
      <c r="S400" s="48" t="n">
        <v>7483312</v>
      </c>
      <c r="T400" s="48" t="n">
        <v>8080927</v>
      </c>
      <c r="U400" s="46" t="n">
        <f aca="false">IF($A400=$A399,$U399+1,1)</f>
        <v>136</v>
      </c>
      <c r="V400" s="48" t="n">
        <f aca="false">IF($U400&gt;=MA_SHORT,AVERAGE(INDEX($I$5:$I400,397-MA_SHORT):$I400),"")</f>
        <v>7509.7</v>
      </c>
      <c r="W400" s="48" t="n">
        <f aca="false">IF($U400&gt;=MA_MED,AVERAGE(INDEX($I$5:$I400,397-MA_MED):$I400),"")</f>
        <v>7453.62</v>
      </c>
      <c r="X400" s="48" t="n">
        <f aca="false">IF($U400&gt;=MA_LONG1,AVERAGE(INDEX($I$5:$I400,397-MA_LONG1):$I400),"")</f>
        <v>7650.63</v>
      </c>
      <c r="Y400" s="48" t="str">
        <f aca="false">IF($U400&gt;=MA_LONG2,AVERAGE(INDEX($I$5:$I400,397-MA_LONG2):$I400),"")</f>
        <v/>
      </c>
      <c r="Z400" s="48" t="n">
        <f aca="false">IF($U400&gt;=MA_SHORT,AVERAGE(INDEX($L$280:$L400,122-MA_SHORT):$L400),"")</f>
        <v>18359371.55</v>
      </c>
      <c r="AA400" s="48" t="n">
        <f aca="false">IF($U400=1,$G400-$H400,MAX($G400-$H400,ABS($G400-$I399),ABS($H400-$I399)))</f>
        <v>151</v>
      </c>
      <c r="AB400" s="48" t="n">
        <f aca="false">IF($U400&gt;=ATR_PER,AVERAGE(INDEX($AA$280:$AA400,122-ATR_PER):$AA400),"")</f>
        <v>288.285714285714</v>
      </c>
      <c r="AC400" s="48" t="n">
        <f aca="false">$O400-$P400</f>
        <v>597615</v>
      </c>
      <c r="AD400" s="48" t="n">
        <f aca="false">$AC400*$I400</f>
        <v>4629125790</v>
      </c>
      <c r="AE400" s="49" t="n">
        <f aca="false">IF($Q400&gt;0,$O400*$I400/$Q400/1000000,"")</f>
        <v>190.536674780488</v>
      </c>
      <c r="AF400" s="49" t="n">
        <f aca="false">IF($R400&gt;0,$P400*$I400/$R400/1000000,"")</f>
        <v>224.290323790698</v>
      </c>
      <c r="AG400" s="50" t="n">
        <f aca="false">IF(AND(ISNUMBER($AE400),ISNUMBER($AF400),$AF400&gt;0),$AE400/$AF400,"")</f>
        <v>0.849509116399921</v>
      </c>
      <c r="AH400" s="48" t="n">
        <f aca="false">IF($U400&gt;=5,SUM(INDEX($AD$370:$AD400,32-5):$AD400),"")</f>
        <v>177336824790</v>
      </c>
      <c r="AI400" s="48" t="n">
        <f aca="false">IF($U400&gt;=STRUCT_S,MAX(INDEX($G$250:$G400,152-STRUCT_S):$G400),"")</f>
        <v>8156</v>
      </c>
      <c r="AJ400" s="48" t="n">
        <f aca="false">IF($U400&gt;=STRUCT_S,MIN(INDEX($H$250:$H400,152-STRUCT_S):$H400),"")</f>
        <v>6987</v>
      </c>
      <c r="AK400" s="48" t="n">
        <f aca="false">IF($U400&gt;=STRUCT_L,MAX(INDEX($G$150:$G400,252-STRUCT_L):$G400),"")</f>
        <v>8156</v>
      </c>
      <c r="AL400" s="48" t="n">
        <f aca="false">IF($U400&gt;=STRUCT_L,MIN(INDEX($H$150:$H400,252-STRUCT_L):$H400),"")</f>
        <v>6986</v>
      </c>
      <c r="AM400" s="46" t="n">
        <f aca="false">IF($A400&lt;&gt;$A401,1,0)</f>
        <v>0</v>
      </c>
      <c r="AN400" s="47" t="str">
        <f aca="false">IF($AM400=1,$A400,"")</f>
        <v/>
      </c>
    </row>
    <row r="401" customFormat="false" ht="15" hidden="false" customHeight="false" outlineLevel="0" collapsed="false">
      <c r="A401" s="43" t="s">
        <v>138</v>
      </c>
      <c r="B401" s="44" t="s">
        <v>140</v>
      </c>
      <c r="C401" s="45" t="n">
        <v>46096</v>
      </c>
      <c r="D401" s="46" t="n">
        <v>20260315</v>
      </c>
      <c r="E401" s="47" t="s">
        <v>424</v>
      </c>
      <c r="F401" s="48" t="n">
        <v>7630</v>
      </c>
      <c r="G401" s="48" t="n">
        <v>7865</v>
      </c>
      <c r="H401" s="48" t="n">
        <v>7482</v>
      </c>
      <c r="I401" s="48" t="n">
        <v>7598</v>
      </c>
      <c r="J401" s="48" t="n">
        <v>7770</v>
      </c>
      <c r="K401" s="48" t="n">
        <v>7746</v>
      </c>
      <c r="L401" s="48" t="n">
        <v>16182395</v>
      </c>
      <c r="M401" s="48" t="n">
        <v>122953837210</v>
      </c>
      <c r="N401" s="48" t="n">
        <v>522</v>
      </c>
      <c r="O401" s="48" t="n">
        <v>8246065</v>
      </c>
      <c r="P401" s="48" t="n">
        <v>8128926</v>
      </c>
      <c r="Q401" s="48" t="n">
        <v>222</v>
      </c>
      <c r="R401" s="48" t="n">
        <v>162</v>
      </c>
      <c r="S401" s="48" t="n">
        <v>7936330</v>
      </c>
      <c r="T401" s="48" t="n">
        <v>8053469</v>
      </c>
      <c r="U401" s="46" t="n">
        <f aca="false">IF($A401=$A400,$U400+1,1)</f>
        <v>137</v>
      </c>
      <c r="V401" s="48" t="n">
        <f aca="false">IF($U401&gt;=MA_SHORT,AVERAGE(INDEX($I$5:$I401,398-MA_SHORT):$I401),"")</f>
        <v>7522.85</v>
      </c>
      <c r="W401" s="48" t="n">
        <f aca="false">IF($U401&gt;=MA_MED,AVERAGE(INDEX($I$5:$I401,398-MA_MED):$I401),"")</f>
        <v>7455.6</v>
      </c>
      <c r="X401" s="48" t="n">
        <f aca="false">IF($U401&gt;=MA_LONG1,AVERAGE(INDEX($I$5:$I401,398-MA_LONG1):$I401),"")</f>
        <v>7650.05</v>
      </c>
      <c r="Y401" s="48" t="str">
        <f aca="false">IF($U401&gt;=MA_LONG2,AVERAGE(INDEX($I$5:$I401,398-MA_LONG2):$I401),"")</f>
        <v/>
      </c>
      <c r="Z401" s="48" t="n">
        <f aca="false">IF($U401&gt;=MA_SHORT,AVERAGE(INDEX($L$281:$L401,122-MA_SHORT):$L401),"")</f>
        <v>18430083.6</v>
      </c>
      <c r="AA401" s="48" t="n">
        <f aca="false">IF($U401=1,$G401-$H401,MAX($G401-$H401,ABS($G401-$I400),ABS($H401-$I400)))</f>
        <v>383</v>
      </c>
      <c r="AB401" s="48" t="n">
        <f aca="false">IF($U401&gt;=ATR_PER,AVERAGE(INDEX($AA$281:$AA401,122-ATR_PER):$AA401),"")</f>
        <v>299.428571428571</v>
      </c>
      <c r="AC401" s="48" t="n">
        <f aca="false">$O401-$P401</f>
        <v>117139</v>
      </c>
      <c r="AD401" s="48" t="n">
        <f aca="false">$AC401*$I401</f>
        <v>890022122</v>
      </c>
      <c r="AE401" s="49" t="n">
        <f aca="false">IF($Q401&gt;0,$O401*$I401/$Q401/1000000,"")</f>
        <v>282.223431846847</v>
      </c>
      <c r="AF401" s="49" t="n">
        <f aca="false">IF($R401&gt;0,$P401*$I401/$R401/1000000,"")</f>
        <v>381.256665111111</v>
      </c>
      <c r="AG401" s="50" t="n">
        <f aca="false">IF(AND(ISNUMBER($AE401),ISNUMBER($AF401),$AF401&gt;0),$AE401/$AF401,"")</f>
        <v>0.740245240734604</v>
      </c>
      <c r="AH401" s="48" t="n">
        <f aca="false">IF($U401&gt;=5,SUM(INDEX($AD$371:$AD401,32-5):$AD401),"")</f>
        <v>61864620806</v>
      </c>
      <c r="AI401" s="48" t="n">
        <f aca="false">IF($U401&gt;=STRUCT_S,MAX(INDEX($G$251:$G401,152-STRUCT_S):$G401),"")</f>
        <v>8156</v>
      </c>
      <c r="AJ401" s="48" t="n">
        <f aca="false">IF($U401&gt;=STRUCT_S,MIN(INDEX($H$251:$H401,152-STRUCT_S):$H401),"")</f>
        <v>6987</v>
      </c>
      <c r="AK401" s="48" t="n">
        <f aca="false">IF($U401&gt;=STRUCT_L,MAX(INDEX($G$151:$G401,252-STRUCT_L):$G401),"")</f>
        <v>8156</v>
      </c>
      <c r="AL401" s="48" t="n">
        <f aca="false">IF($U401&gt;=STRUCT_L,MIN(INDEX($H$151:$H401,252-STRUCT_L):$H401),"")</f>
        <v>6986</v>
      </c>
      <c r="AM401" s="46" t="n">
        <f aca="false">IF($A401&lt;&gt;$A402,1,0)</f>
        <v>0</v>
      </c>
      <c r="AN401" s="47" t="str">
        <f aca="false">IF($AM401=1,$A401,"")</f>
        <v/>
      </c>
    </row>
    <row r="402" customFormat="false" ht="15" hidden="false" customHeight="false" outlineLevel="0" collapsed="false">
      <c r="A402" s="43" t="s">
        <v>138</v>
      </c>
      <c r="B402" s="44" t="s">
        <v>140</v>
      </c>
      <c r="C402" s="45" t="n">
        <v>46097</v>
      </c>
      <c r="D402" s="46" t="n">
        <v>20260316</v>
      </c>
      <c r="E402" s="47" t="s">
        <v>425</v>
      </c>
      <c r="F402" s="48" t="n">
        <v>7525</v>
      </c>
      <c r="G402" s="48" t="n">
        <v>7796</v>
      </c>
      <c r="H402" s="48" t="n">
        <v>7505</v>
      </c>
      <c r="I402" s="48" t="n">
        <v>7702</v>
      </c>
      <c r="J402" s="48" t="n">
        <v>7774</v>
      </c>
      <c r="K402" s="48" t="n">
        <v>7598</v>
      </c>
      <c r="L402" s="48" t="n">
        <v>16015481</v>
      </c>
      <c r="M402" s="48" t="n">
        <v>123351234662</v>
      </c>
      <c r="N402" s="48" t="n">
        <v>770</v>
      </c>
      <c r="O402" s="48" t="n">
        <v>10047580</v>
      </c>
      <c r="P402" s="48" t="n">
        <v>5237439</v>
      </c>
      <c r="Q402" s="48" t="n">
        <v>215</v>
      </c>
      <c r="R402" s="48" t="n">
        <v>412</v>
      </c>
      <c r="S402" s="48" t="n">
        <v>5967901</v>
      </c>
      <c r="T402" s="48" t="n">
        <v>10778042</v>
      </c>
      <c r="U402" s="46" t="n">
        <f aca="false">IF($A402=$A401,$U401+1,1)</f>
        <v>138</v>
      </c>
      <c r="V402" s="48" t="n">
        <f aca="false">IF($U402&gt;=MA_SHORT,AVERAGE(INDEX($I$5:$I402,399-MA_SHORT):$I402),"")</f>
        <v>7536.8</v>
      </c>
      <c r="W402" s="48" t="n">
        <f aca="false">IF($U402&gt;=MA_MED,AVERAGE(INDEX($I$5:$I402,399-MA_MED):$I402),"")</f>
        <v>7456.64</v>
      </c>
      <c r="X402" s="48" t="n">
        <f aca="false">IF($U402&gt;=MA_LONG1,AVERAGE(INDEX($I$5:$I402,399-MA_LONG1):$I402),"")</f>
        <v>7650.4</v>
      </c>
      <c r="Y402" s="48" t="str">
        <f aca="false">IF($U402&gt;=MA_LONG2,AVERAGE(INDEX($I$5:$I402,399-MA_LONG2):$I402),"")</f>
        <v/>
      </c>
      <c r="Z402" s="48" t="n">
        <f aca="false">IF($U402&gt;=MA_SHORT,AVERAGE(INDEX($L$282:$L402,122-MA_SHORT):$L402),"")</f>
        <v>18452702.1</v>
      </c>
      <c r="AA402" s="48" t="n">
        <f aca="false">IF($U402=1,$G402-$H402,MAX($G402-$H402,ABS($G402-$I401),ABS($H402-$I401)))</f>
        <v>291</v>
      </c>
      <c r="AB402" s="48" t="n">
        <f aca="false">IF($U402&gt;=ATR_PER,AVERAGE(INDEX($AA$282:$AA402,122-ATR_PER):$AA402),"")</f>
        <v>296.214285714286</v>
      </c>
      <c r="AC402" s="48" t="n">
        <f aca="false">$O402-$P402</f>
        <v>4810141</v>
      </c>
      <c r="AD402" s="48" t="n">
        <f aca="false">$AC402*$I402</f>
        <v>37047705982</v>
      </c>
      <c r="AE402" s="49" t="n">
        <f aca="false">IF($Q402&gt;0,$O402*$I402/$Q402/1000000,"")</f>
        <v>359.937028651163</v>
      </c>
      <c r="AF402" s="49" t="n">
        <f aca="false">IF($R402&gt;0,$P402*$I402/$R402/1000000,"")</f>
        <v>97.9095999466019</v>
      </c>
      <c r="AG402" s="50" t="n">
        <f aca="false">IF(AND(ISNUMBER($AE402),ISNUMBER($AF402),$AF402&gt;0),$AE402/$AF402,"")</f>
        <v>3.67621794846946</v>
      </c>
      <c r="AH402" s="48" t="n">
        <f aca="false">IF($U402&gt;=5,SUM(INDEX($AD$372:$AD402,32-5):$AD402),"")</f>
        <v>89131127908</v>
      </c>
      <c r="AI402" s="48" t="n">
        <f aca="false">IF($U402&gt;=STRUCT_S,MAX(INDEX($G$252:$G402,152-STRUCT_S):$G402),"")</f>
        <v>8156</v>
      </c>
      <c r="AJ402" s="48" t="n">
        <f aca="false">IF($U402&gt;=STRUCT_S,MIN(INDEX($H$252:$H402,152-STRUCT_S):$H402),"")</f>
        <v>6987</v>
      </c>
      <c r="AK402" s="48" t="n">
        <f aca="false">IF($U402&gt;=STRUCT_L,MAX(INDEX($G$152:$G402,252-STRUCT_L):$G402),"")</f>
        <v>8156</v>
      </c>
      <c r="AL402" s="48" t="n">
        <f aca="false">IF($U402&gt;=STRUCT_L,MIN(INDEX($H$152:$H402,252-STRUCT_L):$H402),"")</f>
        <v>6986</v>
      </c>
      <c r="AM402" s="46" t="n">
        <f aca="false">IF($A402&lt;&gt;$A403,1,0)</f>
        <v>0</v>
      </c>
      <c r="AN402" s="47" t="str">
        <f aca="false">IF($AM402=1,$A402,"")</f>
        <v/>
      </c>
    </row>
    <row r="403" customFormat="false" ht="15" hidden="false" customHeight="false" outlineLevel="0" collapsed="false">
      <c r="A403" s="43" t="s">
        <v>138</v>
      </c>
      <c r="B403" s="44" t="s">
        <v>140</v>
      </c>
      <c r="C403" s="45" t="n">
        <v>46098</v>
      </c>
      <c r="D403" s="46" t="n">
        <v>20260317</v>
      </c>
      <c r="E403" s="47" t="s">
        <v>426</v>
      </c>
      <c r="F403" s="48" t="n">
        <v>7918</v>
      </c>
      <c r="G403" s="48" t="n">
        <v>7923</v>
      </c>
      <c r="H403" s="48" t="n">
        <v>7556</v>
      </c>
      <c r="I403" s="48" t="n">
        <v>7775</v>
      </c>
      <c r="J403" s="48" t="n">
        <v>7856</v>
      </c>
      <c r="K403" s="48" t="n">
        <v>7702</v>
      </c>
      <c r="L403" s="48" t="n">
        <v>16594999</v>
      </c>
      <c r="M403" s="48" t="n">
        <v>129026117225</v>
      </c>
      <c r="N403" s="48" t="n">
        <v>771</v>
      </c>
      <c r="O403" s="48" t="n">
        <v>11318927</v>
      </c>
      <c r="P403" s="48" t="n">
        <v>5968159</v>
      </c>
      <c r="Q403" s="48" t="n">
        <v>313</v>
      </c>
      <c r="R403" s="48" t="n">
        <v>500</v>
      </c>
      <c r="S403" s="48" t="n">
        <v>5276072</v>
      </c>
      <c r="T403" s="48" t="n">
        <v>10626840</v>
      </c>
      <c r="U403" s="46" t="n">
        <f aca="false">IF($A403=$A402,$U402+1,1)</f>
        <v>139</v>
      </c>
      <c r="V403" s="48" t="n">
        <f aca="false">IF($U403&gt;=MA_SHORT,AVERAGE(INDEX($I$5:$I403,400-MA_SHORT):$I403),"")</f>
        <v>7555.55</v>
      </c>
      <c r="W403" s="48" t="n">
        <f aca="false">IF($U403&gt;=MA_MED,AVERAGE(INDEX($I$5:$I403,400-MA_MED):$I403),"")</f>
        <v>7457.96</v>
      </c>
      <c r="X403" s="48" t="n">
        <f aca="false">IF($U403&gt;=MA_LONG1,AVERAGE(INDEX($I$5:$I403,400-MA_LONG1):$I403),"")</f>
        <v>7650.36</v>
      </c>
      <c r="Y403" s="48" t="str">
        <f aca="false">IF($U403&gt;=MA_LONG2,AVERAGE(INDEX($I$5:$I403,400-MA_LONG2):$I403),"")</f>
        <v/>
      </c>
      <c r="Z403" s="48" t="n">
        <f aca="false">IF($U403&gt;=MA_SHORT,AVERAGE(INDEX($L$283:$L403,122-MA_SHORT):$L403),"")</f>
        <v>18543054.45</v>
      </c>
      <c r="AA403" s="48" t="n">
        <f aca="false">IF($U403=1,$G403-$H403,MAX($G403-$H403,ABS($G403-$I402),ABS($H403-$I402)))</f>
        <v>367</v>
      </c>
      <c r="AB403" s="48" t="n">
        <f aca="false">IF($U403&gt;=ATR_PER,AVERAGE(INDEX($AA$283:$AA403,122-ATR_PER):$AA403),"")</f>
        <v>312.928571428571</v>
      </c>
      <c r="AC403" s="48" t="n">
        <f aca="false">$O403-$P403</f>
        <v>5350768</v>
      </c>
      <c r="AD403" s="48" t="n">
        <f aca="false">$AC403*$I403</f>
        <v>41602221200</v>
      </c>
      <c r="AE403" s="49" t="n">
        <f aca="false">IF($Q403&gt;0,$O403*$I403/$Q403/1000000,"")</f>
        <v>281.165039696486</v>
      </c>
      <c r="AF403" s="49" t="n">
        <f aca="false">IF($R403&gt;0,$P403*$I403/$R403/1000000,"")</f>
        <v>92.80487245</v>
      </c>
      <c r="AG403" s="50" t="n">
        <f aca="false">IF(AND(ISNUMBER($AE403),ISNUMBER($AF403),$AF403&gt;0),$AE403/$AF403,"")</f>
        <v>3.02963661577109</v>
      </c>
      <c r="AH403" s="48" t="n">
        <f aca="false">IF($U403&gt;=5,SUM(INDEX($AD$373:$AD403,32-5):$AD403),"")</f>
        <v>101418653492</v>
      </c>
      <c r="AI403" s="48" t="n">
        <f aca="false">IF($U403&gt;=STRUCT_S,MAX(INDEX($G$253:$G403,152-STRUCT_S):$G403),"")</f>
        <v>8156</v>
      </c>
      <c r="AJ403" s="48" t="n">
        <f aca="false">IF($U403&gt;=STRUCT_S,MIN(INDEX($H$253:$H403,152-STRUCT_S):$H403),"")</f>
        <v>6987</v>
      </c>
      <c r="AK403" s="48" t="n">
        <f aca="false">IF($U403&gt;=STRUCT_L,MAX(INDEX($G$153:$G403,252-STRUCT_L):$G403),"")</f>
        <v>8156</v>
      </c>
      <c r="AL403" s="48" t="n">
        <f aca="false">IF($U403&gt;=STRUCT_L,MIN(INDEX($H$153:$H403,252-STRUCT_L):$H403),"")</f>
        <v>6986</v>
      </c>
      <c r="AM403" s="46" t="n">
        <f aca="false">IF($A403&lt;&gt;$A404,1,0)</f>
        <v>0</v>
      </c>
      <c r="AN403" s="47" t="str">
        <f aca="false">IF($AM403=1,$A403,"")</f>
        <v/>
      </c>
    </row>
    <row r="404" customFormat="false" ht="15" hidden="false" customHeight="false" outlineLevel="0" collapsed="false">
      <c r="A404" s="43" t="s">
        <v>138</v>
      </c>
      <c r="B404" s="44" t="s">
        <v>140</v>
      </c>
      <c r="C404" s="45" t="n">
        <v>46099</v>
      </c>
      <c r="D404" s="46" t="n">
        <v>20260318</v>
      </c>
      <c r="E404" s="47" t="s">
        <v>427</v>
      </c>
      <c r="F404" s="48" t="n">
        <v>7867</v>
      </c>
      <c r="G404" s="48" t="n">
        <v>8106</v>
      </c>
      <c r="H404" s="48" t="n">
        <v>7655</v>
      </c>
      <c r="I404" s="48" t="n">
        <v>7983</v>
      </c>
      <c r="J404" s="48" t="n">
        <v>7856</v>
      </c>
      <c r="K404" s="48" t="n">
        <v>7775</v>
      </c>
      <c r="L404" s="48" t="n">
        <v>22598622</v>
      </c>
      <c r="M404" s="48" t="n">
        <v>180404799426</v>
      </c>
      <c r="N404" s="48" t="n">
        <v>601</v>
      </c>
      <c r="O404" s="48" t="n">
        <v>14334756</v>
      </c>
      <c r="P404" s="48" t="n">
        <v>7059008</v>
      </c>
      <c r="Q404" s="48" t="n">
        <v>246</v>
      </c>
      <c r="R404" s="48" t="n">
        <v>248</v>
      </c>
      <c r="S404" s="48" t="n">
        <v>8263866</v>
      </c>
      <c r="T404" s="48" t="n">
        <v>15539614</v>
      </c>
      <c r="U404" s="46" t="n">
        <f aca="false">IF($A404=$A403,$U403+1,1)</f>
        <v>140</v>
      </c>
      <c r="V404" s="48" t="n">
        <f aca="false">IF($U404&gt;=MA_SHORT,AVERAGE(INDEX($I$5:$I404,401-MA_SHORT):$I404),"")</f>
        <v>7577.6</v>
      </c>
      <c r="W404" s="48" t="n">
        <f aca="false">IF($U404&gt;=MA_MED,AVERAGE(INDEX($I$5:$I404,401-MA_MED):$I404),"")</f>
        <v>7467.28</v>
      </c>
      <c r="X404" s="48" t="n">
        <f aca="false">IF($U404&gt;=MA_LONG1,AVERAGE(INDEX($I$5:$I404,401-MA_LONG1):$I404),"")</f>
        <v>7651.03</v>
      </c>
      <c r="Y404" s="48" t="str">
        <f aca="false">IF($U404&gt;=MA_LONG2,AVERAGE(INDEX($I$5:$I404,401-MA_LONG2):$I404),"")</f>
        <v/>
      </c>
      <c r="Z404" s="48" t="n">
        <f aca="false">IF($U404&gt;=MA_SHORT,AVERAGE(INDEX($L$284:$L404,122-MA_SHORT):$L404),"")</f>
        <v>18612714.95</v>
      </c>
      <c r="AA404" s="48" t="n">
        <f aca="false">IF($U404=1,$G404-$H404,MAX($G404-$H404,ABS($G404-$I403),ABS($H404-$I403)))</f>
        <v>451</v>
      </c>
      <c r="AB404" s="48" t="n">
        <f aca="false">IF($U404&gt;=ATR_PER,AVERAGE(INDEX($AA$284:$AA404,122-ATR_PER):$AA404),"")</f>
        <v>329.928571428571</v>
      </c>
      <c r="AC404" s="48" t="n">
        <f aca="false">$O404-$P404</f>
        <v>7275748</v>
      </c>
      <c r="AD404" s="48" t="n">
        <f aca="false">$AC404*$I404</f>
        <v>58082296284</v>
      </c>
      <c r="AE404" s="49" t="n">
        <f aca="false">IF($Q404&gt;0,$O404*$I404/$Q404/1000000,"")</f>
        <v>465.180313609756</v>
      </c>
      <c r="AF404" s="49" t="n">
        <f aca="false">IF($R404&gt;0,$P404*$I404/$R404/1000000,"")</f>
        <v>227.226051870968</v>
      </c>
      <c r="AG404" s="50" t="n">
        <f aca="false">IF(AND(ISNUMBER($AE404),ISNUMBER($AF404),$AF404&gt;0),$AE404/$AF404,"")</f>
        <v>2.04721381980405</v>
      </c>
      <c r="AH404" s="48" t="n">
        <f aca="false">IF($U404&gt;=5,SUM(INDEX($AD$374:$AD404,32-5):$AD404),"")</f>
        <v>142251371378</v>
      </c>
      <c r="AI404" s="48" t="n">
        <f aca="false">IF($U404&gt;=STRUCT_S,MAX(INDEX($G$254:$G404,152-STRUCT_S):$G404),"")</f>
        <v>8156</v>
      </c>
      <c r="AJ404" s="48" t="n">
        <f aca="false">IF($U404&gt;=STRUCT_S,MIN(INDEX($H$254:$H404,152-STRUCT_S):$H404),"")</f>
        <v>6987</v>
      </c>
      <c r="AK404" s="48" t="n">
        <f aca="false">IF($U404&gt;=STRUCT_L,MAX(INDEX($G$154:$G404,252-STRUCT_L):$G404),"")</f>
        <v>8156</v>
      </c>
      <c r="AL404" s="48" t="n">
        <f aca="false">IF($U404&gt;=STRUCT_L,MIN(INDEX($H$154:$H404,252-STRUCT_L):$H404),"")</f>
        <v>6986</v>
      </c>
      <c r="AM404" s="46" t="n">
        <f aca="false">IF($A404&lt;&gt;$A405,1,0)</f>
        <v>0</v>
      </c>
      <c r="AN404" s="47" t="str">
        <f aca="false">IF($AM404=1,$A404,"")</f>
        <v/>
      </c>
    </row>
    <row r="405" customFormat="false" ht="15" hidden="false" customHeight="false" outlineLevel="0" collapsed="false">
      <c r="A405" s="43" t="s">
        <v>138</v>
      </c>
      <c r="B405" s="44" t="s">
        <v>140</v>
      </c>
      <c r="C405" s="45" t="n">
        <v>46102</v>
      </c>
      <c r="D405" s="46" t="n">
        <v>20260321</v>
      </c>
      <c r="E405" s="47" t="s">
        <v>428</v>
      </c>
      <c r="F405" s="48" t="n">
        <v>7887</v>
      </c>
      <c r="G405" s="48" t="n">
        <v>8102</v>
      </c>
      <c r="H405" s="48" t="n">
        <v>7878</v>
      </c>
      <c r="I405" s="48" t="n">
        <v>7997</v>
      </c>
      <c r="J405" s="48" t="n">
        <v>8074</v>
      </c>
      <c r="K405" s="48" t="n">
        <v>7983</v>
      </c>
      <c r="L405" s="48" t="n">
        <v>14670813</v>
      </c>
      <c r="M405" s="48" t="n">
        <v>117322491561</v>
      </c>
      <c r="N405" s="48" t="n">
        <v>1156</v>
      </c>
      <c r="O405" s="48" t="n">
        <v>8124349</v>
      </c>
      <c r="P405" s="48" t="n">
        <v>5386436</v>
      </c>
      <c r="Q405" s="48" t="n">
        <v>305</v>
      </c>
      <c r="R405" s="48" t="n">
        <v>752</v>
      </c>
      <c r="S405" s="48" t="n">
        <v>6546464</v>
      </c>
      <c r="T405" s="48" t="n">
        <v>9284377</v>
      </c>
      <c r="U405" s="46" t="n">
        <f aca="false">IF($A405=$A404,$U404+1,1)</f>
        <v>141</v>
      </c>
      <c r="V405" s="48" t="n">
        <f aca="false">IF($U405&gt;=MA_SHORT,AVERAGE(INDEX($I$5:$I405,402-MA_SHORT):$I405),"")</f>
        <v>7609.35</v>
      </c>
      <c r="W405" s="48" t="n">
        <f aca="false">IF($U405&gt;=MA_MED,AVERAGE(INDEX($I$5:$I405,402-MA_MED):$I405),"")</f>
        <v>7477.76</v>
      </c>
      <c r="X405" s="48" t="n">
        <f aca="false">IF($U405&gt;=MA_LONG1,AVERAGE(INDEX($I$5:$I405,402-MA_LONG1):$I405),"")</f>
        <v>7649.57</v>
      </c>
      <c r="Y405" s="48" t="str">
        <f aca="false">IF($U405&gt;=MA_LONG2,AVERAGE(INDEX($I$5:$I405,402-MA_LONG2):$I405),"")</f>
        <v/>
      </c>
      <c r="Z405" s="48" t="n">
        <f aca="false">IF($U405&gt;=MA_SHORT,AVERAGE(INDEX($L$285:$L405,122-MA_SHORT):$L405),"")</f>
        <v>18355808.55</v>
      </c>
      <c r="AA405" s="48" t="n">
        <f aca="false">IF($U405=1,$G405-$H405,MAX($G405-$H405,ABS($G405-$I404),ABS($H405-$I404)))</f>
        <v>224</v>
      </c>
      <c r="AB405" s="48" t="n">
        <f aca="false">IF($U405&gt;=ATR_PER,AVERAGE(INDEX($AA$285:$AA405,122-ATR_PER):$AA405),"")</f>
        <v>326.214285714286</v>
      </c>
      <c r="AC405" s="48" t="n">
        <f aca="false">$O405-$P405</f>
        <v>2737913</v>
      </c>
      <c r="AD405" s="48" t="n">
        <f aca="false">$AC405*$I405</f>
        <v>21895090261</v>
      </c>
      <c r="AE405" s="49" t="n">
        <f aca="false">IF($Q405&gt;0,$O405*$I405/$Q405/1000000,"")</f>
        <v>213.017767059016</v>
      </c>
      <c r="AF405" s="49" t="n">
        <f aca="false">IF($R405&gt;0,$P405*$I405/$R405/1000000,"")</f>
        <v>57.2810221968085</v>
      </c>
      <c r="AG405" s="50" t="n">
        <f aca="false">IF(AND(ISNUMBER($AE405),ISNUMBER($AF405),$AF405&gt;0),$AE405/$AF405,"")</f>
        <v>3.71881923348227</v>
      </c>
      <c r="AH405" s="48" t="n">
        <f aca="false">IF($U405&gt;=5,SUM(INDEX($AD$375:$AD405,32-5):$AD405),"")</f>
        <v>159517335849</v>
      </c>
      <c r="AI405" s="48" t="n">
        <f aca="false">IF($U405&gt;=STRUCT_S,MAX(INDEX($G$255:$G405,152-STRUCT_S):$G405),"")</f>
        <v>8156</v>
      </c>
      <c r="AJ405" s="48" t="n">
        <f aca="false">IF($U405&gt;=STRUCT_S,MIN(INDEX($H$255:$H405,152-STRUCT_S):$H405),"")</f>
        <v>6987</v>
      </c>
      <c r="AK405" s="48" t="n">
        <f aca="false">IF($U405&gt;=STRUCT_L,MAX(INDEX($G$155:$G405,252-STRUCT_L):$G405),"")</f>
        <v>8156</v>
      </c>
      <c r="AL405" s="48" t="n">
        <f aca="false">IF($U405&gt;=STRUCT_L,MIN(INDEX($H$155:$H405,252-STRUCT_L):$H405),"")</f>
        <v>6986</v>
      </c>
      <c r="AM405" s="46" t="n">
        <f aca="false">IF($A405&lt;&gt;$A406,1,0)</f>
        <v>0</v>
      </c>
      <c r="AN405" s="47" t="str">
        <f aca="false">IF($AM405=1,$A405,"")</f>
        <v/>
      </c>
    </row>
    <row r="406" customFormat="false" ht="15" hidden="false" customHeight="false" outlineLevel="0" collapsed="false">
      <c r="A406" s="43" t="s">
        <v>138</v>
      </c>
      <c r="B406" s="44" t="s">
        <v>140</v>
      </c>
      <c r="C406" s="45" t="n">
        <v>46103</v>
      </c>
      <c r="D406" s="46" t="n">
        <v>20260322</v>
      </c>
      <c r="E406" s="47" t="s">
        <v>429</v>
      </c>
      <c r="F406" s="48" t="n">
        <v>8215</v>
      </c>
      <c r="G406" s="48" t="n">
        <v>8280</v>
      </c>
      <c r="H406" s="48" t="n">
        <v>7932</v>
      </c>
      <c r="I406" s="48" t="n">
        <v>8213</v>
      </c>
      <c r="J406" s="48" t="n">
        <v>8248</v>
      </c>
      <c r="K406" s="48" t="n">
        <v>7997</v>
      </c>
      <c r="L406" s="48" t="n">
        <v>16870855</v>
      </c>
      <c r="M406" s="48" t="n">
        <v>138560332115</v>
      </c>
      <c r="N406" s="48" t="n">
        <v>906</v>
      </c>
      <c r="O406" s="48" t="n">
        <v>10868889</v>
      </c>
      <c r="P406" s="48" t="n">
        <v>5144168</v>
      </c>
      <c r="Q406" s="48" t="n">
        <v>343</v>
      </c>
      <c r="R406" s="48" t="n">
        <v>360</v>
      </c>
      <c r="S406" s="48" t="n">
        <v>6001966</v>
      </c>
      <c r="T406" s="48" t="n">
        <v>11726687</v>
      </c>
      <c r="U406" s="46" t="n">
        <f aca="false">IF($A406=$A405,$U405+1,1)</f>
        <v>142</v>
      </c>
      <c r="V406" s="48" t="n">
        <f aca="false">IF($U406&gt;=MA_SHORT,AVERAGE(INDEX($I$6:$I406,402-MA_SHORT):$I406),"")</f>
        <v>7650.85</v>
      </c>
      <c r="W406" s="48" t="n">
        <f aca="false">IF($U406&gt;=MA_MED,AVERAGE(INDEX($I$6:$I406,402-MA_MED):$I406),"")</f>
        <v>7493.5</v>
      </c>
      <c r="X406" s="48" t="n">
        <f aca="false">IF($U406&gt;=MA_LONG1,AVERAGE(INDEX($I$6:$I406,402-MA_LONG1):$I406),"")</f>
        <v>7650.6</v>
      </c>
      <c r="Y406" s="48" t="str">
        <f aca="false">IF($U406&gt;=MA_LONG2,AVERAGE(INDEX($I$6:$I406,402-MA_LONG2):$I406),"")</f>
        <v/>
      </c>
      <c r="Z406" s="48" t="n">
        <f aca="false">IF($U406&gt;=MA_SHORT,AVERAGE(INDEX($L$286:$L406,122-MA_SHORT):$L406),"")</f>
        <v>18461025.1</v>
      </c>
      <c r="AA406" s="48" t="n">
        <f aca="false">IF($U406=1,$G406-$H406,MAX($G406-$H406,ABS($G406-$I405),ABS($H406-$I405)))</f>
        <v>348</v>
      </c>
      <c r="AB406" s="48" t="n">
        <f aca="false">IF($U406&gt;=ATR_PER,AVERAGE(INDEX($AA$286:$AA406,122-ATR_PER):$AA406),"")</f>
        <v>320.142857142857</v>
      </c>
      <c r="AC406" s="48" t="n">
        <f aca="false">$O406-$P406</f>
        <v>5724721</v>
      </c>
      <c r="AD406" s="48" t="n">
        <f aca="false">$AC406*$I406</f>
        <v>47017133573</v>
      </c>
      <c r="AE406" s="49" t="n">
        <f aca="false">IF($Q406&gt;0,$O406*$I406/$Q406/1000000,"")</f>
        <v>260.251269262391</v>
      </c>
      <c r="AF406" s="49" t="n">
        <f aca="false">IF($R406&gt;0,$P406*$I406/$R406/1000000,"")</f>
        <v>117.358477177778</v>
      </c>
      <c r="AG406" s="50" t="n">
        <f aca="false">IF(AND(ISNUMBER($AE406),ISNUMBER($AF406),$AF406&gt;0),$AE406/$AF406,"")</f>
        <v>2.21757537692105</v>
      </c>
      <c r="AH406" s="48" t="n">
        <f aca="false">IF($U406&gt;=5,SUM(INDEX($AD$376:$AD406,32-5):$AD406),"")</f>
        <v>205644447300</v>
      </c>
      <c r="AI406" s="48" t="n">
        <f aca="false">IF($U406&gt;=STRUCT_S,MAX(INDEX($G$256:$G406,152-STRUCT_S):$G406),"")</f>
        <v>8280</v>
      </c>
      <c r="AJ406" s="48" t="n">
        <f aca="false">IF($U406&gt;=STRUCT_S,MIN(INDEX($H$256:$H406,152-STRUCT_S):$H406),"")</f>
        <v>6987</v>
      </c>
      <c r="AK406" s="48" t="n">
        <f aca="false">IF($U406&gt;=STRUCT_L,MAX(INDEX($G$156:$G406,252-STRUCT_L):$G406),"")</f>
        <v>8280</v>
      </c>
      <c r="AL406" s="48" t="n">
        <f aca="false">IF($U406&gt;=STRUCT_L,MIN(INDEX($H$156:$H406,252-STRUCT_L):$H406),"")</f>
        <v>6986</v>
      </c>
      <c r="AM406" s="46" t="n">
        <f aca="false">IF($A406&lt;&gt;$A407,1,0)</f>
        <v>0</v>
      </c>
      <c r="AN406" s="47" t="str">
        <f aca="false">IF($AM406=1,$A406,"")</f>
        <v/>
      </c>
    </row>
    <row r="407" customFormat="false" ht="15" hidden="false" customHeight="false" outlineLevel="0" collapsed="false">
      <c r="A407" s="43" t="s">
        <v>138</v>
      </c>
      <c r="B407" s="44" t="s">
        <v>140</v>
      </c>
      <c r="C407" s="45" t="n">
        <v>46104</v>
      </c>
      <c r="D407" s="46" t="n">
        <v>20260323</v>
      </c>
      <c r="E407" s="47" t="s">
        <v>430</v>
      </c>
      <c r="F407" s="48" t="n">
        <v>8101</v>
      </c>
      <c r="G407" s="48" t="n">
        <v>8498</v>
      </c>
      <c r="H407" s="48" t="n">
        <v>8093</v>
      </c>
      <c r="I407" s="48" t="n">
        <v>8375</v>
      </c>
      <c r="J407" s="48" t="n">
        <v>8106</v>
      </c>
      <c r="K407" s="48" t="n">
        <v>8213</v>
      </c>
      <c r="L407" s="48" t="n">
        <v>31148478</v>
      </c>
      <c r="M407" s="48" t="n">
        <v>260868503250</v>
      </c>
      <c r="N407" s="48" t="n">
        <v>860</v>
      </c>
      <c r="O407" s="48" t="n">
        <v>20133491</v>
      </c>
      <c r="P407" s="48" t="n">
        <v>8839347</v>
      </c>
      <c r="Q407" s="48" t="n">
        <v>290</v>
      </c>
      <c r="R407" s="48" t="n">
        <v>383</v>
      </c>
      <c r="S407" s="48" t="n">
        <v>11014987</v>
      </c>
      <c r="T407" s="48" t="n">
        <v>22309131</v>
      </c>
      <c r="U407" s="46" t="n">
        <f aca="false">IF($A407=$A406,$U406+1,1)</f>
        <v>143</v>
      </c>
      <c r="V407" s="48" t="n">
        <f aca="false">IF($U407&gt;=MA_SHORT,AVERAGE(INDEX($I$7:$I407,402-MA_SHORT):$I407),"")</f>
        <v>7706.05</v>
      </c>
      <c r="W407" s="48" t="n">
        <f aca="false">IF($U407&gt;=MA_MED,AVERAGE(INDEX($I$7:$I407,402-MA_MED):$I407),"")</f>
        <v>7512.9</v>
      </c>
      <c r="X407" s="48" t="n">
        <f aca="false">IF($U407&gt;=MA_LONG1,AVERAGE(INDEX($I$7:$I407,402-MA_LONG1):$I407),"")</f>
        <v>7654.05</v>
      </c>
      <c r="Y407" s="48" t="str">
        <f aca="false">IF($U407&gt;=MA_LONG2,AVERAGE(INDEX($I$7:$I407,402-MA_LONG2):$I407),"")</f>
        <v/>
      </c>
      <c r="Z407" s="48" t="n">
        <f aca="false">IF($U407&gt;=MA_SHORT,AVERAGE(INDEX($L$287:$L407,122-MA_SHORT):$L407),"")</f>
        <v>18869382.4</v>
      </c>
      <c r="AA407" s="48" t="n">
        <f aca="false">IF($U407=1,$G407-$H407,MAX($G407-$H407,ABS($G407-$I406),ABS($H407-$I406)))</f>
        <v>405</v>
      </c>
      <c r="AB407" s="48" t="n">
        <f aca="false">IF($U407&gt;=ATR_PER,AVERAGE(INDEX($AA$287:$AA407,122-ATR_PER):$AA407),"")</f>
        <v>316.5</v>
      </c>
      <c r="AC407" s="48" t="n">
        <f aca="false">$O407-$P407</f>
        <v>11294144</v>
      </c>
      <c r="AD407" s="48" t="n">
        <f aca="false">$AC407*$I407</f>
        <v>94588456000</v>
      </c>
      <c r="AE407" s="49" t="n">
        <f aca="false">IF($Q407&gt;0,$O407*$I407/$Q407/1000000,"")</f>
        <v>581.441334913793</v>
      </c>
      <c r="AF407" s="49" t="n">
        <f aca="false">IF($R407&gt;0,$P407*$I407/$R407/1000000,"")</f>
        <v>193.288593015666</v>
      </c>
      <c r="AG407" s="50" t="n">
        <f aca="false">IF(AND(ISNUMBER($AE407),ISNUMBER($AF407),$AF407&gt;0),$AE407/$AF407,"")</f>
        <v>3.00815131323693</v>
      </c>
      <c r="AH407" s="48" t="n">
        <f aca="false">IF($U407&gt;=5,SUM(INDEX($AD$377:$AD407,32-5):$AD407),"")</f>
        <v>263185197318</v>
      </c>
      <c r="AI407" s="48" t="n">
        <f aca="false">IF($U407&gt;=STRUCT_S,MAX(INDEX($G$257:$G407,152-STRUCT_S):$G407),"")</f>
        <v>8498</v>
      </c>
      <c r="AJ407" s="48" t="n">
        <f aca="false">IF($U407&gt;=STRUCT_S,MIN(INDEX($H$257:$H407,152-STRUCT_S):$H407),"")</f>
        <v>6987</v>
      </c>
      <c r="AK407" s="48" t="n">
        <f aca="false">IF($U407&gt;=STRUCT_L,MAX(INDEX($G$157:$G407,252-STRUCT_L):$G407),"")</f>
        <v>8498</v>
      </c>
      <c r="AL407" s="48" t="n">
        <f aca="false">IF($U407&gt;=STRUCT_L,MIN(INDEX($H$157:$H407,252-STRUCT_L):$H407),"")</f>
        <v>6986</v>
      </c>
      <c r="AM407" s="46" t="n">
        <f aca="false">IF($A407&lt;&gt;$A408,1,0)</f>
        <v>0</v>
      </c>
      <c r="AN407" s="47" t="str">
        <f aca="false">IF($AM407=1,$A407,"")</f>
        <v/>
      </c>
    </row>
    <row r="408" customFormat="false" ht="15" hidden="false" customHeight="false" outlineLevel="0" collapsed="false">
      <c r="A408" s="43" t="s">
        <v>138</v>
      </c>
      <c r="B408" s="44" t="s">
        <v>140</v>
      </c>
      <c r="C408" s="45" t="n">
        <v>46105</v>
      </c>
      <c r="D408" s="46" t="n">
        <v>20260324</v>
      </c>
      <c r="E408" s="47" t="s">
        <v>431</v>
      </c>
      <c r="F408" s="48" t="n">
        <v>8194</v>
      </c>
      <c r="G408" s="48" t="n">
        <v>8473</v>
      </c>
      <c r="H408" s="48" t="n">
        <v>8137</v>
      </c>
      <c r="I408" s="48" t="n">
        <v>8234</v>
      </c>
      <c r="J408" s="48" t="n">
        <v>8216</v>
      </c>
      <c r="K408" s="48" t="n">
        <v>8375</v>
      </c>
      <c r="L408" s="48" t="n">
        <v>15984588</v>
      </c>
      <c r="M408" s="48" t="n">
        <v>131617097592</v>
      </c>
      <c r="N408" s="48" t="n">
        <v>451</v>
      </c>
      <c r="O408" s="48" t="n">
        <v>6857685</v>
      </c>
      <c r="P408" s="48" t="n">
        <v>8227447</v>
      </c>
      <c r="Q408" s="48" t="n">
        <v>184</v>
      </c>
      <c r="R408" s="48" t="n">
        <v>129</v>
      </c>
      <c r="S408" s="48" t="n">
        <v>9126903</v>
      </c>
      <c r="T408" s="48" t="n">
        <v>7757141</v>
      </c>
      <c r="U408" s="46" t="n">
        <f aca="false">IF($A408=$A407,$U407+1,1)</f>
        <v>144</v>
      </c>
      <c r="V408" s="48" t="n">
        <f aca="false">IF($U408&gt;=MA_SHORT,AVERAGE(INDEX($I$8:$I408,402-MA_SHORT):$I408),"")</f>
        <v>7744.5</v>
      </c>
      <c r="W408" s="48" t="n">
        <f aca="false">IF($U408&gt;=MA_MED,AVERAGE(INDEX($I$8:$I408,402-MA_MED):$I408),"")</f>
        <v>7528.42</v>
      </c>
      <c r="X408" s="48" t="n">
        <f aca="false">IF($U408&gt;=MA_LONG1,AVERAGE(INDEX($I$8:$I408,402-MA_LONG1):$I408),"")</f>
        <v>7657.94</v>
      </c>
      <c r="Y408" s="48" t="str">
        <f aca="false">IF($U408&gt;=MA_LONG2,AVERAGE(INDEX($I$8:$I408,402-MA_LONG2):$I408),"")</f>
        <v/>
      </c>
      <c r="Z408" s="48" t="n">
        <f aca="false">IF($U408&gt;=MA_SHORT,AVERAGE(INDEX($L$288:$L408,122-MA_SHORT):$L408),"")</f>
        <v>18639004.75</v>
      </c>
      <c r="AA408" s="48" t="n">
        <f aca="false">IF($U408=1,$G408-$H408,MAX($G408-$H408,ABS($G408-$I407),ABS($H408-$I407)))</f>
        <v>336</v>
      </c>
      <c r="AB408" s="48" t="n">
        <f aca="false">IF($U408&gt;=ATR_PER,AVERAGE(INDEX($AA$288:$AA408,122-ATR_PER):$AA408),"")</f>
        <v>331.428571428571</v>
      </c>
      <c r="AC408" s="48" t="n">
        <f aca="false">$O408-$P408</f>
        <v>-1369762</v>
      </c>
      <c r="AD408" s="48" t="n">
        <f aca="false">$AC408*$I408</f>
        <v>-11278620308</v>
      </c>
      <c r="AE408" s="49" t="n">
        <f aca="false">IF($Q408&gt;0,$O408*$I408/$Q408/1000000,"")</f>
        <v>306.88140375</v>
      </c>
      <c r="AF408" s="49" t="n">
        <f aca="false">IF($R408&gt;0,$P408*$I408/$R408/1000000,"")</f>
        <v>525.153477503876</v>
      </c>
      <c r="AG408" s="50" t="n">
        <f aca="false">IF(AND(ISNUMBER($AE408),ISNUMBER($AF408),$AF408&gt;0),$AE408/$AF408,"")</f>
        <v>0.584365174936379</v>
      </c>
      <c r="AH408" s="48" t="n">
        <f aca="false">IF($U408&gt;=5,SUM(INDEX($AD$378:$AD408,32-5):$AD408),"")</f>
        <v>210304355810</v>
      </c>
      <c r="AI408" s="48" t="n">
        <f aca="false">IF($U408&gt;=STRUCT_S,MAX(INDEX($G$258:$G408,152-STRUCT_S):$G408),"")</f>
        <v>8498</v>
      </c>
      <c r="AJ408" s="48" t="n">
        <f aca="false">IF($U408&gt;=STRUCT_S,MIN(INDEX($H$258:$H408,152-STRUCT_S):$H408),"")</f>
        <v>6987</v>
      </c>
      <c r="AK408" s="48" t="n">
        <f aca="false">IF($U408&gt;=STRUCT_L,MAX(INDEX($G$158:$G408,252-STRUCT_L):$G408),"")</f>
        <v>8498</v>
      </c>
      <c r="AL408" s="48" t="n">
        <f aca="false">IF($U408&gt;=STRUCT_L,MIN(INDEX($H$158:$H408,252-STRUCT_L):$H408),"")</f>
        <v>6986</v>
      </c>
      <c r="AM408" s="46" t="n">
        <f aca="false">IF($A408&lt;&gt;$A409,1,0)</f>
        <v>0</v>
      </c>
      <c r="AN408" s="47" t="str">
        <f aca="false">IF($AM408=1,$A408,"")</f>
        <v/>
      </c>
    </row>
    <row r="409" customFormat="false" ht="15" hidden="false" customHeight="false" outlineLevel="0" collapsed="false">
      <c r="A409" s="43" t="s">
        <v>138</v>
      </c>
      <c r="B409" s="44" t="s">
        <v>140</v>
      </c>
      <c r="C409" s="45" t="n">
        <v>46106</v>
      </c>
      <c r="D409" s="46" t="n">
        <v>20260325</v>
      </c>
      <c r="E409" s="47" t="s">
        <v>432</v>
      </c>
      <c r="F409" s="48" t="n">
        <v>8062</v>
      </c>
      <c r="G409" s="48" t="n">
        <v>8510</v>
      </c>
      <c r="H409" s="48" t="n">
        <v>7962</v>
      </c>
      <c r="I409" s="48" t="n">
        <v>8238</v>
      </c>
      <c r="J409" s="48" t="n">
        <v>8100</v>
      </c>
      <c r="K409" s="48" t="n">
        <v>8234</v>
      </c>
      <c r="L409" s="48" t="n">
        <v>14560365</v>
      </c>
      <c r="M409" s="48" t="n">
        <v>119948286870</v>
      </c>
      <c r="N409" s="48" t="n">
        <v>463</v>
      </c>
      <c r="O409" s="48" t="n">
        <v>7216882</v>
      </c>
      <c r="P409" s="48" t="n">
        <v>7908608</v>
      </c>
      <c r="Q409" s="48" t="n">
        <v>173</v>
      </c>
      <c r="R409" s="48" t="n">
        <v>256</v>
      </c>
      <c r="S409" s="48" t="n">
        <v>7343483</v>
      </c>
      <c r="T409" s="48" t="n">
        <v>6651757</v>
      </c>
      <c r="U409" s="46" t="n">
        <f aca="false">IF($A409=$A408,$U408+1,1)</f>
        <v>145</v>
      </c>
      <c r="V409" s="48" t="n">
        <f aca="false">IF($U409&gt;=MA_SHORT,AVERAGE(INDEX($I$9:$I409,402-MA_SHORT):$I409),"")</f>
        <v>7780.5</v>
      </c>
      <c r="W409" s="48" t="n">
        <f aca="false">IF($U409&gt;=MA_MED,AVERAGE(INDEX($I$9:$I409,402-MA_MED):$I409),"")</f>
        <v>7544.86</v>
      </c>
      <c r="X409" s="48" t="n">
        <f aca="false">IF($U409&gt;=MA_LONG1,AVERAGE(INDEX($I$9:$I409,402-MA_LONG1):$I409),"")</f>
        <v>7663.6</v>
      </c>
      <c r="Y409" s="48" t="str">
        <f aca="false">IF($U409&gt;=MA_LONG2,AVERAGE(INDEX($I$9:$I409,402-MA_LONG2):$I409),"")</f>
        <v/>
      </c>
      <c r="Z409" s="48" t="n">
        <f aca="false">IF($U409&gt;=MA_SHORT,AVERAGE(INDEX($L$289:$L409,122-MA_SHORT):$L409),"")</f>
        <v>18610198</v>
      </c>
      <c r="AA409" s="48" t="n">
        <f aca="false">IF($U409=1,$G409-$H409,MAX($G409-$H409,ABS($G409-$I408),ABS($H409-$I408)))</f>
        <v>548</v>
      </c>
      <c r="AB409" s="48" t="n">
        <f aca="false">IF($U409&gt;=ATR_PER,AVERAGE(INDEX($AA$289:$AA409,122-ATR_PER):$AA409),"")</f>
        <v>343.714285714286</v>
      </c>
      <c r="AC409" s="48" t="n">
        <f aca="false">$O409-$P409</f>
        <v>-691726</v>
      </c>
      <c r="AD409" s="48" t="n">
        <f aca="false">$AC409*$I409</f>
        <v>-5698438788</v>
      </c>
      <c r="AE409" s="49" t="n">
        <f aca="false">IF($Q409&gt;0,$O409*$I409/$Q409/1000000,"")</f>
        <v>343.65707465896</v>
      </c>
      <c r="AF409" s="49" t="n">
        <f aca="false">IF($R409&gt;0,$P409*$I409/$R409/1000000,"")</f>
        <v>254.496534</v>
      </c>
      <c r="AG409" s="50" t="n">
        <f aca="false">IF(AND(ISNUMBER($AE409),ISNUMBER($AF409),$AF409&gt;0),$AE409/$AF409,"")</f>
        <v>1.35034088385251</v>
      </c>
      <c r="AH409" s="48" t="n">
        <f aca="false">IF($U409&gt;=5,SUM(INDEX($AD$379:$AD409,32-5):$AD409),"")</f>
        <v>146523620738</v>
      </c>
      <c r="AI409" s="48" t="n">
        <f aca="false">IF($U409&gt;=STRUCT_S,MAX(INDEX($G$259:$G409,152-STRUCT_S):$G409),"")</f>
        <v>8510</v>
      </c>
      <c r="AJ409" s="48" t="n">
        <f aca="false">IF($U409&gt;=STRUCT_S,MIN(INDEX($H$259:$H409,152-STRUCT_S):$H409),"")</f>
        <v>6987</v>
      </c>
      <c r="AK409" s="48" t="n">
        <f aca="false">IF($U409&gt;=STRUCT_L,MAX(INDEX($G$159:$G409,252-STRUCT_L):$G409),"")</f>
        <v>8510</v>
      </c>
      <c r="AL409" s="48" t="n">
        <f aca="false">IF($U409&gt;=STRUCT_L,MIN(INDEX($H$159:$H409,252-STRUCT_L):$H409),"")</f>
        <v>6986</v>
      </c>
      <c r="AM409" s="46" t="n">
        <f aca="false">IF($A409&lt;&gt;$A410,1,0)</f>
        <v>0</v>
      </c>
      <c r="AN409" s="47" t="str">
        <f aca="false">IF($AM409=1,$A409,"")</f>
        <v/>
      </c>
    </row>
    <row r="410" customFormat="false" ht="15" hidden="false" customHeight="false" outlineLevel="0" collapsed="false">
      <c r="A410" s="43" t="s">
        <v>138</v>
      </c>
      <c r="B410" s="44" t="s">
        <v>140</v>
      </c>
      <c r="C410" s="45" t="n">
        <v>46109</v>
      </c>
      <c r="D410" s="46" t="n">
        <v>20260328</v>
      </c>
      <c r="E410" s="47" t="s">
        <v>433</v>
      </c>
      <c r="F410" s="48" t="n">
        <v>8122</v>
      </c>
      <c r="G410" s="48" t="n">
        <v>8371</v>
      </c>
      <c r="H410" s="48" t="n">
        <v>7912</v>
      </c>
      <c r="I410" s="48" t="n">
        <v>8042</v>
      </c>
      <c r="J410" s="48" t="n">
        <v>8305</v>
      </c>
      <c r="K410" s="48" t="n">
        <v>8238</v>
      </c>
      <c r="L410" s="48" t="n">
        <v>21518566</v>
      </c>
      <c r="M410" s="48" t="n">
        <v>173052307772</v>
      </c>
      <c r="N410" s="48" t="n">
        <v>2220</v>
      </c>
      <c r="O410" s="48" t="n">
        <v>8249971</v>
      </c>
      <c r="P410" s="48" t="n">
        <v>14142342</v>
      </c>
      <c r="Q410" s="48" t="n">
        <v>1222</v>
      </c>
      <c r="R410" s="48" t="n">
        <v>744</v>
      </c>
      <c r="S410" s="48" t="n">
        <v>13268595</v>
      </c>
      <c r="T410" s="48" t="n">
        <v>7376224</v>
      </c>
      <c r="U410" s="46" t="n">
        <f aca="false">IF($A410=$A409,$U409+1,1)</f>
        <v>146</v>
      </c>
      <c r="V410" s="48" t="n">
        <f aca="false">IF($U410&gt;=MA_SHORT,AVERAGE(INDEX($I$10:$I410,402-MA_SHORT):$I410),"")</f>
        <v>7808.1</v>
      </c>
      <c r="W410" s="48" t="n">
        <f aca="false">IF($U410&gt;=MA_MED,AVERAGE(INDEX($I$10:$I410,402-MA_MED):$I410),"")</f>
        <v>7557.16</v>
      </c>
      <c r="X410" s="48" t="n">
        <f aca="false">IF($U410&gt;=MA_LONG1,AVERAGE(INDEX($I$10:$I410,402-MA_LONG1):$I410),"")</f>
        <v>7666.93</v>
      </c>
      <c r="Y410" s="48" t="str">
        <f aca="false">IF($U410&gt;=MA_LONG2,AVERAGE(INDEX($I$10:$I410,402-MA_LONG2):$I410),"")</f>
        <v/>
      </c>
      <c r="Z410" s="48" t="n">
        <f aca="false">IF($U410&gt;=MA_SHORT,AVERAGE(INDEX($L$290:$L410,122-MA_SHORT):$L410),"")</f>
        <v>18791313.3</v>
      </c>
      <c r="AA410" s="48" t="n">
        <f aca="false">IF($U410=1,$G410-$H410,MAX($G410-$H410,ABS($G410-$I409),ABS($H410-$I409)))</f>
        <v>459</v>
      </c>
      <c r="AB410" s="48" t="n">
        <f aca="false">IF($U410&gt;=ATR_PER,AVERAGE(INDEX($AA$290:$AA410,122-ATR_PER):$AA410),"")</f>
        <v>348.214285714286</v>
      </c>
      <c r="AC410" s="48" t="n">
        <f aca="false">$O410-$P410</f>
        <v>-5892371</v>
      </c>
      <c r="AD410" s="48" t="n">
        <f aca="false">$AC410*$I410</f>
        <v>-47386447582</v>
      </c>
      <c r="AE410" s="49" t="n">
        <f aca="false">IF($Q410&gt;0,$O410*$I410/$Q410/1000000,"")</f>
        <v>54.2931806726678</v>
      </c>
      <c r="AF410" s="49" t="n">
        <f aca="false">IF($R410&gt;0,$P410*$I410/$R410/1000000,"")</f>
        <v>152.866551564516</v>
      </c>
      <c r="AG410" s="50" t="n">
        <f aca="false">IF(AND(ISNUMBER($AE410),ISNUMBER($AF410),$AF410&gt;0),$AE410/$AF410,"")</f>
        <v>0.355167171084865</v>
      </c>
      <c r="AH410" s="48" t="n">
        <f aca="false">IF($U410&gt;=5,SUM(INDEX($AD$380:$AD410,32-5):$AD410),"")</f>
        <v>77242082895</v>
      </c>
      <c r="AI410" s="48" t="n">
        <f aca="false">IF($U410&gt;=STRUCT_S,MAX(INDEX($G$260:$G410,152-STRUCT_S):$G410),"")</f>
        <v>8510</v>
      </c>
      <c r="AJ410" s="48" t="n">
        <f aca="false">IF($U410&gt;=STRUCT_S,MIN(INDEX($H$260:$H410,152-STRUCT_S):$H410),"")</f>
        <v>6987</v>
      </c>
      <c r="AK410" s="48" t="n">
        <f aca="false">IF($U410&gt;=STRUCT_L,MAX(INDEX($G$160:$G410,252-STRUCT_L):$G410),"")</f>
        <v>8510</v>
      </c>
      <c r="AL410" s="48" t="n">
        <f aca="false">IF($U410&gt;=STRUCT_L,MIN(INDEX($H$160:$H410,252-STRUCT_L):$H410),"")</f>
        <v>6986</v>
      </c>
      <c r="AM410" s="46" t="n">
        <f aca="false">IF($A410&lt;&gt;$A411,1,0)</f>
        <v>0</v>
      </c>
      <c r="AN410" s="47" t="str">
        <f aca="false">IF($AM410=1,$A410,"")</f>
        <v/>
      </c>
    </row>
    <row r="411" customFormat="false" ht="15" hidden="false" customHeight="false" outlineLevel="0" collapsed="false">
      <c r="A411" s="43" t="s">
        <v>138</v>
      </c>
      <c r="B411" s="44" t="s">
        <v>140</v>
      </c>
      <c r="C411" s="45" t="n">
        <v>46110</v>
      </c>
      <c r="D411" s="46" t="n">
        <v>20260329</v>
      </c>
      <c r="E411" s="47" t="s">
        <v>434</v>
      </c>
      <c r="F411" s="48" t="n">
        <v>7918</v>
      </c>
      <c r="G411" s="48" t="n">
        <v>8174</v>
      </c>
      <c r="H411" s="48" t="n">
        <v>7585</v>
      </c>
      <c r="I411" s="48" t="n">
        <v>7711</v>
      </c>
      <c r="J411" s="48" t="n">
        <v>7859</v>
      </c>
      <c r="K411" s="48" t="n">
        <v>8042</v>
      </c>
      <c r="L411" s="48" t="n">
        <v>18103332</v>
      </c>
      <c r="M411" s="48" t="n">
        <v>139594793052</v>
      </c>
      <c r="N411" s="48" t="n">
        <v>483</v>
      </c>
      <c r="O411" s="48" t="n">
        <v>7786985</v>
      </c>
      <c r="P411" s="48" t="n">
        <v>9447999</v>
      </c>
      <c r="Q411" s="48" t="n">
        <v>254</v>
      </c>
      <c r="R411" s="48" t="n">
        <v>162</v>
      </c>
      <c r="S411" s="48" t="n">
        <v>10316347</v>
      </c>
      <c r="T411" s="48" t="n">
        <v>8655333</v>
      </c>
      <c r="U411" s="46" t="n">
        <f aca="false">IF($A411=$A410,$U410+1,1)</f>
        <v>147</v>
      </c>
      <c r="V411" s="48" t="n">
        <f aca="false">IF($U411&gt;=MA_SHORT,AVERAGE(INDEX($I$11:$I411,402-MA_SHORT):$I411),"")</f>
        <v>7826.45</v>
      </c>
      <c r="W411" s="48" t="n">
        <f aca="false">IF($U411&gt;=MA_MED,AVERAGE(INDEX($I$11:$I411,402-MA_MED):$I411),"")</f>
        <v>7564.9</v>
      </c>
      <c r="X411" s="48" t="n">
        <f aca="false">IF($U411&gt;=MA_LONG1,AVERAGE(INDEX($I$11:$I411,402-MA_LONG1):$I411),"")</f>
        <v>7665.21</v>
      </c>
      <c r="Y411" s="48" t="str">
        <f aca="false">IF($U411&gt;=MA_LONG2,AVERAGE(INDEX($I$11:$I411,402-MA_LONG2):$I411),"")</f>
        <v/>
      </c>
      <c r="Z411" s="48" t="n">
        <f aca="false">IF($U411&gt;=MA_SHORT,AVERAGE(INDEX($L$291:$L411,122-MA_SHORT):$L411),"")</f>
        <v>18885678.85</v>
      </c>
      <c r="AA411" s="48" t="n">
        <f aca="false">IF($U411=1,$G411-$H411,MAX($G411-$H411,ABS($G411-$I410),ABS($H411-$I410)))</f>
        <v>589</v>
      </c>
      <c r="AB411" s="48" t="n">
        <f aca="false">IF($U411&gt;=ATR_PER,AVERAGE(INDEX($AA$291:$AA411,122-ATR_PER):$AA411),"")</f>
        <v>374.857142857143</v>
      </c>
      <c r="AC411" s="48" t="n">
        <f aca="false">$O411-$P411</f>
        <v>-1661014</v>
      </c>
      <c r="AD411" s="48" t="n">
        <f aca="false">$AC411*$I411</f>
        <v>-12808078954</v>
      </c>
      <c r="AE411" s="49" t="n">
        <f aca="false">IF($Q411&gt;0,$O411*$I411/$Q411/1000000,"")</f>
        <v>236.399375334646</v>
      </c>
      <c r="AF411" s="49" t="n">
        <f aca="false">IF($R411&gt;0,$P411*$I411/$R411/1000000,"")</f>
        <v>449.713088203704</v>
      </c>
      <c r="AG411" s="50" t="n">
        <f aca="false">IF(AND(ISNUMBER($AE411),ISNUMBER($AF411),$AF411&gt;0),$AE411/$AF411,"")</f>
        <v>0.525667100948517</v>
      </c>
      <c r="AH411" s="48" t="n">
        <f aca="false">IF($U411&gt;=5,SUM(INDEX($AD$381:$AD411,32-5):$AD411),"")</f>
        <v>17416870368</v>
      </c>
      <c r="AI411" s="48" t="n">
        <f aca="false">IF($U411&gt;=STRUCT_S,MAX(INDEX($G$261:$G411,152-STRUCT_S):$G411),"")</f>
        <v>8510</v>
      </c>
      <c r="AJ411" s="48" t="n">
        <f aca="false">IF($U411&gt;=STRUCT_S,MIN(INDEX($H$261:$H411,152-STRUCT_S):$H411),"")</f>
        <v>6987</v>
      </c>
      <c r="AK411" s="48" t="n">
        <f aca="false">IF($U411&gt;=STRUCT_L,MAX(INDEX($G$161:$G411,252-STRUCT_L):$G411),"")</f>
        <v>8510</v>
      </c>
      <c r="AL411" s="48" t="n">
        <f aca="false">IF($U411&gt;=STRUCT_L,MIN(INDEX($H$161:$H411,252-STRUCT_L):$H411),"")</f>
        <v>6986</v>
      </c>
      <c r="AM411" s="46" t="n">
        <f aca="false">IF($A411&lt;&gt;$A412,1,0)</f>
        <v>0</v>
      </c>
      <c r="AN411" s="47" t="str">
        <f aca="false">IF($AM411=1,$A411,"")</f>
        <v/>
      </c>
    </row>
    <row r="412" customFormat="false" ht="15" hidden="false" customHeight="false" outlineLevel="0" collapsed="false">
      <c r="A412" s="43" t="s">
        <v>138</v>
      </c>
      <c r="B412" s="44" t="s">
        <v>140</v>
      </c>
      <c r="C412" s="45" t="n">
        <v>46111</v>
      </c>
      <c r="D412" s="46" t="n">
        <v>20260330</v>
      </c>
      <c r="E412" s="47" t="s">
        <v>435</v>
      </c>
      <c r="F412" s="48" t="n">
        <v>7668</v>
      </c>
      <c r="G412" s="48" t="n">
        <v>7912</v>
      </c>
      <c r="H412" s="48" t="n">
        <v>7549</v>
      </c>
      <c r="I412" s="48" t="n">
        <v>7749</v>
      </c>
      <c r="J412" s="48" t="n">
        <v>7781</v>
      </c>
      <c r="K412" s="48" t="n">
        <v>7711</v>
      </c>
      <c r="L412" s="48" t="n">
        <v>14947320</v>
      </c>
      <c r="M412" s="48" t="n">
        <v>115826782680</v>
      </c>
      <c r="N412" s="48" t="n">
        <v>613</v>
      </c>
      <c r="O412" s="48" t="n">
        <v>8754975</v>
      </c>
      <c r="P412" s="48" t="n">
        <v>6080774</v>
      </c>
      <c r="Q412" s="48" t="n">
        <v>262</v>
      </c>
      <c r="R412" s="48" t="n">
        <v>416</v>
      </c>
      <c r="S412" s="48" t="n">
        <v>6192345</v>
      </c>
      <c r="T412" s="48" t="n">
        <v>8866546</v>
      </c>
      <c r="U412" s="46" t="n">
        <f aca="false">IF($A412=$A411,$U411+1,1)</f>
        <v>148</v>
      </c>
      <c r="V412" s="48" t="n">
        <f aca="false">IF($U412&gt;=MA_SHORT,AVERAGE(INDEX($I$12:$I412,402-MA_SHORT):$I412),"")</f>
        <v>7854.6</v>
      </c>
      <c r="W412" s="48" t="n">
        <f aca="false">IF($U412&gt;=MA_MED,AVERAGE(INDEX($I$12:$I412,402-MA_MED):$I412),"")</f>
        <v>7573.2</v>
      </c>
      <c r="X412" s="48" t="n">
        <f aca="false">IF($U412&gt;=MA_LONG1,AVERAGE(INDEX($I$12:$I412,402-MA_LONG1):$I412),"")</f>
        <v>7664.94</v>
      </c>
      <c r="Y412" s="48" t="str">
        <f aca="false">IF($U412&gt;=MA_LONG2,AVERAGE(INDEX($I$12:$I412,402-MA_LONG2):$I412),"")</f>
        <v/>
      </c>
      <c r="Z412" s="48" t="n">
        <f aca="false">IF($U412&gt;=MA_SHORT,AVERAGE(INDEX($L$292:$L412,122-MA_SHORT):$L412),"")</f>
        <v>18514569.95</v>
      </c>
      <c r="AA412" s="48" t="n">
        <f aca="false">IF($U412=1,$G412-$H412,MAX($G412-$H412,ABS($G412-$I411),ABS($H412-$I411)))</f>
        <v>363</v>
      </c>
      <c r="AB412" s="48" t="n">
        <f aca="false">IF($U412&gt;=ATR_PER,AVERAGE(INDEX($AA$292:$AA412,122-ATR_PER):$AA412),"")</f>
        <v>372.928571428571</v>
      </c>
      <c r="AC412" s="48" t="n">
        <f aca="false">$O412-$P412</f>
        <v>2674201</v>
      </c>
      <c r="AD412" s="48" t="n">
        <f aca="false">$AC412*$I412</f>
        <v>20722383549</v>
      </c>
      <c r="AE412" s="49" t="n">
        <f aca="false">IF($Q412&gt;0,$O412*$I412/$Q412/1000000,"")</f>
        <v>258.94008120229</v>
      </c>
      <c r="AF412" s="49" t="n">
        <f aca="false">IF($R412&gt;0,$P412*$I412/$R412/1000000,"")</f>
        <v>113.269032995192</v>
      </c>
      <c r="AG412" s="50" t="n">
        <f aca="false">IF(AND(ISNUMBER($AE412),ISNUMBER($AF412),$AF412&gt;0),$AE412/$AF412,"")</f>
        <v>2.28606243343916</v>
      </c>
      <c r="AH412" s="48" t="n">
        <f aca="false">IF($U412&gt;=5,SUM(INDEX($AD$382:$AD412,32-5):$AD412),"")</f>
        <v>-56449202083</v>
      </c>
      <c r="AI412" s="48" t="n">
        <f aca="false">IF($U412&gt;=STRUCT_S,MAX(INDEX($G$262:$G412,152-STRUCT_S):$G412),"")</f>
        <v>8510</v>
      </c>
      <c r="AJ412" s="48" t="n">
        <f aca="false">IF($U412&gt;=STRUCT_S,MIN(INDEX($H$262:$H412,152-STRUCT_S):$H412),"")</f>
        <v>6987</v>
      </c>
      <c r="AK412" s="48" t="n">
        <f aca="false">IF($U412&gt;=STRUCT_L,MAX(INDEX($G$162:$G412,252-STRUCT_L):$G412),"")</f>
        <v>8510</v>
      </c>
      <c r="AL412" s="48" t="n">
        <f aca="false">IF($U412&gt;=STRUCT_L,MIN(INDEX($H$162:$H412,252-STRUCT_L):$H412),"")</f>
        <v>6986</v>
      </c>
      <c r="AM412" s="46" t="n">
        <f aca="false">IF($A412&lt;&gt;$A413,1,0)</f>
        <v>0</v>
      </c>
      <c r="AN412" s="47" t="str">
        <f aca="false">IF($AM412=1,$A412,"")</f>
        <v/>
      </c>
    </row>
    <row r="413" customFormat="false" ht="15" hidden="false" customHeight="false" outlineLevel="0" collapsed="false">
      <c r="A413" s="43" t="s">
        <v>138</v>
      </c>
      <c r="B413" s="44" t="s">
        <v>140</v>
      </c>
      <c r="C413" s="45" t="n">
        <v>46112</v>
      </c>
      <c r="D413" s="46" t="n">
        <v>20260331</v>
      </c>
      <c r="E413" s="47" t="s">
        <v>436</v>
      </c>
      <c r="F413" s="48" t="n">
        <v>7773</v>
      </c>
      <c r="G413" s="48" t="n">
        <v>7784</v>
      </c>
      <c r="H413" s="48" t="n">
        <v>7714</v>
      </c>
      <c r="I413" s="48" t="n">
        <v>7749</v>
      </c>
      <c r="J413" s="48" t="n">
        <v>7762</v>
      </c>
      <c r="K413" s="48" t="n">
        <v>7749</v>
      </c>
      <c r="L413" s="48" t="n">
        <v>14518049</v>
      </c>
      <c r="M413" s="48" t="n">
        <v>112500361701</v>
      </c>
      <c r="N413" s="48" t="n">
        <v>488</v>
      </c>
      <c r="O413" s="48" t="n">
        <v>7179537</v>
      </c>
      <c r="P413" s="48" t="n">
        <v>7268474</v>
      </c>
      <c r="Q413" s="48" t="n">
        <v>309</v>
      </c>
      <c r="R413" s="48" t="n">
        <v>136</v>
      </c>
      <c r="S413" s="48" t="n">
        <v>7338512</v>
      </c>
      <c r="T413" s="48" t="n">
        <v>7249575</v>
      </c>
      <c r="U413" s="46" t="n">
        <f aca="false">IF($A413=$A412,$U412+1,1)</f>
        <v>149</v>
      </c>
      <c r="V413" s="48" t="n">
        <f aca="false">IF($U413&gt;=MA_SHORT,AVERAGE(INDEX($I$13:$I413,402-MA_SHORT):$I413),"")</f>
        <v>7879.95</v>
      </c>
      <c r="W413" s="48" t="n">
        <f aca="false">IF($U413&gt;=MA_MED,AVERAGE(INDEX($I$13:$I413,402-MA_MED):$I413),"")</f>
        <v>7576.06</v>
      </c>
      <c r="X413" s="48" t="n">
        <f aca="false">IF($U413&gt;=MA_LONG1,AVERAGE(INDEX($I$13:$I413,402-MA_LONG1):$I413),"")</f>
        <v>7665.51</v>
      </c>
      <c r="Y413" s="48" t="str">
        <f aca="false">IF($U413&gt;=MA_LONG2,AVERAGE(INDEX($I$13:$I413,402-MA_LONG2):$I413),"")</f>
        <v/>
      </c>
      <c r="Z413" s="48" t="n">
        <f aca="false">IF($U413&gt;=MA_SHORT,AVERAGE(INDEX($L$293:$L413,122-MA_SHORT):$L413),"")</f>
        <v>18480628.55</v>
      </c>
      <c r="AA413" s="48" t="n">
        <f aca="false">IF($U413=1,$G413-$H413,MAX($G413-$H413,ABS($G413-$I412),ABS($H413-$I412)))</f>
        <v>70</v>
      </c>
      <c r="AB413" s="48" t="n">
        <f aca="false">IF($U413&gt;=ATR_PER,AVERAGE(INDEX($AA$293:$AA413,122-ATR_PER):$AA413),"")</f>
        <v>356.071428571429</v>
      </c>
      <c r="AC413" s="48" t="n">
        <f aca="false">$O413-$P413</f>
        <v>-88937</v>
      </c>
      <c r="AD413" s="48" t="n">
        <f aca="false">$AC413*$I413</f>
        <v>-689172813</v>
      </c>
      <c r="AE413" s="49" t="n">
        <f aca="false">IF($Q413&gt;0,$O413*$I413/$Q413/1000000,"")</f>
        <v>180.046058941748</v>
      </c>
      <c r="AF413" s="49" t="n">
        <f aca="false">IF($R413&gt;0,$P413*$I413/$R413/1000000,"")</f>
        <v>414.142684014706</v>
      </c>
      <c r="AG413" s="50" t="n">
        <f aca="false">IF(AND(ISNUMBER($AE413),ISNUMBER($AF413),$AF413&gt;0),$AE413/$AF413,"")</f>
        <v>0.434744028788287</v>
      </c>
      <c r="AH413" s="48" t="n">
        <f aca="false">IF($U413&gt;=5,SUM(INDEX($AD$383:$AD413,32-5):$AD413),"")</f>
        <v>-45859754588</v>
      </c>
      <c r="AI413" s="48" t="n">
        <f aca="false">IF($U413&gt;=STRUCT_S,MAX(INDEX($G$263:$G413,152-STRUCT_S):$G413),"")</f>
        <v>8510</v>
      </c>
      <c r="AJ413" s="48" t="n">
        <f aca="false">IF($U413&gt;=STRUCT_S,MIN(INDEX($H$263:$H413,152-STRUCT_S):$H413),"")</f>
        <v>7194</v>
      </c>
      <c r="AK413" s="48" t="n">
        <f aca="false">IF($U413&gt;=STRUCT_L,MAX(INDEX($G$163:$G413,252-STRUCT_L):$G413),"")</f>
        <v>8510</v>
      </c>
      <c r="AL413" s="48" t="n">
        <f aca="false">IF($U413&gt;=STRUCT_L,MIN(INDEX($H$163:$H413,252-STRUCT_L):$H413),"")</f>
        <v>6986</v>
      </c>
      <c r="AM413" s="46" t="n">
        <f aca="false">IF($A413&lt;&gt;$A414,1,0)</f>
        <v>0</v>
      </c>
      <c r="AN413" s="47" t="str">
        <f aca="false">IF($AM413=1,$A413,"")</f>
        <v/>
      </c>
    </row>
    <row r="414" customFormat="false" ht="15" hidden="false" customHeight="false" outlineLevel="0" collapsed="false">
      <c r="A414" s="43" t="s">
        <v>138</v>
      </c>
      <c r="B414" s="44" t="s">
        <v>140</v>
      </c>
      <c r="C414" s="45" t="n">
        <v>46113</v>
      </c>
      <c r="D414" s="46" t="n">
        <v>20260401</v>
      </c>
      <c r="E414" s="47" t="s">
        <v>437</v>
      </c>
      <c r="F414" s="48" t="n">
        <v>7639</v>
      </c>
      <c r="G414" s="48" t="n">
        <v>7814</v>
      </c>
      <c r="H414" s="48" t="n">
        <v>7508</v>
      </c>
      <c r="I414" s="48" t="n">
        <v>7572</v>
      </c>
      <c r="J414" s="48" t="n">
        <v>7653</v>
      </c>
      <c r="K414" s="48" t="n">
        <v>7749</v>
      </c>
      <c r="L414" s="48" t="n">
        <v>17106524</v>
      </c>
      <c r="M414" s="48" t="n">
        <v>129530599728</v>
      </c>
      <c r="N414" s="48" t="n">
        <v>475</v>
      </c>
      <c r="O414" s="48" t="n">
        <v>8455471</v>
      </c>
      <c r="P414" s="48" t="n">
        <v>9683533</v>
      </c>
      <c r="Q414" s="48" t="n">
        <v>266</v>
      </c>
      <c r="R414" s="48" t="n">
        <v>132</v>
      </c>
      <c r="S414" s="48" t="n">
        <v>8651053</v>
      </c>
      <c r="T414" s="48" t="n">
        <v>7422991</v>
      </c>
      <c r="U414" s="46" t="n">
        <f aca="false">IF($A414=$A413,$U413+1,1)</f>
        <v>150</v>
      </c>
      <c r="V414" s="48" t="n">
        <f aca="false">IF($U414&gt;=MA_SHORT,AVERAGE(INDEX($I$14:$I414,402-MA_SHORT):$I414),"")</f>
        <v>7894.9</v>
      </c>
      <c r="W414" s="48" t="n">
        <f aca="false">IF($U414&gt;=MA_MED,AVERAGE(INDEX($I$14:$I414,402-MA_MED):$I414),"")</f>
        <v>7571.84</v>
      </c>
      <c r="X414" s="48" t="n">
        <f aca="false">IF($U414&gt;=MA_LONG1,AVERAGE(INDEX($I$14:$I414,402-MA_LONG1):$I414),"")</f>
        <v>7663.41</v>
      </c>
      <c r="Y414" s="48" t="str">
        <f aca="false">IF($U414&gt;=MA_LONG2,AVERAGE(INDEX($I$14:$I414,402-MA_LONG2):$I414),"")</f>
        <v/>
      </c>
      <c r="Z414" s="48" t="n">
        <f aca="false">IF($U414&gt;=MA_SHORT,AVERAGE(INDEX($L$294:$L414,122-MA_SHORT):$L414),"")</f>
        <v>18582497.05</v>
      </c>
      <c r="AA414" s="48" t="n">
        <f aca="false">IF($U414=1,$G414-$H414,MAX($G414-$H414,ABS($G414-$I413),ABS($H414-$I413)))</f>
        <v>306</v>
      </c>
      <c r="AB414" s="48" t="n">
        <f aca="false">IF($U414&gt;=ATR_PER,AVERAGE(INDEX($AA$294:$AA414,122-ATR_PER):$AA414),"")</f>
        <v>367.142857142857</v>
      </c>
      <c r="AC414" s="48" t="n">
        <f aca="false">$O414-$P414</f>
        <v>-1228062</v>
      </c>
      <c r="AD414" s="48" t="n">
        <f aca="false">$AC414*$I414</f>
        <v>-9298885464</v>
      </c>
      <c r="AE414" s="49" t="n">
        <f aca="false">IF($Q414&gt;0,$O414*$I414/$Q414/1000000,"")</f>
        <v>240.694836135338</v>
      </c>
      <c r="AF414" s="49" t="n">
        <f aca="false">IF($R414&gt;0,$P414*$I414/$R414/1000000,"")</f>
        <v>555.482665727273</v>
      </c>
      <c r="AG414" s="50" t="n">
        <f aca="false">IF(AND(ISNUMBER($AE414),ISNUMBER($AF414),$AF414&gt;0),$AE414/$AF414,"")</f>
        <v>0.433307555727604</v>
      </c>
      <c r="AH414" s="48" t="n">
        <f aca="false">IF($U414&gt;=5,SUM(INDEX($AD$384:$AD414,32-5):$AD414),"")</f>
        <v>-49460201264</v>
      </c>
      <c r="AI414" s="48" t="n">
        <f aca="false">IF($U414&gt;=STRUCT_S,MAX(INDEX($G$264:$G414,152-STRUCT_S):$G414),"")</f>
        <v>8510</v>
      </c>
      <c r="AJ414" s="48" t="n">
        <f aca="false">IF($U414&gt;=STRUCT_S,MIN(INDEX($H$264:$H414,152-STRUCT_S):$H414),"")</f>
        <v>7236</v>
      </c>
      <c r="AK414" s="48" t="n">
        <f aca="false">IF($U414&gt;=STRUCT_L,MAX(INDEX($G$164:$G414,252-STRUCT_L):$G414),"")</f>
        <v>8510</v>
      </c>
      <c r="AL414" s="48" t="n">
        <f aca="false">IF($U414&gt;=STRUCT_L,MIN(INDEX($H$164:$H414,252-STRUCT_L):$H414),"")</f>
        <v>6986</v>
      </c>
      <c r="AM414" s="46" t="n">
        <f aca="false">IF($A414&lt;&gt;$A415,1,0)</f>
        <v>0</v>
      </c>
      <c r="AN414" s="47" t="str">
        <f aca="false">IF($AM414=1,$A414,"")</f>
        <v/>
      </c>
    </row>
    <row r="415" customFormat="false" ht="15" hidden="false" customHeight="false" outlineLevel="0" collapsed="false">
      <c r="A415" s="43" t="s">
        <v>138</v>
      </c>
      <c r="B415" s="44" t="s">
        <v>140</v>
      </c>
      <c r="C415" s="45" t="n">
        <v>46116</v>
      </c>
      <c r="D415" s="46" t="n">
        <v>20260404</v>
      </c>
      <c r="E415" s="47" t="s">
        <v>438</v>
      </c>
      <c r="F415" s="48" t="n">
        <v>7610</v>
      </c>
      <c r="G415" s="48" t="n">
        <v>7656</v>
      </c>
      <c r="H415" s="48" t="n">
        <v>7432</v>
      </c>
      <c r="I415" s="48" t="n">
        <v>7516</v>
      </c>
      <c r="J415" s="48" t="n">
        <v>7584</v>
      </c>
      <c r="K415" s="48" t="n">
        <v>7572</v>
      </c>
      <c r="L415" s="48" t="n">
        <v>15162273</v>
      </c>
      <c r="M415" s="48" t="n">
        <v>113959643868</v>
      </c>
      <c r="N415" s="48" t="n">
        <v>1628</v>
      </c>
      <c r="O415" s="48" t="n">
        <v>8586059</v>
      </c>
      <c r="P415" s="48" t="n">
        <v>6185378</v>
      </c>
      <c r="Q415" s="48" t="n">
        <v>957</v>
      </c>
      <c r="R415" s="48" t="n">
        <v>715</v>
      </c>
      <c r="S415" s="48" t="n">
        <v>6576214</v>
      </c>
      <c r="T415" s="48" t="n">
        <v>8976895</v>
      </c>
      <c r="U415" s="46" t="n">
        <f aca="false">IF($A415=$A414,$U414+1,1)</f>
        <v>151</v>
      </c>
      <c r="V415" s="48" t="n">
        <f aca="false">IF($U415&gt;=MA_SHORT,AVERAGE(INDEX($I$15:$I415,402-MA_SHORT):$I415),"")</f>
        <v>7892.05</v>
      </c>
      <c r="W415" s="48" t="n">
        <f aca="false">IF($U415&gt;=MA_MED,AVERAGE(INDEX($I$15:$I415,402-MA_MED):$I415),"")</f>
        <v>7568.48</v>
      </c>
      <c r="X415" s="48" t="n">
        <f aca="false">IF($U415&gt;=MA_LONG1,AVERAGE(INDEX($I$15:$I415,402-MA_LONG1):$I415),"")</f>
        <v>7662.11</v>
      </c>
      <c r="Y415" s="48" t="str">
        <f aca="false">IF($U415&gt;=MA_LONG2,AVERAGE(INDEX($I$15:$I415,402-MA_LONG2):$I415),"")</f>
        <v/>
      </c>
      <c r="Z415" s="48" t="n">
        <f aca="false">IF($U415&gt;=MA_SHORT,AVERAGE(INDEX($L$295:$L415,122-MA_SHORT):$L415),"")</f>
        <v>18133038.75</v>
      </c>
      <c r="AA415" s="48" t="n">
        <f aca="false">IF($U415=1,$G415-$H415,MAX($G415-$H415,ABS($G415-$I414),ABS($H415-$I414)))</f>
        <v>224</v>
      </c>
      <c r="AB415" s="48" t="n">
        <f aca="false">IF($U415&gt;=ATR_PER,AVERAGE(INDEX($AA$295:$AA415,122-ATR_PER):$AA415),"")</f>
        <v>355.785714285714</v>
      </c>
      <c r="AC415" s="48" t="n">
        <f aca="false">$O415-$P415</f>
        <v>2400681</v>
      </c>
      <c r="AD415" s="48" t="n">
        <f aca="false">$AC415*$I415</f>
        <v>18043518396</v>
      </c>
      <c r="AE415" s="49" t="n">
        <f aca="false">IF($Q415&gt;0,$O415*$I415/$Q415/1000000,"")</f>
        <v>67.4324132121212</v>
      </c>
      <c r="AF415" s="49" t="n">
        <f aca="false">IF($R415&gt;0,$P415*$I415/$R415/1000000,"")</f>
        <v>65.0200014657343</v>
      </c>
      <c r="AG415" s="50" t="n">
        <f aca="false">IF(AND(ISNUMBER($AE415),ISNUMBER($AF415),$AF415&gt;0),$AE415/$AF415,"")</f>
        <v>1.03710260984319</v>
      </c>
      <c r="AH415" s="48" t="n">
        <f aca="false">IF($U415&gt;=5,SUM(INDEX($AD$385:$AD415,32-5):$AD415),"")</f>
        <v>15969764714</v>
      </c>
      <c r="AI415" s="48" t="n">
        <f aca="false">IF($U415&gt;=STRUCT_S,MAX(INDEX($G$265:$G415,152-STRUCT_S):$G415),"")</f>
        <v>8510</v>
      </c>
      <c r="AJ415" s="48" t="n">
        <f aca="false">IF($U415&gt;=STRUCT_S,MIN(INDEX($H$265:$H415,152-STRUCT_S):$H415),"")</f>
        <v>7432</v>
      </c>
      <c r="AK415" s="48" t="n">
        <f aca="false">IF($U415&gt;=STRUCT_L,MAX(INDEX($G$165:$G415,252-STRUCT_L):$G415),"")</f>
        <v>8510</v>
      </c>
      <c r="AL415" s="48" t="n">
        <f aca="false">IF($U415&gt;=STRUCT_L,MIN(INDEX($H$165:$H415,252-STRUCT_L):$H415),"")</f>
        <v>6986</v>
      </c>
      <c r="AM415" s="46" t="n">
        <f aca="false">IF($A415&lt;&gt;$A416,1,0)</f>
        <v>0</v>
      </c>
      <c r="AN415" s="47" t="str">
        <f aca="false">IF($AM415=1,$A415,"")</f>
        <v/>
      </c>
    </row>
    <row r="416" customFormat="false" ht="15" hidden="false" customHeight="false" outlineLevel="0" collapsed="false">
      <c r="A416" s="43" t="s">
        <v>138</v>
      </c>
      <c r="B416" s="44" t="s">
        <v>140</v>
      </c>
      <c r="C416" s="45" t="n">
        <v>46117</v>
      </c>
      <c r="D416" s="46" t="n">
        <v>20260405</v>
      </c>
      <c r="E416" s="47" t="s">
        <v>439</v>
      </c>
      <c r="F416" s="48" t="n">
        <v>7536</v>
      </c>
      <c r="G416" s="48" t="n">
        <v>7585</v>
      </c>
      <c r="H416" s="48" t="n">
        <v>7487</v>
      </c>
      <c r="I416" s="48" t="n">
        <v>7556</v>
      </c>
      <c r="J416" s="48" t="n">
        <v>7578</v>
      </c>
      <c r="K416" s="48" t="n">
        <v>7516</v>
      </c>
      <c r="L416" s="48" t="n">
        <v>39613835</v>
      </c>
      <c r="M416" s="48" t="n">
        <v>299322137260</v>
      </c>
      <c r="N416" s="48" t="n">
        <v>2891</v>
      </c>
      <c r="O416" s="48" t="n">
        <v>27584002</v>
      </c>
      <c r="P416" s="48" t="n">
        <v>11371821</v>
      </c>
      <c r="Q416" s="48" t="n">
        <v>1198</v>
      </c>
      <c r="R416" s="48" t="n">
        <v>1151</v>
      </c>
      <c r="S416" s="48" t="n">
        <v>12029833</v>
      </c>
      <c r="T416" s="48" t="n">
        <v>28242014</v>
      </c>
      <c r="U416" s="46" t="n">
        <f aca="false">IF($A416=$A415,$U415+1,1)</f>
        <v>152</v>
      </c>
      <c r="V416" s="48" t="n">
        <f aca="false">IF($U416&gt;=MA_SHORT,AVERAGE(INDEX($I$16:$I416,402-MA_SHORT):$I416),"")</f>
        <v>7875.75</v>
      </c>
      <c r="W416" s="48" t="n">
        <f aca="false">IF($U416&gt;=MA_MED,AVERAGE(INDEX($I$16:$I416,402-MA_MED):$I416),"")</f>
        <v>7567.38</v>
      </c>
      <c r="X416" s="48" t="n">
        <f aca="false">IF($U416&gt;=MA_LONG1,AVERAGE(INDEX($I$16:$I416,402-MA_LONG1):$I416),"")</f>
        <v>7660.9</v>
      </c>
      <c r="Y416" s="48" t="str">
        <f aca="false">IF($U416&gt;=MA_LONG2,AVERAGE(INDEX($I$16:$I416,402-MA_LONG2):$I416),"")</f>
        <v/>
      </c>
      <c r="Z416" s="48" t="n">
        <f aca="false">IF($U416&gt;=MA_SHORT,AVERAGE(INDEX($L$296:$L416,122-MA_SHORT):$L416),"")</f>
        <v>18883477.7</v>
      </c>
      <c r="AA416" s="48" t="n">
        <f aca="false">IF($U416=1,$G416-$H416,MAX($G416-$H416,ABS($G416-$I415),ABS($H416-$I415)))</f>
        <v>98</v>
      </c>
      <c r="AB416" s="48" t="n">
        <f aca="false">IF($U416&gt;=ATR_PER,AVERAGE(INDEX($AA$296:$AA416,122-ATR_PER):$AA416),"")</f>
        <v>342</v>
      </c>
      <c r="AC416" s="48" t="n">
        <f aca="false">$O416-$P416</f>
        <v>16212181</v>
      </c>
      <c r="AD416" s="48" t="n">
        <f aca="false">$AC416*$I416</f>
        <v>122499239636</v>
      </c>
      <c r="AE416" s="49" t="n">
        <f aca="false">IF($Q416&gt;0,$O416*$I416/$Q416/1000000,"")</f>
        <v>173.977227973289</v>
      </c>
      <c r="AF416" s="49" t="n">
        <f aca="false">IF($R416&gt;0,$P416*$I416/$R416/1000000,"")</f>
        <v>74.6528926811468</v>
      </c>
      <c r="AG416" s="50" t="n">
        <f aca="false">IF(AND(ISNUMBER($AE416),ISNUMBER($AF416),$AF416&gt;0),$AE416/$AF416,"")</f>
        <v>2.33048207142315</v>
      </c>
      <c r="AH416" s="48" t="n">
        <f aca="false">IF($U416&gt;=5,SUM(INDEX($AD$386:$AD416,32-5):$AD416),"")</f>
        <v>151277083304</v>
      </c>
      <c r="AI416" s="48" t="n">
        <f aca="false">IF($U416&gt;=STRUCT_S,MAX(INDEX($G$266:$G416,152-STRUCT_S):$G416),"")</f>
        <v>8510</v>
      </c>
      <c r="AJ416" s="48" t="n">
        <f aca="false">IF($U416&gt;=STRUCT_S,MIN(INDEX($H$266:$H416,152-STRUCT_S):$H416),"")</f>
        <v>7432</v>
      </c>
      <c r="AK416" s="48" t="n">
        <f aca="false">IF($U416&gt;=STRUCT_L,MAX(INDEX($G$166:$G416,252-STRUCT_L):$G416),"")</f>
        <v>8510</v>
      </c>
      <c r="AL416" s="48" t="n">
        <f aca="false">IF($U416&gt;=STRUCT_L,MIN(INDEX($H$166:$H416,252-STRUCT_L):$H416),"")</f>
        <v>6986</v>
      </c>
      <c r="AM416" s="46" t="n">
        <f aca="false">IF($A416&lt;&gt;$A417,1,0)</f>
        <v>0</v>
      </c>
      <c r="AN416" s="47" t="str">
        <f aca="false">IF($AM416=1,$A416,"")</f>
        <v/>
      </c>
    </row>
    <row r="417" customFormat="false" ht="15" hidden="false" customHeight="false" outlineLevel="0" collapsed="false">
      <c r="A417" s="43" t="s">
        <v>138</v>
      </c>
      <c r="B417" s="44" t="s">
        <v>140</v>
      </c>
      <c r="C417" s="45" t="n">
        <v>46118</v>
      </c>
      <c r="D417" s="46" t="n">
        <v>20260406</v>
      </c>
      <c r="E417" s="47" t="s">
        <v>440</v>
      </c>
      <c r="F417" s="48" t="n">
        <v>7250</v>
      </c>
      <c r="G417" s="48" t="n">
        <v>7582</v>
      </c>
      <c r="H417" s="48" t="n">
        <v>7241</v>
      </c>
      <c r="I417" s="48" t="n">
        <v>7266</v>
      </c>
      <c r="J417" s="48" t="n">
        <v>7416</v>
      </c>
      <c r="K417" s="48" t="n">
        <v>7556</v>
      </c>
      <c r="L417" s="48" t="n">
        <v>17861273</v>
      </c>
      <c r="M417" s="48" t="n">
        <v>129780009618</v>
      </c>
      <c r="N417" s="48" t="n">
        <v>781</v>
      </c>
      <c r="O417" s="48" t="n">
        <v>7974361</v>
      </c>
      <c r="P417" s="48" t="n">
        <v>9814602</v>
      </c>
      <c r="Q417" s="48" t="n">
        <v>438</v>
      </c>
      <c r="R417" s="48" t="n">
        <v>347</v>
      </c>
      <c r="S417" s="48" t="n">
        <v>9886912</v>
      </c>
      <c r="T417" s="48" t="n">
        <v>8046671</v>
      </c>
      <c r="U417" s="46" t="n">
        <f aca="false">IF($A417=$A416,$U416+1,1)</f>
        <v>153</v>
      </c>
      <c r="V417" s="48" t="n">
        <f aca="false">IF($U417&gt;=MA_SHORT,AVERAGE(INDEX($I$17:$I417,402-MA_SHORT):$I417),"")</f>
        <v>7844.65</v>
      </c>
      <c r="W417" s="48" t="n">
        <f aca="false">IF($U417&gt;=MA_MED,AVERAGE(INDEX($I$17:$I417,402-MA_MED):$I417),"")</f>
        <v>7564.72</v>
      </c>
      <c r="X417" s="48" t="n">
        <f aca="false">IF($U417&gt;=MA_LONG1,AVERAGE(INDEX($I$17:$I417,402-MA_LONG1):$I417),"")</f>
        <v>7656.85</v>
      </c>
      <c r="Y417" s="48" t="str">
        <f aca="false">IF($U417&gt;=MA_LONG2,AVERAGE(INDEX($I$17:$I417,402-MA_LONG2):$I417),"")</f>
        <v/>
      </c>
      <c r="Z417" s="48" t="n">
        <f aca="false">IF($U417&gt;=MA_SHORT,AVERAGE(INDEX($L$297:$L417,122-MA_SHORT):$L417),"")</f>
        <v>18691488.65</v>
      </c>
      <c r="AA417" s="48" t="n">
        <f aca="false">IF($U417=1,$G417-$H417,MAX($G417-$H417,ABS($G417-$I416),ABS($H417-$I416)))</f>
        <v>341</v>
      </c>
      <c r="AB417" s="48" t="n">
        <f aca="false">IF($U417&gt;=ATR_PER,AVERAGE(INDEX($AA$297:$AA417,122-ATR_PER):$AA417),"")</f>
        <v>340.142857142857</v>
      </c>
      <c r="AC417" s="48" t="n">
        <f aca="false">$O417-$P417</f>
        <v>-1840241</v>
      </c>
      <c r="AD417" s="48" t="n">
        <f aca="false">$AC417*$I417</f>
        <v>-13371191106</v>
      </c>
      <c r="AE417" s="49" t="n">
        <f aca="false">IF($Q417&gt;0,$O417*$I417/$Q417/1000000,"")</f>
        <v>132.287002342466</v>
      </c>
      <c r="AF417" s="49" t="n">
        <f aca="false">IF($R417&gt;0,$P417*$I417/$R417/1000000,"")</f>
        <v>205.512674731988</v>
      </c>
      <c r="AG417" s="50" t="n">
        <f aca="false">IF(AND(ISNUMBER($AE417),ISNUMBER($AF417),$AF417&gt;0),$AE417/$AF417,"")</f>
        <v>0.643692670123548</v>
      </c>
      <c r="AH417" s="48" t="n">
        <f aca="false">IF($U417&gt;=5,SUM(INDEX($AD$387:$AD417,32-5):$AD417),"")</f>
        <v>117183508649</v>
      </c>
      <c r="AI417" s="48" t="n">
        <f aca="false">IF($U417&gt;=STRUCT_S,MAX(INDEX($G$267:$G417,152-STRUCT_S):$G417),"")</f>
        <v>8510</v>
      </c>
      <c r="AJ417" s="48" t="n">
        <f aca="false">IF($U417&gt;=STRUCT_S,MIN(INDEX($H$267:$H417,152-STRUCT_S):$H417),"")</f>
        <v>7241</v>
      </c>
      <c r="AK417" s="48" t="n">
        <f aca="false">IF($U417&gt;=STRUCT_L,MAX(INDEX($G$167:$G417,252-STRUCT_L):$G417),"")</f>
        <v>8510</v>
      </c>
      <c r="AL417" s="48" t="n">
        <f aca="false">IF($U417&gt;=STRUCT_L,MIN(INDEX($H$167:$H417,252-STRUCT_L):$H417),"")</f>
        <v>6986</v>
      </c>
      <c r="AM417" s="46" t="n">
        <f aca="false">IF($A417&lt;&gt;$A418,1,0)</f>
        <v>0</v>
      </c>
      <c r="AN417" s="47" t="str">
        <f aca="false">IF($AM417=1,$A417,"")</f>
        <v/>
      </c>
    </row>
    <row r="418" customFormat="false" ht="15" hidden="false" customHeight="false" outlineLevel="0" collapsed="false">
      <c r="A418" s="43" t="s">
        <v>138</v>
      </c>
      <c r="B418" s="44" t="s">
        <v>140</v>
      </c>
      <c r="C418" s="45" t="n">
        <v>46119</v>
      </c>
      <c r="D418" s="46" t="n">
        <v>20260407</v>
      </c>
      <c r="E418" s="47" t="s">
        <v>441</v>
      </c>
      <c r="F418" s="48" t="n">
        <v>7198</v>
      </c>
      <c r="G418" s="48" t="n">
        <v>7423</v>
      </c>
      <c r="H418" s="48" t="n">
        <v>7142</v>
      </c>
      <c r="I418" s="48" t="n">
        <v>7299</v>
      </c>
      <c r="J418" s="48" t="n">
        <v>7250</v>
      </c>
      <c r="K418" s="48" t="n">
        <v>7266</v>
      </c>
      <c r="L418" s="48" t="n">
        <v>16065405</v>
      </c>
      <c r="M418" s="48" t="n">
        <v>117261391095</v>
      </c>
      <c r="N418" s="48" t="n">
        <v>366</v>
      </c>
      <c r="O418" s="48" t="n">
        <v>8210972</v>
      </c>
      <c r="P418" s="48" t="n">
        <v>8133405</v>
      </c>
      <c r="Q418" s="48" t="n">
        <v>116</v>
      </c>
      <c r="R418" s="48" t="n">
        <v>146</v>
      </c>
      <c r="S418" s="48" t="n">
        <v>7854433</v>
      </c>
      <c r="T418" s="48" t="n">
        <v>7932000</v>
      </c>
      <c r="U418" s="46" t="n">
        <f aca="false">IF($A418=$A417,$U417+1,1)</f>
        <v>154</v>
      </c>
      <c r="V418" s="48" t="n">
        <f aca="false">IF($U418&gt;=MA_SHORT,AVERAGE(INDEX($I$18:$I418,402-MA_SHORT):$I418),"")</f>
        <v>7808</v>
      </c>
      <c r="W418" s="48" t="n">
        <f aca="false">IF($U418&gt;=MA_MED,AVERAGE(INDEX($I$18:$I418,402-MA_MED):$I418),"")</f>
        <v>7563.9</v>
      </c>
      <c r="X418" s="48" t="n">
        <f aca="false">IF($U418&gt;=MA_LONG1,AVERAGE(INDEX($I$18:$I418,402-MA_LONG1):$I418),"")</f>
        <v>7651.95</v>
      </c>
      <c r="Y418" s="48" t="str">
        <f aca="false">IF($U418&gt;=MA_LONG2,AVERAGE(INDEX($I$18:$I418,402-MA_LONG2):$I418),"")</f>
        <v/>
      </c>
      <c r="Z418" s="48" t="n">
        <f aca="false">IF($U418&gt;=MA_SHORT,AVERAGE(INDEX($L$298:$L418,122-MA_SHORT):$L418),"")</f>
        <v>18689345.85</v>
      </c>
      <c r="AA418" s="48" t="n">
        <f aca="false">IF($U418=1,$G418-$H418,MAX($G418-$H418,ABS($G418-$I417),ABS($H418-$I417)))</f>
        <v>281</v>
      </c>
      <c r="AB418" s="48" t="n">
        <f aca="false">IF($U418&gt;=ATR_PER,AVERAGE(INDEX($AA$298:$AA418,122-ATR_PER):$AA418),"")</f>
        <v>328</v>
      </c>
      <c r="AC418" s="48" t="n">
        <f aca="false">$O418-$P418</f>
        <v>77567</v>
      </c>
      <c r="AD418" s="48" t="n">
        <f aca="false">$AC418*$I418</f>
        <v>566161533</v>
      </c>
      <c r="AE418" s="49" t="n">
        <f aca="false">IF($Q418&gt;0,$O418*$I418/$Q418/1000000,"")</f>
        <v>516.654177827586</v>
      </c>
      <c r="AF418" s="49" t="n">
        <f aca="false">IF($R418&gt;0,$P418*$I418/$R418/1000000,"")</f>
        <v>406.614541746575</v>
      </c>
      <c r="AG418" s="50" t="n">
        <f aca="false">IF(AND(ISNUMBER($AE418),ISNUMBER($AF418),$AF418&gt;0),$AE418/$AF418,"")</f>
        <v>1.27062395655686</v>
      </c>
      <c r="AH418" s="48" t="n">
        <f aca="false">IF($U418&gt;=5,SUM(INDEX($AD$388:$AD418,32-5):$AD418),"")</f>
        <v>118438842995</v>
      </c>
      <c r="AI418" s="48" t="n">
        <f aca="false">IF($U418&gt;=STRUCT_S,MAX(INDEX($G$268:$G418,152-STRUCT_S):$G418),"")</f>
        <v>8510</v>
      </c>
      <c r="AJ418" s="48" t="n">
        <f aca="false">IF($U418&gt;=STRUCT_S,MIN(INDEX($H$268:$H418,152-STRUCT_S):$H418),"")</f>
        <v>7142</v>
      </c>
      <c r="AK418" s="48" t="n">
        <f aca="false">IF($U418&gt;=STRUCT_L,MAX(INDEX($G$168:$G418,252-STRUCT_L):$G418),"")</f>
        <v>8510</v>
      </c>
      <c r="AL418" s="48" t="n">
        <f aca="false">IF($U418&gt;=STRUCT_L,MIN(INDEX($H$168:$H418,252-STRUCT_L):$H418),"")</f>
        <v>6986</v>
      </c>
      <c r="AM418" s="46" t="n">
        <f aca="false">IF($A418&lt;&gt;$A419,1,0)</f>
        <v>0</v>
      </c>
      <c r="AN418" s="47" t="str">
        <f aca="false">IF($AM418=1,$A418,"")</f>
        <v/>
      </c>
    </row>
    <row r="419" customFormat="false" ht="15" hidden="false" customHeight="false" outlineLevel="0" collapsed="false">
      <c r="A419" s="43" t="s">
        <v>138</v>
      </c>
      <c r="B419" s="44" t="s">
        <v>140</v>
      </c>
      <c r="C419" s="45" t="n">
        <v>46120</v>
      </c>
      <c r="D419" s="46" t="n">
        <v>20260408</v>
      </c>
      <c r="E419" s="47" t="s">
        <v>442</v>
      </c>
      <c r="F419" s="48" t="n">
        <v>7500</v>
      </c>
      <c r="G419" s="48" t="n">
        <v>7590</v>
      </c>
      <c r="H419" s="48" t="n">
        <v>7272</v>
      </c>
      <c r="I419" s="48" t="n">
        <v>7562</v>
      </c>
      <c r="J419" s="48" t="n">
        <v>7512</v>
      </c>
      <c r="K419" s="48" t="n">
        <v>7299</v>
      </c>
      <c r="L419" s="48" t="n">
        <v>17656764</v>
      </c>
      <c r="M419" s="48" t="n">
        <v>133520449368</v>
      </c>
      <c r="N419" s="48" t="n">
        <v>630</v>
      </c>
      <c r="O419" s="48" t="n">
        <v>13300642</v>
      </c>
      <c r="P419" s="48" t="n">
        <v>4248781</v>
      </c>
      <c r="Q419" s="48" t="n">
        <v>191</v>
      </c>
      <c r="R419" s="48" t="n">
        <v>316</v>
      </c>
      <c r="S419" s="48" t="n">
        <v>4356122</v>
      </c>
      <c r="T419" s="48" t="n">
        <v>13407983</v>
      </c>
      <c r="U419" s="46" t="n">
        <f aca="false">IF($A419=$A418,$U418+1,1)</f>
        <v>155</v>
      </c>
      <c r="V419" s="48" t="n">
        <f aca="false">IF($U419&gt;=MA_SHORT,AVERAGE(INDEX($I$19:$I419,402-MA_SHORT):$I419),"")</f>
        <v>7794.15</v>
      </c>
      <c r="W419" s="48" t="n">
        <f aca="false">IF($U419&gt;=MA_MED,AVERAGE(INDEX($I$19:$I419,402-MA_MED):$I419),"")</f>
        <v>7567.24</v>
      </c>
      <c r="X419" s="48" t="n">
        <f aca="false">IF($U419&gt;=MA_LONG1,AVERAGE(INDEX($I$19:$I419,402-MA_LONG1):$I419),"")</f>
        <v>7650.09</v>
      </c>
      <c r="Y419" s="48" t="str">
        <f aca="false">IF($U419&gt;=MA_LONG2,AVERAGE(INDEX($I$19:$I419,402-MA_LONG2):$I419),"")</f>
        <v/>
      </c>
      <c r="Z419" s="48" t="n">
        <f aca="false">IF($U419&gt;=MA_SHORT,AVERAGE(INDEX($L$299:$L419,122-MA_SHORT):$L419),"")</f>
        <v>18636570.85</v>
      </c>
      <c r="AA419" s="48" t="n">
        <f aca="false">IF($U419=1,$G419-$H419,MAX($G419-$H419,ABS($G419-$I418),ABS($H419-$I418)))</f>
        <v>318</v>
      </c>
      <c r="AB419" s="48" t="n">
        <f aca="false">IF($U419&gt;=ATR_PER,AVERAGE(INDEX($AA$299:$AA419,122-ATR_PER):$AA419),"")</f>
        <v>334.714285714286</v>
      </c>
      <c r="AC419" s="48" t="n">
        <f aca="false">$O419-$P419</f>
        <v>9051861</v>
      </c>
      <c r="AD419" s="48" t="n">
        <f aca="false">$AC419*$I419</f>
        <v>68450172882</v>
      </c>
      <c r="AE419" s="49" t="n">
        <f aca="false">IF($Q419&gt;0,$O419*$I419/$Q419/1000000,"")</f>
        <v>526.594004209424</v>
      </c>
      <c r="AF419" s="49" t="n">
        <f aca="false">IF($R419&gt;0,$P419*$I419/$R419/1000000,"")</f>
        <v>101.674942791139</v>
      </c>
      <c r="AG419" s="50" t="n">
        <f aca="false">IF(AND(ISNUMBER($AE419),ISNUMBER($AF419),$AF419&gt;0),$AE419/$AF419,"")</f>
        <v>5.17919154664443</v>
      </c>
      <c r="AH419" s="48" t="n">
        <f aca="false">IF($U419&gt;=5,SUM(INDEX($AD$389:$AD419,32-5):$AD419),"")</f>
        <v>196187901341</v>
      </c>
      <c r="AI419" s="48" t="n">
        <f aca="false">IF($U419&gt;=STRUCT_S,MAX(INDEX($G$269:$G419,152-STRUCT_S):$G419),"")</f>
        <v>8510</v>
      </c>
      <c r="AJ419" s="48" t="n">
        <f aca="false">IF($U419&gt;=STRUCT_S,MIN(INDEX($H$269:$H419,152-STRUCT_S):$H419),"")</f>
        <v>7142</v>
      </c>
      <c r="AK419" s="48" t="n">
        <f aca="false">IF($U419&gt;=STRUCT_L,MAX(INDEX($G$169:$G419,252-STRUCT_L):$G419),"")</f>
        <v>8510</v>
      </c>
      <c r="AL419" s="48" t="n">
        <f aca="false">IF($U419&gt;=STRUCT_L,MIN(INDEX($H$169:$H419,252-STRUCT_L):$H419),"")</f>
        <v>6986</v>
      </c>
      <c r="AM419" s="46" t="n">
        <f aca="false">IF($A419&lt;&gt;$A420,1,0)</f>
        <v>0</v>
      </c>
      <c r="AN419" s="47" t="str">
        <f aca="false">IF($AM419=1,$A419,"")</f>
        <v/>
      </c>
    </row>
    <row r="420" customFormat="false" ht="15" hidden="false" customHeight="false" outlineLevel="0" collapsed="false">
      <c r="A420" s="43" t="s">
        <v>138</v>
      </c>
      <c r="B420" s="44" t="s">
        <v>140</v>
      </c>
      <c r="C420" s="45" t="n">
        <v>46123</v>
      </c>
      <c r="D420" s="46" t="n">
        <v>20260411</v>
      </c>
      <c r="E420" s="47" t="s">
        <v>443</v>
      </c>
      <c r="F420" s="48" t="n">
        <v>7561</v>
      </c>
      <c r="G420" s="48" t="n">
        <v>7586</v>
      </c>
      <c r="H420" s="48" t="n">
        <v>7541</v>
      </c>
      <c r="I420" s="48" t="n">
        <v>7565</v>
      </c>
      <c r="J420" s="48" t="n">
        <v>7579</v>
      </c>
      <c r="K420" s="48" t="n">
        <v>7562</v>
      </c>
      <c r="L420" s="48" t="n">
        <v>14552606</v>
      </c>
      <c r="M420" s="48" t="n">
        <v>110090464390</v>
      </c>
      <c r="N420" s="48" t="n">
        <v>580</v>
      </c>
      <c r="O420" s="48" t="n">
        <v>7654201</v>
      </c>
      <c r="P420" s="48" t="n">
        <v>6132010</v>
      </c>
      <c r="Q420" s="48" t="n">
        <v>180</v>
      </c>
      <c r="R420" s="48" t="n">
        <v>386</v>
      </c>
      <c r="S420" s="48" t="n">
        <v>6898405</v>
      </c>
      <c r="T420" s="48" t="n">
        <v>8420596</v>
      </c>
      <c r="U420" s="46" t="n">
        <f aca="false">IF($A420=$A419,$U419+1,1)</f>
        <v>156</v>
      </c>
      <c r="V420" s="48" t="n">
        <f aca="false">IF($U420&gt;=MA_SHORT,AVERAGE(INDEX($I$20:$I420,402-MA_SHORT):$I420),"")</f>
        <v>7785.1</v>
      </c>
      <c r="W420" s="48" t="n">
        <f aca="false">IF($U420&gt;=MA_MED,AVERAGE(INDEX($I$20:$I420,402-MA_MED):$I420),"")</f>
        <v>7572.46</v>
      </c>
      <c r="X420" s="48" t="n">
        <f aca="false">IF($U420&gt;=MA_LONG1,AVERAGE(INDEX($I$20:$I420,402-MA_LONG1):$I420),"")</f>
        <v>7649.08</v>
      </c>
      <c r="Y420" s="48" t="str">
        <f aca="false">IF($U420&gt;=MA_LONG2,AVERAGE(INDEX($I$20:$I420,402-MA_LONG2):$I420),"")</f>
        <v/>
      </c>
      <c r="Z420" s="48" t="n">
        <f aca="false">IF($U420&gt;=MA_SHORT,AVERAGE(INDEX($L$300:$L420,122-MA_SHORT):$L420),"")</f>
        <v>18586627.15</v>
      </c>
      <c r="AA420" s="48" t="n">
        <f aca="false">IF($U420=1,$G420-$H420,MAX($G420-$H420,ABS($G420-$I419),ABS($H420-$I419)))</f>
        <v>45</v>
      </c>
      <c r="AB420" s="48" t="n">
        <f aca="false">IF($U420&gt;=ATR_PER,AVERAGE(INDEX($AA$300:$AA420,122-ATR_PER):$AA420),"")</f>
        <v>313.071428571429</v>
      </c>
      <c r="AC420" s="48" t="n">
        <f aca="false">$O420-$P420</f>
        <v>1522191</v>
      </c>
      <c r="AD420" s="48" t="n">
        <f aca="false">$AC420*$I420</f>
        <v>11515374915</v>
      </c>
      <c r="AE420" s="49" t="n">
        <f aca="false">IF($Q420&gt;0,$O420*$I420/$Q420/1000000,"")</f>
        <v>321.689058694444</v>
      </c>
      <c r="AF420" s="49" t="n">
        <f aca="false">IF($R420&gt;0,$P420*$I420/$R420/1000000,"")</f>
        <v>120.177864378238</v>
      </c>
      <c r="AG420" s="50" t="n">
        <f aca="false">IF(AND(ISNUMBER($AE420),ISNUMBER($AF420),$AF420&gt;0),$AE420/$AF420,"")</f>
        <v>2.67677463199034</v>
      </c>
      <c r="AH420" s="48" t="n">
        <f aca="false">IF($U420&gt;=5,SUM(INDEX($AD$390:$AD420,32-5):$AD420),"")</f>
        <v>189659757860</v>
      </c>
      <c r="AI420" s="48" t="n">
        <f aca="false">IF($U420&gt;=STRUCT_S,MAX(INDEX($G$270:$G420,152-STRUCT_S):$G420),"")</f>
        <v>8510</v>
      </c>
      <c r="AJ420" s="48" t="n">
        <f aca="false">IF($U420&gt;=STRUCT_S,MIN(INDEX($H$270:$H420,152-STRUCT_S):$H420),"")</f>
        <v>7142</v>
      </c>
      <c r="AK420" s="48" t="n">
        <f aca="false">IF($U420&gt;=STRUCT_L,MAX(INDEX($G$170:$G420,252-STRUCT_L):$G420),"")</f>
        <v>8510</v>
      </c>
      <c r="AL420" s="48" t="n">
        <f aca="false">IF($U420&gt;=STRUCT_L,MIN(INDEX($H$170:$H420,252-STRUCT_L):$H420),"")</f>
        <v>6986</v>
      </c>
      <c r="AM420" s="46" t="n">
        <f aca="false">IF($A420&lt;&gt;$A421,1,0)</f>
        <v>0</v>
      </c>
      <c r="AN420" s="47" t="str">
        <f aca="false">IF($AM420=1,$A420,"")</f>
        <v/>
      </c>
    </row>
    <row r="421" customFormat="false" ht="15" hidden="false" customHeight="false" outlineLevel="0" collapsed="false">
      <c r="A421" s="43" t="s">
        <v>138</v>
      </c>
      <c r="B421" s="44" t="s">
        <v>140</v>
      </c>
      <c r="C421" s="45" t="n">
        <v>46124</v>
      </c>
      <c r="D421" s="46" t="n">
        <v>20260412</v>
      </c>
      <c r="E421" s="47" t="s">
        <v>444</v>
      </c>
      <c r="F421" s="48" t="n">
        <v>7562</v>
      </c>
      <c r="G421" s="48" t="n">
        <v>7634</v>
      </c>
      <c r="H421" s="48" t="n">
        <v>7527</v>
      </c>
      <c r="I421" s="48" t="n">
        <v>7596</v>
      </c>
      <c r="J421" s="48" t="n">
        <v>7616</v>
      </c>
      <c r="K421" s="48" t="n">
        <v>7565</v>
      </c>
      <c r="L421" s="48" t="n">
        <v>40656591</v>
      </c>
      <c r="M421" s="48" t="n">
        <v>308827465236</v>
      </c>
      <c r="N421" s="48" t="n">
        <v>1099</v>
      </c>
      <c r="O421" s="48" t="n">
        <v>22942376</v>
      </c>
      <c r="P421" s="48" t="n">
        <v>17302079</v>
      </c>
      <c r="Q421" s="48" t="n">
        <v>394</v>
      </c>
      <c r="R421" s="48" t="n">
        <v>504</v>
      </c>
      <c r="S421" s="48" t="n">
        <v>17714215</v>
      </c>
      <c r="T421" s="48" t="n">
        <v>23354512</v>
      </c>
      <c r="U421" s="46" t="n">
        <f aca="false">IF($A421=$A420,$U420+1,1)</f>
        <v>157</v>
      </c>
      <c r="V421" s="48" t="n">
        <f aca="false">IF($U421&gt;=MA_SHORT,AVERAGE(INDEX($I$21:$I421,402-MA_SHORT):$I421),"")</f>
        <v>7785</v>
      </c>
      <c r="W421" s="48" t="n">
        <f aca="false">IF($U421&gt;=MA_MED,AVERAGE(INDEX($I$21:$I421,402-MA_MED):$I421),"")</f>
        <v>7579.4</v>
      </c>
      <c r="X421" s="48" t="n">
        <f aca="false">IF($U421&gt;=MA_LONG1,AVERAGE(INDEX($I$21:$I421,402-MA_LONG1):$I421),"")</f>
        <v>7647.1</v>
      </c>
      <c r="Y421" s="48" t="str">
        <f aca="false">IF($U421&gt;=MA_LONG2,AVERAGE(INDEX($I$21:$I421,402-MA_LONG2):$I421),"")</f>
        <v/>
      </c>
      <c r="Z421" s="48" t="n">
        <f aca="false">IF($U421&gt;=MA_SHORT,AVERAGE(INDEX($L$301:$L421,122-MA_SHORT):$L421),"")</f>
        <v>19810336.95</v>
      </c>
      <c r="AA421" s="48" t="n">
        <f aca="false">IF($U421=1,$G421-$H421,MAX($G421-$H421,ABS($G421-$I420),ABS($H421-$I420)))</f>
        <v>107</v>
      </c>
      <c r="AB421" s="48" t="n">
        <f aca="false">IF($U421&gt;=ATR_PER,AVERAGE(INDEX($AA$301:$AA421,122-ATR_PER):$AA421),"")</f>
        <v>291.785714285714</v>
      </c>
      <c r="AC421" s="48" t="n">
        <f aca="false">$O421-$P421</f>
        <v>5640297</v>
      </c>
      <c r="AD421" s="48" t="n">
        <f aca="false">$AC421*$I421</f>
        <v>42843696012</v>
      </c>
      <c r="AE421" s="49" t="n">
        <f aca="false">IF($Q421&gt;0,$O421*$I421/$Q421/1000000,"")</f>
        <v>442.310375878173</v>
      </c>
      <c r="AF421" s="49" t="n">
        <f aca="false">IF($R421&gt;0,$P421*$I421/$R421/1000000,"")</f>
        <v>260.767047785714</v>
      </c>
      <c r="AG421" s="50" t="n">
        <f aca="false">IF(AND(ISNUMBER($AE421),ISNUMBER($AF421),$AF421&gt;0),$AE421/$AF421,"")</f>
        <v>1.69618968207073</v>
      </c>
      <c r="AH421" s="48" t="n">
        <f aca="false">IF($U421&gt;=5,SUM(INDEX($AD$391:$AD421,32-5):$AD421),"")</f>
        <v>110004214236</v>
      </c>
      <c r="AI421" s="48" t="n">
        <f aca="false">IF($U421&gt;=STRUCT_S,MAX(INDEX($G$271:$G421,152-STRUCT_S):$G421),"")</f>
        <v>8510</v>
      </c>
      <c r="AJ421" s="48" t="n">
        <f aca="false">IF($U421&gt;=STRUCT_S,MIN(INDEX($H$271:$H421,152-STRUCT_S):$H421),"")</f>
        <v>7142</v>
      </c>
      <c r="AK421" s="48" t="n">
        <f aca="false">IF($U421&gt;=STRUCT_L,MAX(INDEX($G$171:$G421,252-STRUCT_L):$G421),"")</f>
        <v>8510</v>
      </c>
      <c r="AL421" s="48" t="n">
        <f aca="false">IF($U421&gt;=STRUCT_L,MIN(INDEX($H$171:$H421,252-STRUCT_L):$H421),"")</f>
        <v>6986</v>
      </c>
      <c r="AM421" s="46" t="n">
        <f aca="false">IF($A421&lt;&gt;$A422,1,0)</f>
        <v>0</v>
      </c>
      <c r="AN421" s="47" t="str">
        <f aca="false">IF($AM421=1,$A421,"")</f>
        <v/>
      </c>
    </row>
    <row r="422" customFormat="false" ht="15" hidden="false" customHeight="false" outlineLevel="0" collapsed="false">
      <c r="A422" s="43" t="s">
        <v>138</v>
      </c>
      <c r="B422" s="44" t="s">
        <v>140</v>
      </c>
      <c r="C422" s="45" t="n">
        <v>46125</v>
      </c>
      <c r="D422" s="46" t="n">
        <v>20260413</v>
      </c>
      <c r="E422" s="47" t="s">
        <v>445</v>
      </c>
      <c r="F422" s="48" t="n">
        <v>7628</v>
      </c>
      <c r="G422" s="48" t="n">
        <v>7713</v>
      </c>
      <c r="H422" s="48" t="n">
        <v>7551</v>
      </c>
      <c r="I422" s="48" t="n">
        <v>7668</v>
      </c>
      <c r="J422" s="48" t="n">
        <v>7710</v>
      </c>
      <c r="K422" s="48" t="n">
        <v>7596</v>
      </c>
      <c r="L422" s="48" t="n">
        <v>16494281</v>
      </c>
      <c r="M422" s="48" t="n">
        <v>126478146708</v>
      </c>
      <c r="N422" s="48" t="n">
        <v>501</v>
      </c>
      <c r="O422" s="48" t="n">
        <v>9025550</v>
      </c>
      <c r="P422" s="48" t="n">
        <v>6019172</v>
      </c>
      <c r="Q422" s="48" t="n">
        <v>180</v>
      </c>
      <c r="R422" s="48" t="n">
        <v>272</v>
      </c>
      <c r="S422" s="48" t="n">
        <v>7468731</v>
      </c>
      <c r="T422" s="48" t="n">
        <v>10475109</v>
      </c>
      <c r="U422" s="46" t="n">
        <f aca="false">IF($A422=$A421,$U421+1,1)</f>
        <v>158</v>
      </c>
      <c r="V422" s="48" t="n">
        <f aca="false">IF($U422&gt;=MA_SHORT,AVERAGE(INDEX($I$22:$I422,402-MA_SHORT):$I422),"")</f>
        <v>7783.3</v>
      </c>
      <c r="W422" s="48" t="n">
        <f aca="false">IF($U422&gt;=MA_MED,AVERAGE(INDEX($I$22:$I422,402-MA_MED):$I422),"")</f>
        <v>7590.4</v>
      </c>
      <c r="X422" s="48" t="n">
        <f aca="false">IF($U422&gt;=MA_LONG1,AVERAGE(INDEX($I$22:$I422,402-MA_LONG1):$I422),"")</f>
        <v>7647.58</v>
      </c>
      <c r="Y422" s="48" t="str">
        <f aca="false">IF($U422&gt;=MA_LONG2,AVERAGE(INDEX($I$22:$I422,402-MA_LONG2):$I422),"")</f>
        <v/>
      </c>
      <c r="Z422" s="48" t="n">
        <f aca="false">IF($U422&gt;=MA_SHORT,AVERAGE(INDEX($L$302:$L422,122-MA_SHORT):$L422),"")</f>
        <v>19834276.95</v>
      </c>
      <c r="AA422" s="48" t="n">
        <f aca="false">IF($U422=1,$G422-$H422,MAX($G422-$H422,ABS($G422-$I421),ABS($H422-$I421)))</f>
        <v>162</v>
      </c>
      <c r="AB422" s="48" t="n">
        <f aca="false">IF($U422&gt;=ATR_PER,AVERAGE(INDEX($AA$302:$AA422,122-ATR_PER):$AA422),"")</f>
        <v>279.357142857143</v>
      </c>
      <c r="AC422" s="48" t="n">
        <f aca="false">$O422-$P422</f>
        <v>3006378</v>
      </c>
      <c r="AD422" s="48" t="n">
        <f aca="false">$AC422*$I422</f>
        <v>23052906504</v>
      </c>
      <c r="AE422" s="49" t="n">
        <f aca="false">IF($Q422&gt;0,$O422*$I422/$Q422/1000000,"")</f>
        <v>384.48843</v>
      </c>
      <c r="AF422" s="49" t="n">
        <f aca="false">IF($R422&gt;0,$P422*$I422/$R422/1000000,"")</f>
        <v>169.687540058824</v>
      </c>
      <c r="AG422" s="50" t="n">
        <f aca="false">IF(AND(ISNUMBER($AE422),ISNUMBER($AF422),$AF422&gt;0),$AE422/$AF422,"")</f>
        <v>2.26586129934298</v>
      </c>
      <c r="AH422" s="48" t="n">
        <f aca="false">IF($U422&gt;=5,SUM(INDEX($AD$392:$AD422,32-5):$AD422),"")</f>
        <v>146428311846</v>
      </c>
      <c r="AI422" s="48" t="n">
        <f aca="false">IF($U422&gt;=STRUCT_S,MAX(INDEX($G$272:$G422,152-STRUCT_S):$G422),"")</f>
        <v>8510</v>
      </c>
      <c r="AJ422" s="48" t="n">
        <f aca="false">IF($U422&gt;=STRUCT_S,MIN(INDEX($H$272:$H422,152-STRUCT_S):$H422),"")</f>
        <v>7142</v>
      </c>
      <c r="AK422" s="48" t="n">
        <f aca="false">IF($U422&gt;=STRUCT_L,MAX(INDEX($G$172:$G422,252-STRUCT_L):$G422),"")</f>
        <v>8510</v>
      </c>
      <c r="AL422" s="48" t="n">
        <f aca="false">IF($U422&gt;=STRUCT_L,MIN(INDEX($H$172:$H422,252-STRUCT_L):$H422),"")</f>
        <v>6986</v>
      </c>
      <c r="AM422" s="46" t="n">
        <f aca="false">IF($A422&lt;&gt;$A423,1,0)</f>
        <v>0</v>
      </c>
      <c r="AN422" s="47" t="str">
        <f aca="false">IF($AM422=1,$A422,"")</f>
        <v/>
      </c>
    </row>
    <row r="423" customFormat="false" ht="15" hidden="false" customHeight="false" outlineLevel="0" collapsed="false">
      <c r="A423" s="43" t="s">
        <v>138</v>
      </c>
      <c r="B423" s="44" t="s">
        <v>140</v>
      </c>
      <c r="C423" s="45" t="n">
        <v>46126</v>
      </c>
      <c r="D423" s="46" t="n">
        <v>20260414</v>
      </c>
      <c r="E423" s="47" t="s">
        <v>446</v>
      </c>
      <c r="F423" s="48" t="n">
        <v>7673</v>
      </c>
      <c r="G423" s="48" t="n">
        <v>7745</v>
      </c>
      <c r="H423" s="48" t="n">
        <v>7510</v>
      </c>
      <c r="I423" s="48" t="n">
        <v>7586</v>
      </c>
      <c r="J423" s="48" t="n">
        <v>7554</v>
      </c>
      <c r="K423" s="48" t="n">
        <v>7668</v>
      </c>
      <c r="L423" s="48" t="n">
        <v>15449567</v>
      </c>
      <c r="M423" s="48" t="n">
        <v>117200415262</v>
      </c>
      <c r="N423" s="48" t="n">
        <v>350</v>
      </c>
      <c r="O423" s="48" t="n">
        <v>8649427</v>
      </c>
      <c r="P423" s="48" t="n">
        <v>6850426</v>
      </c>
      <c r="Q423" s="48" t="n">
        <v>200</v>
      </c>
      <c r="R423" s="48" t="n">
        <v>124</v>
      </c>
      <c r="S423" s="48" t="n">
        <v>6800140</v>
      </c>
      <c r="T423" s="48" t="n">
        <v>8599141</v>
      </c>
      <c r="U423" s="46" t="n">
        <f aca="false">IF($A423=$A422,$U422+1,1)</f>
        <v>159</v>
      </c>
      <c r="V423" s="48" t="n">
        <f aca="false">IF($U423&gt;=MA_SHORT,AVERAGE(INDEX($I$23:$I423,402-MA_SHORT):$I423),"")</f>
        <v>7773.85</v>
      </c>
      <c r="W423" s="48" t="n">
        <f aca="false">IF($U423&gt;=MA_MED,AVERAGE(INDEX($I$23:$I423,402-MA_MED):$I423),"")</f>
        <v>7598.26</v>
      </c>
      <c r="X423" s="48" t="n">
        <f aca="false">IF($U423&gt;=MA_LONG1,AVERAGE(INDEX($I$23:$I423,402-MA_LONG1):$I423),"")</f>
        <v>7645</v>
      </c>
      <c r="Y423" s="48" t="str">
        <f aca="false">IF($U423&gt;=MA_LONG2,AVERAGE(INDEX($I$23:$I423,402-MA_LONG2):$I423),"")</f>
        <v/>
      </c>
      <c r="Z423" s="48" t="n">
        <f aca="false">IF($U423&gt;=MA_SHORT,AVERAGE(INDEX($L$303:$L423,122-MA_SHORT):$L423),"")</f>
        <v>19777005.35</v>
      </c>
      <c r="AA423" s="48" t="n">
        <f aca="false">IF($U423=1,$G423-$H423,MAX($G423-$H423,ABS($G423-$I422),ABS($H423-$I422)))</f>
        <v>235</v>
      </c>
      <c r="AB423" s="48" t="n">
        <f aca="false">IF($U423&gt;=ATR_PER,AVERAGE(INDEX($AA$303:$AA423,122-ATR_PER):$AA423),"")</f>
        <v>257</v>
      </c>
      <c r="AC423" s="48" t="n">
        <f aca="false">$O423-$P423</f>
        <v>1799001</v>
      </c>
      <c r="AD423" s="48" t="n">
        <f aca="false">$AC423*$I423</f>
        <v>13647221586</v>
      </c>
      <c r="AE423" s="49" t="n">
        <f aca="false">IF($Q423&gt;0,$O423*$I423/$Q423/1000000,"")</f>
        <v>328.07276611</v>
      </c>
      <c r="AF423" s="49" t="n">
        <f aca="false">IF($R423&gt;0,$P423*$I423/$R423/1000000,"")</f>
        <v>419.09138416129</v>
      </c>
      <c r="AG423" s="50" t="n">
        <f aca="false">IF(AND(ISNUMBER($AE423),ISNUMBER($AF423),$AF423&gt;0),$AE423/$AF423,"")</f>
        <v>0.782819161903216</v>
      </c>
      <c r="AH423" s="48" t="n">
        <f aca="false">IF($U423&gt;=5,SUM(INDEX($AD$393:$AD423,32-5):$AD423),"")</f>
        <v>159509371899</v>
      </c>
      <c r="AI423" s="48" t="n">
        <f aca="false">IF($U423&gt;=STRUCT_S,MAX(INDEX($G$273:$G423,152-STRUCT_S):$G423),"")</f>
        <v>8510</v>
      </c>
      <c r="AJ423" s="48" t="n">
        <f aca="false">IF($U423&gt;=STRUCT_S,MIN(INDEX($H$273:$H423,152-STRUCT_S):$H423),"")</f>
        <v>7142</v>
      </c>
      <c r="AK423" s="48" t="n">
        <f aca="false">IF($U423&gt;=STRUCT_L,MAX(INDEX($G$173:$G423,252-STRUCT_L):$G423),"")</f>
        <v>8510</v>
      </c>
      <c r="AL423" s="48" t="n">
        <f aca="false">IF($U423&gt;=STRUCT_L,MIN(INDEX($H$173:$H423,252-STRUCT_L):$H423),"")</f>
        <v>6986</v>
      </c>
      <c r="AM423" s="46" t="n">
        <f aca="false">IF($A423&lt;&gt;$A424,1,0)</f>
        <v>0</v>
      </c>
      <c r="AN423" s="47" t="str">
        <f aca="false">IF($AM423=1,$A423,"")</f>
        <v/>
      </c>
    </row>
    <row r="424" customFormat="false" ht="15" hidden="false" customHeight="false" outlineLevel="0" collapsed="false">
      <c r="A424" s="43" t="s">
        <v>138</v>
      </c>
      <c r="B424" s="44" t="s">
        <v>140</v>
      </c>
      <c r="C424" s="45" t="n">
        <v>46127</v>
      </c>
      <c r="D424" s="46" t="n">
        <v>20260415</v>
      </c>
      <c r="E424" s="47" t="s">
        <v>447</v>
      </c>
      <c r="F424" s="48" t="n">
        <v>7526</v>
      </c>
      <c r="G424" s="48" t="n">
        <v>7624</v>
      </c>
      <c r="H424" s="48" t="n">
        <v>7477</v>
      </c>
      <c r="I424" s="48" t="n">
        <v>7514</v>
      </c>
      <c r="J424" s="48" t="n">
        <v>7478</v>
      </c>
      <c r="K424" s="48" t="n">
        <v>7586</v>
      </c>
      <c r="L424" s="48" t="n">
        <v>22827708</v>
      </c>
      <c r="M424" s="48" t="n">
        <v>171527397912</v>
      </c>
      <c r="N424" s="48" t="n">
        <v>655</v>
      </c>
      <c r="O424" s="48" t="n">
        <v>11926658</v>
      </c>
      <c r="P424" s="48" t="n">
        <v>10627741</v>
      </c>
      <c r="Q424" s="48" t="n">
        <v>263</v>
      </c>
      <c r="R424" s="48" t="n">
        <v>186</v>
      </c>
      <c r="S424" s="48" t="n">
        <v>10901050</v>
      </c>
      <c r="T424" s="48" t="n">
        <v>12199967</v>
      </c>
      <c r="U424" s="46" t="n">
        <f aca="false">IF($A424=$A423,$U423+1,1)</f>
        <v>160</v>
      </c>
      <c r="V424" s="48" t="n">
        <f aca="false">IF($U424&gt;=MA_SHORT,AVERAGE(INDEX($I$24:$I424,402-MA_SHORT):$I424),"")</f>
        <v>7750.4</v>
      </c>
      <c r="W424" s="48" t="n">
        <f aca="false">IF($U424&gt;=MA_MED,AVERAGE(INDEX($I$24:$I424,402-MA_MED):$I424),"")</f>
        <v>7605.52</v>
      </c>
      <c r="X424" s="48" t="n">
        <f aca="false">IF($U424&gt;=MA_LONG1,AVERAGE(INDEX($I$24:$I424,402-MA_LONG1):$I424),"")</f>
        <v>7642.79</v>
      </c>
      <c r="Y424" s="48" t="str">
        <f aca="false">IF($U424&gt;=MA_LONG2,AVERAGE(INDEX($I$24:$I424,402-MA_LONG2):$I424),"")</f>
        <v/>
      </c>
      <c r="Z424" s="48" t="n">
        <f aca="false">IF($U424&gt;=MA_SHORT,AVERAGE(INDEX($L$304:$L424,122-MA_SHORT):$L424),"")</f>
        <v>19788459.65</v>
      </c>
      <c r="AA424" s="48" t="n">
        <f aca="false">IF($U424=1,$G424-$H424,MAX($G424-$H424,ABS($G424-$I423),ABS($H424-$I423)))</f>
        <v>147</v>
      </c>
      <c r="AB424" s="48" t="n">
        <f aca="false">IF($U424&gt;=ATR_PER,AVERAGE(INDEX($AA$304:$AA424,122-ATR_PER):$AA424),"")</f>
        <v>234.714285714286</v>
      </c>
      <c r="AC424" s="48" t="n">
        <f aca="false">$O424-$P424</f>
        <v>1298917</v>
      </c>
      <c r="AD424" s="48" t="n">
        <f aca="false">$AC424*$I424</f>
        <v>9760062338</v>
      </c>
      <c r="AE424" s="49" t="n">
        <f aca="false">IF($Q424&gt;0,$O424*$I424/$Q424/1000000,"")</f>
        <v>340.748700425856</v>
      </c>
      <c r="AF424" s="49" t="n">
        <f aca="false">IF($R424&gt;0,$P424*$I424/$R424/1000000,"")</f>
        <v>429.337881043011</v>
      </c>
      <c r="AG424" s="50" t="n">
        <f aca="false">IF(AND(ISNUMBER($AE424),ISNUMBER($AF424),$AF424&gt;0),$AE424/$AF424,"")</f>
        <v>0.793660926443431</v>
      </c>
      <c r="AH424" s="48" t="n">
        <f aca="false">IF($U424&gt;=5,SUM(INDEX($AD$394:$AD424,32-5):$AD424),"")</f>
        <v>100819261355</v>
      </c>
      <c r="AI424" s="48" t="n">
        <f aca="false">IF($U424&gt;=STRUCT_S,MAX(INDEX($G$274:$G424,152-STRUCT_S):$G424),"")</f>
        <v>8510</v>
      </c>
      <c r="AJ424" s="48" t="n">
        <f aca="false">IF($U424&gt;=STRUCT_S,MIN(INDEX($H$274:$H424,152-STRUCT_S):$H424),"")</f>
        <v>7142</v>
      </c>
      <c r="AK424" s="48" t="n">
        <f aca="false">IF($U424&gt;=STRUCT_L,MAX(INDEX($G$174:$G424,252-STRUCT_L):$G424),"")</f>
        <v>8510</v>
      </c>
      <c r="AL424" s="48" t="n">
        <f aca="false">IF($U424&gt;=STRUCT_L,MIN(INDEX($H$174:$H424,252-STRUCT_L):$H424),"")</f>
        <v>6986</v>
      </c>
      <c r="AM424" s="46" t="n">
        <f aca="false">IF($A424&lt;&gt;$A425,1,0)</f>
        <v>0</v>
      </c>
      <c r="AN424" s="47" t="str">
        <f aca="false">IF($AM424=1,$A424,"")</f>
        <v/>
      </c>
    </row>
    <row r="425" customFormat="false" ht="15" hidden="false" customHeight="false" outlineLevel="0" collapsed="false">
      <c r="A425" s="43" t="s">
        <v>138</v>
      </c>
      <c r="B425" s="44" t="s">
        <v>140</v>
      </c>
      <c r="C425" s="45" t="n">
        <v>46130</v>
      </c>
      <c r="D425" s="46" t="n">
        <v>20260418</v>
      </c>
      <c r="E425" s="47" t="s">
        <v>448</v>
      </c>
      <c r="F425" s="48" t="n">
        <v>7515</v>
      </c>
      <c r="G425" s="48" t="n">
        <v>7534</v>
      </c>
      <c r="H425" s="48" t="n">
        <v>7435</v>
      </c>
      <c r="I425" s="48" t="n">
        <v>7455</v>
      </c>
      <c r="J425" s="48" t="n">
        <v>7499</v>
      </c>
      <c r="K425" s="48" t="n">
        <v>7514</v>
      </c>
      <c r="L425" s="48" t="n">
        <v>15202024</v>
      </c>
      <c r="M425" s="48" t="n">
        <v>113331088920</v>
      </c>
      <c r="N425" s="48" t="n">
        <v>420</v>
      </c>
      <c r="O425" s="48" t="n">
        <v>8142486</v>
      </c>
      <c r="P425" s="48" t="n">
        <v>5894736</v>
      </c>
      <c r="Q425" s="48" t="n">
        <v>162</v>
      </c>
      <c r="R425" s="48" t="n">
        <v>119</v>
      </c>
      <c r="S425" s="48" t="n">
        <v>7059538</v>
      </c>
      <c r="T425" s="48" t="n">
        <v>9307288</v>
      </c>
      <c r="U425" s="46" t="n">
        <f aca="false">IF($A425=$A424,$U424+1,1)</f>
        <v>161</v>
      </c>
      <c r="V425" s="48" t="n">
        <f aca="false">IF($U425&gt;=MA_SHORT,AVERAGE(INDEX($I$25:$I425,402-MA_SHORT):$I425),"")</f>
        <v>7723.3</v>
      </c>
      <c r="W425" s="48" t="n">
        <f aca="false">IF($U425&gt;=MA_MED,AVERAGE(INDEX($I$25:$I425,402-MA_MED):$I425),"")</f>
        <v>7607.32</v>
      </c>
      <c r="X425" s="48" t="n">
        <f aca="false">IF($U425&gt;=MA_LONG1,AVERAGE(INDEX($I$25:$I425,402-MA_LONG1):$I425),"")</f>
        <v>7640.25</v>
      </c>
      <c r="Y425" s="48" t="str">
        <f aca="false">IF($U425&gt;=MA_LONG2,AVERAGE(INDEX($I$25:$I425,402-MA_LONG2):$I425),"")</f>
        <v/>
      </c>
      <c r="Z425" s="48" t="n">
        <f aca="false">IF($U425&gt;=MA_SHORT,AVERAGE(INDEX($L$305:$L425,122-MA_SHORT):$L425),"")</f>
        <v>19815020.2</v>
      </c>
      <c r="AA425" s="48" t="n">
        <f aca="false">IF($U425=1,$G425-$H425,MAX($G425-$H425,ABS($G425-$I424),ABS($H425-$I424)))</f>
        <v>99</v>
      </c>
      <c r="AB425" s="48" t="n">
        <f aca="false">IF($U425&gt;=ATR_PER,AVERAGE(INDEX($AA$305:$AA425,122-ATR_PER):$AA425),"")</f>
        <v>199.714285714286</v>
      </c>
      <c r="AC425" s="48" t="n">
        <f aca="false">$O425-$P425</f>
        <v>2247750</v>
      </c>
      <c r="AD425" s="48" t="n">
        <f aca="false">$AC425*$I425</f>
        <v>16756976250</v>
      </c>
      <c r="AE425" s="49" t="n">
        <f aca="false">IF($Q425&gt;0,$O425*$I425/$Q425/1000000,"")</f>
        <v>374.705142777778</v>
      </c>
      <c r="AF425" s="49" t="n">
        <f aca="false">IF($R425&gt;0,$P425*$I425/$R425/1000000,"")</f>
        <v>369.287872941177</v>
      </c>
      <c r="AG425" s="50" t="n">
        <f aca="false">IF(AND(ISNUMBER($AE425),ISNUMBER($AF425),$AF425&gt;0),$AE425/$AF425,"")</f>
        <v>1.01466950374908</v>
      </c>
      <c r="AH425" s="48" t="n">
        <f aca="false">IF($U425&gt;=5,SUM(INDEX($AD$395:$AD425,32-5):$AD425),"")</f>
        <v>106060862690</v>
      </c>
      <c r="AI425" s="48" t="n">
        <f aca="false">IF($U425&gt;=STRUCT_S,MAX(INDEX($G$275:$G425,152-STRUCT_S):$G425),"")</f>
        <v>8510</v>
      </c>
      <c r="AJ425" s="48" t="n">
        <f aca="false">IF($U425&gt;=STRUCT_S,MIN(INDEX($H$275:$H425,152-STRUCT_S):$H425),"")</f>
        <v>7142</v>
      </c>
      <c r="AK425" s="48" t="n">
        <f aca="false">IF($U425&gt;=STRUCT_L,MAX(INDEX($G$175:$G425,252-STRUCT_L):$G425),"")</f>
        <v>8510</v>
      </c>
      <c r="AL425" s="48" t="n">
        <f aca="false">IF($U425&gt;=STRUCT_L,MIN(INDEX($H$175:$H425,252-STRUCT_L):$H425),"")</f>
        <v>6986</v>
      </c>
      <c r="AM425" s="46" t="n">
        <f aca="false">IF($A425&lt;&gt;$A426,1,0)</f>
        <v>0</v>
      </c>
      <c r="AN425" s="47" t="str">
        <f aca="false">IF($AM425=1,$A425,"")</f>
        <v/>
      </c>
    </row>
    <row r="426" customFormat="false" ht="15" hidden="false" customHeight="false" outlineLevel="0" collapsed="false">
      <c r="A426" s="43" t="s">
        <v>138</v>
      </c>
      <c r="B426" s="44" t="s">
        <v>140</v>
      </c>
      <c r="C426" s="45" t="n">
        <v>46131</v>
      </c>
      <c r="D426" s="46" t="n">
        <v>20260419</v>
      </c>
      <c r="E426" s="47" t="s">
        <v>449</v>
      </c>
      <c r="F426" s="48" t="n">
        <v>7445</v>
      </c>
      <c r="G426" s="48" t="n">
        <v>7499</v>
      </c>
      <c r="H426" s="48" t="n">
        <v>7364</v>
      </c>
      <c r="I426" s="48" t="n">
        <v>7407</v>
      </c>
      <c r="J426" s="48" t="n">
        <v>7458</v>
      </c>
      <c r="K426" s="48" t="n">
        <v>7455</v>
      </c>
      <c r="L426" s="48" t="n">
        <v>15078907</v>
      </c>
      <c r="M426" s="48" t="n">
        <v>111689464149</v>
      </c>
      <c r="N426" s="48" t="n">
        <v>1492</v>
      </c>
      <c r="O426" s="48" t="n">
        <v>8119207</v>
      </c>
      <c r="P426" s="48" t="n">
        <v>7829089</v>
      </c>
      <c r="Q426" s="48" t="n">
        <v>872</v>
      </c>
      <c r="R426" s="48" t="n">
        <v>433</v>
      </c>
      <c r="S426" s="48" t="n">
        <v>6959700</v>
      </c>
      <c r="T426" s="48" t="n">
        <v>7249818</v>
      </c>
      <c r="U426" s="46" t="n">
        <f aca="false">IF($A426=$A425,$U425+1,1)</f>
        <v>162</v>
      </c>
      <c r="V426" s="48" t="n">
        <f aca="false">IF($U426&gt;=MA_SHORT,AVERAGE(INDEX($I$26:$I426,402-MA_SHORT):$I426),"")</f>
        <v>7683</v>
      </c>
      <c r="W426" s="48" t="n">
        <f aca="false">IF($U426&gt;=MA_MED,AVERAGE(INDEX($I$26:$I426,402-MA_MED):$I426),"")</f>
        <v>7605.72</v>
      </c>
      <c r="X426" s="48" t="n">
        <f aca="false">IF($U426&gt;=MA_LONG1,AVERAGE(INDEX($I$26:$I426,402-MA_LONG1):$I426),"")</f>
        <v>7636.53</v>
      </c>
      <c r="Y426" s="48" t="str">
        <f aca="false">IF($U426&gt;=MA_LONG2,AVERAGE(INDEX($I$26:$I426,402-MA_LONG2):$I426),"")</f>
        <v/>
      </c>
      <c r="Z426" s="48" t="n">
        <f aca="false">IF($U426&gt;=MA_SHORT,AVERAGE(INDEX($L$306:$L426,122-MA_SHORT):$L426),"")</f>
        <v>19725422.8</v>
      </c>
      <c r="AA426" s="48" t="n">
        <f aca="false">IF($U426=1,$G426-$H426,MAX($G426-$H426,ABS($G426-$I425),ABS($H426-$I425)))</f>
        <v>135</v>
      </c>
      <c r="AB426" s="48" t="n">
        <f aca="false">IF($U426&gt;=ATR_PER,AVERAGE(INDEX($AA$306:$AA426,122-ATR_PER):$AA426),"")</f>
        <v>183.428571428571</v>
      </c>
      <c r="AC426" s="48" t="n">
        <f aca="false">$O426-$P426</f>
        <v>290118</v>
      </c>
      <c r="AD426" s="48" t="n">
        <f aca="false">$AC426*$I426</f>
        <v>2148904026</v>
      </c>
      <c r="AE426" s="49" t="n">
        <f aca="false">IF($Q426&gt;0,$O426*$I426/$Q426/1000000,"")</f>
        <v>68.9667044139908</v>
      </c>
      <c r="AF426" s="49" t="n">
        <f aca="false">IF($R426&gt;0,$P426*$I426/$R426/1000000,"")</f>
        <v>133.926240699769</v>
      </c>
      <c r="AG426" s="50" t="n">
        <f aca="false">IF(AND(ISNUMBER($AE426),ISNUMBER($AF426),$AF426&gt;0),$AE426/$AF426,"")</f>
        <v>0.514960354697015</v>
      </c>
      <c r="AH426" s="48" t="n">
        <f aca="false">IF($U426&gt;=5,SUM(INDEX($AD$396:$AD426,32-5):$AD426),"")</f>
        <v>65366070704</v>
      </c>
      <c r="AI426" s="48" t="n">
        <f aca="false">IF($U426&gt;=STRUCT_S,MAX(INDEX($G$276:$G426,152-STRUCT_S):$G426),"")</f>
        <v>8510</v>
      </c>
      <c r="AJ426" s="48" t="n">
        <f aca="false">IF($U426&gt;=STRUCT_S,MIN(INDEX($H$276:$H426,152-STRUCT_S):$H426),"")</f>
        <v>7142</v>
      </c>
      <c r="AK426" s="48" t="n">
        <f aca="false">IF($U426&gt;=STRUCT_L,MAX(INDEX($G$176:$G426,252-STRUCT_L):$G426),"")</f>
        <v>8510</v>
      </c>
      <c r="AL426" s="48" t="n">
        <f aca="false">IF($U426&gt;=STRUCT_L,MIN(INDEX($H$176:$H426,252-STRUCT_L):$H426),"")</f>
        <v>6986</v>
      </c>
      <c r="AM426" s="46" t="n">
        <f aca="false">IF($A426&lt;&gt;$A427,1,0)</f>
        <v>0</v>
      </c>
      <c r="AN426" s="47" t="str">
        <f aca="false">IF($AM426=1,$A426,"")</f>
        <v/>
      </c>
    </row>
    <row r="427" customFormat="false" ht="15" hidden="false" customHeight="false" outlineLevel="0" collapsed="false">
      <c r="A427" s="43" t="s">
        <v>138</v>
      </c>
      <c r="B427" s="44" t="s">
        <v>140</v>
      </c>
      <c r="C427" s="45" t="n">
        <v>46132</v>
      </c>
      <c r="D427" s="46" t="n">
        <v>20260420</v>
      </c>
      <c r="E427" s="47" t="s">
        <v>450</v>
      </c>
      <c r="F427" s="48" t="n">
        <v>7311</v>
      </c>
      <c r="G427" s="48" t="n">
        <v>7446</v>
      </c>
      <c r="H427" s="48" t="n">
        <v>7300</v>
      </c>
      <c r="I427" s="48" t="n">
        <v>7339</v>
      </c>
      <c r="J427" s="48" t="n">
        <v>7423</v>
      </c>
      <c r="K427" s="48" t="n">
        <v>7407</v>
      </c>
      <c r="L427" s="48" t="n">
        <v>20269045</v>
      </c>
      <c r="M427" s="48" t="n">
        <v>148754521255</v>
      </c>
      <c r="N427" s="48" t="n">
        <v>518</v>
      </c>
      <c r="O427" s="48" t="n">
        <v>9330861</v>
      </c>
      <c r="P427" s="48" t="n">
        <v>11239733</v>
      </c>
      <c r="Q427" s="48" t="n">
        <v>325</v>
      </c>
      <c r="R427" s="48" t="n">
        <v>210</v>
      </c>
      <c r="S427" s="48" t="n">
        <v>10938184</v>
      </c>
      <c r="T427" s="48" t="n">
        <v>9029312</v>
      </c>
      <c r="U427" s="46" t="n">
        <f aca="false">IF($A427=$A426,$U426+1,1)</f>
        <v>163</v>
      </c>
      <c r="V427" s="48" t="n">
        <f aca="false">IF($U427&gt;=MA_SHORT,AVERAGE(INDEX($I$27:$I427,402-MA_SHORT):$I427),"")</f>
        <v>7631.2</v>
      </c>
      <c r="W427" s="48" t="n">
        <f aca="false">IF($U427&gt;=MA_MED,AVERAGE(INDEX($I$27:$I427,402-MA_MED):$I427),"")</f>
        <v>7607.52</v>
      </c>
      <c r="X427" s="48" t="n">
        <f aca="false">IF($U427&gt;=MA_LONG1,AVERAGE(INDEX($I$27:$I427,402-MA_LONG1):$I427),"")</f>
        <v>7630.48</v>
      </c>
      <c r="Y427" s="48" t="str">
        <f aca="false">IF($U427&gt;=MA_LONG2,AVERAGE(INDEX($I$27:$I427,402-MA_LONG2):$I427),"")</f>
        <v/>
      </c>
      <c r="Z427" s="48" t="n">
        <f aca="false">IF($U427&gt;=MA_SHORT,AVERAGE(INDEX($L$307:$L427,122-MA_SHORT):$L427),"")</f>
        <v>19181451.15</v>
      </c>
      <c r="AA427" s="48" t="n">
        <f aca="false">IF($U427=1,$G427-$H427,MAX($G427-$H427,ABS($G427-$I426),ABS($H427-$I426)))</f>
        <v>146</v>
      </c>
      <c r="AB427" s="48" t="n">
        <f aca="false">IF($U427&gt;=ATR_PER,AVERAGE(INDEX($AA$307:$AA427,122-ATR_PER):$AA427),"")</f>
        <v>188.857142857143</v>
      </c>
      <c r="AC427" s="48" t="n">
        <f aca="false">$O427-$P427</f>
        <v>-1908872</v>
      </c>
      <c r="AD427" s="48" t="n">
        <f aca="false">$AC427*$I427</f>
        <v>-14009211608</v>
      </c>
      <c r="AE427" s="49" t="n">
        <f aca="false">IF($Q427&gt;0,$O427*$I427/$Q427/1000000,"")</f>
        <v>210.705196550769</v>
      </c>
      <c r="AF427" s="49" t="n">
        <f aca="false">IF($R427&gt;0,$P427*$I427/$R427/1000000,"")</f>
        <v>392.801907080952</v>
      </c>
      <c r="AG427" s="50" t="n">
        <f aca="false">IF(AND(ISNUMBER($AE427),ISNUMBER($AF427),$AF427&gt;0),$AE427/$AF427,"")</f>
        <v>0.536415920473994</v>
      </c>
      <c r="AH427" s="48" t="n">
        <f aca="false">IF($U427&gt;=5,SUM(INDEX($AD$397:$AD427,32-5):$AD427),"")</f>
        <v>28303952592</v>
      </c>
      <c r="AI427" s="48" t="n">
        <f aca="false">IF($U427&gt;=STRUCT_S,MAX(INDEX($G$277:$G427,152-STRUCT_S):$G427),"")</f>
        <v>8510</v>
      </c>
      <c r="AJ427" s="48" t="n">
        <f aca="false">IF($U427&gt;=STRUCT_S,MIN(INDEX($H$277:$H427,152-STRUCT_S):$H427),"")</f>
        <v>7142</v>
      </c>
      <c r="AK427" s="48" t="n">
        <f aca="false">IF($U427&gt;=STRUCT_L,MAX(INDEX($G$177:$G427,252-STRUCT_L):$G427),"")</f>
        <v>8510</v>
      </c>
      <c r="AL427" s="48" t="n">
        <f aca="false">IF($U427&gt;=STRUCT_L,MIN(INDEX($H$177:$H427,252-STRUCT_L):$H427),"")</f>
        <v>6986</v>
      </c>
      <c r="AM427" s="46" t="n">
        <f aca="false">IF($A427&lt;&gt;$A428,1,0)</f>
        <v>0</v>
      </c>
      <c r="AN427" s="47" t="str">
        <f aca="false">IF($AM427=1,$A427,"")</f>
        <v/>
      </c>
    </row>
    <row r="428" customFormat="false" ht="15" hidden="false" customHeight="false" outlineLevel="0" collapsed="false">
      <c r="A428" s="43" t="s">
        <v>138</v>
      </c>
      <c r="B428" s="44" t="s">
        <v>140</v>
      </c>
      <c r="C428" s="45" t="n">
        <v>46133</v>
      </c>
      <c r="D428" s="46" t="n">
        <v>20260421</v>
      </c>
      <c r="E428" s="47" t="s">
        <v>451</v>
      </c>
      <c r="F428" s="48" t="n">
        <v>7327</v>
      </c>
      <c r="G428" s="48" t="n">
        <v>7402</v>
      </c>
      <c r="H428" s="48" t="n">
        <v>7175</v>
      </c>
      <c r="I428" s="48" t="n">
        <v>7237</v>
      </c>
      <c r="J428" s="48" t="n">
        <v>7205</v>
      </c>
      <c r="K428" s="48" t="n">
        <v>7339</v>
      </c>
      <c r="L428" s="48" t="n">
        <v>15728710</v>
      </c>
      <c r="M428" s="48" t="n">
        <v>113828674270</v>
      </c>
      <c r="N428" s="48" t="n">
        <v>355</v>
      </c>
      <c r="O428" s="48" t="n">
        <v>8757053</v>
      </c>
      <c r="P428" s="48" t="n">
        <v>7280050</v>
      </c>
      <c r="Q428" s="48" t="n">
        <v>199</v>
      </c>
      <c r="R428" s="48" t="n">
        <v>105</v>
      </c>
      <c r="S428" s="48" t="n">
        <v>6971657</v>
      </c>
      <c r="T428" s="48" t="n">
        <v>8448660</v>
      </c>
      <c r="U428" s="46" t="n">
        <f aca="false">IF($A428=$A427,$U427+1,1)</f>
        <v>164</v>
      </c>
      <c r="V428" s="48" t="n">
        <f aca="false">IF($U428&gt;=MA_SHORT,AVERAGE(INDEX($I$28:$I428,402-MA_SHORT):$I428),"")</f>
        <v>7581.35</v>
      </c>
      <c r="W428" s="48" t="n">
        <f aca="false">IF($U428&gt;=MA_MED,AVERAGE(INDEX($I$28:$I428,402-MA_MED):$I428),"")</f>
        <v>7605.12</v>
      </c>
      <c r="X428" s="48" t="n">
        <f aca="false">IF($U428&gt;=MA_LONG1,AVERAGE(INDEX($I$28:$I428,402-MA_LONG1):$I428),"")</f>
        <v>7622.58</v>
      </c>
      <c r="Y428" s="48" t="str">
        <f aca="false">IF($U428&gt;=MA_LONG2,AVERAGE(INDEX($I$28:$I428,402-MA_LONG2):$I428),"")</f>
        <v/>
      </c>
      <c r="Z428" s="48" t="n">
        <f aca="false">IF($U428&gt;=MA_SHORT,AVERAGE(INDEX($L$308:$L428,122-MA_SHORT):$L428),"")</f>
        <v>19168657.25</v>
      </c>
      <c r="AA428" s="48" t="n">
        <f aca="false">IF($U428=1,$G428-$H428,MAX($G428-$H428,ABS($G428-$I427),ABS($H428-$I427)))</f>
        <v>227</v>
      </c>
      <c r="AB428" s="48" t="n">
        <f aca="false">IF($U428&gt;=ATR_PER,AVERAGE(INDEX($AA$308:$AA428,122-ATR_PER):$AA428),"")</f>
        <v>183.214285714286</v>
      </c>
      <c r="AC428" s="48" t="n">
        <f aca="false">$O428-$P428</f>
        <v>1477003</v>
      </c>
      <c r="AD428" s="48" t="n">
        <f aca="false">$AC428*$I428</f>
        <v>10689070711</v>
      </c>
      <c r="AE428" s="49" t="n">
        <f aca="false">IF($Q428&gt;0,$O428*$I428/$Q428/1000000,"")</f>
        <v>318.466294276382</v>
      </c>
      <c r="AF428" s="49" t="n">
        <f aca="false">IF($R428&gt;0,$P428*$I428/$R428/1000000,"")</f>
        <v>501.76877952381</v>
      </c>
      <c r="AG428" s="50" t="n">
        <f aca="false">IF(AND(ISNUMBER($AE428),ISNUMBER($AF428),$AF428&gt;0),$AE428/$AF428,"")</f>
        <v>0.634687344594484</v>
      </c>
      <c r="AH428" s="48" t="n">
        <f aca="false">IF($U428&gt;=5,SUM(INDEX($AD$398:$AD428,32-5):$AD428),"")</f>
        <v>25345801717</v>
      </c>
      <c r="AI428" s="48" t="n">
        <f aca="false">IF($U428&gt;=STRUCT_S,MAX(INDEX($G$278:$G428,152-STRUCT_S):$G428),"")</f>
        <v>8510</v>
      </c>
      <c r="AJ428" s="48" t="n">
        <f aca="false">IF($U428&gt;=STRUCT_S,MIN(INDEX($H$278:$H428,152-STRUCT_S):$H428),"")</f>
        <v>7142</v>
      </c>
      <c r="AK428" s="48" t="n">
        <f aca="false">IF($U428&gt;=STRUCT_L,MAX(INDEX($G$178:$G428,252-STRUCT_L):$G428),"")</f>
        <v>8510</v>
      </c>
      <c r="AL428" s="48" t="n">
        <f aca="false">IF($U428&gt;=STRUCT_L,MIN(INDEX($H$178:$H428,252-STRUCT_L):$H428),"")</f>
        <v>6986</v>
      </c>
      <c r="AM428" s="46" t="n">
        <f aca="false">IF($A428&lt;&gt;$A429,1,0)</f>
        <v>0</v>
      </c>
      <c r="AN428" s="47" t="str">
        <f aca="false">IF($AM428=1,$A428,"")</f>
        <v/>
      </c>
    </row>
    <row r="429" customFormat="false" ht="15" hidden="false" customHeight="false" outlineLevel="0" collapsed="false">
      <c r="A429" s="43" t="s">
        <v>138</v>
      </c>
      <c r="B429" s="44" t="s">
        <v>140</v>
      </c>
      <c r="C429" s="45" t="n">
        <v>46134</v>
      </c>
      <c r="D429" s="46" t="n">
        <v>20260422</v>
      </c>
      <c r="E429" s="47" t="s">
        <v>452</v>
      </c>
      <c r="F429" s="48" t="n">
        <v>7211</v>
      </c>
      <c r="G429" s="48" t="n">
        <v>7265</v>
      </c>
      <c r="H429" s="48" t="n">
        <v>7123</v>
      </c>
      <c r="I429" s="48" t="n">
        <v>7151</v>
      </c>
      <c r="J429" s="48" t="n">
        <v>7214</v>
      </c>
      <c r="K429" s="48" t="n">
        <v>7237</v>
      </c>
      <c r="L429" s="48" t="n">
        <v>15553189</v>
      </c>
      <c r="M429" s="48" t="n">
        <v>111220854539</v>
      </c>
      <c r="N429" s="48" t="n">
        <v>391</v>
      </c>
      <c r="O429" s="48" t="n">
        <v>10050147</v>
      </c>
      <c r="P429" s="48" t="n">
        <v>5007932</v>
      </c>
      <c r="Q429" s="48" t="n">
        <v>249</v>
      </c>
      <c r="R429" s="48" t="n">
        <v>98</v>
      </c>
      <c r="S429" s="48" t="n">
        <v>5503042</v>
      </c>
      <c r="T429" s="48" t="n">
        <v>10545257</v>
      </c>
      <c r="U429" s="46" t="n">
        <f aca="false">IF($A429=$A428,$U428+1,1)</f>
        <v>165</v>
      </c>
      <c r="V429" s="48" t="n">
        <f aca="false">IF($U429&gt;=MA_SHORT,AVERAGE(INDEX($I$29:$I429,402-MA_SHORT):$I429),"")</f>
        <v>7527</v>
      </c>
      <c r="W429" s="48" t="n">
        <f aca="false">IF($U429&gt;=MA_MED,AVERAGE(INDEX($I$29:$I429,402-MA_MED):$I429),"")</f>
        <v>7603.26</v>
      </c>
      <c r="X429" s="48" t="n">
        <f aca="false">IF($U429&gt;=MA_LONG1,AVERAGE(INDEX($I$29:$I429,402-MA_LONG1):$I429),"")</f>
        <v>7614.76</v>
      </c>
      <c r="Y429" s="48" t="str">
        <f aca="false">IF($U429&gt;=MA_LONG2,AVERAGE(INDEX($I$29:$I429,402-MA_LONG2):$I429),"")</f>
        <v/>
      </c>
      <c r="Z429" s="48" t="n">
        <f aca="false">IF($U429&gt;=MA_SHORT,AVERAGE(INDEX($L$309:$L429,122-MA_SHORT):$L429),"")</f>
        <v>19218298.45</v>
      </c>
      <c r="AA429" s="48" t="n">
        <f aca="false">IF($U429=1,$G429-$H429,MAX($G429-$H429,ABS($G429-$I428),ABS($H429-$I428)))</f>
        <v>142</v>
      </c>
      <c r="AB429" s="48" t="n">
        <f aca="false">IF($U429&gt;=ATR_PER,AVERAGE(INDEX($AA$309:$AA429,122-ATR_PER):$AA429),"")</f>
        <v>177.357142857143</v>
      </c>
      <c r="AC429" s="48" t="n">
        <f aca="false">$O429-$P429</f>
        <v>5042215</v>
      </c>
      <c r="AD429" s="48" t="n">
        <f aca="false">$AC429*$I429</f>
        <v>36056879465</v>
      </c>
      <c r="AE429" s="49" t="n">
        <f aca="false">IF($Q429&gt;0,$O429*$I429/$Q429/1000000,"")</f>
        <v>288.62892046988</v>
      </c>
      <c r="AF429" s="49" t="n">
        <f aca="false">IF($R429&gt;0,$P429*$I429/$R429/1000000,"")</f>
        <v>365.425731959184</v>
      </c>
      <c r="AG429" s="50" t="n">
        <f aca="false">IF(AND(ISNUMBER($AE429),ISNUMBER($AF429),$AF429&gt;0),$AE429/$AF429,"")</f>
        <v>0.78984290165455</v>
      </c>
      <c r="AH429" s="48" t="n">
        <f aca="false">IF($U429&gt;=5,SUM(INDEX($AD$399:$AD429,32-5):$AD429),"")</f>
        <v>51642618844</v>
      </c>
      <c r="AI429" s="48" t="n">
        <f aca="false">IF($U429&gt;=STRUCT_S,MAX(INDEX($G$279:$G429,152-STRUCT_S):$G429),"")</f>
        <v>8371</v>
      </c>
      <c r="AJ429" s="48" t="n">
        <f aca="false">IF($U429&gt;=STRUCT_S,MIN(INDEX($H$279:$H429,152-STRUCT_S):$H429),"")</f>
        <v>7123</v>
      </c>
      <c r="AK429" s="48" t="n">
        <f aca="false">IF($U429&gt;=STRUCT_L,MAX(INDEX($G$179:$G429,252-STRUCT_L):$G429),"")</f>
        <v>8510</v>
      </c>
      <c r="AL429" s="48" t="n">
        <f aca="false">IF($U429&gt;=STRUCT_L,MIN(INDEX($H$179:$H429,252-STRUCT_L):$H429),"")</f>
        <v>6986</v>
      </c>
      <c r="AM429" s="46" t="n">
        <f aca="false">IF($A429&lt;&gt;$A430,1,0)</f>
        <v>0</v>
      </c>
      <c r="AN429" s="47" t="str">
        <f aca="false">IF($AM429=1,$A429,"")</f>
        <v/>
      </c>
    </row>
    <row r="430" customFormat="false" ht="15" hidden="false" customHeight="false" outlineLevel="0" collapsed="false">
      <c r="A430" s="43" t="s">
        <v>138</v>
      </c>
      <c r="B430" s="44" t="s">
        <v>140</v>
      </c>
      <c r="C430" s="45" t="n">
        <v>46137</v>
      </c>
      <c r="D430" s="46" t="n">
        <v>20260425</v>
      </c>
      <c r="E430" s="47" t="s">
        <v>453</v>
      </c>
      <c r="F430" s="48" t="n">
        <v>7125</v>
      </c>
      <c r="G430" s="48" t="n">
        <v>7285</v>
      </c>
      <c r="H430" s="48" t="n">
        <v>7094</v>
      </c>
      <c r="I430" s="48" t="n">
        <v>7228</v>
      </c>
      <c r="J430" s="48" t="n">
        <v>7240</v>
      </c>
      <c r="K430" s="48" t="n">
        <v>7151</v>
      </c>
      <c r="L430" s="48" t="n">
        <v>15456007</v>
      </c>
      <c r="M430" s="48" t="n">
        <v>111716018596</v>
      </c>
      <c r="N430" s="48" t="n">
        <v>539</v>
      </c>
      <c r="O430" s="48" t="n">
        <v>10001084</v>
      </c>
      <c r="P430" s="48" t="n">
        <v>5689584</v>
      </c>
      <c r="Q430" s="48" t="n">
        <v>180</v>
      </c>
      <c r="R430" s="48" t="n">
        <v>355</v>
      </c>
      <c r="S430" s="48" t="n">
        <v>5454923</v>
      </c>
      <c r="T430" s="48" t="n">
        <v>9766423</v>
      </c>
      <c r="U430" s="46" t="n">
        <f aca="false">IF($A430=$A429,$U429+1,1)</f>
        <v>166</v>
      </c>
      <c r="V430" s="48" t="n">
        <f aca="false">IF($U430&gt;=MA_SHORT,AVERAGE(INDEX($I$30:$I430,402-MA_SHORT):$I430),"")</f>
        <v>7486.3</v>
      </c>
      <c r="W430" s="48" t="n">
        <f aca="false">IF($U430&gt;=MA_MED,AVERAGE(INDEX($I$30:$I430,402-MA_MED):$I430),"")</f>
        <v>7601.54</v>
      </c>
      <c r="X430" s="48" t="n">
        <f aca="false">IF($U430&gt;=MA_LONG1,AVERAGE(INDEX($I$30:$I430,402-MA_LONG1):$I430),"")</f>
        <v>7606.34</v>
      </c>
      <c r="Y430" s="48" t="str">
        <f aca="false">IF($U430&gt;=MA_LONG2,AVERAGE(INDEX($I$30:$I430,402-MA_LONG2):$I430),"")</f>
        <v/>
      </c>
      <c r="Z430" s="48" t="n">
        <f aca="false">IF($U430&gt;=MA_SHORT,AVERAGE(INDEX($L$310:$L430,122-MA_SHORT):$L430),"")</f>
        <v>18915170.5</v>
      </c>
      <c r="AA430" s="48" t="n">
        <f aca="false">IF($U430=1,$G430-$H430,MAX($G430-$H430,ABS($G430-$I429),ABS($H430-$I429)))</f>
        <v>191</v>
      </c>
      <c r="AB430" s="48" t="n">
        <f aca="false">IF($U430&gt;=ATR_PER,AVERAGE(INDEX($AA$310:$AA430,122-ATR_PER):$AA430),"")</f>
        <v>184</v>
      </c>
      <c r="AC430" s="48" t="n">
        <f aca="false">$O430-$P430</f>
        <v>4311500</v>
      </c>
      <c r="AD430" s="48" t="n">
        <f aca="false">$AC430*$I430</f>
        <v>31163522000</v>
      </c>
      <c r="AE430" s="49" t="n">
        <f aca="false">IF($Q430&gt;0,$O430*$I430/$Q430/1000000,"")</f>
        <v>401.599084177778</v>
      </c>
      <c r="AF430" s="49" t="n">
        <f aca="false">IF($R430&gt;0,$P430*$I430/$R430/1000000,"")</f>
        <v>115.843135639437</v>
      </c>
      <c r="AG430" s="50" t="n">
        <f aca="false">IF(AND(ISNUMBER($AE430),ISNUMBER($AF430),$AF430&gt;0),$AE430/$AF430,"")</f>
        <v>3.46674908237775</v>
      </c>
      <c r="AH430" s="48" t="n">
        <f aca="false">IF($U430&gt;=5,SUM(INDEX($AD$400:$AD430,32-5):$AD430),"")</f>
        <v>66049164594</v>
      </c>
      <c r="AI430" s="48" t="n">
        <f aca="false">IF($U430&gt;=STRUCT_S,MAX(INDEX($G$280:$G430,152-STRUCT_S):$G430),"")</f>
        <v>8174</v>
      </c>
      <c r="AJ430" s="48" t="n">
        <f aca="false">IF($U430&gt;=STRUCT_S,MIN(INDEX($H$280:$H430,152-STRUCT_S):$H430),"")</f>
        <v>7094</v>
      </c>
      <c r="AK430" s="48" t="n">
        <f aca="false">IF($U430&gt;=STRUCT_L,MAX(INDEX($G$180:$G430,252-STRUCT_L):$G430),"")</f>
        <v>8510</v>
      </c>
      <c r="AL430" s="48" t="n">
        <f aca="false">IF($U430&gt;=STRUCT_L,MIN(INDEX($H$180:$H430,252-STRUCT_L):$H430),"")</f>
        <v>6986</v>
      </c>
      <c r="AM430" s="46" t="n">
        <f aca="false">IF($A430&lt;&gt;$A431,1,0)</f>
        <v>0</v>
      </c>
      <c r="AN430" s="47" t="str">
        <f aca="false">IF($AM430=1,$A430,"")</f>
        <v/>
      </c>
    </row>
    <row r="431" customFormat="false" ht="15" hidden="false" customHeight="false" outlineLevel="0" collapsed="false">
      <c r="A431" s="43" t="s">
        <v>138</v>
      </c>
      <c r="B431" s="44" t="s">
        <v>140</v>
      </c>
      <c r="C431" s="45" t="n">
        <v>46138</v>
      </c>
      <c r="D431" s="46" t="n">
        <v>20260426</v>
      </c>
      <c r="E431" s="47" t="s">
        <v>454</v>
      </c>
      <c r="F431" s="48" t="n">
        <v>6966</v>
      </c>
      <c r="G431" s="48" t="n">
        <v>7353</v>
      </c>
      <c r="H431" s="48" t="n">
        <v>6915</v>
      </c>
      <c r="I431" s="48" t="n">
        <v>7037</v>
      </c>
      <c r="J431" s="48" t="n">
        <v>7078</v>
      </c>
      <c r="K431" s="48" t="n">
        <v>7228</v>
      </c>
      <c r="L431" s="48" t="n">
        <v>21041799</v>
      </c>
      <c r="M431" s="48" t="n">
        <v>148071139563</v>
      </c>
      <c r="N431" s="48" t="n">
        <v>625</v>
      </c>
      <c r="O431" s="48" t="n">
        <v>9346489</v>
      </c>
      <c r="P431" s="48" t="n">
        <v>11309973</v>
      </c>
      <c r="Q431" s="48" t="n">
        <v>339</v>
      </c>
      <c r="R431" s="48" t="n">
        <v>256</v>
      </c>
      <c r="S431" s="48" t="n">
        <v>11695310</v>
      </c>
      <c r="T431" s="48" t="n">
        <v>9731826</v>
      </c>
      <c r="U431" s="46" t="n">
        <f aca="false">IF($A431=$A430,$U430+1,1)</f>
        <v>167</v>
      </c>
      <c r="V431" s="48" t="n">
        <f aca="false">IF($U431&gt;=MA_SHORT,AVERAGE(INDEX($I$31:$I431,402-MA_SHORT):$I431),"")</f>
        <v>7452.6</v>
      </c>
      <c r="W431" s="48" t="n">
        <f aca="false">IF($U431&gt;=MA_MED,AVERAGE(INDEX($I$31:$I431,402-MA_MED):$I431),"")</f>
        <v>7595.58</v>
      </c>
      <c r="X431" s="48" t="n">
        <f aca="false">IF($U431&gt;=MA_LONG1,AVERAGE(INDEX($I$31:$I431,402-MA_LONG1):$I431),"")</f>
        <v>7594.34</v>
      </c>
      <c r="Y431" s="48" t="str">
        <f aca="false">IF($U431&gt;=MA_LONG2,AVERAGE(INDEX($I$31:$I431,402-MA_LONG2):$I431),"")</f>
        <v/>
      </c>
      <c r="Z431" s="48" t="n">
        <f aca="false">IF($U431&gt;=MA_SHORT,AVERAGE(INDEX($L$311:$L431,122-MA_SHORT):$L431),"")</f>
        <v>19062093.85</v>
      </c>
      <c r="AA431" s="48" t="n">
        <f aca="false">IF($U431=1,$G431-$H431,MAX($G431-$H431,ABS($G431-$I430),ABS($H431-$I430)))</f>
        <v>438</v>
      </c>
      <c r="AB431" s="48" t="n">
        <f aca="false">IF($U431&gt;=ATR_PER,AVERAGE(INDEX($AA$311:$AA431,122-ATR_PER):$AA431),"")</f>
        <v>190.928571428571</v>
      </c>
      <c r="AC431" s="48" t="n">
        <f aca="false">$O431-$P431</f>
        <v>-1963484</v>
      </c>
      <c r="AD431" s="48" t="n">
        <f aca="false">$AC431*$I431</f>
        <v>-13817036908</v>
      </c>
      <c r="AE431" s="49" t="n">
        <f aca="false">IF($Q431&gt;0,$O431*$I431/$Q431/1000000,"")</f>
        <v>194.015466351032</v>
      </c>
      <c r="AF431" s="49" t="n">
        <f aca="false">IF($R431&gt;0,$P431*$I431/$R431/1000000,"")</f>
        <v>310.891718753906</v>
      </c>
      <c r="AG431" s="50" t="n">
        <f aca="false">IF(AND(ISNUMBER($AE431),ISNUMBER($AF431),$AF431&gt;0),$AE431/$AF431,"")</f>
        <v>0.62406122340174</v>
      </c>
      <c r="AH431" s="48" t="n">
        <f aca="false">IF($U431&gt;=5,SUM(INDEX($AD$401:$AD431,32-5):$AD431),"")</f>
        <v>50083223660</v>
      </c>
      <c r="AI431" s="48" t="n">
        <f aca="false">IF($U431&gt;=STRUCT_S,MAX(INDEX($G$281:$G431,152-STRUCT_S):$G431),"")</f>
        <v>7912</v>
      </c>
      <c r="AJ431" s="48" t="n">
        <f aca="false">IF($U431&gt;=STRUCT_S,MIN(INDEX($H$281:$H431,152-STRUCT_S):$H431),"")</f>
        <v>6915</v>
      </c>
      <c r="AK431" s="48" t="n">
        <f aca="false">IF($U431&gt;=STRUCT_L,MAX(INDEX($G$181:$G431,252-STRUCT_L):$G431),"")</f>
        <v>8510</v>
      </c>
      <c r="AL431" s="48" t="n">
        <f aca="false">IF($U431&gt;=STRUCT_L,MIN(INDEX($H$181:$H431,252-STRUCT_L):$H431),"")</f>
        <v>6915</v>
      </c>
      <c r="AM431" s="46" t="n">
        <f aca="false">IF($A431&lt;&gt;$A432,1,0)</f>
        <v>0</v>
      </c>
      <c r="AN431" s="47" t="str">
        <f aca="false">IF($AM431=1,$A431,"")</f>
        <v/>
      </c>
    </row>
    <row r="432" customFormat="false" ht="15" hidden="false" customHeight="false" outlineLevel="0" collapsed="false">
      <c r="A432" s="43" t="s">
        <v>138</v>
      </c>
      <c r="B432" s="44" t="s">
        <v>140</v>
      </c>
      <c r="C432" s="45" t="n">
        <v>46139</v>
      </c>
      <c r="D432" s="46" t="n">
        <v>20260427</v>
      </c>
      <c r="E432" s="47" t="s">
        <v>455</v>
      </c>
      <c r="F432" s="48" t="n">
        <v>7115</v>
      </c>
      <c r="G432" s="48" t="n">
        <v>7146</v>
      </c>
      <c r="H432" s="48" t="n">
        <v>7002</v>
      </c>
      <c r="I432" s="48" t="n">
        <v>7110</v>
      </c>
      <c r="J432" s="48" t="n">
        <v>7145</v>
      </c>
      <c r="K432" s="48" t="n">
        <v>7037</v>
      </c>
      <c r="L432" s="48" t="n">
        <v>15421687</v>
      </c>
      <c r="M432" s="48" t="n">
        <v>109648194570</v>
      </c>
      <c r="N432" s="48" t="n">
        <v>411</v>
      </c>
      <c r="O432" s="48" t="n">
        <v>9531394</v>
      </c>
      <c r="P432" s="48" t="n">
        <v>6145266</v>
      </c>
      <c r="Q432" s="48" t="n">
        <v>150</v>
      </c>
      <c r="R432" s="48" t="n">
        <v>217</v>
      </c>
      <c r="S432" s="48" t="n">
        <v>5890293</v>
      </c>
      <c r="T432" s="48" t="n">
        <v>9276421</v>
      </c>
      <c r="U432" s="46" t="n">
        <f aca="false">IF($A432=$A431,$U431+1,1)</f>
        <v>168</v>
      </c>
      <c r="V432" s="48" t="n">
        <f aca="false">IF($U432&gt;=MA_SHORT,AVERAGE(INDEX($I$32:$I432,402-MA_SHORT):$I432),"")</f>
        <v>7420.65</v>
      </c>
      <c r="W432" s="48" t="n">
        <f aca="false">IF($U432&gt;=MA_MED,AVERAGE(INDEX($I$32:$I432,402-MA_MED):$I432),"")</f>
        <v>7589.32</v>
      </c>
      <c r="X432" s="48" t="n">
        <f aca="false">IF($U432&gt;=MA_LONG1,AVERAGE(INDEX($I$32:$I432,402-MA_LONG1):$I432),"")</f>
        <v>7582.12</v>
      </c>
      <c r="Y432" s="48" t="str">
        <f aca="false">IF($U432&gt;=MA_LONG2,AVERAGE(INDEX($I$32:$I432,402-MA_LONG2):$I432),"")</f>
        <v/>
      </c>
      <c r="Z432" s="48" t="n">
        <f aca="false">IF($U432&gt;=MA_SHORT,AVERAGE(INDEX($L$312:$L432,122-MA_SHORT):$L432),"")</f>
        <v>19085812.2</v>
      </c>
      <c r="AA432" s="48" t="n">
        <f aca="false">IF($U432=1,$G432-$H432,MAX($G432-$H432,ABS($G432-$I431),ABS($H432-$I431)))</f>
        <v>144</v>
      </c>
      <c r="AB432" s="48" t="n">
        <f aca="false">IF($U432&gt;=ATR_PER,AVERAGE(INDEX($AA$312:$AA432,122-ATR_PER):$AA432),"")</f>
        <v>181.142857142857</v>
      </c>
      <c r="AC432" s="48" t="n">
        <f aca="false">$O432-$P432</f>
        <v>3386128</v>
      </c>
      <c r="AD432" s="48" t="n">
        <f aca="false">$AC432*$I432</f>
        <v>24075370080</v>
      </c>
      <c r="AE432" s="49" t="n">
        <f aca="false">IF($Q432&gt;0,$O432*$I432/$Q432/1000000,"")</f>
        <v>451.7880756</v>
      </c>
      <c r="AF432" s="49" t="n">
        <f aca="false">IF($R432&gt;0,$P432*$I432/$R432/1000000,"")</f>
        <v>201.349498894009</v>
      </c>
      <c r="AG432" s="50" t="n">
        <f aca="false">IF(AND(ISNUMBER($AE432),ISNUMBER($AF432),$AF432&gt;0),$AE432/$AF432,"")</f>
        <v>2.24380034756293</v>
      </c>
      <c r="AH432" s="48" t="n">
        <f aca="false">IF($U432&gt;=5,SUM(INDEX($AD$402:$AD432,32-5):$AD432),"")</f>
        <v>88167805348</v>
      </c>
      <c r="AI432" s="48" t="n">
        <f aca="false">IF($U432&gt;=STRUCT_S,MAX(INDEX($G$282:$G432,152-STRUCT_S):$G432),"")</f>
        <v>7814</v>
      </c>
      <c r="AJ432" s="48" t="n">
        <f aca="false">IF($U432&gt;=STRUCT_S,MIN(INDEX($H$282:$H432,152-STRUCT_S):$H432),"")</f>
        <v>6915</v>
      </c>
      <c r="AK432" s="48" t="n">
        <f aca="false">IF($U432&gt;=STRUCT_L,MAX(INDEX($G$182:$G432,252-STRUCT_L):$G432),"")</f>
        <v>8510</v>
      </c>
      <c r="AL432" s="48" t="n">
        <f aca="false">IF($U432&gt;=STRUCT_L,MIN(INDEX($H$182:$H432,252-STRUCT_L):$H432),"")</f>
        <v>6915</v>
      </c>
      <c r="AM432" s="46" t="n">
        <f aca="false">IF($A432&lt;&gt;$A433,1,0)</f>
        <v>0</v>
      </c>
      <c r="AN432" s="47" t="str">
        <f aca="false">IF($AM432=1,$A432,"")</f>
        <v/>
      </c>
    </row>
    <row r="433" customFormat="false" ht="15" hidden="false" customHeight="false" outlineLevel="0" collapsed="false">
      <c r="A433" s="43" t="s">
        <v>138</v>
      </c>
      <c r="B433" s="44" t="s">
        <v>140</v>
      </c>
      <c r="C433" s="45" t="n">
        <v>46140</v>
      </c>
      <c r="D433" s="46" t="n">
        <v>20260428</v>
      </c>
      <c r="E433" s="47" t="s">
        <v>456</v>
      </c>
      <c r="F433" s="48" t="n">
        <v>7101</v>
      </c>
      <c r="G433" s="48" t="n">
        <v>7232</v>
      </c>
      <c r="H433" s="48" t="n">
        <v>7071</v>
      </c>
      <c r="I433" s="48" t="n">
        <v>7193</v>
      </c>
      <c r="J433" s="48" t="n">
        <v>7205</v>
      </c>
      <c r="K433" s="48" t="n">
        <v>7110</v>
      </c>
      <c r="L433" s="48" t="n">
        <v>18007343</v>
      </c>
      <c r="M433" s="48" t="n">
        <v>129526818199</v>
      </c>
      <c r="N433" s="48" t="n">
        <v>560</v>
      </c>
      <c r="O433" s="48" t="n">
        <v>10936693</v>
      </c>
      <c r="P433" s="48" t="n">
        <v>7559211</v>
      </c>
      <c r="Q433" s="48" t="n">
        <v>183</v>
      </c>
      <c r="R433" s="48" t="n">
        <v>242</v>
      </c>
      <c r="S433" s="48" t="n">
        <v>7070650</v>
      </c>
      <c r="T433" s="48" t="n">
        <v>10448132</v>
      </c>
      <c r="U433" s="46" t="n">
        <f aca="false">IF($A433=$A432,$U432+1,1)</f>
        <v>169</v>
      </c>
      <c r="V433" s="48" t="n">
        <f aca="false">IF($U433&gt;=MA_SHORT,AVERAGE(INDEX($I$33:$I433,402-MA_SHORT):$I433),"")</f>
        <v>7392.85</v>
      </c>
      <c r="W433" s="48" t="n">
        <f aca="false">IF($U433&gt;=MA_MED,AVERAGE(INDEX($I$33:$I433,402-MA_MED):$I433),"")</f>
        <v>7585.18</v>
      </c>
      <c r="X433" s="48" t="n">
        <f aca="false">IF($U433&gt;=MA_LONG1,AVERAGE(INDEX($I$33:$I433,402-MA_LONG1):$I433),"")</f>
        <v>7571.82</v>
      </c>
      <c r="Y433" s="48" t="str">
        <f aca="false">IF($U433&gt;=MA_LONG2,AVERAGE(INDEX($I$33:$I433,402-MA_LONG2):$I433),"")</f>
        <v/>
      </c>
      <c r="Z433" s="48" t="n">
        <f aca="false">IF($U433&gt;=MA_SHORT,AVERAGE(INDEX($L$313:$L433,122-MA_SHORT):$L433),"")</f>
        <v>19260276.9</v>
      </c>
      <c r="AA433" s="48" t="n">
        <f aca="false">IF($U433=1,$G433-$H433,MAX($G433-$H433,ABS($G433-$I432),ABS($H433-$I432)))</f>
        <v>161</v>
      </c>
      <c r="AB433" s="48" t="n">
        <f aca="false">IF($U433&gt;=ATR_PER,AVERAGE(INDEX($AA$313:$AA433,122-ATR_PER):$AA433),"")</f>
        <v>169.928571428571</v>
      </c>
      <c r="AC433" s="48" t="n">
        <f aca="false">$O433-$P433</f>
        <v>3377482</v>
      </c>
      <c r="AD433" s="48" t="n">
        <f aca="false">$AC433*$I433</f>
        <v>24294228026</v>
      </c>
      <c r="AE433" s="49" t="n">
        <f aca="false">IF($Q433&gt;0,$O433*$I433/$Q433/1000000,"")</f>
        <v>429.877774584699</v>
      </c>
      <c r="AF433" s="49" t="n">
        <f aca="false">IF($R433&gt;0,$P433*$I433/$R433/1000000,"")</f>
        <v>224.683490590909</v>
      </c>
      <c r="AG433" s="50" t="n">
        <f aca="false">IF(AND(ISNUMBER($AE433),ISNUMBER($AF433),$AF433&gt;0),$AE433/$AF433,"")</f>
        <v>1.91325928511319</v>
      </c>
      <c r="AH433" s="48" t="n">
        <f aca="false">IF($U433&gt;=5,SUM(INDEX($AD$403:$AD433,32-5):$AD433),"")</f>
        <v>101772962663</v>
      </c>
      <c r="AI433" s="48" t="n">
        <f aca="false">IF($U433&gt;=STRUCT_S,MAX(INDEX($G$283:$G433,152-STRUCT_S):$G433),"")</f>
        <v>7814</v>
      </c>
      <c r="AJ433" s="48" t="n">
        <f aca="false">IF($U433&gt;=STRUCT_S,MIN(INDEX($H$283:$H433,152-STRUCT_S):$H433),"")</f>
        <v>6915</v>
      </c>
      <c r="AK433" s="48" t="n">
        <f aca="false">IF($U433&gt;=STRUCT_L,MAX(INDEX($G$183:$G433,252-STRUCT_L):$G433),"")</f>
        <v>8510</v>
      </c>
      <c r="AL433" s="48" t="n">
        <f aca="false">IF($U433&gt;=STRUCT_L,MIN(INDEX($H$183:$H433,252-STRUCT_L):$H433),"")</f>
        <v>6915</v>
      </c>
      <c r="AM433" s="46" t="n">
        <f aca="false">IF($A433&lt;&gt;$A434,1,0)</f>
        <v>0</v>
      </c>
      <c r="AN433" s="47" t="str">
        <f aca="false">IF($AM433=1,$A433,"")</f>
        <v/>
      </c>
    </row>
    <row r="434" customFormat="false" ht="15" hidden="false" customHeight="false" outlineLevel="0" collapsed="false">
      <c r="A434" s="43" t="s">
        <v>138</v>
      </c>
      <c r="B434" s="44" t="s">
        <v>140</v>
      </c>
      <c r="C434" s="45" t="n">
        <v>46141</v>
      </c>
      <c r="D434" s="46" t="n">
        <v>20260429</v>
      </c>
      <c r="E434" s="47" t="s">
        <v>457</v>
      </c>
      <c r="F434" s="48" t="n">
        <v>7104</v>
      </c>
      <c r="G434" s="48" t="n">
        <v>7328</v>
      </c>
      <c r="H434" s="48" t="n">
        <v>7026</v>
      </c>
      <c r="I434" s="48" t="n">
        <v>7161</v>
      </c>
      <c r="J434" s="48" t="n">
        <v>7201</v>
      </c>
      <c r="K434" s="48" t="n">
        <v>7193</v>
      </c>
      <c r="L434" s="48" t="n">
        <v>17604326</v>
      </c>
      <c r="M434" s="48" t="n">
        <v>126064578486</v>
      </c>
      <c r="N434" s="48" t="n">
        <v>515</v>
      </c>
      <c r="O434" s="48" t="n">
        <v>10305623</v>
      </c>
      <c r="P434" s="48" t="n">
        <v>7108687</v>
      </c>
      <c r="Q434" s="48" t="n">
        <v>221</v>
      </c>
      <c r="R434" s="48" t="n">
        <v>198</v>
      </c>
      <c r="S434" s="48" t="n">
        <v>7298703</v>
      </c>
      <c r="T434" s="48" t="n">
        <v>10495639</v>
      </c>
      <c r="U434" s="46" t="n">
        <f aca="false">IF($A434=$A433,$U433+1,1)</f>
        <v>170</v>
      </c>
      <c r="V434" s="48" t="n">
        <f aca="false">IF($U434&gt;=MA_SHORT,AVERAGE(INDEX($I$34:$I434,402-MA_SHORT):$I434),"")</f>
        <v>7372.3</v>
      </c>
      <c r="W434" s="48" t="n">
        <f aca="false">IF($U434&gt;=MA_MED,AVERAGE(INDEX($I$34:$I434,402-MA_MED):$I434),"")</f>
        <v>7577.56</v>
      </c>
      <c r="X434" s="48" t="n">
        <f aca="false">IF($U434&gt;=MA_LONG1,AVERAGE(INDEX($I$34:$I434,402-MA_LONG1):$I434),"")</f>
        <v>7558.96</v>
      </c>
      <c r="Y434" s="48" t="str">
        <f aca="false">IF($U434&gt;=MA_LONG2,AVERAGE(INDEX($I$34:$I434,402-MA_LONG2):$I434),"")</f>
        <v/>
      </c>
      <c r="Z434" s="48" t="n">
        <f aca="false">IF($U434&gt;=MA_SHORT,AVERAGE(INDEX($L$314:$L434,122-MA_SHORT):$L434),"")</f>
        <v>19285167</v>
      </c>
      <c r="AA434" s="48" t="n">
        <f aca="false">IF($U434=1,$G434-$H434,MAX($G434-$H434,ABS($G434-$I433),ABS($H434-$I433)))</f>
        <v>302</v>
      </c>
      <c r="AB434" s="48" t="n">
        <f aca="false">IF($U434&gt;=ATR_PER,AVERAGE(INDEX($AA$314:$AA434,122-ATR_PER):$AA434),"")</f>
        <v>188.285714285714</v>
      </c>
      <c r="AC434" s="48" t="n">
        <f aca="false">$O434-$P434</f>
        <v>3196936</v>
      </c>
      <c r="AD434" s="48" t="n">
        <f aca="false">$AC434*$I434</f>
        <v>22893258696</v>
      </c>
      <c r="AE434" s="49" t="n">
        <f aca="false">IF($Q434&gt;0,$O434*$I434/$Q434/1000000,"")</f>
        <v>333.930164266968</v>
      </c>
      <c r="AF434" s="49" t="n">
        <f aca="false">IF($R434&gt;0,$P434*$I434/$R434/1000000,"")</f>
        <v>257.097513166667</v>
      </c>
      <c r="AG434" s="50" t="n">
        <f aca="false">IF(AND(ISNUMBER($AE434),ISNUMBER($AF434),$AF434&gt;0),$AE434/$AF434,"")</f>
        <v>1.29884634103984</v>
      </c>
      <c r="AH434" s="48" t="n">
        <f aca="false">IF($U434&gt;=5,SUM(INDEX($AD$404:$AD434,32-5):$AD434),"")</f>
        <v>88609341894</v>
      </c>
      <c r="AI434" s="48" t="n">
        <f aca="false">IF($U434&gt;=STRUCT_S,MAX(INDEX($G$284:$G434,152-STRUCT_S):$G434),"")</f>
        <v>7745</v>
      </c>
      <c r="AJ434" s="48" t="n">
        <f aca="false">IF($U434&gt;=STRUCT_S,MIN(INDEX($H$284:$H434,152-STRUCT_S):$H434),"")</f>
        <v>6915</v>
      </c>
      <c r="AK434" s="48" t="n">
        <f aca="false">IF($U434&gt;=STRUCT_L,MAX(INDEX($G$184:$G434,252-STRUCT_L):$G434),"")</f>
        <v>8510</v>
      </c>
      <c r="AL434" s="48" t="n">
        <f aca="false">IF($U434&gt;=STRUCT_L,MIN(INDEX($H$184:$H434,252-STRUCT_L):$H434),"")</f>
        <v>6915</v>
      </c>
      <c r="AM434" s="46" t="n">
        <f aca="false">IF($A434&lt;&gt;$A435,1,0)</f>
        <v>0</v>
      </c>
      <c r="AN434" s="47" t="str">
        <f aca="false">IF($AM434=1,$A434,"")</f>
        <v/>
      </c>
    </row>
    <row r="435" customFormat="false" ht="15" hidden="false" customHeight="false" outlineLevel="0" collapsed="false">
      <c r="A435" s="43" t="s">
        <v>138</v>
      </c>
      <c r="B435" s="44" t="s">
        <v>140</v>
      </c>
      <c r="C435" s="45" t="n">
        <v>46144</v>
      </c>
      <c r="D435" s="46" t="n">
        <v>20260502</v>
      </c>
      <c r="E435" s="47" t="s">
        <v>458</v>
      </c>
      <c r="F435" s="48" t="n">
        <v>7205</v>
      </c>
      <c r="G435" s="48" t="n">
        <v>7439</v>
      </c>
      <c r="H435" s="48" t="n">
        <v>7113</v>
      </c>
      <c r="I435" s="48" t="n">
        <v>7390</v>
      </c>
      <c r="J435" s="48" t="n">
        <v>7290</v>
      </c>
      <c r="K435" s="48" t="n">
        <v>7161</v>
      </c>
      <c r="L435" s="48" t="n">
        <v>27613582</v>
      </c>
      <c r="M435" s="48" t="n">
        <v>204064370980</v>
      </c>
      <c r="N435" s="48" t="n">
        <v>1034</v>
      </c>
      <c r="O435" s="48" t="n">
        <v>17221734</v>
      </c>
      <c r="P435" s="48" t="n">
        <v>11887634</v>
      </c>
      <c r="Q435" s="48" t="n">
        <v>340</v>
      </c>
      <c r="R435" s="48" t="n">
        <v>611</v>
      </c>
      <c r="S435" s="48" t="n">
        <v>10391848</v>
      </c>
      <c r="T435" s="48" t="n">
        <v>15725948</v>
      </c>
      <c r="U435" s="46" t="n">
        <f aca="false">IF($A435=$A434,$U434+1,1)</f>
        <v>171</v>
      </c>
      <c r="V435" s="48" t="n">
        <f aca="false">IF($U435&gt;=MA_SHORT,AVERAGE(INDEX($I$35:$I435,402-MA_SHORT):$I435),"")</f>
        <v>7366</v>
      </c>
      <c r="W435" s="48" t="n">
        <f aca="false">IF($U435&gt;=MA_MED,AVERAGE(INDEX($I$35:$I435,402-MA_MED):$I435),"")</f>
        <v>7578.12</v>
      </c>
      <c r="X435" s="48" t="n">
        <f aca="false">IF($U435&gt;=MA_LONG1,AVERAGE(INDEX($I$35:$I435,402-MA_LONG1):$I435),"")</f>
        <v>7551.59</v>
      </c>
      <c r="Y435" s="48" t="str">
        <f aca="false">IF($U435&gt;=MA_LONG2,AVERAGE(INDEX($I$35:$I435,402-MA_LONG2):$I435),"")</f>
        <v/>
      </c>
      <c r="Z435" s="48" t="n">
        <f aca="false">IF($U435&gt;=MA_SHORT,AVERAGE(INDEX($L$315:$L435,122-MA_SHORT):$L435),"")</f>
        <v>19907732.45</v>
      </c>
      <c r="AA435" s="48" t="n">
        <f aca="false">IF($U435=1,$G435-$H435,MAX($G435-$H435,ABS($G435-$I434),ABS($H435-$I434)))</f>
        <v>326</v>
      </c>
      <c r="AB435" s="48" t="n">
        <f aca="false">IF($U435&gt;=ATR_PER,AVERAGE(INDEX($AA$315:$AA435,122-ATR_PER):$AA435),"")</f>
        <v>203.928571428571</v>
      </c>
      <c r="AC435" s="48" t="n">
        <f aca="false">$O435-$P435</f>
        <v>5334100</v>
      </c>
      <c r="AD435" s="48" t="n">
        <f aca="false">$AC435*$I435</f>
        <v>39418999000</v>
      </c>
      <c r="AE435" s="49" t="n">
        <f aca="false">IF($Q435&gt;0,$O435*$I435/$Q435/1000000,"")</f>
        <v>374.319453705882</v>
      </c>
      <c r="AF435" s="49" t="n">
        <f aca="false">IF($R435&gt;0,$P435*$I435/$R435/1000000,"")</f>
        <v>143.780057708674</v>
      </c>
      <c r="AG435" s="50" t="n">
        <f aca="false">IF(AND(ISNUMBER($AE435),ISNUMBER($AF435),$AF435&gt;0),$AE435/$AF435,"")</f>
        <v>2.60341705011918</v>
      </c>
      <c r="AH435" s="48" t="n">
        <f aca="false">IF($U435&gt;=5,SUM(INDEX($AD$405:$AD435,32-5):$AD435),"")</f>
        <v>96864818894</v>
      </c>
      <c r="AI435" s="48" t="n">
        <f aca="false">IF($U435&gt;=STRUCT_S,MAX(INDEX($G$285:$G435,152-STRUCT_S):$G435),"")</f>
        <v>7745</v>
      </c>
      <c r="AJ435" s="48" t="n">
        <f aca="false">IF($U435&gt;=STRUCT_S,MIN(INDEX($H$285:$H435,152-STRUCT_S):$H435),"")</f>
        <v>6915</v>
      </c>
      <c r="AK435" s="48" t="n">
        <f aca="false">IF($U435&gt;=STRUCT_L,MAX(INDEX($G$185:$G435,252-STRUCT_L):$G435),"")</f>
        <v>8510</v>
      </c>
      <c r="AL435" s="48" t="n">
        <f aca="false">IF($U435&gt;=STRUCT_L,MIN(INDEX($H$185:$H435,252-STRUCT_L):$H435),"")</f>
        <v>6915</v>
      </c>
      <c r="AM435" s="46" t="n">
        <f aca="false">IF($A435&lt;&gt;$A436,1,0)</f>
        <v>0</v>
      </c>
      <c r="AN435" s="47" t="str">
        <f aca="false">IF($AM435=1,$A435,"")</f>
        <v/>
      </c>
    </row>
    <row r="436" customFormat="false" ht="15" hidden="false" customHeight="false" outlineLevel="0" collapsed="false">
      <c r="A436" s="43" t="s">
        <v>138</v>
      </c>
      <c r="B436" s="44" t="s">
        <v>140</v>
      </c>
      <c r="C436" s="45" t="n">
        <v>46145</v>
      </c>
      <c r="D436" s="46" t="n">
        <v>20260503</v>
      </c>
      <c r="E436" s="47" t="s">
        <v>459</v>
      </c>
      <c r="F436" s="48" t="n">
        <v>7272</v>
      </c>
      <c r="G436" s="48" t="n">
        <v>7427</v>
      </c>
      <c r="H436" s="48" t="n">
        <v>7262</v>
      </c>
      <c r="I436" s="48" t="n">
        <v>7299</v>
      </c>
      <c r="J436" s="48" t="n">
        <v>7405</v>
      </c>
      <c r="K436" s="48" t="n">
        <v>7390</v>
      </c>
      <c r="L436" s="48" t="n">
        <v>19876772</v>
      </c>
      <c r="M436" s="48" t="n">
        <v>145080558828</v>
      </c>
      <c r="N436" s="48" t="n">
        <v>1668</v>
      </c>
      <c r="O436" s="48" t="n">
        <v>10909749</v>
      </c>
      <c r="P436" s="48" t="n">
        <v>10105399</v>
      </c>
      <c r="Q436" s="48" t="n">
        <v>815</v>
      </c>
      <c r="R436" s="48" t="n">
        <v>578</v>
      </c>
      <c r="S436" s="48" t="n">
        <v>8967023</v>
      </c>
      <c r="T436" s="48" t="n">
        <v>9771373</v>
      </c>
      <c r="U436" s="46" t="n">
        <f aca="false">IF($A436=$A435,$U435+1,1)</f>
        <v>172</v>
      </c>
      <c r="V436" s="48" t="n">
        <f aca="false">IF($U436&gt;=MA_SHORT,AVERAGE(INDEX($I$36:$I436,402-MA_SHORT):$I436),"")</f>
        <v>7353.15</v>
      </c>
      <c r="W436" s="48" t="n">
        <f aca="false">IF($U436&gt;=MA_MED,AVERAGE(INDEX($I$36:$I436,402-MA_MED):$I436),"")</f>
        <v>7576.44</v>
      </c>
      <c r="X436" s="48" t="n">
        <f aca="false">IF($U436&gt;=MA_LONG1,AVERAGE(INDEX($I$36:$I436,402-MA_LONG1):$I436),"")</f>
        <v>7543.3</v>
      </c>
      <c r="Y436" s="48" t="str">
        <f aca="false">IF($U436&gt;=MA_LONG2,AVERAGE(INDEX($I$36:$I436,402-MA_LONG2):$I436),"")</f>
        <v/>
      </c>
      <c r="Z436" s="48" t="n">
        <f aca="false">IF($U436&gt;=MA_SHORT,AVERAGE(INDEX($L$316:$L436,122-MA_SHORT):$L436),"")</f>
        <v>18920879.3</v>
      </c>
      <c r="AA436" s="48" t="n">
        <f aca="false">IF($U436=1,$G436-$H436,MAX($G436-$H436,ABS($G436-$I435),ABS($H436-$I435)))</f>
        <v>165</v>
      </c>
      <c r="AB436" s="48" t="n">
        <f aca="false">IF($U436&gt;=ATR_PER,AVERAGE(INDEX($AA$316:$AA436,122-ATR_PER):$AA436),"")</f>
        <v>204.142857142857</v>
      </c>
      <c r="AC436" s="48" t="n">
        <f aca="false">$O436-$P436</f>
        <v>804350</v>
      </c>
      <c r="AD436" s="48" t="n">
        <f aca="false">$AC436*$I436</f>
        <v>5870950650</v>
      </c>
      <c r="AE436" s="49" t="n">
        <f aca="false">IF($Q436&gt;0,$O436*$I436/$Q436/1000000,"")</f>
        <v>97.7058379766871</v>
      </c>
      <c r="AF436" s="49" t="n">
        <f aca="false">IF($R436&gt;0,$P436*$I436/$R436/1000000,"")</f>
        <v>127.611258306228</v>
      </c>
      <c r="AG436" s="50" t="n">
        <f aca="false">IF(AND(ISNUMBER($AE436),ISNUMBER($AF436),$AF436&gt;0),$AE436/$AF436,"")</f>
        <v>0.765652178918436</v>
      </c>
      <c r="AH436" s="48" t="n">
        <f aca="false">IF($U436&gt;=5,SUM(INDEX($AD$406:$AD436,32-5):$AD436),"")</f>
        <v>116552806452</v>
      </c>
      <c r="AI436" s="48" t="n">
        <f aca="false">IF($U436&gt;=STRUCT_S,MAX(INDEX($G$286:$G436,152-STRUCT_S):$G436),"")</f>
        <v>7745</v>
      </c>
      <c r="AJ436" s="48" t="n">
        <f aca="false">IF($U436&gt;=STRUCT_S,MIN(INDEX($H$286:$H436,152-STRUCT_S):$H436),"")</f>
        <v>6915</v>
      </c>
      <c r="AK436" s="48" t="n">
        <f aca="false">IF($U436&gt;=STRUCT_L,MAX(INDEX($G$186:$G436,252-STRUCT_L):$G436),"")</f>
        <v>8510</v>
      </c>
      <c r="AL436" s="48" t="n">
        <f aca="false">IF($U436&gt;=STRUCT_L,MIN(INDEX($H$186:$H436,252-STRUCT_L):$H436),"")</f>
        <v>6915</v>
      </c>
      <c r="AM436" s="46" t="n">
        <f aca="false">IF($A436&lt;&gt;$A437,1,0)</f>
        <v>0</v>
      </c>
      <c r="AN436" s="47" t="str">
        <f aca="false">IF($AM436=1,$A436,"")</f>
        <v/>
      </c>
    </row>
    <row r="437" customFormat="false" ht="15" hidden="false" customHeight="false" outlineLevel="0" collapsed="false">
      <c r="A437" s="43" t="s">
        <v>138</v>
      </c>
      <c r="B437" s="44" t="s">
        <v>140</v>
      </c>
      <c r="C437" s="45" t="n">
        <v>46146</v>
      </c>
      <c r="D437" s="46" t="n">
        <v>20260504</v>
      </c>
      <c r="E437" s="47" t="s">
        <v>460</v>
      </c>
      <c r="F437" s="48" t="n">
        <v>7407</v>
      </c>
      <c r="G437" s="48" t="n">
        <v>7456</v>
      </c>
      <c r="H437" s="48" t="n">
        <v>7173</v>
      </c>
      <c r="I437" s="48" t="n">
        <v>7330</v>
      </c>
      <c r="J437" s="48" t="n">
        <v>7182</v>
      </c>
      <c r="K437" s="48" t="n">
        <v>7299</v>
      </c>
      <c r="L437" s="48" t="n">
        <v>15669047</v>
      </c>
      <c r="M437" s="48" t="n">
        <v>114854114510</v>
      </c>
      <c r="N437" s="48" t="n">
        <v>376</v>
      </c>
      <c r="O437" s="48" t="n">
        <v>9014590</v>
      </c>
      <c r="P437" s="48" t="n">
        <v>7185012</v>
      </c>
      <c r="Q437" s="48" t="n">
        <v>148</v>
      </c>
      <c r="R437" s="48" t="n">
        <v>221</v>
      </c>
      <c r="S437" s="48" t="n">
        <v>6654457</v>
      </c>
      <c r="T437" s="48" t="n">
        <v>8484035</v>
      </c>
      <c r="U437" s="46" t="n">
        <f aca="false">IF($A437=$A436,$U436+1,1)</f>
        <v>173</v>
      </c>
      <c r="V437" s="48" t="n">
        <f aca="false">IF($U437&gt;=MA_SHORT,AVERAGE(INDEX($I$37:$I437,402-MA_SHORT):$I437),"")</f>
        <v>7356.35</v>
      </c>
      <c r="W437" s="48" t="n">
        <f aca="false">IF($U437&gt;=MA_MED,AVERAGE(INDEX($I$37:$I437,402-MA_MED):$I437),"")</f>
        <v>7577.62</v>
      </c>
      <c r="X437" s="48" t="n">
        <f aca="false">IF($U437&gt;=MA_LONG1,AVERAGE(INDEX($I$37:$I437,402-MA_LONG1):$I437),"")</f>
        <v>7537.65</v>
      </c>
      <c r="Y437" s="48" t="str">
        <f aca="false">IF($U437&gt;=MA_LONG2,AVERAGE(INDEX($I$37:$I437,402-MA_LONG2):$I437),"")</f>
        <v/>
      </c>
      <c r="Z437" s="48" t="n">
        <f aca="false">IF($U437&gt;=MA_SHORT,AVERAGE(INDEX($L$317:$L437,122-MA_SHORT):$L437),"")</f>
        <v>18811268</v>
      </c>
      <c r="AA437" s="48" t="n">
        <f aca="false">IF($U437=1,$G437-$H437,MAX($G437-$H437,ABS($G437-$I436),ABS($H437-$I436)))</f>
        <v>283</v>
      </c>
      <c r="AB437" s="48" t="n">
        <f aca="false">IF($U437&gt;=ATR_PER,AVERAGE(INDEX($AA$317:$AA437,122-ATR_PER):$AA437),"")</f>
        <v>207.571428571429</v>
      </c>
      <c r="AC437" s="48" t="n">
        <f aca="false">$O437-$P437</f>
        <v>1829578</v>
      </c>
      <c r="AD437" s="48" t="n">
        <f aca="false">$AC437*$I437</f>
        <v>13410806740</v>
      </c>
      <c r="AE437" s="49" t="n">
        <f aca="false">IF($Q437&gt;0,$O437*$I437/$Q437/1000000,"")</f>
        <v>446.465842567568</v>
      </c>
      <c r="AF437" s="49" t="n">
        <f aca="false">IF($R437&gt;0,$P437*$I437/$R437/1000000,"")</f>
        <v>238.308316561086</v>
      </c>
      <c r="AG437" s="50" t="n">
        <f aca="false">IF(AND(ISNUMBER($AE437),ISNUMBER($AF437),$AF437&gt;0),$AE437/$AF437,"")</f>
        <v>1.87347990624206</v>
      </c>
      <c r="AH437" s="48" t="n">
        <f aca="false">IF($U437&gt;=5,SUM(INDEX($AD$407:$AD437,32-5):$AD437),"")</f>
        <v>105888243112</v>
      </c>
      <c r="AI437" s="48" t="n">
        <f aca="false">IF($U437&gt;=STRUCT_S,MAX(INDEX($G$287:$G437,152-STRUCT_S):$G437),"")</f>
        <v>7745</v>
      </c>
      <c r="AJ437" s="48" t="n">
        <f aca="false">IF($U437&gt;=STRUCT_S,MIN(INDEX($H$287:$H437,152-STRUCT_S):$H437),"")</f>
        <v>6915</v>
      </c>
      <c r="AK437" s="48" t="n">
        <f aca="false">IF($U437&gt;=STRUCT_L,MAX(INDEX($G$187:$G437,252-STRUCT_L):$G437),"")</f>
        <v>8510</v>
      </c>
      <c r="AL437" s="48" t="n">
        <f aca="false">IF($U437&gt;=STRUCT_L,MIN(INDEX($H$187:$H437,252-STRUCT_L):$H437),"")</f>
        <v>6915</v>
      </c>
      <c r="AM437" s="46" t="n">
        <f aca="false">IF($A437&lt;&gt;$A438,1,0)</f>
        <v>0</v>
      </c>
      <c r="AN437" s="47" t="str">
        <f aca="false">IF($AM437=1,$A437,"")</f>
        <v/>
      </c>
    </row>
    <row r="438" customFormat="false" ht="15" hidden="false" customHeight="false" outlineLevel="0" collapsed="false">
      <c r="A438" s="43" t="s">
        <v>138</v>
      </c>
      <c r="B438" s="44" t="s">
        <v>140</v>
      </c>
      <c r="C438" s="45" t="n">
        <v>46147</v>
      </c>
      <c r="D438" s="46" t="n">
        <v>20260505</v>
      </c>
      <c r="E438" s="47" t="s">
        <v>461</v>
      </c>
      <c r="F438" s="48" t="n">
        <v>7285</v>
      </c>
      <c r="G438" s="48" t="n">
        <v>7374</v>
      </c>
      <c r="H438" s="48" t="n">
        <v>7017</v>
      </c>
      <c r="I438" s="48" t="n">
        <v>7059</v>
      </c>
      <c r="J438" s="48" t="n">
        <v>7153</v>
      </c>
      <c r="K438" s="48" t="n">
        <v>7330</v>
      </c>
      <c r="L438" s="48" t="n">
        <v>28049692</v>
      </c>
      <c r="M438" s="48" t="n">
        <v>198002775828</v>
      </c>
      <c r="N438" s="48" t="n">
        <v>778</v>
      </c>
      <c r="O438" s="48" t="n">
        <v>12439101</v>
      </c>
      <c r="P438" s="48" t="n">
        <v>15284329</v>
      </c>
      <c r="Q438" s="48" t="n">
        <v>382</v>
      </c>
      <c r="R438" s="48" t="n">
        <v>253</v>
      </c>
      <c r="S438" s="48" t="n">
        <v>15610591</v>
      </c>
      <c r="T438" s="48" t="n">
        <v>12765363</v>
      </c>
      <c r="U438" s="46" t="n">
        <f aca="false">IF($A438=$A437,$U437+1,1)</f>
        <v>174</v>
      </c>
      <c r="V438" s="48" t="n">
        <f aca="false">IF($U438&gt;=MA_SHORT,AVERAGE(INDEX($I$38:$I438,402-MA_SHORT):$I438),"")</f>
        <v>7344.35</v>
      </c>
      <c r="W438" s="48" t="n">
        <f aca="false">IF($U438&gt;=MA_MED,AVERAGE(INDEX($I$38:$I438,402-MA_MED):$I438),"")</f>
        <v>7569.5</v>
      </c>
      <c r="X438" s="48" t="n">
        <f aca="false">IF($U438&gt;=MA_LONG1,AVERAGE(INDEX($I$38:$I438,402-MA_LONG1):$I438),"")</f>
        <v>7529.41</v>
      </c>
      <c r="Y438" s="48" t="str">
        <f aca="false">IF($U438&gt;=MA_LONG2,AVERAGE(INDEX($I$38:$I438,402-MA_LONG2):$I438),"")</f>
        <v/>
      </c>
      <c r="Z438" s="48" t="n">
        <f aca="false">IF($U438&gt;=MA_SHORT,AVERAGE(INDEX($L$318:$L438,122-MA_SHORT):$L438),"")</f>
        <v>19410482.35</v>
      </c>
      <c r="AA438" s="48" t="n">
        <f aca="false">IF($U438=1,$G438-$H438,MAX($G438-$H438,ABS($G438-$I437),ABS($H438-$I437)))</f>
        <v>357</v>
      </c>
      <c r="AB438" s="48" t="n">
        <f aca="false">IF($U438&gt;=ATR_PER,AVERAGE(INDEX($AA$318:$AA438,122-ATR_PER):$AA438),"")</f>
        <v>222.571428571429</v>
      </c>
      <c r="AC438" s="48" t="n">
        <f aca="false">$O438-$P438</f>
        <v>-2845228</v>
      </c>
      <c r="AD438" s="48" t="n">
        <f aca="false">$AC438*$I438</f>
        <v>-20084464452</v>
      </c>
      <c r="AE438" s="49" t="n">
        <f aca="false">IF($Q438&gt;0,$O438*$I438/$Q438/1000000,"")</f>
        <v>229.862863767016</v>
      </c>
      <c r="AF438" s="49" t="n">
        <f aca="false">IF($R438&gt;0,$P438*$I438/$R438/1000000,"")</f>
        <v>426.450902810277</v>
      </c>
      <c r="AG438" s="50" t="n">
        <f aca="false">IF(AND(ISNUMBER($AE438),ISNUMBER($AF438),$AF438&gt;0),$AE438/$AF438,"")</f>
        <v>0.539013664298137</v>
      </c>
      <c r="AH438" s="48" t="n">
        <f aca="false">IF($U438&gt;=5,SUM(INDEX($AD$408:$AD438,32-5):$AD438),"")</f>
        <v>61509550634</v>
      </c>
      <c r="AI438" s="48" t="n">
        <f aca="false">IF($U438&gt;=STRUCT_S,MAX(INDEX($G$288:$G438,152-STRUCT_S):$G438),"")</f>
        <v>7745</v>
      </c>
      <c r="AJ438" s="48" t="n">
        <f aca="false">IF($U438&gt;=STRUCT_S,MIN(INDEX($H$288:$H438,152-STRUCT_S):$H438),"")</f>
        <v>6915</v>
      </c>
      <c r="AK438" s="48" t="n">
        <f aca="false">IF($U438&gt;=STRUCT_L,MAX(INDEX($G$188:$G438,252-STRUCT_L):$G438),"")</f>
        <v>8510</v>
      </c>
      <c r="AL438" s="48" t="n">
        <f aca="false">IF($U438&gt;=STRUCT_L,MIN(INDEX($H$188:$H438,252-STRUCT_L):$H438),"")</f>
        <v>6915</v>
      </c>
      <c r="AM438" s="46" t="n">
        <f aca="false">IF($A438&lt;&gt;$A439,1,0)</f>
        <v>0</v>
      </c>
      <c r="AN438" s="47" t="str">
        <f aca="false">IF($AM438=1,$A438,"")</f>
        <v/>
      </c>
    </row>
    <row r="439" customFormat="false" ht="15" hidden="false" customHeight="false" outlineLevel="0" collapsed="false">
      <c r="A439" s="43" t="s">
        <v>138</v>
      </c>
      <c r="B439" s="44" t="s">
        <v>140</v>
      </c>
      <c r="C439" s="45" t="n">
        <v>46148</v>
      </c>
      <c r="D439" s="46" t="n">
        <v>20260506</v>
      </c>
      <c r="E439" s="47" t="s">
        <v>462</v>
      </c>
      <c r="F439" s="48" t="n">
        <v>7176</v>
      </c>
      <c r="G439" s="48" t="n">
        <v>7231</v>
      </c>
      <c r="H439" s="48" t="n">
        <v>6925</v>
      </c>
      <c r="I439" s="48" t="n">
        <v>7097</v>
      </c>
      <c r="J439" s="48" t="n">
        <v>7157</v>
      </c>
      <c r="K439" s="48" t="n">
        <v>7059</v>
      </c>
      <c r="L439" s="48" t="n">
        <v>14986970</v>
      </c>
      <c r="M439" s="48" t="n">
        <v>106362526090</v>
      </c>
      <c r="N439" s="48" t="n">
        <v>380</v>
      </c>
      <c r="O439" s="48" t="n">
        <v>9279556</v>
      </c>
      <c r="P439" s="48" t="n">
        <v>6648221</v>
      </c>
      <c r="Q439" s="48" t="n">
        <v>99</v>
      </c>
      <c r="R439" s="48" t="n">
        <v>251</v>
      </c>
      <c r="S439" s="48" t="n">
        <v>5707414</v>
      </c>
      <c r="T439" s="48" t="n">
        <v>8338749</v>
      </c>
      <c r="U439" s="46" t="n">
        <f aca="false">IF($A439=$A438,$U438+1,1)</f>
        <v>175</v>
      </c>
      <c r="V439" s="48" t="n">
        <f aca="false">IF($U439&gt;=MA_SHORT,AVERAGE(INDEX($I$39:$I439,402-MA_SHORT):$I439),"")</f>
        <v>7321.1</v>
      </c>
      <c r="W439" s="48" t="n">
        <f aca="false">IF($U439&gt;=MA_MED,AVERAGE(INDEX($I$39:$I439,402-MA_MED):$I439),"")</f>
        <v>7561.08</v>
      </c>
      <c r="X439" s="48" t="n">
        <f aca="false">IF($U439&gt;=MA_LONG1,AVERAGE(INDEX($I$39:$I439,402-MA_LONG1):$I439),"")</f>
        <v>7521.93</v>
      </c>
      <c r="Y439" s="48" t="str">
        <f aca="false">IF($U439&gt;=MA_LONG2,AVERAGE(INDEX($I$39:$I439,402-MA_LONG2):$I439),"")</f>
        <v/>
      </c>
      <c r="Z439" s="48" t="n">
        <f aca="false">IF($U439&gt;=MA_SHORT,AVERAGE(INDEX($L$319:$L439,122-MA_SHORT):$L439),"")</f>
        <v>19276992.65</v>
      </c>
      <c r="AA439" s="48" t="n">
        <f aca="false">IF($U439=1,$G439-$H439,MAX($G439-$H439,ABS($G439-$I438),ABS($H439-$I438)))</f>
        <v>306</v>
      </c>
      <c r="AB439" s="48" t="n">
        <f aca="false">IF($U439&gt;=ATR_PER,AVERAGE(INDEX($AA$319:$AA439,122-ATR_PER):$AA439),"")</f>
        <v>237.357142857143</v>
      </c>
      <c r="AC439" s="48" t="n">
        <f aca="false">$O439-$P439</f>
        <v>2631335</v>
      </c>
      <c r="AD439" s="48" t="n">
        <f aca="false">$AC439*$I439</f>
        <v>18674584495</v>
      </c>
      <c r="AE439" s="49" t="n">
        <f aca="false">IF($Q439&gt;0,$O439*$I439/$Q439/1000000,"")</f>
        <v>665.222312444445</v>
      </c>
      <c r="AF439" s="49" t="n">
        <f aca="false">IF($R439&gt;0,$P439*$I439/$R439/1000000,"")</f>
        <v>187.977786601594</v>
      </c>
      <c r="AG439" s="50" t="n">
        <f aca="false">IF(AND(ISNUMBER($AE439),ISNUMBER($AF439),$AF439&gt;0),$AE439/$AF439,"")</f>
        <v>3.53883469143266</v>
      </c>
      <c r="AH439" s="48" t="n">
        <f aca="false">IF($U439&gt;=5,SUM(INDEX($AD$409:$AD439,32-5):$AD439),"")</f>
        <v>57290876433</v>
      </c>
      <c r="AI439" s="48" t="n">
        <f aca="false">IF($U439&gt;=STRUCT_S,MAX(INDEX($G$289:$G439,152-STRUCT_S):$G439),"")</f>
        <v>7745</v>
      </c>
      <c r="AJ439" s="48" t="n">
        <f aca="false">IF($U439&gt;=STRUCT_S,MIN(INDEX($H$289:$H439,152-STRUCT_S):$H439),"")</f>
        <v>6915</v>
      </c>
      <c r="AK439" s="48" t="n">
        <f aca="false">IF($U439&gt;=STRUCT_L,MAX(INDEX($G$189:$G439,252-STRUCT_L):$G439),"")</f>
        <v>8510</v>
      </c>
      <c r="AL439" s="48" t="n">
        <f aca="false">IF($U439&gt;=STRUCT_L,MIN(INDEX($H$189:$H439,252-STRUCT_L):$H439),"")</f>
        <v>6915</v>
      </c>
      <c r="AM439" s="46" t="n">
        <f aca="false">IF($A439&lt;&gt;$A440,1,0)</f>
        <v>0</v>
      </c>
      <c r="AN439" s="47" t="str">
        <f aca="false">IF($AM439=1,$A439,"")</f>
        <v/>
      </c>
    </row>
    <row r="440" customFormat="false" ht="15" hidden="false" customHeight="false" outlineLevel="0" collapsed="false">
      <c r="A440" s="43" t="s">
        <v>138</v>
      </c>
      <c r="B440" s="44" t="s">
        <v>140</v>
      </c>
      <c r="C440" s="45" t="n">
        <v>46151</v>
      </c>
      <c r="D440" s="46" t="n">
        <v>20260509</v>
      </c>
      <c r="E440" s="47" t="s">
        <v>463</v>
      </c>
      <c r="F440" s="48" t="n">
        <v>7050</v>
      </c>
      <c r="G440" s="48" t="n">
        <v>7242</v>
      </c>
      <c r="H440" s="48" t="n">
        <v>6890</v>
      </c>
      <c r="I440" s="48" t="n">
        <v>7034</v>
      </c>
      <c r="J440" s="48" t="n">
        <v>7093</v>
      </c>
      <c r="K440" s="48" t="n">
        <v>7097</v>
      </c>
      <c r="L440" s="48" t="n">
        <v>23075980</v>
      </c>
      <c r="M440" s="48" t="n">
        <v>162316443320</v>
      </c>
      <c r="N440" s="48" t="n">
        <v>1653</v>
      </c>
      <c r="O440" s="48" t="n">
        <v>13194701</v>
      </c>
      <c r="P440" s="48" t="n">
        <v>8023936</v>
      </c>
      <c r="Q440" s="48" t="n">
        <v>886</v>
      </c>
      <c r="R440" s="48" t="n">
        <v>435</v>
      </c>
      <c r="S440" s="48" t="n">
        <v>9881279</v>
      </c>
      <c r="T440" s="48" t="n">
        <v>15052044</v>
      </c>
      <c r="U440" s="46" t="n">
        <f aca="false">IF($A440=$A439,$U439+1,1)</f>
        <v>176</v>
      </c>
      <c r="V440" s="48" t="n">
        <f aca="false">IF($U440&gt;=MA_SHORT,AVERAGE(INDEX($I$40:$I440,402-MA_SHORT):$I440),"")</f>
        <v>7294.55</v>
      </c>
      <c r="W440" s="48" t="n">
        <f aca="false">IF($U440&gt;=MA_MED,AVERAGE(INDEX($I$40:$I440,402-MA_MED):$I440),"")</f>
        <v>7551.96</v>
      </c>
      <c r="X440" s="48" t="n">
        <f aca="false">IF($U440&gt;=MA_LONG1,AVERAGE(INDEX($I$40:$I440,402-MA_LONG1):$I440),"")</f>
        <v>7513.89</v>
      </c>
      <c r="Y440" s="48" t="str">
        <f aca="false">IF($U440&gt;=MA_LONG2,AVERAGE(INDEX($I$40:$I440,402-MA_LONG2):$I440),"")</f>
        <v/>
      </c>
      <c r="Z440" s="48" t="n">
        <f aca="false">IF($U440&gt;=MA_SHORT,AVERAGE(INDEX($L$320:$L440,122-MA_SHORT):$L440),"")</f>
        <v>19703161.35</v>
      </c>
      <c r="AA440" s="48" t="n">
        <f aca="false">IF($U440=1,$G440-$H440,MAX($G440-$H440,ABS($G440-$I439),ABS($H440-$I439)))</f>
        <v>352</v>
      </c>
      <c r="AB440" s="48" t="n">
        <f aca="false">IF($U440&gt;=ATR_PER,AVERAGE(INDEX($AA$320:$AA440,122-ATR_PER):$AA440),"")</f>
        <v>252.857142857143</v>
      </c>
      <c r="AC440" s="48" t="n">
        <f aca="false">$O440-$P440</f>
        <v>5170765</v>
      </c>
      <c r="AD440" s="48" t="n">
        <f aca="false">$AC440*$I440</f>
        <v>36371161010</v>
      </c>
      <c r="AE440" s="49" t="n">
        <f aca="false">IF($Q440&gt;0,$O440*$I440/$Q440/1000000,"")</f>
        <v>104.753416291196</v>
      </c>
      <c r="AF440" s="49" t="n">
        <f aca="false">IF($R440&gt;0,$P440*$I440/$R440/1000000,"")</f>
        <v>129.747967411494</v>
      </c>
      <c r="AG440" s="50" t="n">
        <f aca="false">IF(AND(ISNUMBER($AE440),ISNUMBER($AF440),$AF440&gt;0),$AE440/$AF440,"")</f>
        <v>0.807360750083831</v>
      </c>
      <c r="AH440" s="48" t="n">
        <f aca="false">IF($U440&gt;=5,SUM(INDEX($AD$410:$AD440,32-5):$AD440),"")</f>
        <v>54243038443</v>
      </c>
      <c r="AI440" s="48" t="n">
        <f aca="false">IF($U440&gt;=STRUCT_S,MAX(INDEX($G$290:$G440,152-STRUCT_S):$G440),"")</f>
        <v>7745</v>
      </c>
      <c r="AJ440" s="48" t="n">
        <f aca="false">IF($U440&gt;=STRUCT_S,MIN(INDEX($H$290:$H440,152-STRUCT_S):$H440),"")</f>
        <v>6890</v>
      </c>
      <c r="AK440" s="48" t="n">
        <f aca="false">IF($U440&gt;=STRUCT_L,MAX(INDEX($G$190:$G440,252-STRUCT_L):$G440),"")</f>
        <v>8510</v>
      </c>
      <c r="AL440" s="48" t="n">
        <f aca="false">IF($U440&gt;=STRUCT_L,MIN(INDEX($H$190:$H440,252-STRUCT_L):$H440),"")</f>
        <v>6890</v>
      </c>
      <c r="AM440" s="46" t="n">
        <f aca="false">IF($A440&lt;&gt;$A441,1,0)</f>
        <v>0</v>
      </c>
      <c r="AN440" s="47" t="str">
        <f aca="false">IF($AM440=1,$A440,"")</f>
        <v/>
      </c>
    </row>
    <row r="441" customFormat="false" ht="15" hidden="false" customHeight="false" outlineLevel="0" collapsed="false">
      <c r="A441" s="43" t="s">
        <v>138</v>
      </c>
      <c r="B441" s="44" t="s">
        <v>140</v>
      </c>
      <c r="C441" s="45" t="n">
        <v>46152</v>
      </c>
      <c r="D441" s="46" t="n">
        <v>20260510</v>
      </c>
      <c r="E441" s="47" t="s">
        <v>464</v>
      </c>
      <c r="F441" s="48" t="n">
        <v>7157</v>
      </c>
      <c r="G441" s="48" t="n">
        <v>7252</v>
      </c>
      <c r="H441" s="48" t="n">
        <v>6953</v>
      </c>
      <c r="I441" s="48" t="n">
        <v>7170</v>
      </c>
      <c r="J441" s="48" t="n">
        <v>7159</v>
      </c>
      <c r="K441" s="48" t="n">
        <v>7034</v>
      </c>
      <c r="L441" s="48" t="n">
        <v>16202258</v>
      </c>
      <c r="M441" s="48" t="n">
        <v>116170189860</v>
      </c>
      <c r="N441" s="48" t="n">
        <v>1011</v>
      </c>
      <c r="O441" s="48" t="n">
        <v>10468811</v>
      </c>
      <c r="P441" s="48" t="n">
        <v>6274777</v>
      </c>
      <c r="Q441" s="48" t="n">
        <v>385</v>
      </c>
      <c r="R441" s="48" t="n">
        <v>408</v>
      </c>
      <c r="S441" s="48" t="n">
        <v>5733447</v>
      </c>
      <c r="T441" s="48" t="n">
        <v>9927481</v>
      </c>
      <c r="U441" s="46" t="n">
        <f aca="false">IF($A441=$A440,$U440+1,1)</f>
        <v>177</v>
      </c>
      <c r="V441" s="48" t="n">
        <f aca="false">IF($U441&gt;=MA_SHORT,AVERAGE(INDEX($I$41:$I441,402-MA_SHORT):$I441),"")</f>
        <v>7273.25</v>
      </c>
      <c r="W441" s="48" t="n">
        <f aca="false">IF($U441&gt;=MA_MED,AVERAGE(INDEX($I$41:$I441,402-MA_MED):$I441),"")</f>
        <v>7548.48</v>
      </c>
      <c r="X441" s="48" t="n">
        <f aca="false">IF($U441&gt;=MA_LONG1,AVERAGE(INDEX($I$41:$I441,402-MA_LONG1):$I441),"")</f>
        <v>7506.64</v>
      </c>
      <c r="Y441" s="48" t="str">
        <f aca="false">IF($U441&gt;=MA_LONG2,AVERAGE(INDEX($I$41:$I441,402-MA_LONG2):$I441),"")</f>
        <v/>
      </c>
      <c r="Z441" s="48" t="n">
        <f aca="false">IF($U441&gt;=MA_SHORT,AVERAGE(INDEX($L$321:$L441,122-MA_SHORT):$L441),"")</f>
        <v>18480444.7</v>
      </c>
      <c r="AA441" s="48" t="n">
        <f aca="false">IF($U441=1,$G441-$H441,MAX($G441-$H441,ABS($G441-$I440),ABS($H441-$I440)))</f>
        <v>299</v>
      </c>
      <c r="AB441" s="48" t="n">
        <f aca="false">IF($U441&gt;=ATR_PER,AVERAGE(INDEX($AA$321:$AA441,122-ATR_PER):$AA441),"")</f>
        <v>263.785714285714</v>
      </c>
      <c r="AC441" s="48" t="n">
        <f aca="false">$O441-$P441</f>
        <v>4194034</v>
      </c>
      <c r="AD441" s="48" t="n">
        <f aca="false">$AC441*$I441</f>
        <v>30071223780</v>
      </c>
      <c r="AE441" s="49" t="n">
        <f aca="false">IF($Q441&gt;0,$O441*$I441/$Q441/1000000,"")</f>
        <v>194.964610051948</v>
      </c>
      <c r="AF441" s="49" t="n">
        <f aca="false">IF($R441&gt;0,$P441*$I441/$R441/1000000,"")</f>
        <v>110.269978161765</v>
      </c>
      <c r="AG441" s="50" t="n">
        <f aca="false">IF(AND(ISNUMBER($AE441),ISNUMBER($AF441),$AF441&gt;0),$AE441/$AF441,"")</f>
        <v>1.76806609833492</v>
      </c>
      <c r="AH441" s="48" t="n">
        <f aca="false">IF($U441&gt;=5,SUM(INDEX($AD$411:$AD441,32-5):$AD441),"")</f>
        <v>78443311573</v>
      </c>
      <c r="AI441" s="48" t="n">
        <f aca="false">IF($U441&gt;=STRUCT_S,MAX(INDEX($G$291:$G441,152-STRUCT_S):$G441),"")</f>
        <v>7745</v>
      </c>
      <c r="AJ441" s="48" t="n">
        <f aca="false">IF($U441&gt;=STRUCT_S,MIN(INDEX($H$291:$H441,152-STRUCT_S):$H441),"")</f>
        <v>6890</v>
      </c>
      <c r="AK441" s="48" t="n">
        <f aca="false">IF($U441&gt;=STRUCT_L,MAX(INDEX($G$191:$G441,252-STRUCT_L):$G441),"")</f>
        <v>8510</v>
      </c>
      <c r="AL441" s="48" t="n">
        <f aca="false">IF($U441&gt;=STRUCT_L,MIN(INDEX($H$191:$H441,252-STRUCT_L):$H441),"")</f>
        <v>6890</v>
      </c>
      <c r="AM441" s="46" t="n">
        <f aca="false">IF($A441&lt;&gt;$A442,1,0)</f>
        <v>0</v>
      </c>
      <c r="AN441" s="47" t="str">
        <f aca="false">IF($AM441=1,$A441,"")</f>
        <v/>
      </c>
    </row>
    <row r="442" customFormat="false" ht="15" hidden="false" customHeight="false" outlineLevel="0" collapsed="false">
      <c r="A442" s="43" t="s">
        <v>138</v>
      </c>
      <c r="B442" s="44" t="s">
        <v>140</v>
      </c>
      <c r="C442" s="45" t="n">
        <v>46153</v>
      </c>
      <c r="D442" s="46" t="n">
        <v>20260511</v>
      </c>
      <c r="E442" s="47" t="s">
        <v>465</v>
      </c>
      <c r="F442" s="48" t="n">
        <v>7029</v>
      </c>
      <c r="G442" s="48" t="n">
        <v>7209</v>
      </c>
      <c r="H442" s="48" t="n">
        <v>6785</v>
      </c>
      <c r="I442" s="48" t="n">
        <v>6822</v>
      </c>
      <c r="J442" s="48" t="n">
        <v>6881</v>
      </c>
      <c r="K442" s="48" t="n">
        <v>7170</v>
      </c>
      <c r="L442" s="48" t="n">
        <v>18745899</v>
      </c>
      <c r="M442" s="48" t="n">
        <v>127884522978</v>
      </c>
      <c r="N442" s="48" t="n">
        <v>1105</v>
      </c>
      <c r="O442" s="48" t="n">
        <v>5891463</v>
      </c>
      <c r="P442" s="48" t="n">
        <v>13929378</v>
      </c>
      <c r="Q442" s="48" t="n">
        <v>566</v>
      </c>
      <c r="R442" s="48" t="n">
        <v>435</v>
      </c>
      <c r="S442" s="48" t="n">
        <v>12854436</v>
      </c>
      <c r="T442" s="48" t="n">
        <v>4816521</v>
      </c>
      <c r="U442" s="46" t="n">
        <f aca="false">IF($A442=$A441,$U441+1,1)</f>
        <v>178</v>
      </c>
      <c r="V442" s="48" t="n">
        <f aca="false">IF($U442&gt;=MA_SHORT,AVERAGE(INDEX($I$42:$I442,402-MA_SHORT):$I442),"")</f>
        <v>7230.95</v>
      </c>
      <c r="W442" s="48" t="n">
        <f aca="false">IF($U442&gt;=MA_MED,AVERAGE(INDEX($I$42:$I442,402-MA_MED):$I442),"")</f>
        <v>7541.2</v>
      </c>
      <c r="X442" s="48" t="n">
        <f aca="false">IF($U442&gt;=MA_LONG1,AVERAGE(INDEX($I$42:$I442,402-MA_LONG1):$I442),"")</f>
        <v>7496.47</v>
      </c>
      <c r="Y442" s="48" t="str">
        <f aca="false">IF($U442&gt;=MA_LONG2,AVERAGE(INDEX($I$42:$I442,402-MA_LONG2):$I442),"")</f>
        <v/>
      </c>
      <c r="Z442" s="48" t="n">
        <f aca="false">IF($U442&gt;=MA_SHORT,AVERAGE(INDEX($L$322:$L442,122-MA_SHORT):$L442),"")</f>
        <v>18593025.6</v>
      </c>
      <c r="AA442" s="48" t="n">
        <f aca="false">IF($U442=1,$G442-$H442,MAX($G442-$H442,ABS($G442-$I441),ABS($H442-$I441)))</f>
        <v>424</v>
      </c>
      <c r="AB442" s="48" t="n">
        <f aca="false">IF($U442&gt;=ATR_PER,AVERAGE(INDEX($AA$322:$AA442,122-ATR_PER):$AA442),"")</f>
        <v>277.857142857143</v>
      </c>
      <c r="AC442" s="48" t="n">
        <f aca="false">$O442-$P442</f>
        <v>-8037915</v>
      </c>
      <c r="AD442" s="48" t="n">
        <f aca="false">$AC442*$I442</f>
        <v>-54834656130</v>
      </c>
      <c r="AE442" s="49" t="n">
        <f aca="false">IF($Q442&gt;0,$O442*$I442/$Q442/1000000,"")</f>
        <v>71.0098243568905</v>
      </c>
      <c r="AF442" s="49" t="n">
        <f aca="false">IF($R442&gt;0,$P442*$I442/$R442/1000000,"")</f>
        <v>218.451072910345</v>
      </c>
      <c r="AG442" s="50" t="n">
        <f aca="false">IF(AND(ISNUMBER($AE442),ISNUMBER($AF442),$AF442&gt;0),$AE442/$AF442,"")</f>
        <v>0.325060542898015</v>
      </c>
      <c r="AH442" s="48" t="n">
        <f aca="false">IF($U442&gt;=5,SUM(INDEX($AD$412:$AD442,32-5):$AD442),"")</f>
        <v>10197848703</v>
      </c>
      <c r="AI442" s="48" t="n">
        <f aca="false">IF($U442&gt;=STRUCT_S,MAX(INDEX($G$292:$G442,152-STRUCT_S):$G442),"")</f>
        <v>7745</v>
      </c>
      <c r="AJ442" s="48" t="n">
        <f aca="false">IF($U442&gt;=STRUCT_S,MIN(INDEX($H$292:$H442,152-STRUCT_S):$H442),"")</f>
        <v>6785</v>
      </c>
      <c r="AK442" s="48" t="n">
        <f aca="false">IF($U442&gt;=STRUCT_L,MAX(INDEX($G$192:$G442,252-STRUCT_L):$G442),"")</f>
        <v>8510</v>
      </c>
      <c r="AL442" s="48" t="n">
        <f aca="false">IF($U442&gt;=STRUCT_L,MIN(INDEX($H$192:$H442,252-STRUCT_L):$H442),"")</f>
        <v>6785</v>
      </c>
      <c r="AM442" s="46" t="n">
        <f aca="false">IF($A442&lt;&gt;$A443,1,0)</f>
        <v>0</v>
      </c>
      <c r="AN442" s="47" t="str">
        <f aca="false">IF($AM442=1,$A442,"")</f>
        <v/>
      </c>
    </row>
    <row r="443" customFormat="false" ht="15" hidden="false" customHeight="false" outlineLevel="0" collapsed="false">
      <c r="A443" s="43" t="s">
        <v>138</v>
      </c>
      <c r="B443" s="44" t="s">
        <v>140</v>
      </c>
      <c r="C443" s="45" t="n">
        <v>46154</v>
      </c>
      <c r="D443" s="46" t="n">
        <v>20260512</v>
      </c>
      <c r="E443" s="47" t="s">
        <v>466</v>
      </c>
      <c r="F443" s="48" t="n">
        <v>6657</v>
      </c>
      <c r="G443" s="48" t="n">
        <v>6890</v>
      </c>
      <c r="H443" s="48" t="n">
        <v>6621</v>
      </c>
      <c r="I443" s="48" t="n">
        <v>6688</v>
      </c>
      <c r="J443" s="48" t="n">
        <v>6690</v>
      </c>
      <c r="K443" s="48" t="n">
        <v>6822</v>
      </c>
      <c r="L443" s="48" t="n">
        <v>17734494</v>
      </c>
      <c r="M443" s="48" t="n">
        <v>118608295872</v>
      </c>
      <c r="N443" s="48" t="n">
        <v>438</v>
      </c>
      <c r="O443" s="48" t="n">
        <v>6976505</v>
      </c>
      <c r="P443" s="48" t="n">
        <v>10800033</v>
      </c>
      <c r="Q443" s="48" t="n">
        <v>227</v>
      </c>
      <c r="R443" s="48" t="n">
        <v>159</v>
      </c>
      <c r="S443" s="48" t="n">
        <v>10757989</v>
      </c>
      <c r="T443" s="48" t="n">
        <v>6934461</v>
      </c>
      <c r="U443" s="46" t="n">
        <f aca="false">IF($A443=$A442,$U442+1,1)</f>
        <v>179</v>
      </c>
      <c r="V443" s="48" t="n">
        <f aca="false">IF($U443&gt;=MA_SHORT,AVERAGE(INDEX($I$43:$I443,402-MA_SHORT):$I443),"")</f>
        <v>7186.05</v>
      </c>
      <c r="W443" s="48" t="n">
        <f aca="false">IF($U443&gt;=MA_MED,AVERAGE(INDEX($I$43:$I443,402-MA_MED):$I443),"")</f>
        <v>7530.12</v>
      </c>
      <c r="X443" s="48" t="n">
        <f aca="false">IF($U443&gt;=MA_LONG1,AVERAGE(INDEX($I$43:$I443,402-MA_LONG1):$I443),"")</f>
        <v>7485.28</v>
      </c>
      <c r="Y443" s="48" t="str">
        <f aca="false">IF($U443&gt;=MA_LONG2,AVERAGE(INDEX($I$43:$I443,402-MA_LONG2):$I443),"")</f>
        <v/>
      </c>
      <c r="Z443" s="48" t="n">
        <f aca="false">IF($U443&gt;=MA_SHORT,AVERAGE(INDEX($L$323:$L443,122-MA_SHORT):$L443),"")</f>
        <v>18707271.95</v>
      </c>
      <c r="AA443" s="48" t="n">
        <f aca="false">IF($U443=1,$G443-$H443,MAX($G443-$H443,ABS($G443-$I442),ABS($H443-$I442)))</f>
        <v>269</v>
      </c>
      <c r="AB443" s="48" t="n">
        <f aca="false">IF($U443&gt;=ATR_PER,AVERAGE(INDEX($AA$323:$AA443,122-ATR_PER):$AA443),"")</f>
        <v>286.928571428571</v>
      </c>
      <c r="AC443" s="48" t="n">
        <f aca="false">$O443-$P443</f>
        <v>-3823528</v>
      </c>
      <c r="AD443" s="48" t="n">
        <f aca="false">$AC443*$I443</f>
        <v>-25571755264</v>
      </c>
      <c r="AE443" s="49" t="n">
        <f aca="false">IF($Q443&gt;0,$O443*$I443/$Q443/1000000,"")</f>
        <v>205.545662731278</v>
      </c>
      <c r="AF443" s="49" t="n">
        <f aca="false">IF($R443&gt;0,$P443*$I443/$R443/1000000,"")</f>
        <v>454.280633358491</v>
      </c>
      <c r="AG443" s="50" t="n">
        <f aca="false">IF(AND(ISNUMBER($AE443),ISNUMBER($AF443),$AF443&gt;0),$AE443/$AF443,"")</f>
        <v>0.452464066565377</v>
      </c>
      <c r="AH443" s="48" t="n">
        <f aca="false">IF($U443&gt;=5,SUM(INDEX($AD$413:$AD443,32-5):$AD443),"")</f>
        <v>4710557891</v>
      </c>
      <c r="AI443" s="48" t="n">
        <f aca="false">IF($U443&gt;=STRUCT_S,MAX(INDEX($G$293:$G443,152-STRUCT_S):$G443),"")</f>
        <v>7624</v>
      </c>
      <c r="AJ443" s="48" t="n">
        <f aca="false">IF($U443&gt;=STRUCT_S,MIN(INDEX($H$293:$H443,152-STRUCT_S):$H443),"")</f>
        <v>6621</v>
      </c>
      <c r="AK443" s="48" t="n">
        <f aca="false">IF($U443&gt;=STRUCT_L,MAX(INDEX($G$193:$G443,252-STRUCT_L):$G443),"")</f>
        <v>8510</v>
      </c>
      <c r="AL443" s="48" t="n">
        <f aca="false">IF($U443&gt;=STRUCT_L,MIN(INDEX($H$193:$H443,252-STRUCT_L):$H443),"")</f>
        <v>6621</v>
      </c>
      <c r="AM443" s="46" t="n">
        <f aca="false">IF($A443&lt;&gt;$A444,1,0)</f>
        <v>0</v>
      </c>
      <c r="AN443" s="47" t="str">
        <f aca="false">IF($AM443=1,$A443,"")</f>
        <v/>
      </c>
    </row>
    <row r="444" customFormat="false" ht="15" hidden="false" customHeight="false" outlineLevel="0" collapsed="false">
      <c r="A444" s="43" t="s">
        <v>138</v>
      </c>
      <c r="B444" s="44" t="s">
        <v>140</v>
      </c>
      <c r="C444" s="45" t="n">
        <v>46155</v>
      </c>
      <c r="D444" s="46" t="n">
        <v>20260513</v>
      </c>
      <c r="E444" s="47" t="s">
        <v>467</v>
      </c>
      <c r="F444" s="48" t="n">
        <v>7012</v>
      </c>
      <c r="G444" s="48" t="n">
        <v>7012</v>
      </c>
      <c r="H444" s="48" t="n">
        <v>6578</v>
      </c>
      <c r="I444" s="48" t="n">
        <v>6899</v>
      </c>
      <c r="J444" s="48" t="n">
        <v>6621</v>
      </c>
      <c r="K444" s="48" t="n">
        <v>6688</v>
      </c>
      <c r="L444" s="48" t="n">
        <v>17809482</v>
      </c>
      <c r="M444" s="48" t="n">
        <v>122867616318</v>
      </c>
      <c r="N444" s="48" t="n">
        <v>509</v>
      </c>
      <c r="O444" s="48" t="n">
        <v>11156998</v>
      </c>
      <c r="P444" s="48" t="n">
        <v>6549739</v>
      </c>
      <c r="Q444" s="48" t="n">
        <v>144</v>
      </c>
      <c r="R444" s="48" t="n">
        <v>282</v>
      </c>
      <c r="S444" s="48" t="n">
        <v>6652484</v>
      </c>
      <c r="T444" s="48" t="n">
        <v>11259743</v>
      </c>
      <c r="U444" s="46" t="n">
        <f aca="false">IF($A444=$A443,$U443+1,1)</f>
        <v>180</v>
      </c>
      <c r="V444" s="48" t="n">
        <f aca="false">IF($U444&gt;=MA_SHORT,AVERAGE(INDEX($I$44:$I444,402-MA_SHORT):$I444),"")</f>
        <v>7155.3</v>
      </c>
      <c r="W444" s="48" t="n">
        <f aca="false">IF($U444&gt;=MA_MED,AVERAGE(INDEX($I$44:$I444,402-MA_MED):$I444),"")</f>
        <v>7522.64</v>
      </c>
      <c r="X444" s="48" t="n">
        <f aca="false">IF($U444&gt;=MA_LONG1,AVERAGE(INDEX($I$44:$I444,402-MA_LONG1):$I444),"")</f>
        <v>7475.74</v>
      </c>
      <c r="Y444" s="48" t="str">
        <f aca="false">IF($U444&gt;=MA_LONG2,AVERAGE(INDEX($I$44:$I444,402-MA_LONG2):$I444),"")</f>
        <v/>
      </c>
      <c r="Z444" s="48" t="n">
        <f aca="false">IF($U444&gt;=MA_SHORT,AVERAGE(INDEX($L$324:$L444,122-MA_SHORT):$L444),"")</f>
        <v>18456360.65</v>
      </c>
      <c r="AA444" s="48" t="n">
        <f aca="false">IF($U444=1,$G444-$H444,MAX($G444-$H444,ABS($G444-$I443),ABS($H444-$I443)))</f>
        <v>434</v>
      </c>
      <c r="AB444" s="48" t="n">
        <f aca="false">IF($U444&gt;=ATR_PER,AVERAGE(INDEX($AA$324:$AA444,122-ATR_PER):$AA444),"")</f>
        <v>304.285714285714</v>
      </c>
      <c r="AC444" s="48" t="n">
        <f aca="false">$O444-$P444</f>
        <v>4607259</v>
      </c>
      <c r="AD444" s="48" t="n">
        <f aca="false">$AC444*$I444</f>
        <v>31785479841</v>
      </c>
      <c r="AE444" s="49" t="n">
        <f aca="false">IF($Q444&gt;0,$O444*$I444/$Q444/1000000,"")</f>
        <v>534.528675013889</v>
      </c>
      <c r="AF444" s="49" t="n">
        <f aca="false">IF($R444&gt;0,$P444*$I444/$R444/1000000,"")</f>
        <v>160.236345251773</v>
      </c>
      <c r="AG444" s="50" t="n">
        <f aca="false">IF(AND(ISNUMBER($AE444),ISNUMBER($AF444),$AF444&gt;0),$AE444/$AF444,"")</f>
        <v>3.33587660261475</v>
      </c>
      <c r="AH444" s="48" t="n">
        <f aca="false">IF($U444&gt;=5,SUM(INDEX($AD$414:$AD444,32-5):$AD444),"")</f>
        <v>17821453237</v>
      </c>
      <c r="AI444" s="48" t="n">
        <f aca="false">IF($U444&gt;=STRUCT_S,MAX(INDEX($G$294:$G444,152-STRUCT_S):$G444),"")</f>
        <v>7534</v>
      </c>
      <c r="AJ444" s="48" t="n">
        <f aca="false">IF($U444&gt;=STRUCT_S,MIN(INDEX($H$294:$H444,152-STRUCT_S):$H444),"")</f>
        <v>6578</v>
      </c>
      <c r="AK444" s="48" t="n">
        <f aca="false">IF($U444&gt;=STRUCT_L,MAX(INDEX($G$194:$G444,252-STRUCT_L):$G444),"")</f>
        <v>8510</v>
      </c>
      <c r="AL444" s="48" t="n">
        <f aca="false">IF($U444&gt;=STRUCT_L,MIN(INDEX($H$194:$H444,252-STRUCT_L):$H444),"")</f>
        <v>6578</v>
      </c>
      <c r="AM444" s="46" t="n">
        <f aca="false">IF($A444&lt;&gt;$A445,1,0)</f>
        <v>0</v>
      </c>
      <c r="AN444" s="47" t="str">
        <f aca="false">IF($AM444=1,$A444,"")</f>
        <v/>
      </c>
    </row>
    <row r="445" customFormat="false" ht="15" hidden="false" customHeight="false" outlineLevel="0" collapsed="false">
      <c r="A445" s="43" t="s">
        <v>138</v>
      </c>
      <c r="B445" s="44" t="s">
        <v>140</v>
      </c>
      <c r="C445" s="45" t="n">
        <v>46158</v>
      </c>
      <c r="D445" s="46" t="n">
        <v>20260516</v>
      </c>
      <c r="E445" s="47" t="s">
        <v>468</v>
      </c>
      <c r="F445" s="48" t="n">
        <v>6907</v>
      </c>
      <c r="G445" s="48" t="n">
        <v>6976</v>
      </c>
      <c r="H445" s="48" t="n">
        <v>6814</v>
      </c>
      <c r="I445" s="48" t="n">
        <v>6891</v>
      </c>
      <c r="J445" s="48" t="n">
        <v>6967</v>
      </c>
      <c r="K445" s="48" t="n">
        <v>6899</v>
      </c>
      <c r="L445" s="48" t="n">
        <v>14619058</v>
      </c>
      <c r="M445" s="48" t="n">
        <v>100739928678</v>
      </c>
      <c r="N445" s="48" t="n">
        <v>621</v>
      </c>
      <c r="O445" s="48" t="n">
        <v>7643942</v>
      </c>
      <c r="P445" s="48" t="n">
        <v>7418638</v>
      </c>
      <c r="Q445" s="48" t="n">
        <v>342</v>
      </c>
      <c r="R445" s="48" t="n">
        <v>247</v>
      </c>
      <c r="S445" s="48" t="n">
        <v>6975116</v>
      </c>
      <c r="T445" s="48" t="n">
        <v>7200420</v>
      </c>
      <c r="U445" s="46" t="n">
        <f aca="false">IF($A445=$A444,$U444+1,1)</f>
        <v>181</v>
      </c>
      <c r="V445" s="48" t="n">
        <f aca="false">IF($U445&gt;=MA_SHORT,AVERAGE(INDEX($I$45:$I445,402-MA_SHORT):$I445),"")</f>
        <v>7127.1</v>
      </c>
      <c r="W445" s="48" t="n">
        <f aca="false">IF($U445&gt;=MA_MED,AVERAGE(INDEX($I$45:$I445,402-MA_MED):$I445),"")</f>
        <v>7509</v>
      </c>
      <c r="X445" s="48" t="n">
        <f aca="false">IF($U445&gt;=MA_LONG1,AVERAGE(INDEX($I$45:$I445,402-MA_LONG1):$I445),"")</f>
        <v>7466.02</v>
      </c>
      <c r="Y445" s="48" t="str">
        <f aca="false">IF($U445&gt;=MA_LONG2,AVERAGE(INDEX($I$45:$I445,402-MA_LONG2):$I445),"")</f>
        <v/>
      </c>
      <c r="Z445" s="48" t="n">
        <f aca="false">IF($U445&gt;=MA_SHORT,AVERAGE(INDEX($L$325:$L445,122-MA_SHORT):$L445),"")</f>
        <v>18427212.35</v>
      </c>
      <c r="AA445" s="48" t="n">
        <f aca="false">IF($U445=1,$G445-$H445,MAX($G445-$H445,ABS($G445-$I444),ABS($H445-$I444)))</f>
        <v>162</v>
      </c>
      <c r="AB445" s="48" t="n">
        <f aca="false">IF($U445&gt;=ATR_PER,AVERAGE(INDEX($AA$325:$AA445,122-ATR_PER):$AA445),"")</f>
        <v>284.571428571429</v>
      </c>
      <c r="AC445" s="48" t="n">
        <f aca="false">$O445-$P445</f>
        <v>225304</v>
      </c>
      <c r="AD445" s="48" t="n">
        <f aca="false">$AC445*$I445</f>
        <v>1552569864</v>
      </c>
      <c r="AE445" s="49" t="n">
        <f aca="false">IF($Q445&gt;0,$O445*$I445/$Q445/1000000,"")</f>
        <v>154.018726087719</v>
      </c>
      <c r="AF445" s="49" t="n">
        <f aca="false">IF($R445&gt;0,$P445*$I445/$R445/1000000,"")</f>
        <v>206.970989708502</v>
      </c>
      <c r="AG445" s="50" t="n">
        <f aca="false">IF(AND(ISNUMBER($AE445),ISNUMBER($AF445),$AF445&gt;0),$AE445/$AF445,"")</f>
        <v>0.744156107600584</v>
      </c>
      <c r="AH445" s="48" t="n">
        <f aca="false">IF($U445&gt;=5,SUM(INDEX($AD$415:$AD445,32-5):$AD445),"")</f>
        <v>-16997137909</v>
      </c>
      <c r="AI445" s="48" t="n">
        <f aca="false">IF($U445&gt;=STRUCT_S,MAX(INDEX($G$295:$G445,152-STRUCT_S):$G445),"")</f>
        <v>7499</v>
      </c>
      <c r="AJ445" s="48" t="n">
        <f aca="false">IF($U445&gt;=STRUCT_S,MIN(INDEX($H$295:$H445,152-STRUCT_S):$H445),"")</f>
        <v>6578</v>
      </c>
      <c r="AK445" s="48" t="n">
        <f aca="false">IF($U445&gt;=STRUCT_L,MAX(INDEX($G$195:$G445,252-STRUCT_L):$G445),"")</f>
        <v>8510</v>
      </c>
      <c r="AL445" s="48" t="n">
        <f aca="false">IF($U445&gt;=STRUCT_L,MIN(INDEX($H$195:$H445,252-STRUCT_L):$H445),"")</f>
        <v>6578</v>
      </c>
      <c r="AM445" s="46" t="n">
        <f aca="false">IF($A445&lt;&gt;$A446,1,0)</f>
        <v>0</v>
      </c>
      <c r="AN445" s="47" t="str">
        <f aca="false">IF($AM445=1,$A445,"")</f>
        <v/>
      </c>
    </row>
    <row r="446" customFormat="false" ht="15" hidden="false" customHeight="false" outlineLevel="0" collapsed="false">
      <c r="A446" s="43" t="s">
        <v>138</v>
      </c>
      <c r="B446" s="44" t="s">
        <v>140</v>
      </c>
      <c r="C446" s="45" t="n">
        <v>46159</v>
      </c>
      <c r="D446" s="46" t="n">
        <v>20260517</v>
      </c>
      <c r="E446" s="47" t="s">
        <v>469</v>
      </c>
      <c r="F446" s="48" t="n">
        <v>6893</v>
      </c>
      <c r="G446" s="48" t="n">
        <v>7018</v>
      </c>
      <c r="H446" s="48" t="n">
        <v>6873</v>
      </c>
      <c r="I446" s="48" t="n">
        <v>7000</v>
      </c>
      <c r="J446" s="48" t="n">
        <v>6913</v>
      </c>
      <c r="K446" s="48" t="n">
        <v>6891</v>
      </c>
      <c r="L446" s="48" t="n">
        <v>15895904</v>
      </c>
      <c r="M446" s="48" t="n">
        <v>111271328000</v>
      </c>
      <c r="N446" s="48" t="n">
        <v>378</v>
      </c>
      <c r="O446" s="48" t="n">
        <v>10228666</v>
      </c>
      <c r="P446" s="48" t="n">
        <v>6071209</v>
      </c>
      <c r="Q446" s="48" t="n">
        <v>127</v>
      </c>
      <c r="R446" s="48" t="n">
        <v>140</v>
      </c>
      <c r="S446" s="48" t="n">
        <v>5667238</v>
      </c>
      <c r="T446" s="48" t="n">
        <v>9824695</v>
      </c>
      <c r="U446" s="46" t="n">
        <f aca="false">IF($A446=$A445,$U445+1,1)</f>
        <v>182</v>
      </c>
      <c r="V446" s="48" t="n">
        <f aca="false">IF($U446&gt;=MA_SHORT,AVERAGE(INDEX($I$46:$I446,402-MA_SHORT):$I446),"")</f>
        <v>7106.75</v>
      </c>
      <c r="W446" s="48" t="n">
        <f aca="false">IF($U446&gt;=MA_MED,AVERAGE(INDEX($I$46:$I446,402-MA_MED):$I446),"")</f>
        <v>7491.36</v>
      </c>
      <c r="X446" s="48" t="n">
        <f aca="false">IF($U446&gt;=MA_LONG1,AVERAGE(INDEX($I$46:$I446,402-MA_LONG1):$I446),"")</f>
        <v>7457.41</v>
      </c>
      <c r="Y446" s="48" t="str">
        <f aca="false">IF($U446&gt;=MA_LONG2,AVERAGE(INDEX($I$46:$I446,402-MA_LONG2):$I446),"")</f>
        <v/>
      </c>
      <c r="Z446" s="48" t="n">
        <f aca="false">IF($U446&gt;=MA_SHORT,AVERAGE(INDEX($L$326:$L446,122-MA_SHORT):$L446),"")</f>
        <v>18468062.2</v>
      </c>
      <c r="AA446" s="48" t="n">
        <f aca="false">IF($U446=1,$G446-$H446,MAX($G446-$H446,ABS($G446-$I445),ABS($H446-$I445)))</f>
        <v>145</v>
      </c>
      <c r="AB446" s="48" t="n">
        <f aca="false">IF($U446&gt;=ATR_PER,AVERAGE(INDEX($AA$326:$AA446,122-ATR_PER):$AA446),"")</f>
        <v>284.642857142857</v>
      </c>
      <c r="AC446" s="48" t="n">
        <f aca="false">$O446-$P446</f>
        <v>4157457</v>
      </c>
      <c r="AD446" s="48" t="n">
        <f aca="false">$AC446*$I446</f>
        <v>29102199000</v>
      </c>
      <c r="AE446" s="49" t="n">
        <f aca="false">IF($Q446&gt;0,$O446*$I446/$Q446/1000000,"")</f>
        <v>563.78474015748</v>
      </c>
      <c r="AF446" s="49" t="n">
        <f aca="false">IF($R446&gt;0,$P446*$I446/$R446/1000000,"")</f>
        <v>303.56045</v>
      </c>
      <c r="AG446" s="50" t="n">
        <f aca="false">IF(AND(ISNUMBER($AE446),ISNUMBER($AF446),$AF446&gt;0),$AE446/$AF446,"")</f>
        <v>1.85724042824907</v>
      </c>
      <c r="AH446" s="48" t="n">
        <f aca="false">IF($U446&gt;=5,SUM(INDEX($AD$416:$AD446,32-5):$AD446),"")</f>
        <v>-17966162689</v>
      </c>
      <c r="AI446" s="48" t="n">
        <f aca="false">IF($U446&gt;=STRUCT_S,MAX(INDEX($G$296:$G446,152-STRUCT_S):$G446),"")</f>
        <v>7456</v>
      </c>
      <c r="AJ446" s="48" t="n">
        <f aca="false">IF($U446&gt;=STRUCT_S,MIN(INDEX($H$296:$H446,152-STRUCT_S):$H446),"")</f>
        <v>6578</v>
      </c>
      <c r="AK446" s="48" t="n">
        <f aca="false">IF($U446&gt;=STRUCT_L,MAX(INDEX($G$196:$G446,252-STRUCT_L):$G446),"")</f>
        <v>8510</v>
      </c>
      <c r="AL446" s="48" t="n">
        <f aca="false">IF($U446&gt;=STRUCT_L,MIN(INDEX($H$196:$H446,252-STRUCT_L):$H446),"")</f>
        <v>6578</v>
      </c>
      <c r="AM446" s="46" t="n">
        <f aca="false">IF($A446&lt;&gt;$A447,1,0)</f>
        <v>0</v>
      </c>
      <c r="AN446" s="47" t="str">
        <f aca="false">IF($AM446=1,$A446,"")</f>
        <v/>
      </c>
    </row>
    <row r="447" customFormat="false" ht="15" hidden="false" customHeight="false" outlineLevel="0" collapsed="false">
      <c r="A447" s="43" t="s">
        <v>138</v>
      </c>
      <c r="B447" s="44" t="s">
        <v>140</v>
      </c>
      <c r="C447" s="45" t="n">
        <v>46160</v>
      </c>
      <c r="D447" s="46" t="n">
        <v>20260518</v>
      </c>
      <c r="E447" s="47" t="s">
        <v>470</v>
      </c>
      <c r="F447" s="48" t="n">
        <v>7073</v>
      </c>
      <c r="G447" s="48" t="n">
        <v>7104</v>
      </c>
      <c r="H447" s="48" t="n">
        <v>6919</v>
      </c>
      <c r="I447" s="48" t="n">
        <v>7023</v>
      </c>
      <c r="J447" s="48" t="n">
        <v>7096</v>
      </c>
      <c r="K447" s="48" t="n">
        <v>7000</v>
      </c>
      <c r="L447" s="48" t="n">
        <v>15765844</v>
      </c>
      <c r="M447" s="48" t="n">
        <v>110723522412</v>
      </c>
      <c r="N447" s="48" t="n">
        <v>396</v>
      </c>
      <c r="O447" s="48" t="n">
        <v>9169210</v>
      </c>
      <c r="P447" s="48" t="n">
        <v>7827328</v>
      </c>
      <c r="Q447" s="48" t="n">
        <v>105</v>
      </c>
      <c r="R447" s="48" t="n">
        <v>224</v>
      </c>
      <c r="S447" s="48" t="n">
        <v>6596634</v>
      </c>
      <c r="T447" s="48" t="n">
        <v>7938516</v>
      </c>
      <c r="U447" s="46" t="n">
        <f aca="false">IF($A447=$A446,$U446+1,1)</f>
        <v>183</v>
      </c>
      <c r="V447" s="48" t="n">
        <f aca="false">IF($U447&gt;=MA_SHORT,AVERAGE(INDEX($I$47:$I447,402-MA_SHORT):$I447),"")</f>
        <v>7090.95</v>
      </c>
      <c r="W447" s="48" t="n">
        <f aca="false">IF($U447&gt;=MA_MED,AVERAGE(INDEX($I$47:$I447,402-MA_MED):$I447),"")</f>
        <v>7474.06</v>
      </c>
      <c r="X447" s="48" t="n">
        <f aca="false">IF($U447&gt;=MA_LONG1,AVERAGE(INDEX($I$47:$I447,402-MA_LONG1):$I447),"")</f>
        <v>7452.7</v>
      </c>
      <c r="Y447" s="48" t="str">
        <f aca="false">IF($U447&gt;=MA_LONG2,AVERAGE(INDEX($I$47:$I447,402-MA_LONG2):$I447),"")</f>
        <v/>
      </c>
      <c r="Z447" s="48" t="n">
        <f aca="false">IF($U447&gt;=MA_SHORT,AVERAGE(INDEX($L$327:$L447,122-MA_SHORT):$L447),"")</f>
        <v>18242902.15</v>
      </c>
      <c r="AA447" s="48" t="n">
        <f aca="false">IF($U447=1,$G447-$H447,MAX($G447-$H447,ABS($G447-$I446),ABS($H447-$I446)))</f>
        <v>185</v>
      </c>
      <c r="AB447" s="48" t="n">
        <f aca="false">IF($U447&gt;=ATR_PER,AVERAGE(INDEX($AA$327:$AA447,122-ATR_PER):$AA447),"")</f>
        <v>286.357142857143</v>
      </c>
      <c r="AC447" s="48" t="n">
        <f aca="false">$O447-$P447</f>
        <v>1341882</v>
      </c>
      <c r="AD447" s="48" t="n">
        <f aca="false">$AC447*$I447</f>
        <v>9424037286</v>
      </c>
      <c r="AE447" s="49" t="n">
        <f aca="false">IF($Q447&gt;0,$O447*$I447/$Q447/1000000,"")</f>
        <v>613.289160285714</v>
      </c>
      <c r="AF447" s="49" t="n">
        <f aca="false">IF($R447&gt;0,$P447*$I447/$R447/1000000,"")</f>
        <v>245.407698857143</v>
      </c>
      <c r="AG447" s="50" t="n">
        <f aca="false">IF(AND(ISNUMBER($AE447),ISNUMBER($AF447),$AF447&gt;0),$AE447/$AF447,"")</f>
        <v>2.49906243015922</v>
      </c>
      <c r="AH447" s="48" t="n">
        <f aca="false">IF($U447&gt;=5,SUM(INDEX($AD$417:$AD447,32-5):$AD447),"")</f>
        <v>46292530727</v>
      </c>
      <c r="AI447" s="48" t="n">
        <f aca="false">IF($U447&gt;=STRUCT_S,MAX(INDEX($G$297:$G447,152-STRUCT_S):$G447),"")</f>
        <v>7456</v>
      </c>
      <c r="AJ447" s="48" t="n">
        <f aca="false">IF($U447&gt;=STRUCT_S,MIN(INDEX($H$297:$H447,152-STRUCT_S):$H447),"")</f>
        <v>6578</v>
      </c>
      <c r="AK447" s="48" t="n">
        <f aca="false">IF($U447&gt;=STRUCT_L,MAX(INDEX($G$197:$G447,252-STRUCT_L):$G447),"")</f>
        <v>8510</v>
      </c>
      <c r="AL447" s="48" t="n">
        <f aca="false">IF($U447&gt;=STRUCT_L,MIN(INDEX($H$197:$H447,252-STRUCT_L):$H447),"")</f>
        <v>6578</v>
      </c>
      <c r="AM447" s="46" t="n">
        <f aca="false">IF($A447&lt;&gt;$A448,1,0)</f>
        <v>0</v>
      </c>
      <c r="AN447" s="47" t="str">
        <f aca="false">IF($AM447=1,$A447,"")</f>
        <v/>
      </c>
    </row>
    <row r="448" customFormat="false" ht="15" hidden="false" customHeight="false" outlineLevel="0" collapsed="false">
      <c r="A448" s="43" t="s">
        <v>138</v>
      </c>
      <c r="B448" s="44" t="s">
        <v>140</v>
      </c>
      <c r="C448" s="45" t="n">
        <v>46161</v>
      </c>
      <c r="D448" s="46" t="n">
        <v>20260519</v>
      </c>
      <c r="E448" s="47" t="s">
        <v>471</v>
      </c>
      <c r="F448" s="48" t="n">
        <v>7075</v>
      </c>
      <c r="G448" s="48" t="n">
        <v>7087</v>
      </c>
      <c r="H448" s="48" t="n">
        <v>6952</v>
      </c>
      <c r="I448" s="48" t="n">
        <v>7016</v>
      </c>
      <c r="J448" s="48" t="n">
        <v>7020</v>
      </c>
      <c r="K448" s="48" t="n">
        <v>7023</v>
      </c>
      <c r="L448" s="48" t="n">
        <v>14604872</v>
      </c>
      <c r="M448" s="48" t="n">
        <v>102467781952</v>
      </c>
      <c r="N448" s="48" t="n">
        <v>370</v>
      </c>
      <c r="O448" s="48" t="n">
        <v>8484579</v>
      </c>
      <c r="P448" s="48" t="n">
        <v>5914164</v>
      </c>
      <c r="Q448" s="48" t="n">
        <v>143</v>
      </c>
      <c r="R448" s="48" t="n">
        <v>143</v>
      </c>
      <c r="S448" s="48" t="n">
        <v>6120293</v>
      </c>
      <c r="T448" s="48" t="n">
        <v>8690708</v>
      </c>
      <c r="U448" s="46" t="n">
        <f aca="false">IF($A448=$A447,$U447+1,1)</f>
        <v>184</v>
      </c>
      <c r="V448" s="48" t="n">
        <f aca="false">IF($U448&gt;=MA_SHORT,AVERAGE(INDEX($I$48:$I448,402-MA_SHORT):$I448),"")</f>
        <v>7079.9</v>
      </c>
      <c r="W448" s="48" t="n">
        <f aca="false">IF($U448&gt;=MA_MED,AVERAGE(INDEX($I$48:$I448,402-MA_MED):$I448),"")</f>
        <v>7453.74</v>
      </c>
      <c r="X448" s="48" t="n">
        <f aca="false">IF($U448&gt;=MA_LONG1,AVERAGE(INDEX($I$48:$I448,402-MA_LONG1):$I448),"")</f>
        <v>7447.83</v>
      </c>
      <c r="Y448" s="48" t="str">
        <f aca="false">IF($U448&gt;=MA_LONG2,AVERAGE(INDEX($I$48:$I448,402-MA_LONG2):$I448),"")</f>
        <v/>
      </c>
      <c r="Z448" s="48" t="n">
        <f aca="false">IF($U448&gt;=MA_SHORT,AVERAGE(INDEX($L$328:$L448,122-MA_SHORT):$L448),"")</f>
        <v>18186710.25</v>
      </c>
      <c r="AA448" s="48" t="n">
        <f aca="false">IF($U448=1,$G448-$H448,MAX($G448-$H448,ABS($G448-$I447),ABS($H448-$I447)))</f>
        <v>135</v>
      </c>
      <c r="AB448" s="48" t="n">
        <f aca="false">IF($U448&gt;=ATR_PER,AVERAGE(INDEX($AA$328:$AA448,122-ATR_PER):$AA448),"")</f>
        <v>274.428571428571</v>
      </c>
      <c r="AC448" s="48" t="n">
        <f aca="false">$O448-$P448</f>
        <v>2570415</v>
      </c>
      <c r="AD448" s="48" t="n">
        <f aca="false">$AC448*$I448</f>
        <v>18034031640</v>
      </c>
      <c r="AE448" s="49" t="n">
        <f aca="false">IF($Q448&gt;0,$O448*$I448/$Q448/1000000,"")</f>
        <v>416.278365482518</v>
      </c>
      <c r="AF448" s="49" t="n">
        <f aca="false">IF($R448&gt;0,$P448*$I448/$R448/1000000,"")</f>
        <v>290.166256111888</v>
      </c>
      <c r="AG448" s="50" t="n">
        <f aca="false">IF(AND(ISNUMBER($AE448),ISNUMBER($AF448),$AF448&gt;0),$AE448/$AF448,"")</f>
        <v>1.43462017624131</v>
      </c>
      <c r="AH448" s="48" t="n">
        <f aca="false">IF($U448&gt;=5,SUM(INDEX($AD$418:$AD448,32-5):$AD448),"")</f>
        <v>89898317631</v>
      </c>
      <c r="AI448" s="48" t="n">
        <f aca="false">IF($U448&gt;=STRUCT_S,MAX(INDEX($G$298:$G448,152-STRUCT_S):$G448),"")</f>
        <v>7456</v>
      </c>
      <c r="AJ448" s="48" t="n">
        <f aca="false">IF($U448&gt;=STRUCT_S,MIN(INDEX($H$298:$H448,152-STRUCT_S):$H448),"")</f>
        <v>6578</v>
      </c>
      <c r="AK448" s="48" t="n">
        <f aca="false">IF($U448&gt;=STRUCT_L,MAX(INDEX($G$198:$G448,252-STRUCT_L):$G448),"")</f>
        <v>8510</v>
      </c>
      <c r="AL448" s="48" t="n">
        <f aca="false">IF($U448&gt;=STRUCT_L,MIN(INDEX($H$198:$H448,252-STRUCT_L):$H448),"")</f>
        <v>6578</v>
      </c>
      <c r="AM448" s="46" t="n">
        <f aca="false">IF($A448&lt;&gt;$A449,1,0)</f>
        <v>0</v>
      </c>
      <c r="AN448" s="47" t="str">
        <f aca="false">IF($AM448=1,$A448,"")</f>
        <v/>
      </c>
    </row>
    <row r="449" customFormat="false" ht="15" hidden="false" customHeight="false" outlineLevel="0" collapsed="false">
      <c r="A449" s="43" t="s">
        <v>138</v>
      </c>
      <c r="B449" s="44" t="s">
        <v>140</v>
      </c>
      <c r="C449" s="45" t="n">
        <v>46162</v>
      </c>
      <c r="D449" s="46" t="n">
        <v>20260520</v>
      </c>
      <c r="E449" s="47" t="s">
        <v>472</v>
      </c>
      <c r="F449" s="48" t="n">
        <v>6931</v>
      </c>
      <c r="G449" s="48" t="n">
        <v>7297</v>
      </c>
      <c r="H449" s="48" t="n">
        <v>6854</v>
      </c>
      <c r="I449" s="48" t="n">
        <v>7133</v>
      </c>
      <c r="J449" s="48" t="n">
        <v>7036</v>
      </c>
      <c r="K449" s="48" t="n">
        <v>7016</v>
      </c>
      <c r="L449" s="48" t="n">
        <v>15970681</v>
      </c>
      <c r="M449" s="48" t="n">
        <v>113918867573</v>
      </c>
      <c r="N449" s="48" t="n">
        <v>972</v>
      </c>
      <c r="O449" s="48" t="n">
        <v>10163925</v>
      </c>
      <c r="P449" s="48" t="n">
        <v>6033687</v>
      </c>
      <c r="Q449" s="48" t="n">
        <v>340</v>
      </c>
      <c r="R449" s="48" t="n">
        <v>591</v>
      </c>
      <c r="S449" s="48" t="n">
        <v>5806756</v>
      </c>
      <c r="T449" s="48" t="n">
        <v>9936994</v>
      </c>
      <c r="U449" s="46" t="n">
        <f aca="false">IF($A449=$A448,$U448+1,1)</f>
        <v>185</v>
      </c>
      <c r="V449" s="48" t="n">
        <f aca="false">IF($U449&gt;=MA_SHORT,AVERAGE(INDEX($I$49:$I449,402-MA_SHORT):$I449),"")</f>
        <v>7079</v>
      </c>
      <c r="W449" s="48" t="n">
        <f aca="false">IF($U449&gt;=MA_MED,AVERAGE(INDEX($I$49:$I449,402-MA_MED):$I449),"")</f>
        <v>7439.62</v>
      </c>
      <c r="X449" s="48" t="n">
        <f aca="false">IF($U449&gt;=MA_LONG1,AVERAGE(INDEX($I$49:$I449,402-MA_LONG1):$I449),"")</f>
        <v>7444.22</v>
      </c>
      <c r="Y449" s="48" t="str">
        <f aca="false">IF($U449&gt;=MA_LONG2,AVERAGE(INDEX($I$49:$I449,402-MA_LONG2):$I449),"")</f>
        <v/>
      </c>
      <c r="Z449" s="48" t="n">
        <f aca="false">IF($U449&gt;=MA_SHORT,AVERAGE(INDEX($L$329:$L449,122-MA_SHORT):$L449),"")</f>
        <v>18207584.85</v>
      </c>
      <c r="AA449" s="48" t="n">
        <f aca="false">IF($U449=1,$G449-$H449,MAX($G449-$H449,ABS($G449-$I448),ABS($H449-$I448)))</f>
        <v>443</v>
      </c>
      <c r="AB449" s="48" t="n">
        <f aca="false">IF($U449&gt;=ATR_PER,AVERAGE(INDEX($AA$329:$AA449,122-ATR_PER):$AA449),"")</f>
        <v>282.785714285714</v>
      </c>
      <c r="AC449" s="48" t="n">
        <f aca="false">$O449-$P449</f>
        <v>4130238</v>
      </c>
      <c r="AD449" s="48" t="n">
        <f aca="false">$AC449*$I449</f>
        <v>29460987654</v>
      </c>
      <c r="AE449" s="49" t="n">
        <f aca="false">IF($Q449&gt;0,$O449*$I449/$Q449/1000000,"")</f>
        <v>213.233167720588</v>
      </c>
      <c r="AF449" s="49" t="n">
        <f aca="false">IF($R449&gt;0,$P449*$I449/$R449/1000000,"")</f>
        <v>72.8228246548223</v>
      </c>
      <c r="AG449" s="50" t="n">
        <f aca="false">IF(AND(ISNUMBER($AE449),ISNUMBER($AF449),$AF449&gt;0),$AE449/$AF449,"")</f>
        <v>2.92810899235653</v>
      </c>
      <c r="AH449" s="48" t="n">
        <f aca="false">IF($U449&gt;=5,SUM(INDEX($AD$419:$AD449,32-5):$AD449),"")</f>
        <v>87573825444</v>
      </c>
      <c r="AI449" s="48" t="n">
        <f aca="false">IF($U449&gt;=STRUCT_S,MAX(INDEX($G$299:$G449,152-STRUCT_S):$G449),"")</f>
        <v>7456</v>
      </c>
      <c r="AJ449" s="48" t="n">
        <f aca="false">IF($U449&gt;=STRUCT_S,MIN(INDEX($H$299:$H449,152-STRUCT_S):$H449),"")</f>
        <v>6578</v>
      </c>
      <c r="AK449" s="48" t="n">
        <f aca="false">IF($U449&gt;=STRUCT_L,MAX(INDEX($G$199:$G449,252-STRUCT_L):$G449),"")</f>
        <v>8510</v>
      </c>
      <c r="AL449" s="48" t="n">
        <f aca="false">IF($U449&gt;=STRUCT_L,MIN(INDEX($H$199:$H449,252-STRUCT_L):$H449),"")</f>
        <v>6578</v>
      </c>
      <c r="AM449" s="46" t="n">
        <f aca="false">IF($A449&lt;&gt;$A450,1,0)</f>
        <v>0</v>
      </c>
      <c r="AN449" s="47" t="str">
        <f aca="false">IF($AM449=1,$A449,"")</f>
        <v/>
      </c>
    </row>
    <row r="450" customFormat="false" ht="15" hidden="false" customHeight="false" outlineLevel="0" collapsed="false">
      <c r="A450" s="43" t="s">
        <v>138</v>
      </c>
      <c r="B450" s="44" t="s">
        <v>140</v>
      </c>
      <c r="C450" s="45" t="n">
        <v>46165</v>
      </c>
      <c r="D450" s="46" t="n">
        <v>20260523</v>
      </c>
      <c r="E450" s="47" t="s">
        <v>473</v>
      </c>
      <c r="F450" s="48" t="n">
        <v>7008</v>
      </c>
      <c r="G450" s="48" t="n">
        <v>7207</v>
      </c>
      <c r="H450" s="48" t="n">
        <v>7002</v>
      </c>
      <c r="I450" s="48" t="n">
        <v>7076</v>
      </c>
      <c r="J450" s="48" t="n">
        <v>7058</v>
      </c>
      <c r="K450" s="48" t="n">
        <v>7133</v>
      </c>
      <c r="L450" s="48" t="n">
        <v>16797746</v>
      </c>
      <c r="M450" s="48" t="n">
        <v>118860850696</v>
      </c>
      <c r="N450" s="48" t="n">
        <v>528</v>
      </c>
      <c r="O450" s="48" t="n">
        <v>8058437</v>
      </c>
      <c r="P450" s="48" t="n">
        <v>8719868</v>
      </c>
      <c r="Q450" s="48" t="n">
        <v>269</v>
      </c>
      <c r="R450" s="48" t="n">
        <v>155</v>
      </c>
      <c r="S450" s="48" t="n">
        <v>8739309</v>
      </c>
      <c r="T450" s="48" t="n">
        <v>8077878</v>
      </c>
      <c r="U450" s="46" t="n">
        <f aca="false">IF($A450=$A449,$U449+1,1)</f>
        <v>186</v>
      </c>
      <c r="V450" s="48" t="n">
        <f aca="false">IF($U450&gt;=MA_SHORT,AVERAGE(INDEX($I$50:$I450,402-MA_SHORT):$I450),"")</f>
        <v>7071.4</v>
      </c>
      <c r="W450" s="48" t="n">
        <f aca="false">IF($U450&gt;=MA_MED,AVERAGE(INDEX($I$50:$I450,402-MA_MED):$I450),"")</f>
        <v>7426.22</v>
      </c>
      <c r="X450" s="48" t="n">
        <f aca="false">IF($U450&gt;=MA_LONG1,AVERAGE(INDEX($I$50:$I450,402-MA_LONG1):$I450),"")</f>
        <v>7439.92</v>
      </c>
      <c r="Y450" s="48" t="str">
        <f aca="false">IF($U450&gt;=MA_LONG2,AVERAGE(INDEX($I$50:$I450,402-MA_LONG2):$I450),"")</f>
        <v/>
      </c>
      <c r="Z450" s="48" t="n">
        <f aca="false">IF($U450&gt;=MA_SHORT,AVERAGE(INDEX($L$330:$L450,122-MA_SHORT):$L450),"")</f>
        <v>18274671.8</v>
      </c>
      <c r="AA450" s="48" t="n">
        <f aca="false">IF($U450=1,$G450-$H450,MAX($G450-$H450,ABS($G450-$I449),ABS($H450-$I449)))</f>
        <v>205</v>
      </c>
      <c r="AB450" s="48" t="n">
        <f aca="false">IF($U450&gt;=ATR_PER,AVERAGE(INDEX($AA$330:$AA450,122-ATR_PER):$AA450),"")</f>
        <v>285.642857142857</v>
      </c>
      <c r="AC450" s="48" t="n">
        <f aca="false">$O450-$P450</f>
        <v>-661431</v>
      </c>
      <c r="AD450" s="48" t="n">
        <f aca="false">$AC450*$I450</f>
        <v>-4680285756</v>
      </c>
      <c r="AE450" s="49" t="n">
        <f aca="false">IF($Q450&gt;0,$O450*$I450/$Q450/1000000,"")</f>
        <v>211.975837219331</v>
      </c>
      <c r="AF450" s="49" t="n">
        <f aca="false">IF($R450&gt;0,$P450*$I450/$R450/1000000,"")</f>
        <v>398.076038503226</v>
      </c>
      <c r="AG450" s="50" t="n">
        <f aca="false">IF(AND(ISNUMBER($AE450),ISNUMBER($AF450),$AF450&gt;0),$AE450/$AF450,"")</f>
        <v>0.532500870980239</v>
      </c>
      <c r="AH450" s="48" t="n">
        <f aca="false">IF($U450&gt;=5,SUM(INDEX($AD$420:$AD450,32-5):$AD450),"")</f>
        <v>81340969824</v>
      </c>
      <c r="AI450" s="48" t="n">
        <f aca="false">IF($U450&gt;=STRUCT_S,MAX(INDEX($G$300:$G450,152-STRUCT_S):$G450),"")</f>
        <v>7456</v>
      </c>
      <c r="AJ450" s="48" t="n">
        <f aca="false">IF($U450&gt;=STRUCT_S,MIN(INDEX($H$300:$H450,152-STRUCT_S):$H450),"")</f>
        <v>6578</v>
      </c>
      <c r="AK450" s="48" t="n">
        <f aca="false">IF($U450&gt;=STRUCT_L,MAX(INDEX($G$200:$G450,252-STRUCT_L):$G450),"")</f>
        <v>8510</v>
      </c>
      <c r="AL450" s="48" t="n">
        <f aca="false">IF($U450&gt;=STRUCT_L,MIN(INDEX($H$200:$H450,252-STRUCT_L):$H450),"")</f>
        <v>6578</v>
      </c>
      <c r="AM450" s="46" t="n">
        <f aca="false">IF($A450&lt;&gt;$A451,1,0)</f>
        <v>0</v>
      </c>
      <c r="AN450" s="47" t="str">
        <f aca="false">IF($AM450=1,$A450,"")</f>
        <v/>
      </c>
    </row>
    <row r="451" customFormat="false" ht="15" hidden="false" customHeight="false" outlineLevel="0" collapsed="false">
      <c r="A451" s="43" t="s">
        <v>138</v>
      </c>
      <c r="B451" s="44" t="s">
        <v>140</v>
      </c>
      <c r="C451" s="45" t="n">
        <v>46166</v>
      </c>
      <c r="D451" s="46" t="n">
        <v>20260524</v>
      </c>
      <c r="E451" s="47" t="s">
        <v>474</v>
      </c>
      <c r="F451" s="48" t="n">
        <v>7034</v>
      </c>
      <c r="G451" s="48" t="n">
        <v>7253</v>
      </c>
      <c r="H451" s="48" t="n">
        <v>7021</v>
      </c>
      <c r="I451" s="48" t="n">
        <v>7197</v>
      </c>
      <c r="J451" s="48" t="n">
        <v>7090</v>
      </c>
      <c r="K451" s="48" t="n">
        <v>7076</v>
      </c>
      <c r="L451" s="48" t="n">
        <v>17350201</v>
      </c>
      <c r="M451" s="48" t="n">
        <v>124869396597</v>
      </c>
      <c r="N451" s="48" t="n">
        <v>1348</v>
      </c>
      <c r="O451" s="48" t="n">
        <v>11771961</v>
      </c>
      <c r="P451" s="48" t="n">
        <v>6765773</v>
      </c>
      <c r="Q451" s="48" t="n">
        <v>449</v>
      </c>
      <c r="R451" s="48" t="n">
        <v>567</v>
      </c>
      <c r="S451" s="48" t="n">
        <v>5578240</v>
      </c>
      <c r="T451" s="48" t="n">
        <v>10584428</v>
      </c>
      <c r="U451" s="46" t="n">
        <f aca="false">IF($A451=$A450,$U450+1,1)</f>
        <v>187</v>
      </c>
      <c r="V451" s="48" t="n">
        <f aca="false">IF($U451&gt;=MA_SHORT,AVERAGE(INDEX($I$51:$I451,402-MA_SHORT):$I451),"")</f>
        <v>7079.4</v>
      </c>
      <c r="W451" s="48" t="n">
        <f aca="false">IF($U451&gt;=MA_MED,AVERAGE(INDEX($I$51:$I451,402-MA_MED):$I451),"")</f>
        <v>7418.2</v>
      </c>
      <c r="X451" s="48" t="n">
        <f aca="false">IF($U451&gt;=MA_LONG1,AVERAGE(INDEX($I$51:$I451,402-MA_LONG1):$I451),"")</f>
        <v>7436.9</v>
      </c>
      <c r="Y451" s="48" t="str">
        <f aca="false">IF($U451&gt;=MA_LONG2,AVERAGE(INDEX($I$51:$I451,402-MA_LONG2):$I451),"")</f>
        <v/>
      </c>
      <c r="Z451" s="48" t="n">
        <f aca="false">IF($U451&gt;=MA_SHORT,AVERAGE(INDEX($L$331:$L451,122-MA_SHORT):$L451),"")</f>
        <v>18090091.9</v>
      </c>
      <c r="AA451" s="48" t="n">
        <f aca="false">IF($U451=1,$G451-$H451,MAX($G451-$H451,ABS($G451-$I450),ABS($H451-$I450)))</f>
        <v>232</v>
      </c>
      <c r="AB451" s="48" t="n">
        <f aca="false">IF($U451&gt;=ATR_PER,AVERAGE(INDEX($AA$331:$AA451,122-ATR_PER):$AA451),"")</f>
        <v>282</v>
      </c>
      <c r="AC451" s="48" t="n">
        <f aca="false">$O451-$P451</f>
        <v>5006188</v>
      </c>
      <c r="AD451" s="48" t="n">
        <f aca="false">$AC451*$I451</f>
        <v>36029535036</v>
      </c>
      <c r="AE451" s="49" t="n">
        <f aca="false">IF($Q451&gt;0,$O451*$I451/$Q451/1000000,"")</f>
        <v>188.692212287305</v>
      </c>
      <c r="AF451" s="49" t="n">
        <f aca="false">IF($R451&gt;0,$P451*$I451/$R451/1000000,"")</f>
        <v>85.878780037037</v>
      </c>
      <c r="AG451" s="50" t="n">
        <f aca="false">IF(AND(ISNUMBER($AE451),ISNUMBER($AF451),$AF451&gt;0),$AE451/$AF451,"")</f>
        <v>2.19719251025606</v>
      </c>
      <c r="AH451" s="48" t="n">
        <f aca="false">IF($U451&gt;=5,SUM(INDEX($AD$421:$AD451,32-5):$AD451),"")</f>
        <v>88268305860</v>
      </c>
      <c r="AI451" s="48" t="n">
        <f aca="false">IF($U451&gt;=STRUCT_S,MAX(INDEX($G$301:$G451,152-STRUCT_S):$G451),"")</f>
        <v>7456</v>
      </c>
      <c r="AJ451" s="48" t="n">
        <f aca="false">IF($U451&gt;=STRUCT_S,MIN(INDEX($H$301:$H451,152-STRUCT_S):$H451),"")</f>
        <v>6578</v>
      </c>
      <c r="AK451" s="48" t="n">
        <f aca="false">IF($U451&gt;=STRUCT_L,MAX(INDEX($G$201:$G451,252-STRUCT_L):$G451),"")</f>
        <v>8510</v>
      </c>
      <c r="AL451" s="48" t="n">
        <f aca="false">IF($U451&gt;=STRUCT_L,MIN(INDEX($H$201:$H451,252-STRUCT_L):$H451),"")</f>
        <v>6578</v>
      </c>
      <c r="AM451" s="46" t="n">
        <f aca="false">IF($A451&lt;&gt;$A452,1,0)</f>
        <v>0</v>
      </c>
      <c r="AN451" s="47" t="str">
        <f aca="false">IF($AM451=1,$A451,"")</f>
        <v/>
      </c>
    </row>
    <row r="452" customFormat="false" ht="15" hidden="false" customHeight="false" outlineLevel="0" collapsed="false">
      <c r="A452" s="43" t="s">
        <v>138</v>
      </c>
      <c r="B452" s="44" t="s">
        <v>140</v>
      </c>
      <c r="C452" s="45" t="n">
        <v>46167</v>
      </c>
      <c r="D452" s="46" t="n">
        <v>20260525</v>
      </c>
      <c r="E452" s="47" t="s">
        <v>475</v>
      </c>
      <c r="F452" s="48" t="n">
        <v>7354</v>
      </c>
      <c r="G452" s="48" t="n">
        <v>7377</v>
      </c>
      <c r="H452" s="48" t="n">
        <v>7149</v>
      </c>
      <c r="I452" s="48" t="n">
        <v>7328</v>
      </c>
      <c r="J452" s="48" t="n">
        <v>7166</v>
      </c>
      <c r="K452" s="48" t="n">
        <v>7197</v>
      </c>
      <c r="L452" s="48" t="n">
        <v>16103596</v>
      </c>
      <c r="M452" s="48" t="n">
        <v>118007151488</v>
      </c>
      <c r="N452" s="48" t="n">
        <v>986</v>
      </c>
      <c r="O452" s="48" t="n">
        <v>9759502</v>
      </c>
      <c r="P452" s="48" t="n">
        <v>7035188</v>
      </c>
      <c r="Q452" s="48" t="n">
        <v>323</v>
      </c>
      <c r="R452" s="48" t="n">
        <v>490</v>
      </c>
      <c r="S452" s="48" t="n">
        <v>6344094</v>
      </c>
      <c r="T452" s="48" t="n">
        <v>9068408</v>
      </c>
      <c r="U452" s="46" t="n">
        <f aca="false">IF($A452=$A451,$U451+1,1)</f>
        <v>188</v>
      </c>
      <c r="V452" s="48" t="n">
        <f aca="false">IF($U452&gt;=MA_SHORT,AVERAGE(INDEX($I$52:$I452,402-MA_SHORT):$I452),"")</f>
        <v>7090.3</v>
      </c>
      <c r="W452" s="48" t="n">
        <f aca="false">IF($U452&gt;=MA_MED,AVERAGE(INDEX($I$52:$I452,402-MA_MED):$I452),"")</f>
        <v>7410.72</v>
      </c>
      <c r="X452" s="48" t="n">
        <f aca="false">IF($U452&gt;=MA_LONG1,AVERAGE(INDEX($I$52:$I452,402-MA_LONG1):$I452),"")</f>
        <v>7433.68</v>
      </c>
      <c r="Y452" s="48" t="str">
        <f aca="false">IF($U452&gt;=MA_LONG2,AVERAGE(INDEX($I$52:$I452,402-MA_LONG2):$I452),"")</f>
        <v/>
      </c>
      <c r="Z452" s="48" t="n">
        <f aca="false">IF($U452&gt;=MA_SHORT,AVERAGE(INDEX($L$332:$L452,122-MA_SHORT):$L452),"")</f>
        <v>18124187.35</v>
      </c>
      <c r="AA452" s="48" t="n">
        <f aca="false">IF($U452=1,$G452-$H452,MAX($G452-$H452,ABS($G452-$I451),ABS($H452-$I451)))</f>
        <v>228</v>
      </c>
      <c r="AB452" s="48" t="n">
        <f aca="false">IF($U452&gt;=ATR_PER,AVERAGE(INDEX($AA$332:$AA452,122-ATR_PER):$AA452),"")</f>
        <v>272.785714285714</v>
      </c>
      <c r="AC452" s="48" t="n">
        <f aca="false">$O452-$P452</f>
        <v>2724314</v>
      </c>
      <c r="AD452" s="48" t="n">
        <f aca="false">$AC452*$I452</f>
        <v>19963772992</v>
      </c>
      <c r="AE452" s="49" t="n">
        <f aca="false">IF($Q452&gt;0,$O452*$I452/$Q452/1000000,"")</f>
        <v>221.416813176471</v>
      </c>
      <c r="AF452" s="49" t="n">
        <f aca="false">IF($R452&gt;0,$P452*$I452/$R452/1000000,"")</f>
        <v>105.211954416327</v>
      </c>
      <c r="AG452" s="50" t="n">
        <f aca="false">IF(AND(ISNUMBER($AE452),ISNUMBER($AF452),$AF452&gt;0),$AE452/$AF452,"")</f>
        <v>2.10448341545219</v>
      </c>
      <c r="AH452" s="48" t="n">
        <f aca="false">IF($U452&gt;=5,SUM(INDEX($AD$422:$AD452,32-5):$AD452),"")</f>
        <v>98808041566</v>
      </c>
      <c r="AI452" s="48" t="n">
        <f aca="false">IF($U452&gt;=STRUCT_S,MAX(INDEX($G$302:$G452,152-STRUCT_S):$G452),"")</f>
        <v>7456</v>
      </c>
      <c r="AJ452" s="48" t="n">
        <f aca="false">IF($U452&gt;=STRUCT_S,MIN(INDEX($H$302:$H452,152-STRUCT_S):$H452),"")</f>
        <v>6578</v>
      </c>
      <c r="AK452" s="48" t="n">
        <f aca="false">IF($U452&gt;=STRUCT_L,MAX(INDEX($G$202:$G452,252-STRUCT_L):$G452),"")</f>
        <v>8510</v>
      </c>
      <c r="AL452" s="48" t="n">
        <f aca="false">IF($U452&gt;=STRUCT_L,MIN(INDEX($H$202:$H452,252-STRUCT_L):$H452),"")</f>
        <v>6578</v>
      </c>
      <c r="AM452" s="46" t="n">
        <f aca="false">IF($A452&lt;&gt;$A453,1,0)</f>
        <v>0</v>
      </c>
      <c r="AN452" s="47" t="str">
        <f aca="false">IF($AM452=1,$A452,"")</f>
        <v/>
      </c>
    </row>
    <row r="453" customFormat="false" ht="15" hidden="false" customHeight="false" outlineLevel="0" collapsed="false">
      <c r="A453" s="43" t="s">
        <v>138</v>
      </c>
      <c r="B453" s="44" t="s">
        <v>140</v>
      </c>
      <c r="C453" s="45" t="n">
        <v>46168</v>
      </c>
      <c r="D453" s="46" t="n">
        <v>20260526</v>
      </c>
      <c r="E453" s="47" t="s">
        <v>476</v>
      </c>
      <c r="F453" s="48" t="n">
        <v>7282</v>
      </c>
      <c r="G453" s="48" t="n">
        <v>7456</v>
      </c>
      <c r="H453" s="48" t="n">
        <v>7210</v>
      </c>
      <c r="I453" s="48" t="n">
        <v>7337</v>
      </c>
      <c r="J453" s="48" t="n">
        <v>7218</v>
      </c>
      <c r="K453" s="48" t="n">
        <v>7328</v>
      </c>
      <c r="L453" s="48" t="n">
        <v>14625032</v>
      </c>
      <c r="M453" s="48" t="n">
        <v>107303859784</v>
      </c>
      <c r="N453" s="48" t="n">
        <v>1357</v>
      </c>
      <c r="O453" s="48" t="n">
        <v>7395406</v>
      </c>
      <c r="P453" s="48" t="n">
        <v>7500413</v>
      </c>
      <c r="Q453" s="48" t="n">
        <v>460</v>
      </c>
      <c r="R453" s="48" t="n">
        <v>666</v>
      </c>
      <c r="S453" s="48" t="n">
        <v>7229626</v>
      </c>
      <c r="T453" s="48" t="n">
        <v>7124619</v>
      </c>
      <c r="U453" s="46" t="n">
        <f aca="false">IF($A453=$A452,$U452+1,1)</f>
        <v>189</v>
      </c>
      <c r="V453" s="48" t="n">
        <f aca="false">IF($U453&gt;=MA_SHORT,AVERAGE(INDEX($I$53:$I453,402-MA_SHORT):$I453),"")</f>
        <v>7097.5</v>
      </c>
      <c r="W453" s="48" t="n">
        <f aca="false">IF($U453&gt;=MA_MED,AVERAGE(INDEX($I$53:$I453,402-MA_MED):$I453),"")</f>
        <v>7401.96</v>
      </c>
      <c r="X453" s="48" t="n">
        <f aca="false">IF($U453&gt;=MA_LONG1,AVERAGE(INDEX($I$53:$I453,402-MA_LONG1):$I453),"")</f>
        <v>7429.96</v>
      </c>
      <c r="Y453" s="48" t="str">
        <f aca="false">IF($U453&gt;=MA_LONG2,AVERAGE(INDEX($I$53:$I453,402-MA_LONG2):$I453),"")</f>
        <v/>
      </c>
      <c r="Z453" s="48" t="n">
        <f aca="false">IF($U453&gt;=MA_SHORT,AVERAGE(INDEX($L$333:$L453,122-MA_SHORT):$L453),"")</f>
        <v>17955071.8</v>
      </c>
      <c r="AA453" s="48" t="n">
        <f aca="false">IF($U453=1,$G453-$H453,MAX($G453-$H453,ABS($G453-$I452),ABS($H453-$I452)))</f>
        <v>246</v>
      </c>
      <c r="AB453" s="48" t="n">
        <f aca="false">IF($U453&gt;=ATR_PER,AVERAGE(INDEX($AA$333:$AA453,122-ATR_PER):$AA453),"")</f>
        <v>268.5</v>
      </c>
      <c r="AC453" s="48" t="n">
        <f aca="false">$O453-$P453</f>
        <v>-105007</v>
      </c>
      <c r="AD453" s="48" t="n">
        <f aca="false">$AC453*$I453</f>
        <v>-770436359</v>
      </c>
      <c r="AE453" s="49" t="n">
        <f aca="false">IF($Q453&gt;0,$O453*$I453/$Q453/1000000,"")</f>
        <v>117.9567257</v>
      </c>
      <c r="AF453" s="49" t="n">
        <f aca="false">IF($R453&gt;0,$P453*$I453/$R453/1000000,"")</f>
        <v>82.6284236951952</v>
      </c>
      <c r="AG453" s="50" t="n">
        <f aca="false">IF(AND(ISNUMBER($AE453),ISNUMBER($AF453),$AF453&gt;0),$AE453/$AF453,"")</f>
        <v>1.42755628662512</v>
      </c>
      <c r="AH453" s="48" t="n">
        <f aca="false">IF($U453&gt;=5,SUM(INDEX($AD$423:$AD453,32-5):$AD453),"")</f>
        <v>80003573567</v>
      </c>
      <c r="AI453" s="48" t="n">
        <f aca="false">IF($U453&gt;=STRUCT_S,MAX(INDEX($G$303:$G453,152-STRUCT_S):$G453),"")</f>
        <v>7456</v>
      </c>
      <c r="AJ453" s="48" t="n">
        <f aca="false">IF($U453&gt;=STRUCT_S,MIN(INDEX($H$303:$H453,152-STRUCT_S):$H453),"")</f>
        <v>6578</v>
      </c>
      <c r="AK453" s="48" t="n">
        <f aca="false">IF($U453&gt;=STRUCT_L,MAX(INDEX($G$203:$G453,252-STRUCT_L):$G453),"")</f>
        <v>8510</v>
      </c>
      <c r="AL453" s="48" t="n">
        <f aca="false">IF($U453&gt;=STRUCT_L,MIN(INDEX($H$203:$H453,252-STRUCT_L):$H453),"")</f>
        <v>6578</v>
      </c>
      <c r="AM453" s="46" t="n">
        <f aca="false">IF($A453&lt;&gt;$A454,1,0)</f>
        <v>0</v>
      </c>
      <c r="AN453" s="47" t="str">
        <f aca="false">IF($AM453=1,$A453,"")</f>
        <v/>
      </c>
    </row>
    <row r="454" customFormat="false" ht="15" hidden="false" customHeight="false" outlineLevel="0" collapsed="false">
      <c r="A454" s="43" t="s">
        <v>138</v>
      </c>
      <c r="B454" s="44" t="s">
        <v>140</v>
      </c>
      <c r="C454" s="45" t="n">
        <v>46169</v>
      </c>
      <c r="D454" s="46" t="n">
        <v>20260527</v>
      </c>
      <c r="E454" s="47" t="s">
        <v>477</v>
      </c>
      <c r="F454" s="48" t="n">
        <v>7171</v>
      </c>
      <c r="G454" s="48" t="n">
        <v>7387</v>
      </c>
      <c r="H454" s="48" t="n">
        <v>7114</v>
      </c>
      <c r="I454" s="48" t="n">
        <v>7162</v>
      </c>
      <c r="J454" s="48" t="n">
        <v>7131</v>
      </c>
      <c r="K454" s="48" t="n">
        <v>7337</v>
      </c>
      <c r="L454" s="48" t="n">
        <v>20982742</v>
      </c>
      <c r="M454" s="48" t="n">
        <v>150278398204</v>
      </c>
      <c r="N454" s="48" t="n">
        <v>529</v>
      </c>
      <c r="O454" s="48" t="n">
        <v>9160074</v>
      </c>
      <c r="P454" s="48" t="n">
        <v>11360406</v>
      </c>
      <c r="Q454" s="48" t="n">
        <v>295</v>
      </c>
      <c r="R454" s="48" t="n">
        <v>235</v>
      </c>
      <c r="S454" s="48" t="n">
        <v>11822668</v>
      </c>
      <c r="T454" s="48" t="n">
        <v>9622336</v>
      </c>
      <c r="U454" s="46" t="n">
        <f aca="false">IF($A454=$A453,$U453+1,1)</f>
        <v>190</v>
      </c>
      <c r="V454" s="48" t="n">
        <f aca="false">IF($U454&gt;=MA_SHORT,AVERAGE(INDEX($I$54:$I454,402-MA_SHORT):$I454),"")</f>
        <v>7097.55</v>
      </c>
      <c r="W454" s="48" t="n">
        <f aca="false">IF($U454&gt;=MA_MED,AVERAGE(INDEX($I$54:$I454,402-MA_MED):$I454),"")</f>
        <v>7385.54</v>
      </c>
      <c r="X454" s="48" t="n">
        <f aca="false">IF($U454&gt;=MA_LONG1,AVERAGE(INDEX($I$54:$I454,402-MA_LONG1):$I454),"")</f>
        <v>7426.41</v>
      </c>
      <c r="Y454" s="48" t="str">
        <f aca="false">IF($U454&gt;=MA_LONG2,AVERAGE(INDEX($I$54:$I454,402-MA_LONG2):$I454),"")</f>
        <v/>
      </c>
      <c r="Z454" s="48" t="n">
        <f aca="false">IF($U454&gt;=MA_SHORT,AVERAGE(INDEX($L$334:$L454,122-MA_SHORT):$L454),"")</f>
        <v>18123992.6</v>
      </c>
      <c r="AA454" s="48" t="n">
        <f aca="false">IF($U454=1,$G454-$H454,MAX($G454-$H454,ABS($G454-$I453),ABS($H454-$I453)))</f>
        <v>273</v>
      </c>
      <c r="AB454" s="48" t="n">
        <f aca="false">IF($U454&gt;=ATR_PER,AVERAGE(INDEX($AA$334:$AA454,122-ATR_PER):$AA454),"")</f>
        <v>262.857142857143</v>
      </c>
      <c r="AC454" s="48" t="n">
        <f aca="false">$O454-$P454</f>
        <v>-2200332</v>
      </c>
      <c r="AD454" s="48" t="n">
        <f aca="false">$AC454*$I454</f>
        <v>-15758777784</v>
      </c>
      <c r="AE454" s="49" t="n">
        <f aca="false">IF($Q454&gt;0,$O454*$I454/$Q454/1000000,"")</f>
        <v>222.387966061017</v>
      </c>
      <c r="AF454" s="49" t="n">
        <f aca="false">IF($R454&gt;0,$P454*$I454/$R454/1000000,"")</f>
        <v>346.226501157447</v>
      </c>
      <c r="AG454" s="50" t="n">
        <f aca="false">IF(AND(ISNUMBER($AE454),ISNUMBER($AF454),$AF454&gt;0),$AE454/$AF454,"")</f>
        <v>0.642319306343005</v>
      </c>
      <c r="AH454" s="48" t="n">
        <f aca="false">IF($U454&gt;=5,SUM(INDEX($AD$424:$AD454,32-5):$AD454),"")</f>
        <v>34783808129</v>
      </c>
      <c r="AI454" s="48" t="n">
        <f aca="false">IF($U454&gt;=STRUCT_S,MAX(INDEX($G$304:$G454,152-STRUCT_S):$G454),"")</f>
        <v>7456</v>
      </c>
      <c r="AJ454" s="48" t="n">
        <f aca="false">IF($U454&gt;=STRUCT_S,MIN(INDEX($H$304:$H454,152-STRUCT_S):$H454),"")</f>
        <v>6578</v>
      </c>
      <c r="AK454" s="48" t="n">
        <f aca="false">IF($U454&gt;=STRUCT_L,MAX(INDEX($G$204:$G454,252-STRUCT_L):$G454),"")</f>
        <v>8510</v>
      </c>
      <c r="AL454" s="48" t="n">
        <f aca="false">IF($U454&gt;=STRUCT_L,MIN(INDEX($H$204:$H454,252-STRUCT_L):$H454),"")</f>
        <v>6578</v>
      </c>
      <c r="AM454" s="46" t="n">
        <f aca="false">IF($A454&lt;&gt;$A455,1,0)</f>
        <v>0</v>
      </c>
      <c r="AN454" s="47" t="str">
        <f aca="false">IF($AM454=1,$A454,"")</f>
        <v/>
      </c>
    </row>
    <row r="455" customFormat="false" ht="15" hidden="false" customHeight="false" outlineLevel="0" collapsed="false">
      <c r="A455" s="43" t="s">
        <v>138</v>
      </c>
      <c r="B455" s="44" t="s">
        <v>140</v>
      </c>
      <c r="C455" s="45" t="n">
        <v>46172</v>
      </c>
      <c r="D455" s="46" t="n">
        <v>20260530</v>
      </c>
      <c r="E455" s="47" t="s">
        <v>478</v>
      </c>
      <c r="F455" s="48" t="n">
        <v>7018</v>
      </c>
      <c r="G455" s="48" t="n">
        <v>7314</v>
      </c>
      <c r="H455" s="48" t="n">
        <v>7004</v>
      </c>
      <c r="I455" s="48" t="n">
        <v>7156</v>
      </c>
      <c r="J455" s="48" t="n">
        <v>7199</v>
      </c>
      <c r="K455" s="48" t="n">
        <v>7162</v>
      </c>
      <c r="L455" s="48" t="n">
        <v>16932482</v>
      </c>
      <c r="M455" s="48" t="n">
        <v>121168841192</v>
      </c>
      <c r="N455" s="48" t="n">
        <v>582</v>
      </c>
      <c r="O455" s="48" t="n">
        <v>10001221</v>
      </c>
      <c r="P455" s="48" t="n">
        <v>7165984</v>
      </c>
      <c r="Q455" s="48" t="n">
        <v>234</v>
      </c>
      <c r="R455" s="48" t="n">
        <v>256</v>
      </c>
      <c r="S455" s="48" t="n">
        <v>6931261</v>
      </c>
      <c r="T455" s="48" t="n">
        <v>9766498</v>
      </c>
      <c r="U455" s="46" t="n">
        <f aca="false">IF($A455=$A454,$U454+1,1)</f>
        <v>191</v>
      </c>
      <c r="V455" s="48" t="n">
        <f aca="false">IF($U455&gt;=MA_SHORT,AVERAGE(INDEX($I$55:$I455,402-MA_SHORT):$I455),"")</f>
        <v>7085.85</v>
      </c>
      <c r="W455" s="48" t="n">
        <f aca="false">IF($U455&gt;=MA_MED,AVERAGE(INDEX($I$55:$I455,402-MA_MED):$I455),"")</f>
        <v>7368.72</v>
      </c>
      <c r="X455" s="48" t="n">
        <f aca="false">IF($U455&gt;=MA_LONG1,AVERAGE(INDEX($I$55:$I455,402-MA_LONG1):$I455),"")</f>
        <v>7423.24</v>
      </c>
      <c r="Y455" s="48" t="str">
        <f aca="false">IF($U455&gt;=MA_LONG2,AVERAGE(INDEX($I$55:$I455,402-MA_LONG2):$I455),"")</f>
        <v/>
      </c>
      <c r="Z455" s="48" t="n">
        <f aca="false">IF($U455&gt;=MA_SHORT,AVERAGE(INDEX($L$335:$L455,122-MA_SHORT):$L455),"")</f>
        <v>17589937.6</v>
      </c>
      <c r="AA455" s="48" t="n">
        <f aca="false">IF($U455=1,$G455-$H455,MAX($G455-$H455,ABS($G455-$I454),ABS($H455-$I454)))</f>
        <v>310</v>
      </c>
      <c r="AB455" s="48" t="n">
        <f aca="false">IF($U455&gt;=ATR_PER,AVERAGE(INDEX($AA$335:$AA455,122-ATR_PER):$AA455),"")</f>
        <v>263.642857142857</v>
      </c>
      <c r="AC455" s="48" t="n">
        <f aca="false">$O455-$P455</f>
        <v>2835237</v>
      </c>
      <c r="AD455" s="48" t="n">
        <f aca="false">$AC455*$I455</f>
        <v>20288955972</v>
      </c>
      <c r="AE455" s="49" t="n">
        <f aca="false">IF($Q455&gt;0,$O455*$I455/$Q455/1000000,"")</f>
        <v>305.849305452991</v>
      </c>
      <c r="AF455" s="49" t="n">
        <f aca="false">IF($R455&gt;0,$P455*$I455/$R455/1000000,"")</f>
        <v>200.3116465</v>
      </c>
      <c r="AG455" s="50" t="n">
        <f aca="false">IF(AND(ISNUMBER($AE455),ISNUMBER($AF455),$AF455&gt;0),$AE455/$AF455,"")</f>
        <v>1.52686731299466</v>
      </c>
      <c r="AH455" s="48" t="n">
        <f aca="false">IF($U455&gt;=5,SUM(INDEX($AD$425:$AD455,32-5):$AD455),"")</f>
        <v>59753049857</v>
      </c>
      <c r="AI455" s="48" t="n">
        <f aca="false">IF($U455&gt;=STRUCT_S,MAX(INDEX($G$305:$G455,152-STRUCT_S):$G455),"")</f>
        <v>7456</v>
      </c>
      <c r="AJ455" s="48" t="n">
        <f aca="false">IF($U455&gt;=STRUCT_S,MIN(INDEX($H$305:$H455,152-STRUCT_S):$H455),"")</f>
        <v>6578</v>
      </c>
      <c r="AK455" s="48" t="n">
        <f aca="false">IF($U455&gt;=STRUCT_L,MAX(INDEX($G$205:$G455,252-STRUCT_L):$G455),"")</f>
        <v>8510</v>
      </c>
      <c r="AL455" s="48" t="n">
        <f aca="false">IF($U455&gt;=STRUCT_L,MIN(INDEX($H$205:$H455,252-STRUCT_L):$H455),"")</f>
        <v>6578</v>
      </c>
      <c r="AM455" s="46" t="n">
        <f aca="false">IF($A455&lt;&gt;$A456,1,0)</f>
        <v>0</v>
      </c>
      <c r="AN455" s="47" t="str">
        <f aca="false">IF($AM455=1,$A455,"")</f>
        <v/>
      </c>
    </row>
    <row r="456" customFormat="false" ht="15" hidden="false" customHeight="false" outlineLevel="0" collapsed="false">
      <c r="A456" s="43" t="s">
        <v>138</v>
      </c>
      <c r="B456" s="44" t="s">
        <v>140</v>
      </c>
      <c r="C456" s="45" t="n">
        <v>46173</v>
      </c>
      <c r="D456" s="46" t="n">
        <v>20260531</v>
      </c>
      <c r="E456" s="47" t="s">
        <v>479</v>
      </c>
      <c r="F456" s="48" t="n">
        <v>7245</v>
      </c>
      <c r="G456" s="48" t="n">
        <v>7320</v>
      </c>
      <c r="H456" s="48" t="n">
        <v>7081</v>
      </c>
      <c r="I456" s="48" t="n">
        <v>7244</v>
      </c>
      <c r="J456" s="48" t="n">
        <v>7258</v>
      </c>
      <c r="K456" s="48" t="n">
        <v>7156</v>
      </c>
      <c r="L456" s="48" t="n">
        <v>20714104</v>
      </c>
      <c r="M456" s="48" t="n">
        <v>150052969376</v>
      </c>
      <c r="N456" s="48" t="n">
        <v>550</v>
      </c>
      <c r="O456" s="48" t="n">
        <v>10900548</v>
      </c>
      <c r="P456" s="48" t="n">
        <v>9382111</v>
      </c>
      <c r="Q456" s="48" t="n">
        <v>233</v>
      </c>
      <c r="R456" s="48" t="n">
        <v>215</v>
      </c>
      <c r="S456" s="48" t="n">
        <v>9813556</v>
      </c>
      <c r="T456" s="48" t="n">
        <v>11331993</v>
      </c>
      <c r="U456" s="46" t="n">
        <f aca="false">IF($A456=$A455,$U455+1,1)</f>
        <v>192</v>
      </c>
      <c r="V456" s="48" t="n">
        <f aca="false">IF($U456&gt;=MA_SHORT,AVERAGE(INDEX($I$56:$I456,402-MA_SHORT):$I456),"")</f>
        <v>7083.1</v>
      </c>
      <c r="W456" s="48" t="n">
        <f aca="false">IF($U456&gt;=MA_MED,AVERAGE(INDEX($I$56:$I456,402-MA_MED):$I456),"")</f>
        <v>7349.34</v>
      </c>
      <c r="X456" s="48" t="n">
        <f aca="false">IF($U456&gt;=MA_LONG1,AVERAGE(INDEX($I$56:$I456,402-MA_LONG1):$I456),"")</f>
        <v>7421.42</v>
      </c>
      <c r="Y456" s="48" t="str">
        <f aca="false">IF($U456&gt;=MA_LONG2,AVERAGE(INDEX($I$56:$I456,402-MA_LONG2):$I456),"")</f>
        <v/>
      </c>
      <c r="Z456" s="48" t="n">
        <f aca="false">IF($U456&gt;=MA_SHORT,AVERAGE(INDEX($L$336:$L456,122-MA_SHORT):$L456),"")</f>
        <v>17631804.2</v>
      </c>
      <c r="AA456" s="48" t="n">
        <f aca="false">IF($U456=1,$G456-$H456,MAX($G456-$H456,ABS($G456-$I455),ABS($H456-$I455)))</f>
        <v>239</v>
      </c>
      <c r="AB456" s="48" t="n">
        <f aca="false">IF($U456&gt;=ATR_PER,AVERAGE(INDEX($AA$336:$AA456,122-ATR_PER):$AA456),"")</f>
        <v>250.428571428571</v>
      </c>
      <c r="AC456" s="48" t="n">
        <f aca="false">$O456-$P456</f>
        <v>1518437</v>
      </c>
      <c r="AD456" s="48" t="n">
        <f aca="false">$AC456*$I456</f>
        <v>10999557628</v>
      </c>
      <c r="AE456" s="49" t="n">
        <f aca="false">IF($Q456&gt;0,$O456*$I456/$Q456/1000000,"")</f>
        <v>338.899440824034</v>
      </c>
      <c r="AF456" s="49" t="n">
        <f aca="false">IF($R456&gt;0,$P456*$I456/$R456/1000000,"")</f>
        <v>316.111684111628</v>
      </c>
      <c r="AG456" s="50" t="n">
        <f aca="false">IF(AND(ISNUMBER($AE456),ISNUMBER($AF456),$AF456&gt;0),$AE456/$AF456,"")</f>
        <v>1.07208767615296</v>
      </c>
      <c r="AH456" s="48" t="n">
        <f aca="false">IF($U456&gt;=5,SUM(INDEX($AD$426:$AD456,32-5):$AD456),"")</f>
        <v>34723072449</v>
      </c>
      <c r="AI456" s="48" t="n">
        <f aca="false">IF($U456&gt;=STRUCT_S,MAX(INDEX($G$306:$G456,152-STRUCT_S):$G456),"")</f>
        <v>7456</v>
      </c>
      <c r="AJ456" s="48" t="n">
        <f aca="false">IF($U456&gt;=STRUCT_S,MIN(INDEX($H$306:$H456,152-STRUCT_S):$H456),"")</f>
        <v>6578</v>
      </c>
      <c r="AK456" s="48" t="n">
        <f aca="false">IF($U456&gt;=STRUCT_L,MAX(INDEX($G$206:$G456,252-STRUCT_L):$G456),"")</f>
        <v>8510</v>
      </c>
      <c r="AL456" s="48" t="n">
        <f aca="false">IF($U456&gt;=STRUCT_L,MIN(INDEX($H$206:$H456,252-STRUCT_L):$H456),"")</f>
        <v>6578</v>
      </c>
      <c r="AM456" s="46" t="n">
        <f aca="false">IF($A456&lt;&gt;$A457,1,0)</f>
        <v>0</v>
      </c>
      <c r="AN456" s="47" t="str">
        <f aca="false">IF($AM456=1,$A456,"")</f>
        <v/>
      </c>
    </row>
    <row r="457" customFormat="false" ht="15" hidden="false" customHeight="false" outlineLevel="0" collapsed="false">
      <c r="A457" s="43" t="s">
        <v>138</v>
      </c>
      <c r="B457" s="44" t="s">
        <v>140</v>
      </c>
      <c r="C457" s="45" t="n">
        <v>46174</v>
      </c>
      <c r="D457" s="46" t="n">
        <v>20260601</v>
      </c>
      <c r="E457" s="47" t="s">
        <v>480</v>
      </c>
      <c r="F457" s="48" t="n">
        <v>7227</v>
      </c>
      <c r="G457" s="48" t="n">
        <v>7382</v>
      </c>
      <c r="H457" s="48" t="n">
        <v>7189</v>
      </c>
      <c r="I457" s="48" t="n">
        <v>7327</v>
      </c>
      <c r="J457" s="48" t="n">
        <v>7225</v>
      </c>
      <c r="K457" s="48" t="n">
        <v>7244</v>
      </c>
      <c r="L457" s="48" t="n">
        <v>28875829</v>
      </c>
      <c r="M457" s="48" t="n">
        <v>211573199083</v>
      </c>
      <c r="N457" s="48" t="n">
        <v>2635</v>
      </c>
      <c r="O457" s="48" t="n">
        <v>18540353</v>
      </c>
      <c r="P457" s="48" t="n">
        <v>10204845</v>
      </c>
      <c r="Q457" s="48" t="n">
        <v>777</v>
      </c>
      <c r="R457" s="48" t="n">
        <v>1537</v>
      </c>
      <c r="S457" s="48" t="n">
        <v>10335476</v>
      </c>
      <c r="T457" s="48" t="n">
        <v>18670984</v>
      </c>
      <c r="U457" s="46" t="n">
        <f aca="false">IF($A457=$A456,$U456+1,1)</f>
        <v>193</v>
      </c>
      <c r="V457" s="48" t="n">
        <f aca="false">IF($U457&gt;=MA_SHORT,AVERAGE(INDEX($I$57:$I457,402-MA_SHORT):$I457),"")</f>
        <v>7082.95</v>
      </c>
      <c r="W457" s="48" t="n">
        <f aca="false">IF($U457&gt;=MA_MED,AVERAGE(INDEX($I$57:$I457,402-MA_MED):$I457),"")</f>
        <v>7328.38</v>
      </c>
      <c r="X457" s="48" t="n">
        <f aca="false">IF($U457&gt;=MA_LONG1,AVERAGE(INDEX($I$57:$I457,402-MA_LONG1):$I457),"")</f>
        <v>7420.64</v>
      </c>
      <c r="Y457" s="48" t="str">
        <f aca="false">IF($U457&gt;=MA_LONG2,AVERAGE(INDEX($I$57:$I457,402-MA_LONG2):$I457),"")</f>
        <v/>
      </c>
      <c r="Z457" s="48" t="n">
        <f aca="false">IF($U457&gt;=MA_SHORT,AVERAGE(INDEX($L$337:$L457,122-MA_SHORT):$L457),"")</f>
        <v>18292143.3</v>
      </c>
      <c r="AA457" s="48" t="n">
        <f aca="false">IF($U457=1,$G457-$H457,MAX($G457-$H457,ABS($G457-$I456),ABS($H457-$I456)))</f>
        <v>193</v>
      </c>
      <c r="AB457" s="48" t="n">
        <f aca="false">IF($U457&gt;=ATR_PER,AVERAGE(INDEX($AA$337:$AA457,122-ATR_PER):$AA457),"")</f>
        <v>245</v>
      </c>
      <c r="AC457" s="48" t="n">
        <f aca="false">$O457-$P457</f>
        <v>8335508</v>
      </c>
      <c r="AD457" s="48" t="n">
        <f aca="false">$AC457*$I457</f>
        <v>61074267116</v>
      </c>
      <c r="AE457" s="49" t="n">
        <f aca="false">IF($Q457&gt;0,$O457*$I457/$Q457/1000000,"")</f>
        <v>174.832904029601</v>
      </c>
      <c r="AF457" s="49" t="n">
        <f aca="false">IF($R457&gt;0,$P457*$I457/$R457/1000000,"")</f>
        <v>48.6472994892648</v>
      </c>
      <c r="AG457" s="50" t="n">
        <f aca="false">IF(AND(ISNUMBER($AE457),ISNUMBER($AF457),$AF457&gt;0),$AE457/$AF457,"")</f>
        <v>3.59388713998774</v>
      </c>
      <c r="AH457" s="48" t="n">
        <f aca="false">IF($U457&gt;=5,SUM(INDEX($AD$427:$AD457,32-5):$AD457),"")</f>
        <v>75833566573</v>
      </c>
      <c r="AI457" s="48" t="n">
        <f aca="false">IF($U457&gt;=STRUCT_S,MAX(INDEX($G$307:$G457,152-STRUCT_S):$G457),"")</f>
        <v>7456</v>
      </c>
      <c r="AJ457" s="48" t="n">
        <f aca="false">IF($U457&gt;=STRUCT_S,MIN(INDEX($H$307:$H457,152-STRUCT_S):$H457),"")</f>
        <v>6578</v>
      </c>
      <c r="AK457" s="48" t="n">
        <f aca="false">IF($U457&gt;=STRUCT_L,MAX(INDEX($G$207:$G457,252-STRUCT_L):$G457),"")</f>
        <v>8510</v>
      </c>
      <c r="AL457" s="48" t="n">
        <f aca="false">IF($U457&gt;=STRUCT_L,MIN(INDEX($H$207:$H457,252-STRUCT_L):$H457),"")</f>
        <v>6578</v>
      </c>
      <c r="AM457" s="46" t="n">
        <f aca="false">IF($A457&lt;&gt;$A458,1,0)</f>
        <v>0</v>
      </c>
      <c r="AN457" s="47" t="str">
        <f aca="false">IF($AM457=1,$A457,"")</f>
        <v/>
      </c>
    </row>
    <row r="458" customFormat="false" ht="15" hidden="false" customHeight="false" outlineLevel="0" collapsed="false">
      <c r="A458" s="43" t="s">
        <v>138</v>
      </c>
      <c r="B458" s="44" t="s">
        <v>140</v>
      </c>
      <c r="C458" s="45" t="n">
        <v>46175</v>
      </c>
      <c r="D458" s="46" t="n">
        <v>20260602</v>
      </c>
      <c r="E458" s="47" t="s">
        <v>481</v>
      </c>
      <c r="F458" s="48" t="n">
        <v>7275</v>
      </c>
      <c r="G458" s="48" t="n">
        <v>7370</v>
      </c>
      <c r="H458" s="48" t="n">
        <v>7238</v>
      </c>
      <c r="I458" s="48" t="n">
        <v>7281</v>
      </c>
      <c r="J458" s="48" t="n">
        <v>7343</v>
      </c>
      <c r="K458" s="48" t="n">
        <v>7327</v>
      </c>
      <c r="L458" s="48" t="n">
        <v>26851381</v>
      </c>
      <c r="M458" s="48" t="n">
        <v>195504905061</v>
      </c>
      <c r="N458" s="48" t="n">
        <v>1651</v>
      </c>
      <c r="O458" s="48" t="n">
        <v>15146821</v>
      </c>
      <c r="P458" s="48" t="n">
        <v>11574181</v>
      </c>
      <c r="Q458" s="48" t="n">
        <v>898</v>
      </c>
      <c r="R458" s="48" t="n">
        <v>568</v>
      </c>
      <c r="S458" s="48" t="n">
        <v>11704560</v>
      </c>
      <c r="T458" s="48" t="n">
        <v>15277200</v>
      </c>
      <c r="U458" s="46" t="n">
        <f aca="false">IF($A458=$A457,$U457+1,1)</f>
        <v>194</v>
      </c>
      <c r="V458" s="48" t="n">
        <f aca="false">IF($U458&gt;=MA_SHORT,AVERAGE(INDEX($I$58:$I458,402-MA_SHORT):$I458),"")</f>
        <v>7094.05</v>
      </c>
      <c r="W458" s="48" t="n">
        <f aca="false">IF($U458&gt;=MA_MED,AVERAGE(INDEX($I$58:$I458,402-MA_MED):$I458),"")</f>
        <v>7309.32</v>
      </c>
      <c r="X458" s="48" t="n">
        <f aca="false">IF($U458&gt;=MA_LONG1,AVERAGE(INDEX($I$58:$I458,402-MA_LONG1):$I458),"")</f>
        <v>7418.87</v>
      </c>
      <c r="Y458" s="48" t="str">
        <f aca="false">IF($U458&gt;=MA_LONG2,AVERAGE(INDEX($I$58:$I458,402-MA_LONG2):$I458),"")</f>
        <v/>
      </c>
      <c r="Z458" s="48" t="n">
        <f aca="false">IF($U458&gt;=MA_SHORT,AVERAGE(INDEX($L$338:$L458,122-MA_SHORT):$L458),"")</f>
        <v>18232227.75</v>
      </c>
      <c r="AA458" s="48" t="n">
        <f aca="false">IF($U458=1,$G458-$H458,MAX($G458-$H458,ABS($G458-$I457),ABS($H458-$I457)))</f>
        <v>132</v>
      </c>
      <c r="AB458" s="48" t="n">
        <f aca="false">IF($U458&gt;=ATR_PER,AVERAGE(INDEX($AA$338:$AA458,122-ATR_PER):$AA458),"")</f>
        <v>223.428571428571</v>
      </c>
      <c r="AC458" s="48" t="n">
        <f aca="false">$O458-$P458</f>
        <v>3572640</v>
      </c>
      <c r="AD458" s="48" t="n">
        <f aca="false">$AC458*$I458</f>
        <v>26012391840</v>
      </c>
      <c r="AE458" s="49" t="n">
        <f aca="false">IF($Q458&gt;0,$O458*$I458/$Q458/1000000,"")</f>
        <v>122.810694544543</v>
      </c>
      <c r="AF458" s="49" t="n">
        <f aca="false">IF($R458&gt;0,$P458*$I458/$R458/1000000,"")</f>
        <v>148.365513839789</v>
      </c>
      <c r="AG458" s="50" t="n">
        <f aca="false">IF(AND(ISNUMBER($AE458),ISNUMBER($AF458),$AF458&gt;0),$AE458/$AF458,"")</f>
        <v>0.827757686851404</v>
      </c>
      <c r="AH458" s="48" t="n">
        <f aca="false">IF($U458&gt;=5,SUM(INDEX($AD$428:$AD458,32-5):$AD458),"")</f>
        <v>102616394772</v>
      </c>
      <c r="AI458" s="48" t="n">
        <f aca="false">IF($U458&gt;=STRUCT_S,MAX(INDEX($G$308:$G458,152-STRUCT_S):$G458),"")</f>
        <v>7456</v>
      </c>
      <c r="AJ458" s="48" t="n">
        <f aca="false">IF($U458&gt;=STRUCT_S,MIN(INDEX($H$308:$H458,152-STRUCT_S):$H458),"")</f>
        <v>6578</v>
      </c>
      <c r="AK458" s="48" t="n">
        <f aca="false">IF($U458&gt;=STRUCT_L,MAX(INDEX($G$208:$G458,252-STRUCT_L):$G458),"")</f>
        <v>8510</v>
      </c>
      <c r="AL458" s="48" t="n">
        <f aca="false">IF($U458&gt;=STRUCT_L,MIN(INDEX($H$208:$H458,252-STRUCT_L):$H458),"")</f>
        <v>6578</v>
      </c>
      <c r="AM458" s="46" t="n">
        <f aca="false">IF($A458&lt;&gt;$A459,1,0)</f>
        <v>0</v>
      </c>
      <c r="AN458" s="47" t="str">
        <f aca="false">IF($AM458=1,$A458,"")</f>
        <v/>
      </c>
    </row>
    <row r="459" customFormat="false" ht="15" hidden="false" customHeight="false" outlineLevel="0" collapsed="false">
      <c r="A459" s="43" t="s">
        <v>138</v>
      </c>
      <c r="B459" s="44" t="s">
        <v>140</v>
      </c>
      <c r="C459" s="45" t="n">
        <v>46176</v>
      </c>
      <c r="D459" s="46" t="n">
        <v>20260603</v>
      </c>
      <c r="E459" s="47" t="s">
        <v>482</v>
      </c>
      <c r="F459" s="48" t="n">
        <v>7307</v>
      </c>
      <c r="G459" s="48" t="n">
        <v>7403</v>
      </c>
      <c r="H459" s="48" t="n">
        <v>7216</v>
      </c>
      <c r="I459" s="48" t="n">
        <v>7337</v>
      </c>
      <c r="J459" s="48" t="n">
        <v>7311</v>
      </c>
      <c r="K459" s="48" t="n">
        <v>7281</v>
      </c>
      <c r="L459" s="48" t="n">
        <v>15188020</v>
      </c>
      <c r="M459" s="48" t="n">
        <v>111434502740</v>
      </c>
      <c r="N459" s="48" t="n">
        <v>505</v>
      </c>
      <c r="O459" s="48" t="n">
        <v>8368276</v>
      </c>
      <c r="P459" s="48" t="n">
        <v>6169882</v>
      </c>
      <c r="Q459" s="48" t="n">
        <v>210</v>
      </c>
      <c r="R459" s="48" t="n">
        <v>340</v>
      </c>
      <c r="S459" s="48" t="n">
        <v>6819744</v>
      </c>
      <c r="T459" s="48" t="n">
        <v>9018138</v>
      </c>
      <c r="U459" s="46" t="n">
        <f aca="false">IF($A459=$A458,$U458+1,1)</f>
        <v>195</v>
      </c>
      <c r="V459" s="48" t="n">
        <f aca="false">IF($U459&gt;=MA_SHORT,AVERAGE(INDEX($I$59:$I459,402-MA_SHORT):$I459),"")</f>
        <v>7106.05</v>
      </c>
      <c r="W459" s="48" t="n">
        <f aca="false">IF($U459&gt;=MA_MED,AVERAGE(INDEX($I$59:$I459,402-MA_MED):$I459),"")</f>
        <v>7291.3</v>
      </c>
      <c r="X459" s="48" t="n">
        <f aca="false">IF($U459&gt;=MA_LONG1,AVERAGE(INDEX($I$59:$I459,402-MA_LONG1):$I459),"")</f>
        <v>7418.08</v>
      </c>
      <c r="Y459" s="48" t="str">
        <f aca="false">IF($U459&gt;=MA_LONG2,AVERAGE(INDEX($I$59:$I459,402-MA_LONG2):$I459),"")</f>
        <v/>
      </c>
      <c r="Z459" s="48" t="n">
        <f aca="false">IF($U459&gt;=MA_SHORT,AVERAGE(INDEX($L$339:$L459,122-MA_SHORT):$L459),"")</f>
        <v>18242280.25</v>
      </c>
      <c r="AA459" s="48" t="n">
        <f aca="false">IF($U459=1,$G459-$H459,MAX($G459-$H459,ABS($G459-$I458),ABS($H459-$I458)))</f>
        <v>187</v>
      </c>
      <c r="AB459" s="48" t="n">
        <f aca="false">IF($U459&gt;=ATR_PER,AVERAGE(INDEX($AA$339:$AA459,122-ATR_PER):$AA459),"")</f>
        <v>225.214285714286</v>
      </c>
      <c r="AC459" s="48" t="n">
        <f aca="false">$O459-$P459</f>
        <v>2198394</v>
      </c>
      <c r="AD459" s="48" t="n">
        <f aca="false">$AC459*$I459</f>
        <v>16129616778</v>
      </c>
      <c r="AE459" s="49" t="n">
        <f aca="false">IF($Q459&gt;0,$O459*$I459/$Q459/1000000,"")</f>
        <v>292.371623866667</v>
      </c>
      <c r="AF459" s="49" t="n">
        <f aca="false">IF($R459&gt;0,$P459*$I459/$R459/1000000,"")</f>
        <v>133.142424217647</v>
      </c>
      <c r="AG459" s="50" t="n">
        <f aca="false">IF(AND(ISNUMBER($AE459),ISNUMBER($AF459),$AF459&gt;0),$AE459/$AF459,"")</f>
        <v>2.19593135384653</v>
      </c>
      <c r="AH459" s="48" t="n">
        <f aca="false">IF($U459&gt;=5,SUM(INDEX($AD$429:$AD459,32-5):$AD459),"")</f>
        <v>134504789334</v>
      </c>
      <c r="AI459" s="48" t="n">
        <f aca="false">IF($U459&gt;=STRUCT_S,MAX(INDEX($G$309:$G459,152-STRUCT_S):$G459),"")</f>
        <v>7456</v>
      </c>
      <c r="AJ459" s="48" t="n">
        <f aca="false">IF($U459&gt;=STRUCT_S,MIN(INDEX($H$309:$H459,152-STRUCT_S):$H459),"")</f>
        <v>6578</v>
      </c>
      <c r="AK459" s="48" t="n">
        <f aca="false">IF($U459&gt;=STRUCT_L,MAX(INDEX($G$209:$G459,252-STRUCT_L):$G459),"")</f>
        <v>8510</v>
      </c>
      <c r="AL459" s="48" t="n">
        <f aca="false">IF($U459&gt;=STRUCT_L,MIN(INDEX($H$209:$H459,252-STRUCT_L):$H459),"")</f>
        <v>6578</v>
      </c>
      <c r="AM459" s="46" t="n">
        <f aca="false">IF($A459&lt;&gt;$A460,1,0)</f>
        <v>0</v>
      </c>
      <c r="AN459" s="47" t="str">
        <f aca="false">IF($AM459=1,$A459,"")</f>
        <v/>
      </c>
    </row>
    <row r="460" customFormat="false" ht="15" hidden="false" customHeight="false" outlineLevel="0" collapsed="false">
      <c r="A460" s="43" t="s">
        <v>138</v>
      </c>
      <c r="B460" s="44" t="s">
        <v>140</v>
      </c>
      <c r="C460" s="45" t="n">
        <v>46179</v>
      </c>
      <c r="D460" s="46" t="n">
        <v>20260606</v>
      </c>
      <c r="E460" s="47" t="s">
        <v>483</v>
      </c>
      <c r="F460" s="48" t="n">
        <v>7387</v>
      </c>
      <c r="G460" s="48" t="n">
        <v>7433</v>
      </c>
      <c r="H460" s="48" t="n">
        <v>7237</v>
      </c>
      <c r="I460" s="48" t="n">
        <v>7333</v>
      </c>
      <c r="J460" s="48" t="n">
        <v>7369</v>
      </c>
      <c r="K460" s="48" t="n">
        <v>7337</v>
      </c>
      <c r="L460" s="48" t="n">
        <v>32248387</v>
      </c>
      <c r="M460" s="48" t="n">
        <v>236477421871</v>
      </c>
      <c r="N460" s="48" t="n">
        <v>989</v>
      </c>
      <c r="O460" s="48" t="n">
        <v>22760096</v>
      </c>
      <c r="P460" s="48" t="n">
        <v>8866654</v>
      </c>
      <c r="Q460" s="48" t="n">
        <v>485</v>
      </c>
      <c r="R460" s="48" t="n">
        <v>328</v>
      </c>
      <c r="S460" s="48" t="n">
        <v>9488291</v>
      </c>
      <c r="T460" s="48" t="n">
        <v>23381733</v>
      </c>
      <c r="U460" s="46" t="n">
        <f aca="false">IF($A460=$A459,$U459+1,1)</f>
        <v>196</v>
      </c>
      <c r="V460" s="48" t="n">
        <f aca="false">IF($U460&gt;=MA_SHORT,AVERAGE(INDEX($I$60:$I460,402-MA_SHORT):$I460),"")</f>
        <v>7121</v>
      </c>
      <c r="W460" s="48" t="n">
        <f aca="false">IF($U460&gt;=MA_MED,AVERAGE(INDEX($I$60:$I460,402-MA_MED):$I460),"")</f>
        <v>7277.12</v>
      </c>
      <c r="X460" s="48" t="n">
        <f aca="false">IF($U460&gt;=MA_LONG1,AVERAGE(INDEX($I$60:$I460,402-MA_LONG1):$I460),"")</f>
        <v>7417.14</v>
      </c>
      <c r="Y460" s="48" t="str">
        <f aca="false">IF($U460&gt;=MA_LONG2,AVERAGE(INDEX($I$60:$I460,402-MA_LONG2):$I460),"")</f>
        <v/>
      </c>
      <c r="Z460" s="48" t="n">
        <f aca="false">IF($U460&gt;=MA_SHORT,AVERAGE(INDEX($L$340:$L460,122-MA_SHORT):$L460),"")</f>
        <v>18700900.6</v>
      </c>
      <c r="AA460" s="48" t="n">
        <f aca="false">IF($U460=1,$G460-$H460,MAX($G460-$H460,ABS($G460-$I459),ABS($H460-$I459)))</f>
        <v>196</v>
      </c>
      <c r="AB460" s="48" t="n">
        <f aca="false">IF($U460&gt;=ATR_PER,AVERAGE(INDEX($AA$340:$AA460,122-ATR_PER):$AA460),"")</f>
        <v>228.857142857143</v>
      </c>
      <c r="AC460" s="48" t="n">
        <f aca="false">$O460-$P460</f>
        <v>13893442</v>
      </c>
      <c r="AD460" s="48" t="n">
        <f aca="false">$AC460*$I460</f>
        <v>101880610186</v>
      </c>
      <c r="AE460" s="49" t="n">
        <f aca="false">IF($Q460&gt;0,$O460*$I460/$Q460/1000000,"")</f>
        <v>344.123265913402</v>
      </c>
      <c r="AF460" s="49" t="n">
        <f aca="false">IF($R460&gt;0,$P460*$I460/$R460/1000000,"")</f>
        <v>198.229188359756</v>
      </c>
      <c r="AG460" s="50" t="n">
        <f aca="false">IF(AND(ISNUMBER($AE460),ISNUMBER($AF460),$AF460&gt;0),$AE460/$AF460,"")</f>
        <v>1.73598685824648</v>
      </c>
      <c r="AH460" s="48" t="n">
        <f aca="false">IF($U460&gt;=5,SUM(INDEX($AD$430:$AD460,32-5):$AD460),"")</f>
        <v>216096443548</v>
      </c>
      <c r="AI460" s="48" t="n">
        <f aca="false">IF($U460&gt;=STRUCT_S,MAX(INDEX($G$310:$G460,152-STRUCT_S):$G460),"")</f>
        <v>7456</v>
      </c>
      <c r="AJ460" s="48" t="n">
        <f aca="false">IF($U460&gt;=STRUCT_S,MIN(INDEX($H$310:$H460,152-STRUCT_S):$H460),"")</f>
        <v>6578</v>
      </c>
      <c r="AK460" s="48" t="n">
        <f aca="false">IF($U460&gt;=STRUCT_L,MAX(INDEX($G$210:$G460,252-STRUCT_L):$G460),"")</f>
        <v>8510</v>
      </c>
      <c r="AL460" s="48" t="n">
        <f aca="false">IF($U460&gt;=STRUCT_L,MIN(INDEX($H$210:$H460,252-STRUCT_L):$H460),"")</f>
        <v>6578</v>
      </c>
      <c r="AM460" s="46" t="n">
        <f aca="false">IF($A460&lt;&gt;$A461,1,0)</f>
        <v>0</v>
      </c>
      <c r="AN460" s="47" t="str">
        <f aca="false">IF($AM460=1,$A460,"")</f>
        <v/>
      </c>
    </row>
    <row r="461" customFormat="false" ht="15" hidden="false" customHeight="false" outlineLevel="0" collapsed="false">
      <c r="A461" s="43" t="s">
        <v>138</v>
      </c>
      <c r="B461" s="44" t="s">
        <v>140</v>
      </c>
      <c r="C461" s="45" t="n">
        <v>46180</v>
      </c>
      <c r="D461" s="46" t="n">
        <v>20260607</v>
      </c>
      <c r="E461" s="47" t="s">
        <v>484</v>
      </c>
      <c r="F461" s="48" t="n">
        <v>7268</v>
      </c>
      <c r="G461" s="48" t="n">
        <v>7377</v>
      </c>
      <c r="H461" s="48" t="n">
        <v>7226</v>
      </c>
      <c r="I461" s="48" t="n">
        <v>7270</v>
      </c>
      <c r="J461" s="48" t="n">
        <v>7284</v>
      </c>
      <c r="K461" s="48" t="n">
        <v>7333</v>
      </c>
      <c r="L461" s="48" t="n">
        <v>19985584</v>
      </c>
      <c r="M461" s="48" t="n">
        <v>145295195680</v>
      </c>
      <c r="N461" s="48" t="n">
        <v>1708</v>
      </c>
      <c r="O461" s="48" t="n">
        <v>10224465</v>
      </c>
      <c r="P461" s="48" t="n">
        <v>8939803</v>
      </c>
      <c r="Q461" s="48" t="n">
        <v>854</v>
      </c>
      <c r="R461" s="48" t="n">
        <v>631</v>
      </c>
      <c r="S461" s="48" t="n">
        <v>9761119</v>
      </c>
      <c r="T461" s="48" t="n">
        <v>11045781</v>
      </c>
      <c r="U461" s="46" t="n">
        <f aca="false">IF($A461=$A460,$U460+1,1)</f>
        <v>197</v>
      </c>
      <c r="V461" s="48" t="n">
        <f aca="false">IF($U461&gt;=MA_SHORT,AVERAGE(INDEX($I$61:$I461,402-MA_SHORT):$I461),"")</f>
        <v>7126</v>
      </c>
      <c r="W461" s="48" t="n">
        <f aca="false">IF($U461&gt;=MA_MED,AVERAGE(INDEX($I$61:$I461,402-MA_MED):$I461),"")</f>
        <v>7268.3</v>
      </c>
      <c r="X461" s="48" t="n">
        <f aca="false">IF($U461&gt;=MA_LONG1,AVERAGE(INDEX($I$61:$I461,402-MA_LONG1):$I461),"")</f>
        <v>7416.6</v>
      </c>
      <c r="Y461" s="48" t="str">
        <f aca="false">IF($U461&gt;=MA_LONG2,AVERAGE(INDEX($I$61:$I461,402-MA_LONG2):$I461),"")</f>
        <v/>
      </c>
      <c r="Z461" s="48" t="n">
        <f aca="false">IF($U461&gt;=MA_SHORT,AVERAGE(INDEX($L$341:$L461,122-MA_SHORT):$L461),"")</f>
        <v>18890066.9</v>
      </c>
      <c r="AA461" s="48" t="n">
        <f aca="false">IF($U461=1,$G461-$H461,MAX($G461-$H461,ABS($G461-$I460),ABS($H461-$I460)))</f>
        <v>151</v>
      </c>
      <c r="AB461" s="48" t="n">
        <f aca="false">IF($U461&gt;=ATR_PER,AVERAGE(INDEX($AA$341:$AA461,122-ATR_PER):$AA461),"")</f>
        <v>226.428571428571</v>
      </c>
      <c r="AC461" s="48" t="n">
        <f aca="false">$O461-$P461</f>
        <v>1284662</v>
      </c>
      <c r="AD461" s="48" t="n">
        <f aca="false">$AC461*$I461</f>
        <v>9339492740</v>
      </c>
      <c r="AE461" s="49" t="n">
        <f aca="false">IF($Q461&gt;0,$O461*$I461/$Q461/1000000,"")</f>
        <v>87.0396493559719</v>
      </c>
      <c r="AF461" s="49" t="n">
        <f aca="false">IF($R461&gt;0,$P461*$I461/$R461/1000000,"")</f>
        <v>102.998998114105</v>
      </c>
      <c r="AG461" s="50" t="n">
        <f aca="false">IF(AND(ISNUMBER($AE461),ISNUMBER($AF461),$AF461&gt;0),$AE461/$AF461,"")</f>
        <v>0.845053359252557</v>
      </c>
      <c r="AH461" s="48" t="n">
        <f aca="false">IF($U461&gt;=5,SUM(INDEX($AD$431:$AD461,32-5):$AD461),"")</f>
        <v>214436378660</v>
      </c>
      <c r="AI461" s="48" t="n">
        <f aca="false">IF($U461&gt;=STRUCT_S,MAX(INDEX($G$311:$G461,152-STRUCT_S):$G461),"")</f>
        <v>7456</v>
      </c>
      <c r="AJ461" s="48" t="n">
        <f aca="false">IF($U461&gt;=STRUCT_S,MIN(INDEX($H$311:$H461,152-STRUCT_S):$H461),"")</f>
        <v>6578</v>
      </c>
      <c r="AK461" s="48" t="n">
        <f aca="false">IF($U461&gt;=STRUCT_L,MAX(INDEX($G$211:$G461,252-STRUCT_L):$G461),"")</f>
        <v>8510</v>
      </c>
      <c r="AL461" s="48" t="n">
        <f aca="false">IF($U461&gt;=STRUCT_L,MIN(INDEX($H$211:$H461,252-STRUCT_L):$H461),"")</f>
        <v>6578</v>
      </c>
      <c r="AM461" s="46" t="n">
        <f aca="false">IF($A461&lt;&gt;$A462,1,0)</f>
        <v>0</v>
      </c>
      <c r="AN461" s="47" t="str">
        <f aca="false">IF($AM461=1,$A461,"")</f>
        <v/>
      </c>
    </row>
    <row r="462" customFormat="false" ht="15" hidden="false" customHeight="false" outlineLevel="0" collapsed="false">
      <c r="A462" s="43" t="s">
        <v>138</v>
      </c>
      <c r="B462" s="44" t="s">
        <v>140</v>
      </c>
      <c r="C462" s="45" t="n">
        <v>46181</v>
      </c>
      <c r="D462" s="46" t="n">
        <v>20260608</v>
      </c>
      <c r="E462" s="47" t="s">
        <v>485</v>
      </c>
      <c r="F462" s="48" t="n">
        <v>7164</v>
      </c>
      <c r="G462" s="48" t="n">
        <v>7303</v>
      </c>
      <c r="H462" s="48" t="n">
        <v>7055</v>
      </c>
      <c r="I462" s="48" t="n">
        <v>7087</v>
      </c>
      <c r="J462" s="48" t="n">
        <v>7179</v>
      </c>
      <c r="K462" s="48" t="n">
        <v>7270</v>
      </c>
      <c r="L462" s="48" t="n">
        <v>16710733</v>
      </c>
      <c r="M462" s="48" t="n">
        <v>118428964771</v>
      </c>
      <c r="N462" s="48" t="n">
        <v>430</v>
      </c>
      <c r="O462" s="48" t="n">
        <v>8195123</v>
      </c>
      <c r="P462" s="48" t="n">
        <v>8992771</v>
      </c>
      <c r="Q462" s="48" t="n">
        <v>191</v>
      </c>
      <c r="R462" s="48" t="n">
        <v>175</v>
      </c>
      <c r="S462" s="48" t="n">
        <v>8515610</v>
      </c>
      <c r="T462" s="48" t="n">
        <v>7717962</v>
      </c>
      <c r="U462" s="46" t="n">
        <f aca="false">IF($A462=$A461,$U461+1,1)</f>
        <v>198</v>
      </c>
      <c r="V462" s="48" t="n">
        <f aca="false">IF($U462&gt;=MA_SHORT,AVERAGE(INDEX($I$62:$I462,402-MA_SHORT):$I462),"")</f>
        <v>7139.25</v>
      </c>
      <c r="W462" s="48" t="n">
        <f aca="false">IF($U462&gt;=MA_MED,AVERAGE(INDEX($I$62:$I462,402-MA_MED):$I462),"")</f>
        <v>7255.06</v>
      </c>
      <c r="X462" s="48" t="n">
        <f aca="false">IF($U462&gt;=MA_LONG1,AVERAGE(INDEX($I$62:$I462,402-MA_LONG1):$I462),"")</f>
        <v>7414.13</v>
      </c>
      <c r="Y462" s="48" t="str">
        <f aca="false">IF($U462&gt;=MA_LONG2,AVERAGE(INDEX($I$62:$I462,402-MA_LONG2):$I462),"")</f>
        <v/>
      </c>
      <c r="Z462" s="48" t="n">
        <f aca="false">IF($U462&gt;=MA_SHORT,AVERAGE(INDEX($L$342:$L462,122-MA_SHORT):$L462),"")</f>
        <v>18788308.6</v>
      </c>
      <c r="AA462" s="48" t="n">
        <f aca="false">IF($U462=1,$G462-$H462,MAX($G462-$H462,ABS($G462-$I461),ABS($H462-$I461)))</f>
        <v>248</v>
      </c>
      <c r="AB462" s="48" t="n">
        <f aca="false">IF($U462&gt;=ATR_PER,AVERAGE(INDEX($AA$342:$AA462,122-ATR_PER):$AA462),"")</f>
        <v>234.5</v>
      </c>
      <c r="AC462" s="48" t="n">
        <f aca="false">$O462-$P462</f>
        <v>-797648</v>
      </c>
      <c r="AD462" s="48" t="n">
        <f aca="false">$AC462*$I462</f>
        <v>-5652931376</v>
      </c>
      <c r="AE462" s="49" t="n">
        <f aca="false">IF($Q462&gt;0,$O462*$I462/$Q462/1000000,"")</f>
        <v>304.077679062827</v>
      </c>
      <c r="AF462" s="49" t="n">
        <f aca="false">IF($R462&gt;0,$P462*$I462/$R462/1000000,"")</f>
        <v>364.181531868571</v>
      </c>
      <c r="AG462" s="50" t="n">
        <f aca="false">IF(AND(ISNUMBER($AE462),ISNUMBER($AF462),$AF462&gt;0),$AE462/$AF462,"")</f>
        <v>0.834961832091379</v>
      </c>
      <c r="AH462" s="48" t="n">
        <f aca="false">IF($U462&gt;=5,SUM(INDEX($AD$432:$AD462,32-5):$AD462),"")</f>
        <v>147709180168</v>
      </c>
      <c r="AI462" s="48" t="n">
        <f aca="false">IF($U462&gt;=STRUCT_S,MAX(INDEX($G$312:$G462,152-STRUCT_S):$G462),"")</f>
        <v>7456</v>
      </c>
      <c r="AJ462" s="48" t="n">
        <f aca="false">IF($U462&gt;=STRUCT_S,MIN(INDEX($H$312:$H462,152-STRUCT_S):$H462),"")</f>
        <v>6578</v>
      </c>
      <c r="AK462" s="48" t="n">
        <f aca="false">IF($U462&gt;=STRUCT_L,MAX(INDEX($G$212:$G462,252-STRUCT_L):$G462),"")</f>
        <v>8510</v>
      </c>
      <c r="AL462" s="48" t="n">
        <f aca="false">IF($U462&gt;=STRUCT_L,MIN(INDEX($H$212:$H462,252-STRUCT_L):$H462),"")</f>
        <v>6578</v>
      </c>
      <c r="AM462" s="46" t="n">
        <f aca="false">IF($A462&lt;&gt;$A463,1,0)</f>
        <v>0</v>
      </c>
      <c r="AN462" s="47" t="str">
        <f aca="false">IF($AM462=1,$A462,"")</f>
        <v/>
      </c>
    </row>
    <row r="463" customFormat="false" ht="15" hidden="false" customHeight="false" outlineLevel="0" collapsed="false">
      <c r="A463" s="43" t="s">
        <v>138</v>
      </c>
      <c r="B463" s="44" t="s">
        <v>140</v>
      </c>
      <c r="C463" s="45" t="n">
        <v>46182</v>
      </c>
      <c r="D463" s="46" t="n">
        <v>20260609</v>
      </c>
      <c r="E463" s="47" t="s">
        <v>486</v>
      </c>
      <c r="F463" s="48" t="n">
        <v>7168</v>
      </c>
      <c r="G463" s="48" t="n">
        <v>7259</v>
      </c>
      <c r="H463" s="48" t="n">
        <v>7030</v>
      </c>
      <c r="I463" s="48" t="n">
        <v>7201</v>
      </c>
      <c r="J463" s="48" t="n">
        <v>7091</v>
      </c>
      <c r="K463" s="48" t="n">
        <v>7087</v>
      </c>
      <c r="L463" s="48" t="n">
        <v>15919254</v>
      </c>
      <c r="M463" s="48" t="n">
        <v>114634548054</v>
      </c>
      <c r="N463" s="48" t="n">
        <v>496</v>
      </c>
      <c r="O463" s="48" t="n">
        <v>8893464</v>
      </c>
      <c r="P463" s="48" t="n">
        <v>6304404</v>
      </c>
      <c r="Q463" s="48" t="n">
        <v>177</v>
      </c>
      <c r="R463" s="48" t="n">
        <v>226</v>
      </c>
      <c r="S463" s="48" t="n">
        <v>7025790</v>
      </c>
      <c r="T463" s="48" t="n">
        <v>9614850</v>
      </c>
      <c r="U463" s="46" t="n">
        <f aca="false">IF($A463=$A462,$U462+1,1)</f>
        <v>199</v>
      </c>
      <c r="V463" s="48" t="n">
        <f aca="false">IF($U463&gt;=MA_SHORT,AVERAGE(INDEX($I$63:$I463,402-MA_SHORT):$I463),"")</f>
        <v>7164.9</v>
      </c>
      <c r="W463" s="48" t="n">
        <f aca="false">IF($U463&gt;=MA_MED,AVERAGE(INDEX($I$63:$I463,402-MA_MED):$I463),"")</f>
        <v>7244.1</v>
      </c>
      <c r="X463" s="48" t="n">
        <f aca="false">IF($U463&gt;=MA_LONG1,AVERAGE(INDEX($I$63:$I463,402-MA_LONG1):$I463),"")</f>
        <v>7410.08</v>
      </c>
      <c r="Y463" s="48" t="str">
        <f aca="false">IF($U463&gt;=MA_LONG2,AVERAGE(INDEX($I$63:$I463,402-MA_LONG2):$I463),"")</f>
        <v/>
      </c>
      <c r="Z463" s="48" t="n">
        <f aca="false">IF($U463&gt;=MA_SHORT,AVERAGE(INDEX($L$343:$L463,122-MA_SHORT):$L463),"")</f>
        <v>18697546.6</v>
      </c>
      <c r="AA463" s="48" t="n">
        <f aca="false">IF($U463=1,$G463-$H463,MAX($G463-$H463,ABS($G463-$I462),ABS($H463-$I462)))</f>
        <v>229</v>
      </c>
      <c r="AB463" s="48" t="n">
        <f aca="false">IF($U463&gt;=ATR_PER,AVERAGE(INDEX($AA$343:$AA463,122-ATR_PER):$AA463),"")</f>
        <v>219.214285714286</v>
      </c>
      <c r="AC463" s="48" t="n">
        <f aca="false">$O463-$P463</f>
        <v>2589060</v>
      </c>
      <c r="AD463" s="48" t="n">
        <f aca="false">$AC463*$I463</f>
        <v>18643821060</v>
      </c>
      <c r="AE463" s="49" t="n">
        <f aca="false">IF($Q463&gt;0,$O463*$I463/$Q463/1000000,"")</f>
        <v>361.818272677966</v>
      </c>
      <c r="AF463" s="49" t="n">
        <f aca="false">IF($R463&gt;0,$P463*$I463/$R463/1000000,"")</f>
        <v>200.876164619469</v>
      </c>
      <c r="AG463" s="50" t="n">
        <f aca="false">IF(AND(ISNUMBER($AE463),ISNUMBER($AF463),$AF463&gt;0),$AE463/$AF463,"")</f>
        <v>1.80120062210158</v>
      </c>
      <c r="AH463" s="48" t="n">
        <f aca="false">IF($U463&gt;=5,SUM(INDEX($AD$433:$AD463,32-5):$AD463),"")</f>
        <v>140340609388</v>
      </c>
      <c r="AI463" s="48" t="n">
        <f aca="false">IF($U463&gt;=STRUCT_S,MAX(INDEX($G$313:$G463,152-STRUCT_S):$G463),"")</f>
        <v>7456</v>
      </c>
      <c r="AJ463" s="48" t="n">
        <f aca="false">IF($U463&gt;=STRUCT_S,MIN(INDEX($H$313:$H463,152-STRUCT_S):$H463),"")</f>
        <v>6578</v>
      </c>
      <c r="AK463" s="48" t="n">
        <f aca="false">IF($U463&gt;=STRUCT_L,MAX(INDEX($G$213:$G463,252-STRUCT_L):$G463),"")</f>
        <v>8510</v>
      </c>
      <c r="AL463" s="48" t="n">
        <f aca="false">IF($U463&gt;=STRUCT_L,MIN(INDEX($H$213:$H463,252-STRUCT_L):$H463),"")</f>
        <v>6578</v>
      </c>
      <c r="AM463" s="46" t="n">
        <f aca="false">IF($A463&lt;&gt;$A464,1,0)</f>
        <v>0</v>
      </c>
      <c r="AN463" s="47" t="str">
        <f aca="false">IF($AM463=1,$A463,"")</f>
        <v/>
      </c>
    </row>
    <row r="464" customFormat="false" ht="15" hidden="false" customHeight="false" outlineLevel="0" collapsed="false">
      <c r="A464" s="43" t="s">
        <v>138</v>
      </c>
      <c r="B464" s="44" t="s">
        <v>140</v>
      </c>
      <c r="C464" s="45" t="n">
        <v>46183</v>
      </c>
      <c r="D464" s="46" t="n">
        <v>20260610</v>
      </c>
      <c r="E464" s="47" t="s">
        <v>487</v>
      </c>
      <c r="F464" s="48" t="n">
        <v>7187</v>
      </c>
      <c r="G464" s="48" t="n">
        <v>7332</v>
      </c>
      <c r="H464" s="48" t="n">
        <v>7153</v>
      </c>
      <c r="I464" s="48" t="n">
        <v>7284</v>
      </c>
      <c r="J464" s="48" t="n">
        <v>7265</v>
      </c>
      <c r="K464" s="48" t="n">
        <v>7201</v>
      </c>
      <c r="L464" s="48" t="n">
        <v>15522074</v>
      </c>
      <c r="M464" s="48" t="n">
        <v>113062787016</v>
      </c>
      <c r="N464" s="48" t="n">
        <v>430</v>
      </c>
      <c r="O464" s="48" t="n">
        <v>8857349</v>
      </c>
      <c r="P464" s="48" t="n">
        <v>7143023</v>
      </c>
      <c r="Q464" s="48" t="n">
        <v>121</v>
      </c>
      <c r="R464" s="48" t="n">
        <v>265</v>
      </c>
      <c r="S464" s="48" t="n">
        <v>6664725</v>
      </c>
      <c r="T464" s="48" t="n">
        <v>8379051</v>
      </c>
      <c r="U464" s="46" t="n">
        <f aca="false">IF($A464=$A463,$U463+1,1)</f>
        <v>200</v>
      </c>
      <c r="V464" s="48" t="n">
        <f aca="false">IF($U464&gt;=MA_SHORT,AVERAGE(INDEX($I$64:$I464,402-MA_SHORT):$I464),"")</f>
        <v>7184.15</v>
      </c>
      <c r="W464" s="48" t="n">
        <f aca="false">IF($U464&gt;=MA_MED,AVERAGE(INDEX($I$64:$I464,402-MA_MED):$I464),"")</f>
        <v>7238.34</v>
      </c>
      <c r="X464" s="48" t="n">
        <f aca="false">IF($U464&gt;=MA_LONG1,AVERAGE(INDEX($I$64:$I464,402-MA_LONG1):$I464),"")</f>
        <v>7405.09</v>
      </c>
      <c r="Y464" s="48" t="n">
        <f aca="false">IF($U464&gt;=MA_LONG2,AVERAGE(INDEX($I$64:$I464,402-MA_LONG2):$I464),"")</f>
        <v>7456.79</v>
      </c>
      <c r="Z464" s="48" t="n">
        <f aca="false">IF($U464&gt;=MA_SHORT,AVERAGE(INDEX($L$344:$L464,122-MA_SHORT):$L464),"")</f>
        <v>18583176.2</v>
      </c>
      <c r="AA464" s="48" t="n">
        <f aca="false">IF($U464=1,$G464-$H464,MAX($G464-$H464,ABS($G464-$I463),ABS($H464-$I463)))</f>
        <v>179</v>
      </c>
      <c r="AB464" s="48" t="n">
        <f aca="false">IF($U464&gt;=ATR_PER,AVERAGE(INDEX($AA$344:$AA464,122-ATR_PER):$AA464),"")</f>
        <v>217.357142857143</v>
      </c>
      <c r="AC464" s="48" t="n">
        <f aca="false">$O464-$P464</f>
        <v>1714326</v>
      </c>
      <c r="AD464" s="48" t="n">
        <f aca="false">$AC464*$I464</f>
        <v>12487150584</v>
      </c>
      <c r="AE464" s="49" t="n">
        <f aca="false">IF($Q464&gt;0,$O464*$I464/$Q464/1000000,"")</f>
        <v>533.197769553719</v>
      </c>
      <c r="AF464" s="49" t="n">
        <f aca="false">IF($R464&gt;0,$P464*$I464/$R464/1000000,"")</f>
        <v>196.338790686792</v>
      </c>
      <c r="AG464" s="50" t="n">
        <f aca="false">IF(AND(ISNUMBER($AE464),ISNUMBER($AF464),$AF464&gt;0),$AE464/$AF464,"")</f>
        <v>2.71570262650898</v>
      </c>
      <c r="AH464" s="48" t="n">
        <f aca="false">IF($U464&gt;=5,SUM(INDEX($AD$434:$AD464,32-5):$AD464),"")</f>
        <v>136698143194</v>
      </c>
      <c r="AI464" s="48" t="n">
        <f aca="false">IF($U464&gt;=STRUCT_S,MAX(INDEX($G$314:$G464,152-STRUCT_S):$G464),"")</f>
        <v>7456</v>
      </c>
      <c r="AJ464" s="48" t="n">
        <f aca="false">IF($U464&gt;=STRUCT_S,MIN(INDEX($H$314:$H464,152-STRUCT_S):$H464),"")</f>
        <v>6814</v>
      </c>
      <c r="AK464" s="48" t="n">
        <f aca="false">IF($U464&gt;=STRUCT_L,MAX(INDEX($G$214:$G464,252-STRUCT_L):$G464),"")</f>
        <v>8510</v>
      </c>
      <c r="AL464" s="48" t="n">
        <f aca="false">IF($U464&gt;=STRUCT_L,MIN(INDEX($H$214:$H464,252-STRUCT_L):$H464),"")</f>
        <v>6578</v>
      </c>
      <c r="AM464" s="46" t="n">
        <f aca="false">IF($A464&lt;&gt;$A465,1,0)</f>
        <v>0</v>
      </c>
      <c r="AN464" s="47" t="str">
        <f aca="false">IF($AM464=1,$A464,"")</f>
        <v/>
      </c>
    </row>
    <row r="465" customFormat="false" ht="15" hidden="false" customHeight="false" outlineLevel="0" collapsed="false">
      <c r="A465" s="43" t="s">
        <v>138</v>
      </c>
      <c r="B465" s="44" t="s">
        <v>140</v>
      </c>
      <c r="C465" s="45" t="n">
        <v>46186</v>
      </c>
      <c r="D465" s="46" t="n">
        <v>20260613</v>
      </c>
      <c r="E465" s="47" t="s">
        <v>488</v>
      </c>
      <c r="F465" s="48" t="n">
        <v>7267</v>
      </c>
      <c r="G465" s="48" t="n">
        <v>7442</v>
      </c>
      <c r="H465" s="48" t="n">
        <v>7020</v>
      </c>
      <c r="I465" s="48" t="n">
        <v>7176</v>
      </c>
      <c r="J465" s="48" t="n">
        <v>7029</v>
      </c>
      <c r="K465" s="48" t="n">
        <v>7284</v>
      </c>
      <c r="L465" s="48" t="n">
        <v>15809605</v>
      </c>
      <c r="M465" s="48" t="n">
        <v>113449725480</v>
      </c>
      <c r="N465" s="48" t="n">
        <v>616</v>
      </c>
      <c r="O465" s="48" t="n">
        <v>8530675</v>
      </c>
      <c r="P465" s="48" t="n">
        <v>7062092</v>
      </c>
      <c r="Q465" s="48" t="n">
        <v>376</v>
      </c>
      <c r="R465" s="48" t="n">
        <v>275</v>
      </c>
      <c r="S465" s="48" t="n">
        <v>7278930</v>
      </c>
      <c r="T465" s="48" t="n">
        <v>8747513</v>
      </c>
      <c r="U465" s="46" t="n">
        <f aca="false">IF($A465=$A464,$U464+1,1)</f>
        <v>201</v>
      </c>
      <c r="V465" s="48" t="n">
        <f aca="false">IF($U465&gt;=MA_SHORT,AVERAGE(INDEX($I$65:$I465,402-MA_SHORT):$I465),"")</f>
        <v>7198.4</v>
      </c>
      <c r="W465" s="48" t="n">
        <f aca="false">IF($U465&gt;=MA_MED,AVERAGE(INDEX($I$65:$I465,402-MA_MED):$I465),"")</f>
        <v>7231.54</v>
      </c>
      <c r="X465" s="48" t="n">
        <f aca="false">IF($U465&gt;=MA_LONG1,AVERAGE(INDEX($I$65:$I465,402-MA_LONG1):$I465),"")</f>
        <v>7400.01</v>
      </c>
      <c r="Y465" s="48" t="n">
        <f aca="false">IF($U465&gt;=MA_LONG2,AVERAGE(INDEX($I$65:$I465,402-MA_LONG2):$I465),"")</f>
        <v>7454.425</v>
      </c>
      <c r="Z465" s="48" t="n">
        <f aca="false">IF($U465&gt;=MA_SHORT,AVERAGE(INDEX($L$345:$L465,122-MA_SHORT):$L465),"")</f>
        <v>18642703.55</v>
      </c>
      <c r="AA465" s="48" t="n">
        <f aca="false">IF($U465=1,$G465-$H465,MAX($G465-$H465,ABS($G465-$I464),ABS($H465-$I464)))</f>
        <v>422</v>
      </c>
      <c r="AB465" s="48" t="n">
        <f aca="false">IF($U465&gt;=ATR_PER,AVERAGE(INDEX($AA$345:$AA465,122-ATR_PER):$AA465),"")</f>
        <v>230.928571428571</v>
      </c>
      <c r="AC465" s="48" t="n">
        <f aca="false">$O465-$P465</f>
        <v>1468583</v>
      </c>
      <c r="AD465" s="48" t="n">
        <f aca="false">$AC465*$I465</f>
        <v>10538551608</v>
      </c>
      <c r="AE465" s="49" t="n">
        <f aca="false">IF($Q465&gt;0,$O465*$I465/$Q465/1000000,"")</f>
        <v>162.808839893617</v>
      </c>
      <c r="AF465" s="49" t="n">
        <f aca="false">IF($R465&gt;0,$P465*$I465/$R465/1000000,"")</f>
        <v>184.282080698182</v>
      </c>
      <c r="AG465" s="50" t="n">
        <f aca="false">IF(AND(ISNUMBER($AE465),ISNUMBER($AF465),$AF465&gt;0),$AE465/$AF465,"")</f>
        <v>0.883476240754337</v>
      </c>
      <c r="AH465" s="48" t="n">
        <f aca="false">IF($U465&gt;=5,SUM(INDEX($AD$435:$AD465,32-5):$AD465),"")</f>
        <v>45356084616</v>
      </c>
      <c r="AI465" s="48" t="n">
        <f aca="false">IF($U465&gt;=STRUCT_S,MAX(INDEX($G$315:$G465,152-STRUCT_S):$G465),"")</f>
        <v>7456</v>
      </c>
      <c r="AJ465" s="48" t="n">
        <f aca="false">IF($U465&gt;=STRUCT_S,MIN(INDEX($H$315:$H465,152-STRUCT_S):$H465),"")</f>
        <v>6854</v>
      </c>
      <c r="AK465" s="48" t="n">
        <f aca="false">IF($U465&gt;=STRUCT_L,MAX(INDEX($G$215:$G465,252-STRUCT_L):$G465),"")</f>
        <v>8510</v>
      </c>
      <c r="AL465" s="48" t="n">
        <f aca="false">IF($U465&gt;=STRUCT_L,MIN(INDEX($H$215:$H465,252-STRUCT_L):$H465),"")</f>
        <v>6578</v>
      </c>
      <c r="AM465" s="46" t="n">
        <f aca="false">IF($A465&lt;&gt;$A466,1,0)</f>
        <v>0</v>
      </c>
      <c r="AN465" s="47" t="str">
        <f aca="false">IF($AM465=1,$A465,"")</f>
        <v/>
      </c>
    </row>
    <row r="466" customFormat="false" ht="15" hidden="false" customHeight="false" outlineLevel="0" collapsed="false">
      <c r="A466" s="43" t="s">
        <v>138</v>
      </c>
      <c r="B466" s="44" t="s">
        <v>140</v>
      </c>
      <c r="C466" s="45" t="n">
        <v>46187</v>
      </c>
      <c r="D466" s="46" t="n">
        <v>20260614</v>
      </c>
      <c r="E466" s="47" t="s">
        <v>489</v>
      </c>
      <c r="F466" s="48" t="n">
        <v>7357</v>
      </c>
      <c r="G466" s="48" t="n">
        <v>7387</v>
      </c>
      <c r="H466" s="48" t="n">
        <v>7064</v>
      </c>
      <c r="I466" s="48" t="n">
        <v>7273</v>
      </c>
      <c r="J466" s="48" t="n">
        <v>7269</v>
      </c>
      <c r="K466" s="48" t="n">
        <v>7176</v>
      </c>
      <c r="L466" s="48" t="n">
        <v>15695516</v>
      </c>
      <c r="M466" s="48" t="n">
        <v>114153487868</v>
      </c>
      <c r="N466" s="48" t="n">
        <v>481</v>
      </c>
      <c r="O466" s="48" t="n">
        <v>10652618</v>
      </c>
      <c r="P466" s="48" t="n">
        <v>5609389</v>
      </c>
      <c r="Q466" s="48" t="n">
        <v>166</v>
      </c>
      <c r="R466" s="48" t="n">
        <v>292</v>
      </c>
      <c r="S466" s="48" t="n">
        <v>5042898</v>
      </c>
      <c r="T466" s="48" t="n">
        <v>10086127</v>
      </c>
      <c r="U466" s="46" t="n">
        <f aca="false">IF($A466=$A465,$U465+1,1)</f>
        <v>202</v>
      </c>
      <c r="V466" s="48" t="n">
        <f aca="false">IF($U466&gt;=MA_SHORT,AVERAGE(INDEX($I$66:$I466,402-MA_SHORT):$I466),"")</f>
        <v>7212.05</v>
      </c>
      <c r="W466" s="48" t="n">
        <f aca="false">IF($U466&gt;=MA_MED,AVERAGE(INDEX($I$66:$I466,402-MA_MED):$I466),"")</f>
        <v>7225.88</v>
      </c>
      <c r="X466" s="48" t="n">
        <f aca="false">IF($U466&gt;=MA_LONG1,AVERAGE(INDEX($I$66:$I466,402-MA_LONG1):$I466),"")</f>
        <v>7396.63</v>
      </c>
      <c r="Y466" s="48" t="n">
        <f aca="false">IF($U466&gt;=MA_LONG2,AVERAGE(INDEX($I$66:$I466,402-MA_LONG2):$I466),"")</f>
        <v>7454.42</v>
      </c>
      <c r="Z466" s="48" t="n">
        <f aca="false">IF($U466&gt;=MA_SHORT,AVERAGE(INDEX($L$346:$L466,122-MA_SHORT):$L466),"")</f>
        <v>18632684.15</v>
      </c>
      <c r="AA466" s="48" t="n">
        <f aca="false">IF($U466=1,$G466-$H466,MAX($G466-$H466,ABS($G466-$I465),ABS($H466-$I465)))</f>
        <v>323</v>
      </c>
      <c r="AB466" s="48" t="n">
        <f aca="false">IF($U466&gt;=ATR_PER,AVERAGE(INDEX($AA$346:$AA466,122-ATR_PER):$AA466),"")</f>
        <v>237.714285714286</v>
      </c>
      <c r="AC466" s="48" t="n">
        <f aca="false">$O466-$P466</f>
        <v>5043229</v>
      </c>
      <c r="AD466" s="48" t="n">
        <f aca="false">$AC466*$I466</f>
        <v>36679404517</v>
      </c>
      <c r="AE466" s="49" t="n">
        <f aca="false">IF($Q466&gt;0,$O466*$I466/$Q466/1000000,"")</f>
        <v>466.725847674699</v>
      </c>
      <c r="AF466" s="49" t="n">
        <f aca="false">IF($R466&gt;0,$P466*$I466/$R466/1000000,"")</f>
        <v>139.716048619863</v>
      </c>
      <c r="AG466" s="50" t="n">
        <f aca="false">IF(AND(ISNUMBER($AE466),ISNUMBER($AF466),$AF466&gt;0),$AE466/$AF466,"")</f>
        <v>3.34053140126056</v>
      </c>
      <c r="AH466" s="48" t="n">
        <f aca="false">IF($U466&gt;=5,SUM(INDEX($AD$436:$AD466,32-5):$AD466),"")</f>
        <v>72695996393</v>
      </c>
      <c r="AI466" s="48" t="n">
        <f aca="false">IF($U466&gt;=STRUCT_S,MAX(INDEX($G$316:$G466,152-STRUCT_S):$G466),"")</f>
        <v>7456</v>
      </c>
      <c r="AJ466" s="48" t="n">
        <f aca="false">IF($U466&gt;=STRUCT_S,MIN(INDEX($H$316:$H466,152-STRUCT_S):$H466),"")</f>
        <v>6854</v>
      </c>
      <c r="AK466" s="48" t="n">
        <f aca="false">IF($U466&gt;=STRUCT_L,MAX(INDEX($G$216:$G466,252-STRUCT_L):$G466),"")</f>
        <v>8510</v>
      </c>
      <c r="AL466" s="48" t="n">
        <f aca="false">IF($U466&gt;=STRUCT_L,MIN(INDEX($H$216:$H466,252-STRUCT_L):$H466),"")</f>
        <v>6578</v>
      </c>
      <c r="AM466" s="46" t="n">
        <f aca="false">IF($A466&lt;&gt;$A467,1,0)</f>
        <v>0</v>
      </c>
      <c r="AN466" s="47" t="str">
        <f aca="false">IF($AM466=1,$A466,"")</f>
        <v/>
      </c>
    </row>
    <row r="467" customFormat="false" ht="15" hidden="false" customHeight="false" outlineLevel="0" collapsed="false">
      <c r="A467" s="43" t="s">
        <v>138</v>
      </c>
      <c r="B467" s="44" t="s">
        <v>140</v>
      </c>
      <c r="C467" s="45" t="n">
        <v>46188</v>
      </c>
      <c r="D467" s="46" t="n">
        <v>20260615</v>
      </c>
      <c r="E467" s="47" t="s">
        <v>490</v>
      </c>
      <c r="F467" s="48" t="n">
        <v>7264</v>
      </c>
      <c r="G467" s="48" t="n">
        <v>7413</v>
      </c>
      <c r="H467" s="48" t="n">
        <v>7160</v>
      </c>
      <c r="I467" s="48" t="n">
        <v>7300</v>
      </c>
      <c r="J467" s="48" t="n">
        <v>7343</v>
      </c>
      <c r="K467" s="48" t="n">
        <v>7273</v>
      </c>
      <c r="L467" s="48" t="n">
        <v>22808773</v>
      </c>
      <c r="M467" s="48" t="n">
        <v>166504042900</v>
      </c>
      <c r="N467" s="48" t="n">
        <v>606</v>
      </c>
      <c r="O467" s="48" t="n">
        <v>13868772</v>
      </c>
      <c r="P467" s="48" t="n">
        <v>8673734</v>
      </c>
      <c r="Q467" s="48" t="n">
        <v>213</v>
      </c>
      <c r="R467" s="48" t="n">
        <v>371</v>
      </c>
      <c r="S467" s="48" t="n">
        <v>8940001</v>
      </c>
      <c r="T467" s="48" t="n">
        <v>14135039</v>
      </c>
      <c r="U467" s="46" t="n">
        <f aca="false">IF($A467=$A466,$U466+1,1)</f>
        <v>203</v>
      </c>
      <c r="V467" s="48" t="n">
        <f aca="false">IF($U467&gt;=MA_SHORT,AVERAGE(INDEX($I$67:$I467,402-MA_SHORT):$I467),"")</f>
        <v>7225.9</v>
      </c>
      <c r="W467" s="48" t="n">
        <f aca="false">IF($U467&gt;=MA_MED,AVERAGE(INDEX($I$67:$I467,402-MA_MED):$I467),"")</f>
        <v>7226.56</v>
      </c>
      <c r="X467" s="48" t="n">
        <f aca="false">IF($U467&gt;=MA_LONG1,AVERAGE(INDEX($I$67:$I467,402-MA_LONG1):$I467),"")</f>
        <v>7395.64</v>
      </c>
      <c r="Y467" s="48" t="n">
        <f aca="false">IF($U467&gt;=MA_LONG2,AVERAGE(INDEX($I$67:$I467,402-MA_LONG2):$I467),"")</f>
        <v>7454.83</v>
      </c>
      <c r="Z467" s="48" t="n">
        <f aca="false">IF($U467&gt;=MA_SHORT,AVERAGE(INDEX($L$347:$L467,122-MA_SHORT):$L467),"")</f>
        <v>18984830.6</v>
      </c>
      <c r="AA467" s="48" t="n">
        <f aca="false">IF($U467=1,$G467-$H467,MAX($G467-$H467,ABS($G467-$I466),ABS($H467-$I466)))</f>
        <v>253</v>
      </c>
      <c r="AB467" s="48" t="n">
        <f aca="false">IF($U467&gt;=ATR_PER,AVERAGE(INDEX($AA$347:$AA467,122-ATR_PER):$AA467),"")</f>
        <v>238.214285714286</v>
      </c>
      <c r="AC467" s="48" t="n">
        <f aca="false">$O467-$P467</f>
        <v>5195038</v>
      </c>
      <c r="AD467" s="48" t="n">
        <f aca="false">$AC467*$I467</f>
        <v>37923777400</v>
      </c>
      <c r="AE467" s="49" t="n">
        <f aca="false">IF($Q467&gt;0,$O467*$I467/$Q467/1000000,"")</f>
        <v>475.314721126761</v>
      </c>
      <c r="AF467" s="49" t="n">
        <f aca="false">IF($R467&gt;0,$P467*$I467/$R467/1000000,"")</f>
        <v>170.669159568733</v>
      </c>
      <c r="AG467" s="50" t="n">
        <f aca="false">IF(AND(ISNUMBER($AE467),ISNUMBER($AF467),$AF467&gt;0),$AE467/$AF467,"")</f>
        <v>2.78500651393516</v>
      </c>
      <c r="AH467" s="48" t="n">
        <f aca="false">IF($U467&gt;=5,SUM(INDEX($AD$437:$AD467,32-5):$AD467),"")</f>
        <v>116272705169</v>
      </c>
      <c r="AI467" s="48" t="n">
        <f aca="false">IF($U467&gt;=STRUCT_S,MAX(INDEX($G$317:$G467,152-STRUCT_S):$G467),"")</f>
        <v>7456</v>
      </c>
      <c r="AJ467" s="48" t="n">
        <f aca="false">IF($U467&gt;=STRUCT_S,MIN(INDEX($H$317:$H467,152-STRUCT_S):$H467),"")</f>
        <v>6854</v>
      </c>
      <c r="AK467" s="48" t="n">
        <f aca="false">IF($U467&gt;=STRUCT_L,MAX(INDEX($G$217:$G467,252-STRUCT_L):$G467),"")</f>
        <v>8510</v>
      </c>
      <c r="AL467" s="48" t="n">
        <f aca="false">IF($U467&gt;=STRUCT_L,MIN(INDEX($H$217:$H467,252-STRUCT_L):$H467),"")</f>
        <v>6578</v>
      </c>
      <c r="AM467" s="46" t="n">
        <f aca="false">IF($A467&lt;&gt;$A468,1,0)</f>
        <v>0</v>
      </c>
      <c r="AN467" s="47" t="str">
        <f aca="false">IF($AM467=1,$A467,"")</f>
        <v/>
      </c>
    </row>
    <row r="468" customFormat="false" ht="15" hidden="false" customHeight="false" outlineLevel="0" collapsed="false">
      <c r="A468" s="43" t="s">
        <v>138</v>
      </c>
      <c r="B468" s="44" t="s">
        <v>140</v>
      </c>
      <c r="C468" s="45" t="n">
        <v>46189</v>
      </c>
      <c r="D468" s="46" t="n">
        <v>20260616</v>
      </c>
      <c r="E468" s="47" t="s">
        <v>491</v>
      </c>
      <c r="F468" s="48" t="n">
        <v>7526</v>
      </c>
      <c r="G468" s="48" t="n">
        <v>7618</v>
      </c>
      <c r="H468" s="48" t="n">
        <v>7213</v>
      </c>
      <c r="I468" s="48" t="n">
        <v>7528</v>
      </c>
      <c r="J468" s="48" t="n">
        <v>7408</v>
      </c>
      <c r="K468" s="48" t="n">
        <v>7300</v>
      </c>
      <c r="L468" s="48" t="n">
        <v>25550047</v>
      </c>
      <c r="M468" s="48" t="n">
        <v>192340753816</v>
      </c>
      <c r="N468" s="48" t="n">
        <v>745</v>
      </c>
      <c r="O468" s="48" t="n">
        <v>16910861</v>
      </c>
      <c r="P468" s="48" t="n">
        <v>7830963</v>
      </c>
      <c r="Q468" s="48" t="n">
        <v>238</v>
      </c>
      <c r="R468" s="48" t="n">
        <v>408</v>
      </c>
      <c r="S468" s="48" t="n">
        <v>8639186</v>
      </c>
      <c r="T468" s="48" t="n">
        <v>17719084</v>
      </c>
      <c r="U468" s="46" t="n">
        <f aca="false">IF($A468=$A467,$U467+1,1)</f>
        <v>204</v>
      </c>
      <c r="V468" s="48" t="n">
        <f aca="false">IF($U468&gt;=MA_SHORT,AVERAGE(INDEX($I$68:$I468,402-MA_SHORT):$I468),"")</f>
        <v>7251.5</v>
      </c>
      <c r="W468" s="48" t="n">
        <f aca="false">IF($U468&gt;=MA_MED,AVERAGE(INDEX($I$68:$I468,402-MA_MED):$I468),"")</f>
        <v>7231.14</v>
      </c>
      <c r="X468" s="48" t="n">
        <f aca="false">IF($U468&gt;=MA_LONG1,AVERAGE(INDEX($I$68:$I468,402-MA_LONG1):$I468),"")</f>
        <v>7397.52</v>
      </c>
      <c r="Y468" s="48" t="n">
        <f aca="false">IF($U468&gt;=MA_LONG2,AVERAGE(INDEX($I$68:$I468,402-MA_LONG2):$I468),"")</f>
        <v>7456.105</v>
      </c>
      <c r="Z468" s="48" t="n">
        <f aca="false">IF($U468&gt;=MA_SHORT,AVERAGE(INDEX($L$348:$L468,122-MA_SHORT):$L468),"")</f>
        <v>19532089.35</v>
      </c>
      <c r="AA468" s="48" t="n">
        <f aca="false">IF($U468=1,$G468-$H468,MAX($G468-$H468,ABS($G468-$I467),ABS($H468-$I467)))</f>
        <v>405</v>
      </c>
      <c r="AB468" s="48" t="n">
        <f aca="false">IF($U468&gt;=ATR_PER,AVERAGE(INDEX($AA$348:$AA468,122-ATR_PER):$AA468),"")</f>
        <v>247.642857142857</v>
      </c>
      <c r="AC468" s="48" t="n">
        <f aca="false">$O468-$P468</f>
        <v>9079898</v>
      </c>
      <c r="AD468" s="48" t="n">
        <f aca="false">$AC468*$I468</f>
        <v>68353472144</v>
      </c>
      <c r="AE468" s="49" t="n">
        <f aca="false">IF($Q468&gt;0,$O468*$I468/$Q468/1000000,"")</f>
        <v>534.894796672269</v>
      </c>
      <c r="AF468" s="49" t="n">
        <f aca="false">IF($R468&gt;0,$P468*$I468/$R468/1000000,"")</f>
        <v>144.488944764706</v>
      </c>
      <c r="AG468" s="50" t="n">
        <f aca="false">IF(AND(ISNUMBER($AE468),ISNUMBER($AF468),$AF468&gt;0),$AE468/$AF468,"")</f>
        <v>3.70197732112531</v>
      </c>
      <c r="AH468" s="48" t="n">
        <f aca="false">IF($U468&gt;=5,SUM(INDEX($AD$438:$AD468,32-5):$AD468),"")</f>
        <v>165982356253</v>
      </c>
      <c r="AI468" s="48" t="n">
        <f aca="false">IF($U468&gt;=STRUCT_S,MAX(INDEX($G$318:$G468,152-STRUCT_S):$G468),"")</f>
        <v>7618</v>
      </c>
      <c r="AJ468" s="48" t="n">
        <f aca="false">IF($U468&gt;=STRUCT_S,MIN(INDEX($H$318:$H468,152-STRUCT_S):$H468),"")</f>
        <v>6854</v>
      </c>
      <c r="AK468" s="48" t="n">
        <f aca="false">IF($U468&gt;=STRUCT_L,MAX(INDEX($G$218:$G468,252-STRUCT_L):$G468),"")</f>
        <v>8510</v>
      </c>
      <c r="AL468" s="48" t="n">
        <f aca="false">IF($U468&gt;=STRUCT_L,MIN(INDEX($H$218:$H468,252-STRUCT_L):$H468),"")</f>
        <v>6578</v>
      </c>
      <c r="AM468" s="46" t="n">
        <f aca="false">IF($A468&lt;&gt;$A469,1,0)</f>
        <v>0</v>
      </c>
      <c r="AN468" s="47" t="str">
        <f aca="false">IF($AM468=1,$A468,"")</f>
        <v/>
      </c>
    </row>
    <row r="469" customFormat="false" ht="15" hidden="false" customHeight="false" outlineLevel="0" collapsed="false">
      <c r="A469" s="43" t="s">
        <v>138</v>
      </c>
      <c r="B469" s="44" t="s">
        <v>140</v>
      </c>
      <c r="C469" s="45" t="n">
        <v>46190</v>
      </c>
      <c r="D469" s="46" t="n">
        <v>20260617</v>
      </c>
      <c r="E469" s="47" t="s">
        <v>492</v>
      </c>
      <c r="F469" s="48" t="n">
        <v>7562</v>
      </c>
      <c r="G469" s="48" t="n">
        <v>7849</v>
      </c>
      <c r="H469" s="48" t="n">
        <v>7307</v>
      </c>
      <c r="I469" s="48" t="n">
        <v>7625</v>
      </c>
      <c r="J469" s="48" t="n">
        <v>7669</v>
      </c>
      <c r="K469" s="48" t="n">
        <v>7528</v>
      </c>
      <c r="L469" s="48" t="n">
        <v>15640459</v>
      </c>
      <c r="M469" s="48" t="n">
        <v>119258499875</v>
      </c>
      <c r="N469" s="48" t="n">
        <v>400</v>
      </c>
      <c r="O469" s="48" t="n">
        <v>9842382</v>
      </c>
      <c r="P469" s="48" t="n">
        <v>5899638</v>
      </c>
      <c r="Q469" s="48" t="n">
        <v>98</v>
      </c>
      <c r="R469" s="48" t="n">
        <v>180</v>
      </c>
      <c r="S469" s="48" t="n">
        <v>5798077</v>
      </c>
      <c r="T469" s="48" t="n">
        <v>9740821</v>
      </c>
      <c r="U469" s="46" t="n">
        <f aca="false">IF($A469=$A468,$U468+1,1)</f>
        <v>205</v>
      </c>
      <c r="V469" s="48" t="n">
        <f aca="false">IF($U469&gt;=MA_SHORT,AVERAGE(INDEX($I$69:$I469,402-MA_SHORT):$I469),"")</f>
        <v>7276.1</v>
      </c>
      <c r="W469" s="48" t="n">
        <f aca="false">IF($U469&gt;=MA_MED,AVERAGE(INDEX($I$69:$I469,402-MA_MED):$I469),"")</f>
        <v>7232.4</v>
      </c>
      <c r="X469" s="48" t="n">
        <f aca="false">IF($U469&gt;=MA_LONG1,AVERAGE(INDEX($I$69:$I469,402-MA_LONG1):$I469),"")</f>
        <v>7399.82</v>
      </c>
      <c r="Y469" s="48" t="n">
        <f aca="false">IF($U469&gt;=MA_LONG2,AVERAGE(INDEX($I$69:$I469,402-MA_LONG2):$I469),"")</f>
        <v>7458.2</v>
      </c>
      <c r="Z469" s="48" t="n">
        <f aca="false">IF($U469&gt;=MA_SHORT,AVERAGE(INDEX($L$349:$L469,122-MA_SHORT):$L469),"")</f>
        <v>19515578.25</v>
      </c>
      <c r="AA469" s="48" t="n">
        <f aca="false">IF($U469=1,$G469-$H469,MAX($G469-$H469,ABS($G469-$I468),ABS($H469-$I468)))</f>
        <v>542</v>
      </c>
      <c r="AB469" s="48" t="n">
        <f aca="false">IF($U469&gt;=ATR_PER,AVERAGE(INDEX($AA$349:$AA469,122-ATR_PER):$AA469),"")</f>
        <v>264.214285714286</v>
      </c>
      <c r="AC469" s="48" t="n">
        <f aca="false">$O469-$P469</f>
        <v>3942744</v>
      </c>
      <c r="AD469" s="48" t="n">
        <f aca="false">$AC469*$I469</f>
        <v>30063423000</v>
      </c>
      <c r="AE469" s="49" t="n">
        <f aca="false">IF($Q469&gt;0,$O469*$I469/$Q469/1000000,"")</f>
        <v>765.797579081633</v>
      </c>
      <c r="AF469" s="49" t="n">
        <f aca="false">IF($R469&gt;0,$P469*$I469/$R469/1000000,"")</f>
        <v>249.915220833333</v>
      </c>
      <c r="AG469" s="50" t="n">
        <f aca="false">IF(AND(ISNUMBER($AE469),ISNUMBER($AF469),$AF469&gt;0),$AE469/$AF469,"")</f>
        <v>3.0642294476027</v>
      </c>
      <c r="AH469" s="48" t="n">
        <f aca="false">IF($U469&gt;=5,SUM(INDEX($AD$439:$AD469,32-5):$AD469),"")</f>
        <v>183558628669</v>
      </c>
      <c r="AI469" s="48" t="n">
        <f aca="false">IF($U469&gt;=STRUCT_S,MAX(INDEX($G$319:$G469,152-STRUCT_S):$G469),"")</f>
        <v>7849</v>
      </c>
      <c r="AJ469" s="48" t="n">
        <f aca="false">IF($U469&gt;=STRUCT_S,MIN(INDEX($H$319:$H469,152-STRUCT_S):$H469),"")</f>
        <v>7002</v>
      </c>
      <c r="AK469" s="48" t="n">
        <f aca="false">IF($U469&gt;=STRUCT_L,MAX(INDEX($G$219:$G469,252-STRUCT_L):$G469),"")</f>
        <v>8371</v>
      </c>
      <c r="AL469" s="48" t="n">
        <f aca="false">IF($U469&gt;=STRUCT_L,MIN(INDEX($H$219:$H469,252-STRUCT_L):$H469),"")</f>
        <v>6578</v>
      </c>
      <c r="AM469" s="46" t="n">
        <f aca="false">IF($A469&lt;&gt;$A470,1,0)</f>
        <v>0</v>
      </c>
      <c r="AN469" s="47" t="str">
        <f aca="false">IF($AM469=1,$A469,"")</f>
        <v/>
      </c>
    </row>
    <row r="470" customFormat="false" ht="15" hidden="false" customHeight="false" outlineLevel="0" collapsed="false">
      <c r="A470" s="43" t="s">
        <v>138</v>
      </c>
      <c r="B470" s="44" t="s">
        <v>140</v>
      </c>
      <c r="C470" s="45" t="n">
        <v>46193</v>
      </c>
      <c r="D470" s="46" t="n">
        <v>20260620</v>
      </c>
      <c r="E470" s="47" t="s">
        <v>493</v>
      </c>
      <c r="F470" s="48" t="n">
        <v>7465</v>
      </c>
      <c r="G470" s="48" t="n">
        <v>7734</v>
      </c>
      <c r="H470" s="48" t="n">
        <v>7365</v>
      </c>
      <c r="I470" s="48" t="n">
        <v>7472</v>
      </c>
      <c r="J470" s="48" t="n">
        <v>7730</v>
      </c>
      <c r="K470" s="48" t="n">
        <v>7625</v>
      </c>
      <c r="L470" s="48" t="n">
        <v>16729038</v>
      </c>
      <c r="M470" s="48" t="n">
        <v>124999371936</v>
      </c>
      <c r="N470" s="48" t="n">
        <v>379</v>
      </c>
      <c r="O470" s="48" t="n">
        <v>6740003</v>
      </c>
      <c r="P470" s="48" t="n">
        <v>8561479</v>
      </c>
      <c r="Q470" s="48" t="n">
        <v>199</v>
      </c>
      <c r="R470" s="48" t="n">
        <v>120</v>
      </c>
      <c r="S470" s="48" t="n">
        <v>9989035</v>
      </c>
      <c r="T470" s="48" t="n">
        <v>8167559</v>
      </c>
      <c r="U470" s="46" t="n">
        <f aca="false">IF($A470=$A469,$U469+1,1)</f>
        <v>206</v>
      </c>
      <c r="V470" s="48" t="n">
        <f aca="false">IF($U470&gt;=MA_SHORT,AVERAGE(INDEX($I$70:$I470,402-MA_SHORT):$I470),"")</f>
        <v>7295.9</v>
      </c>
      <c r="W470" s="48" t="n">
        <f aca="false">IF($U470&gt;=MA_MED,AVERAGE(INDEX($I$70:$I470,402-MA_MED):$I470),"")</f>
        <v>7230.54</v>
      </c>
      <c r="X470" s="48" t="n">
        <f aca="false">IF($U470&gt;=MA_LONG1,AVERAGE(INDEX($I$70:$I470,402-MA_LONG1):$I470),"")</f>
        <v>7401.5</v>
      </c>
      <c r="Y470" s="48" t="n">
        <f aca="false">IF($U470&gt;=MA_LONG2,AVERAGE(INDEX($I$70:$I470,402-MA_LONG2):$I470),"")</f>
        <v>7459.695</v>
      </c>
      <c r="Z470" s="48" t="n">
        <f aca="false">IF($U470&gt;=MA_SHORT,AVERAGE(INDEX($L$350:$L470,122-MA_SHORT):$L470),"")</f>
        <v>19512142.85</v>
      </c>
      <c r="AA470" s="48" t="n">
        <f aca="false">IF($U470=1,$G470-$H470,MAX($G470-$H470,ABS($G470-$I469),ABS($H470-$I469)))</f>
        <v>369</v>
      </c>
      <c r="AB470" s="48" t="n">
        <f aca="false">IF($U470&gt;=ATR_PER,AVERAGE(INDEX($AA$350:$AA470,122-ATR_PER):$AA470),"")</f>
        <v>273.5</v>
      </c>
      <c r="AC470" s="48" t="n">
        <f aca="false">$O470-$P470</f>
        <v>-1821476</v>
      </c>
      <c r="AD470" s="48" t="n">
        <f aca="false">$AC470*$I470</f>
        <v>-13610068672</v>
      </c>
      <c r="AE470" s="49" t="n">
        <f aca="false">IF($Q470&gt;0,$O470*$I470/$Q470/1000000,"")</f>
        <v>253.071871437186</v>
      </c>
      <c r="AF470" s="49" t="n">
        <f aca="false">IF($R470&gt;0,$P470*$I470/$R470/1000000,"")</f>
        <v>533.094759066667</v>
      </c>
      <c r="AG470" s="50" t="n">
        <f aca="false">IF(AND(ISNUMBER($AE470),ISNUMBER($AF470),$AF470&gt;0),$AE470/$AF470,"")</f>
        <v>0.474722114845511</v>
      </c>
      <c r="AH470" s="48" t="n">
        <f aca="false">IF($U470&gt;=5,SUM(INDEX($AD$440:$AD470,32-5):$AD470),"")</f>
        <v>159410008389</v>
      </c>
      <c r="AI470" s="48" t="n">
        <f aca="false">IF($U470&gt;=STRUCT_S,MAX(INDEX($G$320:$G470,152-STRUCT_S):$G470),"")</f>
        <v>7849</v>
      </c>
      <c r="AJ470" s="48" t="n">
        <f aca="false">IF($U470&gt;=STRUCT_S,MIN(INDEX($H$320:$H470,152-STRUCT_S):$H470),"")</f>
        <v>7004</v>
      </c>
      <c r="AK470" s="48" t="n">
        <f aca="false">IF($U470&gt;=STRUCT_L,MAX(INDEX($G$220:$G470,252-STRUCT_L):$G470),"")</f>
        <v>8174</v>
      </c>
      <c r="AL470" s="48" t="n">
        <f aca="false">IF($U470&gt;=STRUCT_L,MIN(INDEX($H$220:$H470,252-STRUCT_L):$H470),"")</f>
        <v>6578</v>
      </c>
      <c r="AM470" s="46" t="n">
        <f aca="false">IF($A470&lt;&gt;$A471,1,0)</f>
        <v>0</v>
      </c>
      <c r="AN470" s="47" t="str">
        <f aca="false">IF($AM470=1,$A470,"")</f>
        <v/>
      </c>
    </row>
    <row r="471" customFormat="false" ht="15" hidden="false" customHeight="false" outlineLevel="0" collapsed="false">
      <c r="A471" s="43" t="s">
        <v>138</v>
      </c>
      <c r="B471" s="44" t="s">
        <v>140</v>
      </c>
      <c r="C471" s="45" t="n">
        <v>46194</v>
      </c>
      <c r="D471" s="46" t="n">
        <v>20260621</v>
      </c>
      <c r="E471" s="47" t="s">
        <v>494</v>
      </c>
      <c r="F471" s="48" t="n">
        <v>7496</v>
      </c>
      <c r="G471" s="48" t="n">
        <v>7511</v>
      </c>
      <c r="H471" s="48" t="n">
        <v>7388</v>
      </c>
      <c r="I471" s="48" t="n">
        <v>7426</v>
      </c>
      <c r="J471" s="48" t="n">
        <v>7456</v>
      </c>
      <c r="K471" s="48" t="n">
        <v>7472</v>
      </c>
      <c r="L471" s="48" t="n">
        <v>17544066</v>
      </c>
      <c r="M471" s="48" t="n">
        <v>130282234116</v>
      </c>
      <c r="N471" s="48" t="n">
        <v>1425</v>
      </c>
      <c r="O471" s="48" t="n">
        <v>9094564</v>
      </c>
      <c r="P471" s="48" t="n">
        <v>8870971</v>
      </c>
      <c r="Q471" s="48" t="n">
        <v>704</v>
      </c>
      <c r="R471" s="48" t="n">
        <v>412</v>
      </c>
      <c r="S471" s="48" t="n">
        <v>8449502</v>
      </c>
      <c r="T471" s="48" t="n">
        <v>8673095</v>
      </c>
      <c r="U471" s="46" t="n">
        <f aca="false">IF($A471=$A470,$U470+1,1)</f>
        <v>207</v>
      </c>
      <c r="V471" s="48" t="n">
        <f aca="false">IF($U471&gt;=MA_SHORT,AVERAGE(INDEX($I$71:$I471,402-MA_SHORT):$I471),"")</f>
        <v>7307.35</v>
      </c>
      <c r="W471" s="48" t="n">
        <f aca="false">IF($U471&gt;=MA_MED,AVERAGE(INDEX($I$71:$I471,402-MA_MED):$I471),"")</f>
        <v>7227.14</v>
      </c>
      <c r="X471" s="48" t="n">
        <f aca="false">IF($U471&gt;=MA_LONG1,AVERAGE(INDEX($I$71:$I471,402-MA_LONG1):$I471),"")</f>
        <v>7403.27</v>
      </c>
      <c r="Y471" s="48" t="n">
        <f aca="false">IF($U471&gt;=MA_LONG2,AVERAGE(INDEX($I$71:$I471,402-MA_LONG2):$I471),"")</f>
        <v>7461.215</v>
      </c>
      <c r="Z471" s="48" t="n">
        <f aca="false">IF($U471&gt;=MA_SHORT,AVERAGE(INDEX($L$351:$L471,122-MA_SHORT):$L471),"")</f>
        <v>19521836.1</v>
      </c>
      <c r="AA471" s="48" t="n">
        <f aca="false">IF($U471=1,$G471-$H471,MAX($G471-$H471,ABS($G471-$I470),ABS($H471-$I470)))</f>
        <v>123</v>
      </c>
      <c r="AB471" s="48" t="n">
        <f aca="false">IF($U471&gt;=ATR_PER,AVERAGE(INDEX($AA$351:$AA471,122-ATR_PER):$AA471),"")</f>
        <v>268.5</v>
      </c>
      <c r="AC471" s="48" t="n">
        <f aca="false">$O471-$P471</f>
        <v>223593</v>
      </c>
      <c r="AD471" s="48" t="n">
        <f aca="false">$AC471*$I471</f>
        <v>1660401618</v>
      </c>
      <c r="AE471" s="49" t="n">
        <f aca="false">IF($Q471&gt;0,$O471*$I471/$Q471/1000000,"")</f>
        <v>95.9321481022727</v>
      </c>
      <c r="AF471" s="49" t="n">
        <f aca="false">IF($R471&gt;0,$P471*$I471/$R471/1000000,"")</f>
        <v>159.892792830097</v>
      </c>
      <c r="AG471" s="50" t="n">
        <f aca="false">IF(AND(ISNUMBER($AE471),ISNUMBER($AF471),$AF471&gt;0),$AE471/$AF471,"")</f>
        <v>0.59997793774364</v>
      </c>
      <c r="AH471" s="48" t="n">
        <f aca="false">IF($U471&gt;=5,SUM(INDEX($AD$441:$AD471,32-5):$AD471),"")</f>
        <v>124391005490</v>
      </c>
      <c r="AI471" s="48" t="n">
        <f aca="false">IF($U471&gt;=STRUCT_S,MAX(INDEX($G$321:$G471,152-STRUCT_S):$G471),"")</f>
        <v>7849</v>
      </c>
      <c r="AJ471" s="48" t="n">
        <f aca="false">IF($U471&gt;=STRUCT_S,MIN(INDEX($H$321:$H471,152-STRUCT_S):$H471),"")</f>
        <v>7004</v>
      </c>
      <c r="AK471" s="48" t="n">
        <f aca="false">IF($U471&gt;=STRUCT_L,MAX(INDEX($G$221:$G471,252-STRUCT_L):$G471),"")</f>
        <v>7912</v>
      </c>
      <c r="AL471" s="48" t="n">
        <f aca="false">IF($U471&gt;=STRUCT_L,MIN(INDEX($H$221:$H471,252-STRUCT_L):$H471),"")</f>
        <v>6578</v>
      </c>
      <c r="AM471" s="46" t="n">
        <f aca="false">IF($A471&lt;&gt;$A472,1,0)</f>
        <v>0</v>
      </c>
      <c r="AN471" s="47" t="str">
        <f aca="false">IF($AM471=1,$A471,"")</f>
        <v/>
      </c>
    </row>
    <row r="472" customFormat="false" ht="15" hidden="false" customHeight="false" outlineLevel="0" collapsed="false">
      <c r="A472" s="43" t="s">
        <v>138</v>
      </c>
      <c r="B472" s="44" t="s">
        <v>140</v>
      </c>
      <c r="C472" s="45" t="n">
        <v>46195</v>
      </c>
      <c r="D472" s="46" t="n">
        <v>20260622</v>
      </c>
      <c r="E472" s="47" t="s">
        <v>495</v>
      </c>
      <c r="F472" s="48" t="n">
        <v>7371</v>
      </c>
      <c r="G472" s="48" t="n">
        <v>7466</v>
      </c>
      <c r="H472" s="48" t="n">
        <v>7270</v>
      </c>
      <c r="I472" s="48" t="n">
        <v>7310</v>
      </c>
      <c r="J472" s="48" t="n">
        <v>7465</v>
      </c>
      <c r="K472" s="48" t="n">
        <v>7426</v>
      </c>
      <c r="L472" s="48" t="n">
        <v>20080553</v>
      </c>
      <c r="M472" s="48" t="n">
        <v>146788842430</v>
      </c>
      <c r="N472" s="48" t="n">
        <v>2158</v>
      </c>
      <c r="O472" s="48" t="n">
        <v>10069132</v>
      </c>
      <c r="P472" s="48" t="n">
        <v>10224562</v>
      </c>
      <c r="Q472" s="48" t="n">
        <v>1324</v>
      </c>
      <c r="R472" s="48" t="n">
        <v>815</v>
      </c>
      <c r="S472" s="48" t="n">
        <v>10011421</v>
      </c>
      <c r="T472" s="48" t="n">
        <v>9855991</v>
      </c>
      <c r="U472" s="46" t="n">
        <f aca="false">IF($A472=$A471,$U471+1,1)</f>
        <v>208</v>
      </c>
      <c r="V472" s="48" t="n">
        <f aca="false">IF($U472&gt;=MA_SHORT,AVERAGE(INDEX($I$72:$I472,402-MA_SHORT):$I472),"")</f>
        <v>7306.45</v>
      </c>
      <c r="W472" s="48" t="n">
        <f aca="false">IF($U472&gt;=MA_MED,AVERAGE(INDEX($I$72:$I472,402-MA_MED):$I472),"")</f>
        <v>7219.98</v>
      </c>
      <c r="X472" s="48" t="n">
        <f aca="false">IF($U472&gt;=MA_LONG1,AVERAGE(INDEX($I$72:$I472,402-MA_LONG1):$I472),"")</f>
        <v>7405.19</v>
      </c>
      <c r="Y472" s="48" t="n">
        <f aca="false">IF($U472&gt;=MA_LONG2,AVERAGE(INDEX($I$72:$I472,402-MA_LONG2):$I472),"")</f>
        <v>7462.75</v>
      </c>
      <c r="Z472" s="48" t="n">
        <f aca="false">IF($U472&gt;=MA_SHORT,AVERAGE(INDEX($L$352:$L472,122-MA_SHORT):$L472),"")</f>
        <v>19720683.95</v>
      </c>
      <c r="AA472" s="48" t="n">
        <f aca="false">IF($U472=1,$G472-$H472,MAX($G472-$H472,ABS($G472-$I471),ABS($H472-$I471)))</f>
        <v>196</v>
      </c>
      <c r="AB472" s="48" t="n">
        <f aca="false">IF($U472&gt;=ATR_PER,AVERAGE(INDEX($AA$352:$AA472,122-ATR_PER):$AA472),"")</f>
        <v>273.071428571429</v>
      </c>
      <c r="AC472" s="48" t="n">
        <f aca="false">$O472-$P472</f>
        <v>-155430</v>
      </c>
      <c r="AD472" s="48" t="n">
        <f aca="false">$AC472*$I472</f>
        <v>-1136193300</v>
      </c>
      <c r="AE472" s="49" t="n">
        <f aca="false">IF($Q472&gt;0,$O472*$I472/$Q472/1000000,"")</f>
        <v>55.5931683685801</v>
      </c>
      <c r="AF472" s="49" t="n">
        <f aca="false">IF($R472&gt;0,$P472*$I472/$R472/1000000,"")</f>
        <v>91.7074211288344</v>
      </c>
      <c r="AG472" s="50" t="n">
        <f aca="false">IF(AND(ISNUMBER($AE472),ISNUMBER($AF472),$AF472&gt;0),$AE472/$AF472,"")</f>
        <v>0.606201414065286</v>
      </c>
      <c r="AH472" s="48" t="n">
        <f aca="false">IF($U472&gt;=5,SUM(INDEX($AD$442:$AD472,32-5):$AD472),"")</f>
        <v>85331034790</v>
      </c>
      <c r="AI472" s="48" t="n">
        <f aca="false">IF($U472&gt;=STRUCT_S,MAX(INDEX($G$322:$G472,152-STRUCT_S):$G472),"")</f>
        <v>7849</v>
      </c>
      <c r="AJ472" s="48" t="n">
        <f aca="false">IF($U472&gt;=STRUCT_S,MIN(INDEX($H$322:$H472,152-STRUCT_S):$H472),"")</f>
        <v>7004</v>
      </c>
      <c r="AK472" s="48" t="n">
        <f aca="false">IF($U472&gt;=STRUCT_L,MAX(INDEX($G$222:$G472,252-STRUCT_L):$G472),"")</f>
        <v>7849</v>
      </c>
      <c r="AL472" s="48" t="n">
        <f aca="false">IF($U472&gt;=STRUCT_L,MIN(INDEX($H$222:$H472,252-STRUCT_L):$H472),"")</f>
        <v>6578</v>
      </c>
      <c r="AM472" s="46" t="n">
        <f aca="false">IF($A472&lt;&gt;$A473,1,0)</f>
        <v>0</v>
      </c>
      <c r="AN472" s="47" t="str">
        <f aca="false">IF($AM472=1,$A472,"")</f>
        <v/>
      </c>
    </row>
    <row r="473" customFormat="false" ht="15" hidden="false" customHeight="false" outlineLevel="0" collapsed="false">
      <c r="A473" s="43" t="s">
        <v>138</v>
      </c>
      <c r="B473" s="44" t="s">
        <v>140</v>
      </c>
      <c r="C473" s="45" t="n">
        <v>46196</v>
      </c>
      <c r="D473" s="46" t="n">
        <v>20260623</v>
      </c>
      <c r="E473" s="47" t="s">
        <v>496</v>
      </c>
      <c r="F473" s="48" t="n">
        <v>7384</v>
      </c>
      <c r="G473" s="48" t="n">
        <v>7463</v>
      </c>
      <c r="H473" s="48" t="n">
        <v>7275</v>
      </c>
      <c r="I473" s="48" t="n">
        <v>7427</v>
      </c>
      <c r="J473" s="48" t="n">
        <v>7354</v>
      </c>
      <c r="K473" s="48" t="n">
        <v>7310</v>
      </c>
      <c r="L473" s="48" t="n">
        <v>19253213</v>
      </c>
      <c r="M473" s="48" t="n">
        <v>142993612951</v>
      </c>
      <c r="N473" s="48" t="n">
        <v>1797</v>
      </c>
      <c r="O473" s="48" t="n">
        <v>12575342</v>
      </c>
      <c r="P473" s="48" t="n">
        <v>6809331</v>
      </c>
      <c r="Q473" s="48" t="n">
        <v>714</v>
      </c>
      <c r="R473" s="48" t="n">
        <v>1040</v>
      </c>
      <c r="S473" s="48" t="n">
        <v>6677871</v>
      </c>
      <c r="T473" s="48" t="n">
        <v>12443882</v>
      </c>
      <c r="U473" s="46" t="n">
        <f aca="false">IF($A473=$A472,$U472+1,1)</f>
        <v>209</v>
      </c>
      <c r="V473" s="48" t="n">
        <f aca="false">IF($U473&gt;=MA_SHORT,AVERAGE(INDEX($I$73:$I473,402-MA_SHORT):$I473),"")</f>
        <v>7310.95</v>
      </c>
      <c r="W473" s="48" t="n">
        <f aca="false">IF($U473&gt;=MA_MED,AVERAGE(INDEX($I$73:$I473,402-MA_MED):$I473),"")</f>
        <v>7216.8</v>
      </c>
      <c r="X473" s="48" t="n">
        <f aca="false">IF($U473&gt;=MA_LONG1,AVERAGE(INDEX($I$73:$I473,402-MA_LONG1):$I473),"")</f>
        <v>7407.53</v>
      </c>
      <c r="Y473" s="48" t="n">
        <f aca="false">IF($U473&gt;=MA_LONG2,AVERAGE(INDEX($I$73:$I473,402-MA_LONG2):$I473),"")</f>
        <v>7465.31</v>
      </c>
      <c r="Z473" s="48" t="n">
        <f aca="false">IF($U473&gt;=MA_SHORT,AVERAGE(INDEX($L$353:$L473,122-MA_SHORT):$L473),"")</f>
        <v>19952093</v>
      </c>
      <c r="AA473" s="48" t="n">
        <f aca="false">IF($U473=1,$G473-$H473,MAX($G473-$H473,ABS($G473-$I472),ABS($H473-$I472)))</f>
        <v>188</v>
      </c>
      <c r="AB473" s="48" t="n">
        <f aca="false">IF($U473&gt;=ATR_PER,AVERAGE(INDEX($AA$353:$AA473,122-ATR_PER):$AA473),"")</f>
        <v>273.142857142857</v>
      </c>
      <c r="AC473" s="48" t="n">
        <f aca="false">$O473-$P473</f>
        <v>5766011</v>
      </c>
      <c r="AD473" s="48" t="n">
        <f aca="false">$AC473*$I473</f>
        <v>42824163697</v>
      </c>
      <c r="AE473" s="49" t="n">
        <f aca="false">IF($Q473&gt;0,$O473*$I473/$Q473/1000000,"")</f>
        <v>130.808214333333</v>
      </c>
      <c r="AF473" s="49" t="n">
        <f aca="false">IF($R473&gt;0,$P473*$I473/$R473/1000000,"")</f>
        <v>48.6277897471154</v>
      </c>
      <c r="AG473" s="50" t="n">
        <f aca="false">IF(AND(ISNUMBER($AE473),ISNUMBER($AF473),$AF473&gt;0),$AE473/$AF473,"")</f>
        <v>2.68998889346175</v>
      </c>
      <c r="AH473" s="48" t="n">
        <f aca="false">IF($U473&gt;=5,SUM(INDEX($AD$443:$AD473,32-5):$AD473),"")</f>
        <v>59801726343</v>
      </c>
      <c r="AI473" s="48" t="n">
        <f aca="false">IF($U473&gt;=STRUCT_S,MAX(INDEX($G$323:$G473,152-STRUCT_S):$G473),"")</f>
        <v>7849</v>
      </c>
      <c r="AJ473" s="48" t="n">
        <f aca="false">IF($U473&gt;=STRUCT_S,MIN(INDEX($H$323:$H473,152-STRUCT_S):$H473),"")</f>
        <v>7004</v>
      </c>
      <c r="AK473" s="48" t="n">
        <f aca="false">IF($U473&gt;=STRUCT_L,MAX(INDEX($G$223:$G473,252-STRUCT_L):$G473),"")</f>
        <v>7849</v>
      </c>
      <c r="AL473" s="48" t="n">
        <f aca="false">IF($U473&gt;=STRUCT_L,MIN(INDEX($H$223:$H473,252-STRUCT_L):$H473),"")</f>
        <v>6578</v>
      </c>
      <c r="AM473" s="46" t="n">
        <f aca="false">IF($A473&lt;&gt;$A474,1,0)</f>
        <v>0</v>
      </c>
      <c r="AN473" s="47" t="str">
        <f aca="false">IF($AM473=1,$A473,"")</f>
        <v/>
      </c>
    </row>
    <row r="474" customFormat="false" ht="15" hidden="false" customHeight="false" outlineLevel="0" collapsed="false">
      <c r="A474" s="43" t="s">
        <v>138</v>
      </c>
      <c r="B474" s="44" t="s">
        <v>140</v>
      </c>
      <c r="C474" s="45" t="n">
        <v>46197</v>
      </c>
      <c r="D474" s="46" t="n">
        <v>20260624</v>
      </c>
      <c r="E474" s="47" t="s">
        <v>497</v>
      </c>
      <c r="F474" s="48" t="n">
        <v>7420</v>
      </c>
      <c r="G474" s="48" t="n">
        <v>7452</v>
      </c>
      <c r="H474" s="48" t="n">
        <v>7392</v>
      </c>
      <c r="I474" s="48" t="n">
        <v>7417</v>
      </c>
      <c r="J474" s="48" t="n">
        <v>7447</v>
      </c>
      <c r="K474" s="48" t="n">
        <v>7427</v>
      </c>
      <c r="L474" s="48" t="n">
        <v>16827972</v>
      </c>
      <c r="M474" s="48" t="n">
        <v>124813068324</v>
      </c>
      <c r="N474" s="48" t="n">
        <v>468</v>
      </c>
      <c r="O474" s="48" t="n">
        <v>8929227</v>
      </c>
      <c r="P474" s="48" t="n">
        <v>7976055</v>
      </c>
      <c r="Q474" s="48" t="n">
        <v>199</v>
      </c>
      <c r="R474" s="48" t="n">
        <v>132</v>
      </c>
      <c r="S474" s="48" t="n">
        <v>7898745</v>
      </c>
      <c r="T474" s="48" t="n">
        <v>8851917</v>
      </c>
      <c r="U474" s="46" t="n">
        <f aca="false">IF($A474=$A473,$U473+1,1)</f>
        <v>210</v>
      </c>
      <c r="V474" s="48" t="n">
        <f aca="false">IF($U474&gt;=MA_SHORT,AVERAGE(INDEX($I$74:$I474,402-MA_SHORT):$I474),"")</f>
        <v>7323.7</v>
      </c>
      <c r="W474" s="48" t="n">
        <f aca="false">IF($U474&gt;=MA_MED,AVERAGE(INDEX($I$74:$I474,402-MA_MED):$I474),"")</f>
        <v>7214.86</v>
      </c>
      <c r="X474" s="48" t="n">
        <f aca="false">IF($U474&gt;=MA_LONG1,AVERAGE(INDEX($I$74:$I474,402-MA_LONG1):$I474),"")</f>
        <v>7410.19</v>
      </c>
      <c r="Y474" s="48" t="n">
        <f aca="false">IF($U474&gt;=MA_LONG2,AVERAGE(INDEX($I$74:$I474,402-MA_LONG2):$I474),"")</f>
        <v>7468.405</v>
      </c>
      <c r="Z474" s="48" t="n">
        <f aca="false">IF($U474&gt;=MA_SHORT,AVERAGE(INDEX($L$354:$L474,122-MA_SHORT):$L474),"")</f>
        <v>19744354.5</v>
      </c>
      <c r="AA474" s="48" t="n">
        <f aca="false">IF($U474=1,$G474-$H474,MAX($G474-$H474,ABS($G474-$I473),ABS($H474-$I473)))</f>
        <v>60</v>
      </c>
      <c r="AB474" s="48" t="n">
        <f aca="false">IF($U474&gt;=ATR_PER,AVERAGE(INDEX($AA$354:$AA474,122-ATR_PER):$AA474),"")</f>
        <v>263.428571428571</v>
      </c>
      <c r="AC474" s="48" t="n">
        <f aca="false">$O474-$P474</f>
        <v>953172</v>
      </c>
      <c r="AD474" s="48" t="n">
        <f aca="false">$AC474*$I474</f>
        <v>7069676724</v>
      </c>
      <c r="AE474" s="49" t="n">
        <f aca="false">IF($Q474&gt;0,$O474*$I474/$Q474/1000000,"")</f>
        <v>332.804405321608</v>
      </c>
      <c r="AF474" s="49" t="n">
        <f aca="false">IF($R474&gt;0,$P474*$I474/$R474/1000000,"")</f>
        <v>448.169696477273</v>
      </c>
      <c r="AG474" s="50" t="n">
        <f aca="false">IF(AND(ISNUMBER($AE474),ISNUMBER($AF474),$AF474&gt;0),$AE474/$AF474,"")</f>
        <v>0.742585694520479</v>
      </c>
      <c r="AH474" s="48" t="n">
        <f aca="false">IF($U474&gt;=5,SUM(INDEX($AD$444:$AD474,32-5):$AD474),"")</f>
        <v>36807980067</v>
      </c>
      <c r="AI474" s="48" t="n">
        <f aca="false">IF($U474&gt;=STRUCT_S,MAX(INDEX($G$324:$G474,152-STRUCT_S):$G474),"")</f>
        <v>7849</v>
      </c>
      <c r="AJ474" s="48" t="n">
        <f aca="false">IF($U474&gt;=STRUCT_S,MIN(INDEX($H$324:$H474,152-STRUCT_S):$H474),"")</f>
        <v>7004</v>
      </c>
      <c r="AK474" s="48" t="n">
        <f aca="false">IF($U474&gt;=STRUCT_L,MAX(INDEX($G$224:$G474,252-STRUCT_L):$G474),"")</f>
        <v>7849</v>
      </c>
      <c r="AL474" s="48" t="n">
        <f aca="false">IF($U474&gt;=STRUCT_L,MIN(INDEX($H$224:$H474,252-STRUCT_L):$H474),"")</f>
        <v>6578</v>
      </c>
      <c r="AM474" s="46" t="n">
        <f aca="false">IF($A474&lt;&gt;$A475,1,0)</f>
        <v>0</v>
      </c>
      <c r="AN474" s="47" t="str">
        <f aca="false">IF($AM474=1,$A474,"")</f>
        <v/>
      </c>
    </row>
    <row r="475" customFormat="false" ht="15" hidden="false" customHeight="false" outlineLevel="0" collapsed="false">
      <c r="A475" s="43" t="s">
        <v>138</v>
      </c>
      <c r="B475" s="44" t="s">
        <v>140</v>
      </c>
      <c r="C475" s="45" t="n">
        <v>46200</v>
      </c>
      <c r="D475" s="46" t="n">
        <v>20260627</v>
      </c>
      <c r="E475" s="47" t="s">
        <v>498</v>
      </c>
      <c r="F475" s="48" t="n">
        <v>7503</v>
      </c>
      <c r="G475" s="48" t="n">
        <v>7698</v>
      </c>
      <c r="H475" s="48" t="n">
        <v>7310</v>
      </c>
      <c r="I475" s="48" t="n">
        <v>7589</v>
      </c>
      <c r="J475" s="48" t="n">
        <v>7624</v>
      </c>
      <c r="K475" s="48" t="n">
        <v>7417</v>
      </c>
      <c r="L475" s="48" t="n">
        <v>16538087</v>
      </c>
      <c r="M475" s="48" t="n">
        <v>125507542243</v>
      </c>
      <c r="N475" s="48" t="n">
        <v>520</v>
      </c>
      <c r="O475" s="48" t="n">
        <v>9102232</v>
      </c>
      <c r="P475" s="48" t="n">
        <v>7114281</v>
      </c>
      <c r="Q475" s="48" t="n">
        <v>145</v>
      </c>
      <c r="R475" s="48" t="n">
        <v>333</v>
      </c>
      <c r="S475" s="48" t="n">
        <v>7435855</v>
      </c>
      <c r="T475" s="48" t="n">
        <v>9423806</v>
      </c>
      <c r="U475" s="46" t="n">
        <f aca="false">IF($A475=$A474,$U474+1,1)</f>
        <v>211</v>
      </c>
      <c r="V475" s="48" t="n">
        <f aca="false">IF($U475&gt;=MA_SHORT,AVERAGE(INDEX($I$75:$I475,402-MA_SHORT):$I475),"")</f>
        <v>7345.35</v>
      </c>
      <c r="W475" s="48" t="n">
        <f aca="false">IF($U475&gt;=MA_MED,AVERAGE(INDEX($I$75:$I475,402-MA_MED):$I475),"")</f>
        <v>7217.54</v>
      </c>
      <c r="X475" s="48" t="n">
        <f aca="false">IF($U475&gt;=MA_LONG1,AVERAGE(INDEX($I$75:$I475,402-MA_LONG1):$I475),"")</f>
        <v>7412.43</v>
      </c>
      <c r="Y475" s="48" t="n">
        <f aca="false">IF($U475&gt;=MA_LONG2,AVERAGE(INDEX($I$75:$I475,402-MA_LONG2):$I475),"")</f>
        <v>7472.415</v>
      </c>
      <c r="Z475" s="48" t="n">
        <f aca="false">IF($U475&gt;=MA_SHORT,AVERAGE(INDEX($L$355:$L475,122-MA_SHORT):$L475),"")</f>
        <v>19724634.75</v>
      </c>
      <c r="AA475" s="48" t="n">
        <f aca="false">IF($U475=1,$G475-$H475,MAX($G475-$H475,ABS($G475-$I474),ABS($H475-$I474)))</f>
        <v>388</v>
      </c>
      <c r="AB475" s="48" t="n">
        <f aca="false">IF($U475&gt;=ATR_PER,AVERAGE(INDEX($AA$355:$AA475,122-ATR_PER):$AA475),"")</f>
        <v>280.357142857143</v>
      </c>
      <c r="AC475" s="48" t="n">
        <f aca="false">$O475-$P475</f>
        <v>1987951</v>
      </c>
      <c r="AD475" s="48" t="n">
        <f aca="false">$AC475*$I475</f>
        <v>15086560139</v>
      </c>
      <c r="AE475" s="49" t="n">
        <f aca="false">IF($Q475&gt;0,$O475*$I475/$Q475/1000000,"")</f>
        <v>476.391990675862</v>
      </c>
      <c r="AF475" s="49" t="n">
        <f aca="false">IF($R475&gt;0,$P475*$I475/$R475/1000000,"")</f>
        <v>162.132968495496</v>
      </c>
      <c r="AG475" s="50" t="n">
        <f aca="false">IF(AND(ISNUMBER($AE475),ISNUMBER($AF475),$AF475&gt;0),$AE475/$AF475,"")</f>
        <v>2.93827958062149</v>
      </c>
      <c r="AH475" s="48" t="n">
        <f aca="false">IF($U475&gt;=5,SUM(INDEX($AD$445:$AD475,32-5):$AD475),"")</f>
        <v>65504608878</v>
      </c>
      <c r="AI475" s="48" t="n">
        <f aca="false">IF($U475&gt;=STRUCT_S,MAX(INDEX($G$325:$G475,152-STRUCT_S):$G475),"")</f>
        <v>7849</v>
      </c>
      <c r="AJ475" s="48" t="n">
        <f aca="false">IF($U475&gt;=STRUCT_S,MIN(INDEX($H$325:$H475,152-STRUCT_S):$H475),"")</f>
        <v>7020</v>
      </c>
      <c r="AK475" s="48" t="n">
        <f aca="false">IF($U475&gt;=STRUCT_L,MAX(INDEX($G$225:$G475,252-STRUCT_L):$G475),"")</f>
        <v>7849</v>
      </c>
      <c r="AL475" s="48" t="n">
        <f aca="false">IF($U475&gt;=STRUCT_L,MIN(INDEX($H$225:$H475,252-STRUCT_L):$H475),"")</f>
        <v>6578</v>
      </c>
      <c r="AM475" s="46" t="n">
        <f aca="false">IF($A475&lt;&gt;$A476,1,0)</f>
        <v>0</v>
      </c>
      <c r="AN475" s="47" t="str">
        <f aca="false">IF($AM475=1,$A475,"")</f>
        <v/>
      </c>
    </row>
    <row r="476" customFormat="false" ht="15" hidden="false" customHeight="false" outlineLevel="0" collapsed="false">
      <c r="A476" s="43" t="s">
        <v>138</v>
      </c>
      <c r="B476" s="44" t="s">
        <v>140</v>
      </c>
      <c r="C476" s="45" t="n">
        <v>46201</v>
      </c>
      <c r="D476" s="46" t="n">
        <v>20260628</v>
      </c>
      <c r="E476" s="47" t="s">
        <v>499</v>
      </c>
      <c r="F476" s="48" t="n">
        <v>7468</v>
      </c>
      <c r="G476" s="48" t="n">
        <v>7622</v>
      </c>
      <c r="H476" s="48" t="n">
        <v>7462</v>
      </c>
      <c r="I476" s="48" t="n">
        <v>7495</v>
      </c>
      <c r="J476" s="48" t="n">
        <v>7521</v>
      </c>
      <c r="K476" s="48" t="n">
        <v>7589</v>
      </c>
      <c r="L476" s="48" t="n">
        <v>15597002</v>
      </c>
      <c r="M476" s="48" t="n">
        <v>116899529990</v>
      </c>
      <c r="N476" s="48" t="n">
        <v>392</v>
      </c>
      <c r="O476" s="48" t="n">
        <v>8459397</v>
      </c>
      <c r="P476" s="48" t="n">
        <v>6334106</v>
      </c>
      <c r="Q476" s="48" t="n">
        <v>144</v>
      </c>
      <c r="R476" s="48" t="n">
        <v>160</v>
      </c>
      <c r="S476" s="48" t="n">
        <v>7137605</v>
      </c>
      <c r="T476" s="48" t="n">
        <v>9262896</v>
      </c>
      <c r="U476" s="46" t="n">
        <f aca="false">IF($A476=$A475,$U475+1,1)</f>
        <v>212</v>
      </c>
      <c r="V476" s="48" t="n">
        <f aca="false">IF($U476&gt;=MA_SHORT,AVERAGE(INDEX($I$76:$I476,402-MA_SHORT):$I476),"")</f>
        <v>7357.9</v>
      </c>
      <c r="W476" s="48" t="n">
        <f aca="false">IF($U476&gt;=MA_MED,AVERAGE(INDEX($I$76:$I476,402-MA_MED):$I476),"")</f>
        <v>7219.3</v>
      </c>
      <c r="X476" s="48" t="n">
        <f aca="false">IF($U476&gt;=MA_LONG1,AVERAGE(INDEX($I$76:$I476,402-MA_LONG1):$I476),"")</f>
        <v>7412.51</v>
      </c>
      <c r="Y476" s="48" t="n">
        <f aca="false">IF($U476&gt;=MA_LONG2,AVERAGE(INDEX($I$76:$I476,402-MA_LONG2):$I476),"")</f>
        <v>7475.95</v>
      </c>
      <c r="Z476" s="48" t="n">
        <f aca="false">IF($U476&gt;=MA_SHORT,AVERAGE(INDEX($L$356:$L476,122-MA_SHORT):$L476),"")</f>
        <v>19468779.65</v>
      </c>
      <c r="AA476" s="48" t="n">
        <f aca="false">IF($U476=1,$G476-$H476,MAX($G476-$H476,ABS($G476-$I475),ABS($H476-$I475)))</f>
        <v>160</v>
      </c>
      <c r="AB476" s="48" t="n">
        <f aca="false">IF($U476&gt;=ATR_PER,AVERAGE(INDEX($AA$356:$AA476,122-ATR_PER):$AA476),"")</f>
        <v>274.071428571429</v>
      </c>
      <c r="AC476" s="48" t="n">
        <f aca="false">$O476-$P476</f>
        <v>2125291</v>
      </c>
      <c r="AD476" s="48" t="n">
        <f aca="false">$AC476*$I476</f>
        <v>15929056045</v>
      </c>
      <c r="AE476" s="49" t="n">
        <f aca="false">IF($Q476&gt;0,$O476*$I476/$Q476/1000000,"")</f>
        <v>440.2998646875</v>
      </c>
      <c r="AF476" s="49" t="n">
        <f aca="false">IF($R476&gt;0,$P476*$I476/$R476/1000000,"")</f>
        <v>296.7132779375</v>
      </c>
      <c r="AG476" s="50" t="n">
        <f aca="false">IF(AND(ISNUMBER($AE476),ISNUMBER($AF476),$AF476&gt;0),$AE476/$AF476,"")</f>
        <v>1.48392369815093</v>
      </c>
      <c r="AH476" s="48" t="n">
        <f aca="false">IF($U476&gt;=5,SUM(INDEX($AD$446:$AD476,32-5):$AD476),"")</f>
        <v>79773263305</v>
      </c>
      <c r="AI476" s="48" t="n">
        <f aca="false">IF($U476&gt;=STRUCT_S,MAX(INDEX($G$326:$G476,152-STRUCT_S):$G476),"")</f>
        <v>7849</v>
      </c>
      <c r="AJ476" s="48" t="n">
        <f aca="false">IF($U476&gt;=STRUCT_S,MIN(INDEX($H$326:$H476,152-STRUCT_S):$H476),"")</f>
        <v>7020</v>
      </c>
      <c r="AK476" s="48" t="n">
        <f aca="false">IF($U476&gt;=STRUCT_L,MAX(INDEX($G$226:$G476,252-STRUCT_L):$G476),"")</f>
        <v>7849</v>
      </c>
      <c r="AL476" s="48" t="n">
        <f aca="false">IF($U476&gt;=STRUCT_L,MIN(INDEX($H$226:$H476,252-STRUCT_L):$H476),"")</f>
        <v>6578</v>
      </c>
      <c r="AM476" s="46" t="n">
        <f aca="false">IF($A476&lt;&gt;$A477,1,0)</f>
        <v>0</v>
      </c>
      <c r="AN476" s="47" t="str">
        <f aca="false">IF($AM476=1,$A476,"")</f>
        <v/>
      </c>
    </row>
    <row r="477" customFormat="false" ht="15" hidden="false" customHeight="false" outlineLevel="0" collapsed="false">
      <c r="A477" s="43" t="s">
        <v>138</v>
      </c>
      <c r="B477" s="44" t="s">
        <v>140</v>
      </c>
      <c r="C477" s="45" t="n">
        <v>46202</v>
      </c>
      <c r="D477" s="46" t="n">
        <v>20260629</v>
      </c>
      <c r="E477" s="47" t="s">
        <v>500</v>
      </c>
      <c r="F477" s="48" t="n">
        <v>7515</v>
      </c>
      <c r="G477" s="48" t="n">
        <v>7571</v>
      </c>
      <c r="H477" s="48" t="n">
        <v>7345</v>
      </c>
      <c r="I477" s="48" t="n">
        <v>7420</v>
      </c>
      <c r="J477" s="48" t="n">
        <v>7524</v>
      </c>
      <c r="K477" s="48" t="n">
        <v>7495</v>
      </c>
      <c r="L477" s="48" t="n">
        <v>15854012</v>
      </c>
      <c r="M477" s="48" t="n">
        <v>117636769040</v>
      </c>
      <c r="N477" s="48" t="n">
        <v>1649</v>
      </c>
      <c r="O477" s="48" t="n">
        <v>8861549</v>
      </c>
      <c r="P477" s="48" t="n">
        <v>8161437</v>
      </c>
      <c r="Q477" s="48" t="n">
        <v>966</v>
      </c>
      <c r="R477" s="48" t="n">
        <v>756</v>
      </c>
      <c r="S477" s="48" t="n">
        <v>6992463</v>
      </c>
      <c r="T477" s="48" t="n">
        <v>7692575</v>
      </c>
      <c r="U477" s="46" t="n">
        <f aca="false">IF($A477=$A476,$U476+1,1)</f>
        <v>213</v>
      </c>
      <c r="V477" s="48" t="n">
        <f aca="false">IF($U477&gt;=MA_SHORT,AVERAGE(INDEX($I$77:$I477,402-MA_SHORT):$I477),"")</f>
        <v>7362.55</v>
      </c>
      <c r="W477" s="48" t="n">
        <f aca="false">IF($U477&gt;=MA_MED,AVERAGE(INDEX($I$77:$I477,402-MA_MED):$I477),"")</f>
        <v>7220.92</v>
      </c>
      <c r="X477" s="48" t="n">
        <f aca="false">IF($U477&gt;=MA_LONG1,AVERAGE(INDEX($I$77:$I477,402-MA_LONG1):$I477),"")</f>
        <v>7414.22</v>
      </c>
      <c r="Y477" s="48" t="n">
        <f aca="false">IF($U477&gt;=MA_LONG2,AVERAGE(INDEX($I$77:$I477,402-MA_LONG2):$I477),"")</f>
        <v>7478.325</v>
      </c>
      <c r="Z477" s="48" t="n">
        <f aca="false">IF($U477&gt;=MA_SHORT,AVERAGE(INDEX($L$357:$L477,122-MA_SHORT):$L477),"")</f>
        <v>18817688.8</v>
      </c>
      <c r="AA477" s="48" t="n">
        <f aca="false">IF($U477=1,$G477-$H477,MAX($G477-$H477,ABS($G477-$I476),ABS($H477-$I476)))</f>
        <v>226</v>
      </c>
      <c r="AB477" s="48" t="n">
        <f aca="false">IF($U477&gt;=ATR_PER,AVERAGE(INDEX($AA$357:$AA477,122-ATR_PER):$AA477),"")</f>
        <v>273.857142857143</v>
      </c>
      <c r="AC477" s="48" t="n">
        <f aca="false">$O477-$P477</f>
        <v>700112</v>
      </c>
      <c r="AD477" s="48" t="n">
        <f aca="false">$AC477*$I477</f>
        <v>5194831040</v>
      </c>
      <c r="AE477" s="49" t="n">
        <f aca="false">IF($Q477&gt;0,$O477*$I477/$Q477/1000000,"")</f>
        <v>68.0669705797101</v>
      </c>
      <c r="AF477" s="49" t="n">
        <f aca="false">IF($R477&gt;0,$P477*$I477/$R477/1000000,"")</f>
        <v>80.1029927777778</v>
      </c>
      <c r="AG477" s="50" t="n">
        <f aca="false">IF(AND(ISNUMBER($AE477),ISNUMBER($AF477),$AF477&gt;0),$AE477/$AF477,"")</f>
        <v>0.849743164634834</v>
      </c>
      <c r="AH477" s="48" t="n">
        <f aca="false">IF($U477&gt;=5,SUM(INDEX($AD$447:$AD477,32-5):$AD477),"")</f>
        <v>86104287645</v>
      </c>
      <c r="AI477" s="48" t="n">
        <f aca="false">IF($U477&gt;=STRUCT_S,MAX(INDEX($G$327:$G477,152-STRUCT_S):$G477),"")</f>
        <v>7849</v>
      </c>
      <c r="AJ477" s="48" t="n">
        <f aca="false">IF($U477&gt;=STRUCT_S,MIN(INDEX($H$327:$H477,152-STRUCT_S):$H477),"")</f>
        <v>7020</v>
      </c>
      <c r="AK477" s="48" t="n">
        <f aca="false">IF($U477&gt;=STRUCT_L,MAX(INDEX($G$227:$G477,252-STRUCT_L):$G477),"")</f>
        <v>7849</v>
      </c>
      <c r="AL477" s="48" t="n">
        <f aca="false">IF($U477&gt;=STRUCT_L,MIN(INDEX($H$227:$H477,252-STRUCT_L):$H477),"")</f>
        <v>6578</v>
      </c>
      <c r="AM477" s="46" t="n">
        <f aca="false">IF($A477&lt;&gt;$A478,1,0)</f>
        <v>0</v>
      </c>
      <c r="AN477" s="47" t="str">
        <f aca="false">IF($AM477=1,$A477,"")</f>
        <v/>
      </c>
    </row>
    <row r="478" customFormat="false" ht="15" hidden="false" customHeight="false" outlineLevel="0" collapsed="false">
      <c r="A478" s="43" t="s">
        <v>138</v>
      </c>
      <c r="B478" s="44" t="s">
        <v>140</v>
      </c>
      <c r="C478" s="45" t="n">
        <v>46203</v>
      </c>
      <c r="D478" s="46" t="n">
        <v>20260630</v>
      </c>
      <c r="E478" s="47" t="s">
        <v>501</v>
      </c>
      <c r="F478" s="48" t="n">
        <v>7522</v>
      </c>
      <c r="G478" s="48" t="n">
        <v>7575</v>
      </c>
      <c r="H478" s="48" t="n">
        <v>7316</v>
      </c>
      <c r="I478" s="48" t="n">
        <v>7471</v>
      </c>
      <c r="J478" s="48" t="n">
        <v>7446</v>
      </c>
      <c r="K478" s="48" t="n">
        <v>7420</v>
      </c>
      <c r="L478" s="48" t="n">
        <v>16880900</v>
      </c>
      <c r="M478" s="48" t="n">
        <v>126117203900</v>
      </c>
      <c r="N478" s="48" t="n">
        <v>553</v>
      </c>
      <c r="O478" s="48" t="n">
        <v>10792274</v>
      </c>
      <c r="P478" s="48" t="n">
        <v>5859140</v>
      </c>
      <c r="Q478" s="48" t="n">
        <v>234</v>
      </c>
      <c r="R478" s="48" t="n">
        <v>235</v>
      </c>
      <c r="S478" s="48" t="n">
        <v>6088626</v>
      </c>
      <c r="T478" s="48" t="n">
        <v>11021760</v>
      </c>
      <c r="U478" s="46" t="n">
        <f aca="false">IF($A478=$A477,$U477+1,1)</f>
        <v>214</v>
      </c>
      <c r="V478" s="48" t="n">
        <f aca="false">IF($U478&gt;=MA_SHORT,AVERAGE(INDEX($I$78:$I478,402-MA_SHORT):$I478),"")</f>
        <v>7372.05</v>
      </c>
      <c r="W478" s="48" t="n">
        <f aca="false">IF($U478&gt;=MA_MED,AVERAGE(INDEX($I$78:$I478,402-MA_MED):$I478),"")</f>
        <v>7225.6</v>
      </c>
      <c r="X478" s="48" t="n">
        <f aca="false">IF($U478&gt;=MA_LONG1,AVERAGE(INDEX($I$78:$I478,402-MA_LONG1):$I478),"")</f>
        <v>7415.36</v>
      </c>
      <c r="Y478" s="48" t="n">
        <f aca="false">IF($U478&gt;=MA_LONG2,AVERAGE(INDEX($I$78:$I478,402-MA_LONG2):$I478),"")</f>
        <v>7481.435</v>
      </c>
      <c r="Z478" s="48" t="n">
        <f aca="false">IF($U478&gt;=MA_SHORT,AVERAGE(INDEX($L$358:$L478,122-MA_SHORT):$L478),"")</f>
        <v>18319164.75</v>
      </c>
      <c r="AA478" s="48" t="n">
        <f aca="false">IF($U478=1,$G478-$H478,MAX($G478-$H478,ABS($G478-$I477),ABS($H478-$I477)))</f>
        <v>259</v>
      </c>
      <c r="AB478" s="48" t="n">
        <f aca="false">IF($U478&gt;=ATR_PER,AVERAGE(INDEX($AA$358:$AA478,122-ATR_PER):$AA478),"")</f>
        <v>279.571428571429</v>
      </c>
      <c r="AC478" s="48" t="n">
        <f aca="false">$O478-$P478</f>
        <v>4933134</v>
      </c>
      <c r="AD478" s="48" t="n">
        <f aca="false">$AC478*$I478</f>
        <v>36855444114</v>
      </c>
      <c r="AE478" s="49" t="n">
        <f aca="false">IF($Q478&gt;0,$O478*$I478/$Q478/1000000,"")</f>
        <v>344.568713905983</v>
      </c>
      <c r="AF478" s="49" t="n">
        <f aca="false">IF($R478&gt;0,$P478*$I478/$R478/1000000,"")</f>
        <v>186.270786978723</v>
      </c>
      <c r="AG478" s="50" t="n">
        <f aca="false">IF(AND(ISNUMBER($AE478),ISNUMBER($AF478),$AF478&gt;0),$AE478/$AF478,"")</f>
        <v>1.84982690788406</v>
      </c>
      <c r="AH478" s="48" t="n">
        <f aca="false">IF($U478&gt;=5,SUM(INDEX($AD$448:$AD478,32-5):$AD478),"")</f>
        <v>80135568062</v>
      </c>
      <c r="AI478" s="48" t="n">
        <f aca="false">IF($U478&gt;=STRUCT_S,MAX(INDEX($G$328:$G478,152-STRUCT_S):$G478),"")</f>
        <v>7849</v>
      </c>
      <c r="AJ478" s="48" t="n">
        <f aca="false">IF($U478&gt;=STRUCT_S,MIN(INDEX($H$328:$H478,152-STRUCT_S):$H478),"")</f>
        <v>7020</v>
      </c>
      <c r="AK478" s="48" t="n">
        <f aca="false">IF($U478&gt;=STRUCT_L,MAX(INDEX($G$228:$G478,252-STRUCT_L):$G478),"")</f>
        <v>7849</v>
      </c>
      <c r="AL478" s="48" t="n">
        <f aca="false">IF($U478&gt;=STRUCT_L,MIN(INDEX($H$228:$H478,252-STRUCT_L):$H478),"")</f>
        <v>6578</v>
      </c>
      <c r="AM478" s="46" t="n">
        <f aca="false">IF($A478&lt;&gt;$A479,1,0)</f>
        <v>0</v>
      </c>
      <c r="AN478" s="47" t="str">
        <f aca="false">IF($AM478=1,$A478,"")</f>
        <v/>
      </c>
    </row>
    <row r="479" customFormat="false" ht="15" hidden="false" customHeight="false" outlineLevel="0" collapsed="false">
      <c r="A479" s="43" t="s">
        <v>138</v>
      </c>
      <c r="B479" s="44" t="s">
        <v>140</v>
      </c>
      <c r="C479" s="45" t="n">
        <v>46204</v>
      </c>
      <c r="D479" s="46" t="n">
        <v>20260701</v>
      </c>
      <c r="E479" s="47" t="s">
        <v>502</v>
      </c>
      <c r="F479" s="48" t="n">
        <v>7598</v>
      </c>
      <c r="G479" s="48" t="n">
        <v>7634</v>
      </c>
      <c r="H479" s="48" t="n">
        <v>7377</v>
      </c>
      <c r="I479" s="48" t="n">
        <v>7540</v>
      </c>
      <c r="J479" s="48" t="n">
        <v>7618</v>
      </c>
      <c r="K479" s="48" t="n">
        <v>7471</v>
      </c>
      <c r="L479" s="48" t="n">
        <v>15322556</v>
      </c>
      <c r="M479" s="48" t="n">
        <v>115532072240</v>
      </c>
      <c r="N479" s="48" t="n">
        <v>552</v>
      </c>
      <c r="O479" s="48" t="n">
        <v>7771809</v>
      </c>
      <c r="P479" s="48" t="n">
        <v>8230529</v>
      </c>
      <c r="Q479" s="48" t="n">
        <v>203</v>
      </c>
      <c r="R479" s="48" t="n">
        <v>338</v>
      </c>
      <c r="S479" s="48" t="n">
        <v>7550747</v>
      </c>
      <c r="T479" s="48" t="n">
        <v>7092027</v>
      </c>
      <c r="U479" s="46" t="n">
        <f aca="false">IF($A479=$A478,$U478+1,1)</f>
        <v>215</v>
      </c>
      <c r="V479" s="48" t="n">
        <f aca="false">IF($U479&gt;=MA_SHORT,AVERAGE(INDEX($I$79:$I479,402-MA_SHORT):$I479),"")</f>
        <v>7382.2</v>
      </c>
      <c r="W479" s="48" t="n">
        <f aca="false">IF($U479&gt;=MA_MED,AVERAGE(INDEX($I$79:$I479,402-MA_MED):$I479),"")</f>
        <v>7233.38</v>
      </c>
      <c r="X479" s="48" t="n">
        <f aca="false">IF($U479&gt;=MA_LONG1,AVERAGE(INDEX($I$79:$I479,402-MA_LONG1):$I479),"")</f>
        <v>7418.32</v>
      </c>
      <c r="Y479" s="48" t="n">
        <f aca="false">IF($U479&gt;=MA_LONG2,AVERAGE(INDEX($I$79:$I479,402-MA_LONG2):$I479),"")</f>
        <v>7484.87</v>
      </c>
      <c r="Z479" s="48" t="n">
        <f aca="false">IF($U479&gt;=MA_SHORT,AVERAGE(INDEX($L$359:$L479,122-MA_SHORT):$L479),"")</f>
        <v>18325891.55</v>
      </c>
      <c r="AA479" s="48" t="n">
        <f aca="false">IF($U479=1,$G479-$H479,MAX($G479-$H479,ABS($G479-$I478),ABS($H479-$I478)))</f>
        <v>257</v>
      </c>
      <c r="AB479" s="48" t="n">
        <f aca="false">IF($U479&gt;=ATR_PER,AVERAGE(INDEX($AA$359:$AA479,122-ATR_PER):$AA479),"")</f>
        <v>267.785714285714</v>
      </c>
      <c r="AC479" s="48" t="n">
        <f aca="false">$O479-$P479</f>
        <v>-458720</v>
      </c>
      <c r="AD479" s="48" t="n">
        <f aca="false">$AC479*$I479</f>
        <v>-3458748800</v>
      </c>
      <c r="AE479" s="49" t="n">
        <f aca="false">IF($Q479&gt;0,$O479*$I479/$Q479/1000000,"")</f>
        <v>288.667191428571</v>
      </c>
      <c r="AF479" s="49" t="n">
        <f aca="false">IF($R479&gt;0,$P479*$I479/$R479/1000000,"")</f>
        <v>183.604108461538</v>
      </c>
      <c r="AG479" s="50" t="n">
        <f aca="false">IF(AND(ISNUMBER($AE479),ISNUMBER($AF479),$AF479&gt;0),$AE479/$AF479,"")</f>
        <v>1.57222620913759</v>
      </c>
      <c r="AH479" s="48" t="n">
        <f aca="false">IF($U479&gt;=5,SUM(INDEX($AD$449:$AD479,32-5):$AD479),"")</f>
        <v>69607142538</v>
      </c>
      <c r="AI479" s="48" t="n">
        <f aca="false">IF($U479&gt;=STRUCT_S,MAX(INDEX($G$329:$G479,152-STRUCT_S):$G479),"")</f>
        <v>7849</v>
      </c>
      <c r="AJ479" s="48" t="n">
        <f aca="false">IF($U479&gt;=STRUCT_S,MIN(INDEX($H$329:$H479,152-STRUCT_S):$H479),"")</f>
        <v>7020</v>
      </c>
      <c r="AK479" s="48" t="n">
        <f aca="false">IF($U479&gt;=STRUCT_L,MAX(INDEX($G$229:$G479,252-STRUCT_L):$G479),"")</f>
        <v>7849</v>
      </c>
      <c r="AL479" s="48" t="n">
        <f aca="false">IF($U479&gt;=STRUCT_L,MIN(INDEX($H$229:$H479,252-STRUCT_L):$H479),"")</f>
        <v>6578</v>
      </c>
      <c r="AM479" s="46" t="n">
        <f aca="false">IF($A479&lt;&gt;$A480,1,0)</f>
        <v>0</v>
      </c>
      <c r="AN479" s="47" t="str">
        <f aca="false">IF($AM479=1,$A479,"")</f>
        <v/>
      </c>
    </row>
    <row r="480" customFormat="false" ht="15" hidden="false" customHeight="false" outlineLevel="0" collapsed="false">
      <c r="A480" s="43" t="s">
        <v>138</v>
      </c>
      <c r="B480" s="44" t="s">
        <v>140</v>
      </c>
      <c r="C480" s="45" t="n">
        <v>46207</v>
      </c>
      <c r="D480" s="46" t="n">
        <v>20260704</v>
      </c>
      <c r="E480" s="47" t="s">
        <v>503</v>
      </c>
      <c r="F480" s="48" t="n">
        <v>7639</v>
      </c>
      <c r="G480" s="48" t="n">
        <v>7669</v>
      </c>
      <c r="H480" s="48" t="n">
        <v>7515</v>
      </c>
      <c r="I480" s="48" t="n">
        <v>7643</v>
      </c>
      <c r="J480" s="48" t="n">
        <v>7660</v>
      </c>
      <c r="K480" s="48" t="n">
        <v>7540</v>
      </c>
      <c r="L480" s="48" t="n">
        <v>19830233</v>
      </c>
      <c r="M480" s="48" t="n">
        <v>151562470819</v>
      </c>
      <c r="N480" s="48" t="n">
        <v>474</v>
      </c>
      <c r="O480" s="48" t="n">
        <v>12559583</v>
      </c>
      <c r="P480" s="48" t="n">
        <v>7277942</v>
      </c>
      <c r="Q480" s="48" t="n">
        <v>197</v>
      </c>
      <c r="R480" s="48" t="n">
        <v>194</v>
      </c>
      <c r="S480" s="48" t="n">
        <v>7270650</v>
      </c>
      <c r="T480" s="48" t="n">
        <v>12552291</v>
      </c>
      <c r="U480" s="46" t="n">
        <f aca="false">IF($A480=$A479,$U479+1,1)</f>
        <v>216</v>
      </c>
      <c r="V480" s="48" t="n">
        <f aca="false">IF($U480&gt;=MA_SHORT,AVERAGE(INDEX($I$80:$I480,402-MA_SHORT):$I480),"")</f>
        <v>7397.7</v>
      </c>
      <c r="W480" s="48" t="n">
        <f aca="false">IF($U480&gt;=MA_MED,AVERAGE(INDEX($I$80:$I480,402-MA_MED):$I480),"")</f>
        <v>7241.68</v>
      </c>
      <c r="X480" s="48" t="n">
        <f aca="false">IF($U480&gt;=MA_LONG1,AVERAGE(INDEX($I$80:$I480,402-MA_LONG1):$I480),"")</f>
        <v>7421.61</v>
      </c>
      <c r="Y480" s="48" t="n">
        <f aca="false">IF($U480&gt;=MA_LONG2,AVERAGE(INDEX($I$80:$I480,402-MA_LONG2):$I480),"")</f>
        <v>7488.5</v>
      </c>
      <c r="Z480" s="48" t="n">
        <f aca="false">IF($U480&gt;=MA_SHORT,AVERAGE(INDEX($L$360:$L480,122-MA_SHORT):$L480),"")</f>
        <v>17704983.85</v>
      </c>
      <c r="AA480" s="48" t="n">
        <f aca="false">IF($U480=1,$G480-$H480,MAX($G480-$H480,ABS($G480-$I479),ABS($H480-$I479)))</f>
        <v>154</v>
      </c>
      <c r="AB480" s="48" t="n">
        <f aca="false">IF($U480&gt;=ATR_PER,AVERAGE(INDEX($AA$360:$AA480,122-ATR_PER):$AA480),"")</f>
        <v>255.714285714286</v>
      </c>
      <c r="AC480" s="48" t="n">
        <f aca="false">$O480-$P480</f>
        <v>5281641</v>
      </c>
      <c r="AD480" s="48" t="n">
        <f aca="false">$AC480*$I480</f>
        <v>40367582163</v>
      </c>
      <c r="AE480" s="49" t="n">
        <f aca="false">IF($Q480&gt;0,$O480*$I480/$Q480/1000000,"")</f>
        <v>487.273567862944</v>
      </c>
      <c r="AF480" s="49" t="n">
        <f aca="false">IF($R480&gt;0,$P480*$I480/$R480/1000000,"")</f>
        <v>286.728405701031</v>
      </c>
      <c r="AG480" s="50" t="n">
        <f aca="false">IF(AND(ISNUMBER($AE480),ISNUMBER($AF480),$AF480&gt;0),$AE480/$AF480,"")</f>
        <v>1.69942551269587</v>
      </c>
      <c r="AH480" s="48" t="n">
        <f aca="false">IF($U480&gt;=5,SUM(INDEX($AD$450:$AD480,32-5):$AD480),"")</f>
        <v>94888164562</v>
      </c>
      <c r="AI480" s="48" t="n">
        <f aca="false">IF($U480&gt;=STRUCT_S,MAX(INDEX($G$330:$G480,152-STRUCT_S):$G480),"")</f>
        <v>7849</v>
      </c>
      <c r="AJ480" s="48" t="n">
        <f aca="false">IF($U480&gt;=STRUCT_S,MIN(INDEX($H$330:$H480,152-STRUCT_S):$H480),"")</f>
        <v>7020</v>
      </c>
      <c r="AK480" s="48" t="n">
        <f aca="false">IF($U480&gt;=STRUCT_L,MAX(INDEX($G$230:$G480,252-STRUCT_L):$G480),"")</f>
        <v>7849</v>
      </c>
      <c r="AL480" s="48" t="n">
        <f aca="false">IF($U480&gt;=STRUCT_L,MIN(INDEX($H$230:$H480,252-STRUCT_L):$H480),"")</f>
        <v>6578</v>
      </c>
      <c r="AM480" s="46" t="n">
        <f aca="false">IF($A480&lt;&gt;$A481,1,0)</f>
        <v>0</v>
      </c>
      <c r="AN480" s="47" t="str">
        <f aca="false">IF($AM480=1,$A480,"")</f>
        <v/>
      </c>
    </row>
    <row r="481" customFormat="false" ht="15" hidden="false" customHeight="false" outlineLevel="0" collapsed="false">
      <c r="A481" s="43" t="s">
        <v>138</v>
      </c>
      <c r="B481" s="44" t="s">
        <v>140</v>
      </c>
      <c r="C481" s="45" t="n">
        <v>46208</v>
      </c>
      <c r="D481" s="46" t="n">
        <v>20260705</v>
      </c>
      <c r="E481" s="47" t="s">
        <v>504</v>
      </c>
      <c r="F481" s="48" t="n">
        <v>7662</v>
      </c>
      <c r="G481" s="48" t="n">
        <v>7669</v>
      </c>
      <c r="H481" s="48" t="n">
        <v>7560</v>
      </c>
      <c r="I481" s="48" t="n">
        <v>7586</v>
      </c>
      <c r="J481" s="48" t="n">
        <v>7633</v>
      </c>
      <c r="K481" s="48" t="n">
        <v>7643</v>
      </c>
      <c r="L481" s="48" t="n">
        <v>15167685</v>
      </c>
      <c r="M481" s="48" t="n">
        <v>115062058410</v>
      </c>
      <c r="N481" s="48" t="n">
        <v>791</v>
      </c>
      <c r="O481" s="48" t="n">
        <v>8162146</v>
      </c>
      <c r="P481" s="48" t="n">
        <v>7198636</v>
      </c>
      <c r="Q481" s="48" t="n">
        <v>401</v>
      </c>
      <c r="R481" s="48" t="n">
        <v>330</v>
      </c>
      <c r="S481" s="48" t="n">
        <v>7005539</v>
      </c>
      <c r="T481" s="48" t="n">
        <v>7969049</v>
      </c>
      <c r="U481" s="46" t="n">
        <f aca="false">IF($A481=$A480,$U480+1,1)</f>
        <v>217</v>
      </c>
      <c r="V481" s="48" t="n">
        <f aca="false">IF($U481&gt;=MA_SHORT,AVERAGE(INDEX($I$81:$I481,402-MA_SHORT):$I481),"")</f>
        <v>7413.5</v>
      </c>
      <c r="W481" s="48" t="n">
        <f aca="false">IF($U481&gt;=MA_MED,AVERAGE(INDEX($I$81:$I481,402-MA_MED):$I481),"")</f>
        <v>7252.66</v>
      </c>
      <c r="X481" s="48" t="n">
        <f aca="false">IF($U481&gt;=MA_LONG1,AVERAGE(INDEX($I$81:$I481,402-MA_LONG1):$I481),"")</f>
        <v>7424.12</v>
      </c>
      <c r="Y481" s="48" t="n">
        <f aca="false">IF($U481&gt;=MA_LONG2,AVERAGE(INDEX($I$81:$I481,402-MA_LONG2):$I481),"")</f>
        <v>7490.925</v>
      </c>
      <c r="Z481" s="48" t="n">
        <f aca="false">IF($U481&gt;=MA_SHORT,AVERAGE(INDEX($L$361:$L481,122-MA_SHORT):$L481),"")</f>
        <v>17464088.9</v>
      </c>
      <c r="AA481" s="48" t="n">
        <f aca="false">IF($U481=1,$G481-$H481,MAX($G481-$H481,ABS($G481-$I480),ABS($H481-$I480)))</f>
        <v>109</v>
      </c>
      <c r="AB481" s="48" t="n">
        <f aca="false">IF($U481&gt;=ATR_PER,AVERAGE(INDEX($AA$361:$AA481,122-ATR_PER):$AA481),"")</f>
        <v>245.428571428571</v>
      </c>
      <c r="AC481" s="48" t="n">
        <f aca="false">$O481-$P481</f>
        <v>963510</v>
      </c>
      <c r="AD481" s="48" t="n">
        <f aca="false">$AC481*$I481</f>
        <v>7309186860</v>
      </c>
      <c r="AE481" s="49" t="n">
        <f aca="false">IF($Q481&gt;0,$O481*$I481/$Q481/1000000,"")</f>
        <v>154.409076199501</v>
      </c>
      <c r="AF481" s="49" t="n">
        <f aca="false">IF($R481&gt;0,$P481*$I481/$R481/1000000,"")</f>
        <v>165.481371806061</v>
      </c>
      <c r="AG481" s="50" t="n">
        <f aca="false">IF(AND(ISNUMBER($AE481),ISNUMBER($AF481),$AF481&gt;0),$AE481/$AF481,"")</f>
        <v>0.933090380592592</v>
      </c>
      <c r="AH481" s="48" t="n">
        <f aca="false">IF($U481&gt;=5,SUM(INDEX($AD$451:$AD481,32-5):$AD481),"")</f>
        <v>86268295377</v>
      </c>
      <c r="AI481" s="48" t="n">
        <f aca="false">IF($U481&gt;=STRUCT_S,MAX(INDEX($G$331:$G481,152-STRUCT_S):$G481),"")</f>
        <v>7849</v>
      </c>
      <c r="AJ481" s="48" t="n">
        <f aca="false">IF($U481&gt;=STRUCT_S,MIN(INDEX($H$331:$H481,152-STRUCT_S):$H481),"")</f>
        <v>7020</v>
      </c>
      <c r="AK481" s="48" t="n">
        <f aca="false">IF($U481&gt;=STRUCT_L,MAX(INDEX($G$231:$G481,252-STRUCT_L):$G481),"")</f>
        <v>7849</v>
      </c>
      <c r="AL481" s="48" t="n">
        <f aca="false">IF($U481&gt;=STRUCT_L,MIN(INDEX($H$231:$H481,252-STRUCT_L):$H481),"")</f>
        <v>6578</v>
      </c>
      <c r="AM481" s="46" t="n">
        <f aca="false">IF($A481&lt;&gt;$A482,1,0)</f>
        <v>0</v>
      </c>
      <c r="AN481" s="47" t="str">
        <f aca="false">IF($AM481=1,$A481,"")</f>
        <v/>
      </c>
    </row>
    <row r="482" customFormat="false" ht="15" hidden="false" customHeight="false" outlineLevel="0" collapsed="false">
      <c r="A482" s="43" t="s">
        <v>138</v>
      </c>
      <c r="B482" s="44" t="s">
        <v>140</v>
      </c>
      <c r="C482" s="45" t="n">
        <v>46209</v>
      </c>
      <c r="D482" s="46" t="n">
        <v>20260706</v>
      </c>
      <c r="E482" s="47" t="s">
        <v>505</v>
      </c>
      <c r="F482" s="48" t="n">
        <v>7481</v>
      </c>
      <c r="G482" s="48" t="n">
        <v>7664</v>
      </c>
      <c r="H482" s="48" t="n">
        <v>7374</v>
      </c>
      <c r="I482" s="48" t="n">
        <v>7451</v>
      </c>
      <c r="J482" s="48" t="n">
        <v>7626</v>
      </c>
      <c r="K482" s="48" t="n">
        <v>7586</v>
      </c>
      <c r="L482" s="48" t="n">
        <v>16212318</v>
      </c>
      <c r="M482" s="48" t="n">
        <v>120797981418</v>
      </c>
      <c r="N482" s="48" t="n">
        <v>424</v>
      </c>
      <c r="O482" s="48" t="n">
        <v>7036062</v>
      </c>
      <c r="P482" s="48" t="n">
        <v>9388456</v>
      </c>
      <c r="Q482" s="48" t="n">
        <v>158</v>
      </c>
      <c r="R482" s="48" t="n">
        <v>194</v>
      </c>
      <c r="S482" s="48" t="n">
        <v>9176256</v>
      </c>
      <c r="T482" s="48" t="n">
        <v>6823862</v>
      </c>
      <c r="U482" s="46" t="n">
        <f aca="false">IF($A482=$A481,$U481+1,1)</f>
        <v>218</v>
      </c>
      <c r="V482" s="48" t="n">
        <f aca="false">IF($U482&gt;=MA_SHORT,AVERAGE(INDEX($I$82:$I482,402-MA_SHORT):$I482),"")</f>
        <v>7431.7</v>
      </c>
      <c r="W482" s="48" t="n">
        <f aca="false">IF($U482&gt;=MA_MED,AVERAGE(INDEX($I$82:$I482,402-MA_MED):$I482),"")</f>
        <v>7259.48</v>
      </c>
      <c r="X482" s="48" t="n">
        <f aca="false">IF($U482&gt;=MA_LONG1,AVERAGE(INDEX($I$82:$I482,402-MA_LONG1):$I482),"")</f>
        <v>7424.4</v>
      </c>
      <c r="Y482" s="48" t="n">
        <f aca="false">IF($U482&gt;=MA_LONG2,AVERAGE(INDEX($I$82:$I482,402-MA_LONG2):$I482),"")</f>
        <v>7493.51</v>
      </c>
      <c r="Z482" s="48" t="n">
        <f aca="false">IF($U482&gt;=MA_SHORT,AVERAGE(INDEX($L$362:$L482,122-MA_SHORT):$L482),"")</f>
        <v>17439168.15</v>
      </c>
      <c r="AA482" s="48" t="n">
        <f aca="false">IF($U482=1,$G482-$H482,MAX($G482-$H482,ABS($G482-$I481),ABS($H482-$I481)))</f>
        <v>290</v>
      </c>
      <c r="AB482" s="48" t="n">
        <f aca="false">IF($U482&gt;=ATR_PER,AVERAGE(INDEX($AA$362:$AA482,122-ATR_PER):$AA482),"")</f>
        <v>237.214285714286</v>
      </c>
      <c r="AC482" s="48" t="n">
        <f aca="false">$O482-$P482</f>
        <v>-2352394</v>
      </c>
      <c r="AD482" s="48" t="n">
        <f aca="false">$AC482*$I482</f>
        <v>-17527687694</v>
      </c>
      <c r="AE482" s="49" t="n">
        <f aca="false">IF($Q482&gt;0,$O482*$I482/$Q482/1000000,"")</f>
        <v>331.808214949367</v>
      </c>
      <c r="AF482" s="49" t="n">
        <f aca="false">IF($R482&gt;0,$P482*$I482/$R482/1000000,"")</f>
        <v>360.58446214433</v>
      </c>
      <c r="AG482" s="50" t="n">
        <f aca="false">IF(AND(ISNUMBER($AE482),ISNUMBER($AF482),$AF482&gt;0),$AE482/$AF482,"")</f>
        <v>0.920195543025244</v>
      </c>
      <c r="AH482" s="48" t="n">
        <f aca="false">IF($U482&gt;=5,SUM(INDEX($AD$452:$AD482,32-5):$AD482),"")</f>
        <v>63545776643</v>
      </c>
      <c r="AI482" s="48" t="n">
        <f aca="false">IF($U482&gt;=STRUCT_S,MAX(INDEX($G$332:$G482,152-STRUCT_S):$G482),"")</f>
        <v>7849</v>
      </c>
      <c r="AJ482" s="48" t="n">
        <f aca="false">IF($U482&gt;=STRUCT_S,MIN(INDEX($H$332:$H482,152-STRUCT_S):$H482),"")</f>
        <v>7020</v>
      </c>
      <c r="AK482" s="48" t="n">
        <f aca="false">IF($U482&gt;=STRUCT_L,MAX(INDEX($G$232:$G482,252-STRUCT_L):$G482),"")</f>
        <v>7849</v>
      </c>
      <c r="AL482" s="48" t="n">
        <f aca="false">IF($U482&gt;=STRUCT_L,MIN(INDEX($H$232:$H482,252-STRUCT_L):$H482),"")</f>
        <v>6578</v>
      </c>
      <c r="AM482" s="46" t="n">
        <f aca="false">IF($A482&lt;&gt;$A483,1,0)</f>
        <v>0</v>
      </c>
      <c r="AN482" s="47" t="str">
        <f aca="false">IF($AM482=1,$A482,"")</f>
        <v/>
      </c>
    </row>
    <row r="483" customFormat="false" ht="15" hidden="false" customHeight="false" outlineLevel="0" collapsed="false">
      <c r="A483" s="43" t="s">
        <v>138</v>
      </c>
      <c r="B483" s="44" t="s">
        <v>140</v>
      </c>
      <c r="C483" s="45" t="n">
        <v>46210</v>
      </c>
      <c r="D483" s="46" t="n">
        <v>20260707</v>
      </c>
      <c r="E483" s="47" t="s">
        <v>506</v>
      </c>
      <c r="F483" s="48" t="n">
        <v>7683</v>
      </c>
      <c r="G483" s="48" t="n">
        <v>7839</v>
      </c>
      <c r="H483" s="48" t="n">
        <v>7359</v>
      </c>
      <c r="I483" s="48" t="n">
        <v>7743</v>
      </c>
      <c r="J483" s="48" t="n">
        <v>7716</v>
      </c>
      <c r="K483" s="48" t="n">
        <v>7451</v>
      </c>
      <c r="L483" s="48" t="n">
        <v>20504318</v>
      </c>
      <c r="M483" s="48" t="n">
        <v>158764934274</v>
      </c>
      <c r="N483" s="48" t="n">
        <v>631</v>
      </c>
      <c r="O483" s="48" t="n">
        <v>13510191</v>
      </c>
      <c r="P483" s="48" t="n">
        <v>7724062</v>
      </c>
      <c r="Q483" s="48" t="n">
        <v>196</v>
      </c>
      <c r="R483" s="48" t="n">
        <v>373</v>
      </c>
      <c r="S483" s="48" t="n">
        <v>6994127</v>
      </c>
      <c r="T483" s="48" t="n">
        <v>12780256</v>
      </c>
      <c r="U483" s="46" t="n">
        <f aca="false">IF($A483=$A482,$U482+1,1)</f>
        <v>219</v>
      </c>
      <c r="V483" s="48" t="n">
        <f aca="false">IF($U483&gt;=MA_SHORT,AVERAGE(INDEX($I$83:$I483,402-MA_SHORT):$I483),"")</f>
        <v>7458.8</v>
      </c>
      <c r="W483" s="48" t="n">
        <f aca="false">IF($U483&gt;=MA_MED,AVERAGE(INDEX($I$83:$I483,402-MA_MED):$I483),"")</f>
        <v>7270.48</v>
      </c>
      <c r="X483" s="48" t="n">
        <f aca="false">IF($U483&gt;=MA_LONG1,AVERAGE(INDEX($I$83:$I483,402-MA_LONG1):$I483),"")</f>
        <v>7427.83</v>
      </c>
      <c r="Y483" s="48" t="n">
        <f aca="false">IF($U483&gt;=MA_LONG2,AVERAGE(INDEX($I$83:$I483,402-MA_LONG2):$I483),"")</f>
        <v>7497.715</v>
      </c>
      <c r="Z483" s="48" t="n">
        <f aca="false">IF($U483&gt;=MA_SHORT,AVERAGE(INDEX($L$363:$L483,122-MA_SHORT):$L483),"")</f>
        <v>17668421.35</v>
      </c>
      <c r="AA483" s="48" t="n">
        <f aca="false">IF($U483=1,$G483-$H483,MAX($G483-$H483,ABS($G483-$I482),ABS($H483-$I482)))</f>
        <v>480</v>
      </c>
      <c r="AB483" s="48" t="n">
        <f aca="false">IF($U483&gt;=ATR_PER,AVERAGE(INDEX($AA$363:$AA483,122-ATR_PER):$AA483),"")</f>
        <v>232.785714285714</v>
      </c>
      <c r="AC483" s="48" t="n">
        <f aca="false">$O483-$P483</f>
        <v>5786129</v>
      </c>
      <c r="AD483" s="48" t="n">
        <f aca="false">$AC483*$I483</f>
        <v>44801996847</v>
      </c>
      <c r="AE483" s="49" t="n">
        <f aca="false">IF($Q483&gt;0,$O483*$I483/$Q483/1000000,"")</f>
        <v>533.721474045918</v>
      </c>
      <c r="AF483" s="49" t="n">
        <f aca="false">IF($R483&gt;0,$P483*$I483/$R483/1000000,"")</f>
        <v>160.341587308311</v>
      </c>
      <c r="AG483" s="50" t="n">
        <f aca="false">IF(AND(ISNUMBER($AE483),ISNUMBER($AF483),$AF483&gt;0),$AE483/$AF483,"")</f>
        <v>3.3286528030913</v>
      </c>
      <c r="AH483" s="48" t="n">
        <f aca="false">IF($U483&gt;=5,SUM(INDEX($AD$453:$AD483,32-5):$AD483),"")</f>
        <v>71492329376</v>
      </c>
      <c r="AI483" s="48" t="n">
        <f aca="false">IF($U483&gt;=STRUCT_S,MAX(INDEX($G$333:$G483,152-STRUCT_S):$G483),"")</f>
        <v>7849</v>
      </c>
      <c r="AJ483" s="48" t="n">
        <f aca="false">IF($U483&gt;=STRUCT_S,MIN(INDEX($H$333:$H483,152-STRUCT_S):$H483),"")</f>
        <v>7020</v>
      </c>
      <c r="AK483" s="48" t="n">
        <f aca="false">IF($U483&gt;=STRUCT_L,MAX(INDEX($G$233:$G483,252-STRUCT_L):$G483),"")</f>
        <v>7849</v>
      </c>
      <c r="AL483" s="48" t="n">
        <f aca="false">IF($U483&gt;=STRUCT_L,MIN(INDEX($H$233:$H483,252-STRUCT_L):$H483),"")</f>
        <v>6578</v>
      </c>
      <c r="AM483" s="46" t="n">
        <f aca="false">IF($A483&lt;&gt;$A484,1,0)</f>
        <v>0</v>
      </c>
      <c r="AN483" s="47" t="str">
        <f aca="false">IF($AM483=1,$A483,"")</f>
        <v/>
      </c>
    </row>
    <row r="484" customFormat="false" ht="15" hidden="false" customHeight="false" outlineLevel="0" collapsed="false">
      <c r="A484" s="43" t="s">
        <v>138</v>
      </c>
      <c r="B484" s="44" t="s">
        <v>140</v>
      </c>
      <c r="C484" s="45" t="n">
        <v>46211</v>
      </c>
      <c r="D484" s="46" t="n">
        <v>20260708</v>
      </c>
      <c r="E484" s="47" t="s">
        <v>507</v>
      </c>
      <c r="F484" s="48" t="n">
        <v>7496</v>
      </c>
      <c r="G484" s="48" t="n">
        <v>7770</v>
      </c>
      <c r="H484" s="48" t="n">
        <v>7338</v>
      </c>
      <c r="I484" s="48" t="n">
        <v>7364</v>
      </c>
      <c r="J484" s="48" t="n">
        <v>7612</v>
      </c>
      <c r="K484" s="48" t="n">
        <v>7743</v>
      </c>
      <c r="L484" s="48" t="n">
        <v>21662286</v>
      </c>
      <c r="M484" s="48" t="n">
        <v>159521074104</v>
      </c>
      <c r="N484" s="48" t="n">
        <v>1031</v>
      </c>
      <c r="O484" s="48" t="n">
        <v>9718109</v>
      </c>
      <c r="P484" s="48" t="n">
        <v>12600954</v>
      </c>
      <c r="Q484" s="48" t="n">
        <v>532</v>
      </c>
      <c r="R484" s="48" t="n">
        <v>459</v>
      </c>
      <c r="S484" s="48" t="n">
        <v>11944177</v>
      </c>
      <c r="T484" s="48" t="n">
        <v>9061332</v>
      </c>
      <c r="U484" s="46" t="n">
        <f aca="false">IF($A484=$A483,$U483+1,1)</f>
        <v>220</v>
      </c>
      <c r="V484" s="48" t="n">
        <f aca="false">IF($U484&gt;=MA_SHORT,AVERAGE(INDEX($I$84:$I484,402-MA_SHORT):$I484),"")</f>
        <v>7462.8</v>
      </c>
      <c r="W484" s="48" t="n">
        <f aca="false">IF($U484&gt;=MA_MED,AVERAGE(INDEX($I$84:$I484,402-MA_MED):$I484),"")</f>
        <v>7274.54</v>
      </c>
      <c r="X484" s="48" t="n">
        <f aca="false">IF($U484&gt;=MA_LONG1,AVERAGE(INDEX($I$84:$I484,402-MA_LONG1):$I484),"")</f>
        <v>7426.05</v>
      </c>
      <c r="Y484" s="48" t="n">
        <f aca="false">IF($U484&gt;=MA_LONG2,AVERAGE(INDEX($I$84:$I484,402-MA_LONG2):$I484),"")</f>
        <v>7500.145</v>
      </c>
      <c r="Z484" s="48" t="n">
        <f aca="false">IF($U484&gt;=MA_SHORT,AVERAGE(INDEX($L$364:$L484,122-MA_SHORT):$L484),"")</f>
        <v>17975431.95</v>
      </c>
      <c r="AA484" s="48" t="n">
        <f aca="false">IF($U484=1,$G484-$H484,MAX($G484-$H484,ABS($G484-$I483),ABS($H484-$I483)))</f>
        <v>432</v>
      </c>
      <c r="AB484" s="48" t="n">
        <f aca="false">IF($U484&gt;=ATR_PER,AVERAGE(INDEX($AA$364:$AA484,122-ATR_PER):$AA484),"")</f>
        <v>237.285714285714</v>
      </c>
      <c r="AC484" s="48" t="n">
        <f aca="false">$O484-$P484</f>
        <v>-2882845</v>
      </c>
      <c r="AD484" s="48" t="n">
        <f aca="false">$AC484*$I484</f>
        <v>-21229270580</v>
      </c>
      <c r="AE484" s="49" t="n">
        <f aca="false">IF($Q484&gt;0,$O484*$I484/$Q484/1000000,"")</f>
        <v>134.519087736842</v>
      </c>
      <c r="AF484" s="49" t="n">
        <f aca="false">IF($R484&gt;0,$P484*$I484/$R484/1000000,"")</f>
        <v>202.164325176471</v>
      </c>
      <c r="AG484" s="50" t="n">
        <f aca="false">IF(AND(ISNUMBER($AE484),ISNUMBER($AF484),$AF484&gt;0),$AE484/$AF484,"")</f>
        <v>0.665394785254122</v>
      </c>
      <c r="AH484" s="48" t="n">
        <f aca="false">IF($U484&gt;=5,SUM(INDEX($AD$454:$AD484,32-5):$AD484),"")</f>
        <v>53721807596</v>
      </c>
      <c r="AI484" s="48" t="n">
        <f aca="false">IF($U484&gt;=STRUCT_S,MAX(INDEX($G$334:$G484,152-STRUCT_S):$G484),"")</f>
        <v>7849</v>
      </c>
      <c r="AJ484" s="48" t="n">
        <f aca="false">IF($U484&gt;=STRUCT_S,MIN(INDEX($H$334:$H484,152-STRUCT_S):$H484),"")</f>
        <v>7020</v>
      </c>
      <c r="AK484" s="48" t="n">
        <f aca="false">IF($U484&gt;=STRUCT_L,MAX(INDEX($G$234:$G484,252-STRUCT_L):$G484),"")</f>
        <v>7849</v>
      </c>
      <c r="AL484" s="48" t="n">
        <f aca="false">IF($U484&gt;=STRUCT_L,MIN(INDEX($H$234:$H484,252-STRUCT_L):$H484),"")</f>
        <v>6578</v>
      </c>
      <c r="AM484" s="46" t="n">
        <f aca="false">IF($A484&lt;&gt;$A485,1,0)</f>
        <v>0</v>
      </c>
      <c r="AN484" s="47" t="str">
        <f aca="false">IF($AM484=1,$A484,"")</f>
        <v/>
      </c>
    </row>
    <row r="485" customFormat="false" ht="15" hidden="false" customHeight="false" outlineLevel="0" collapsed="false">
      <c r="A485" s="43" t="s">
        <v>138</v>
      </c>
      <c r="B485" s="44" t="s">
        <v>140</v>
      </c>
      <c r="C485" s="45" t="n">
        <v>46214</v>
      </c>
      <c r="D485" s="46" t="n">
        <v>20260711</v>
      </c>
      <c r="E485" s="47" t="s">
        <v>508</v>
      </c>
      <c r="F485" s="48" t="n">
        <v>7411</v>
      </c>
      <c r="G485" s="48" t="n">
        <v>7571</v>
      </c>
      <c r="H485" s="48" t="n">
        <v>7274</v>
      </c>
      <c r="I485" s="48" t="n">
        <v>7480</v>
      </c>
      <c r="J485" s="48" t="n">
        <v>7481</v>
      </c>
      <c r="K485" s="48" t="n">
        <v>7364</v>
      </c>
      <c r="L485" s="48" t="n">
        <v>17027568</v>
      </c>
      <c r="M485" s="48" t="n">
        <v>127366208640</v>
      </c>
      <c r="N485" s="48" t="n">
        <v>1135</v>
      </c>
      <c r="O485" s="48" t="n">
        <v>12201181</v>
      </c>
      <c r="P485" s="48" t="n">
        <v>4022973</v>
      </c>
      <c r="Q485" s="48" t="n">
        <v>358</v>
      </c>
      <c r="R485" s="48" t="n">
        <v>439</v>
      </c>
      <c r="S485" s="48" t="n">
        <v>4826387</v>
      </c>
      <c r="T485" s="48" t="n">
        <v>13004595</v>
      </c>
      <c r="U485" s="46" t="n">
        <f aca="false">IF($A485=$A484,$U484+1,1)</f>
        <v>221</v>
      </c>
      <c r="V485" s="48" t="n">
        <f aca="false">IF($U485&gt;=MA_SHORT,AVERAGE(INDEX($I$85:$I485,402-MA_SHORT):$I485),"")</f>
        <v>7478</v>
      </c>
      <c r="W485" s="48" t="n">
        <f aca="false">IF($U485&gt;=MA_MED,AVERAGE(INDEX($I$85:$I485,402-MA_MED):$I485),"")</f>
        <v>7276.34</v>
      </c>
      <c r="X485" s="48" t="n">
        <f aca="false">IF($U485&gt;=MA_LONG1,AVERAGE(INDEX($I$85:$I485,402-MA_LONG1):$I485),"")</f>
        <v>7427.23</v>
      </c>
      <c r="Y485" s="48" t="n">
        <f aca="false">IF($U485&gt;=MA_LONG2,AVERAGE(INDEX($I$85:$I485,402-MA_LONG2):$I485),"")</f>
        <v>7502.275</v>
      </c>
      <c r="Z485" s="48" t="n">
        <f aca="false">IF($U485&gt;=MA_SHORT,AVERAGE(INDEX($L$365:$L485,122-MA_SHORT):$L485),"")</f>
        <v>18036330.1</v>
      </c>
      <c r="AA485" s="48" t="n">
        <f aca="false">IF($U485=1,$G485-$H485,MAX($G485-$H485,ABS($G485-$I484),ABS($H485-$I484)))</f>
        <v>297</v>
      </c>
      <c r="AB485" s="48" t="n">
        <f aca="false">IF($U485&gt;=ATR_PER,AVERAGE(INDEX($AA$365:$AA485,122-ATR_PER):$AA485),"")</f>
        <v>249.714285714286</v>
      </c>
      <c r="AC485" s="48" t="n">
        <f aca="false">$O485-$P485</f>
        <v>8178208</v>
      </c>
      <c r="AD485" s="48" t="n">
        <f aca="false">$AC485*$I485</f>
        <v>61172995840</v>
      </c>
      <c r="AE485" s="49" t="n">
        <f aca="false">IF($Q485&gt;0,$O485*$I485/$Q485/1000000,"")</f>
        <v>254.929703575419</v>
      </c>
      <c r="AF485" s="49" t="n">
        <f aca="false">IF($R485&gt;0,$P485*$I485/$R485/1000000,"")</f>
        <v>68.5463281093394</v>
      </c>
      <c r="AG485" s="50" t="n">
        <f aca="false">IF(AND(ISNUMBER($AE485),ISNUMBER($AF485),$AF485&gt;0),$AE485/$AF485,"")</f>
        <v>3.71908620938493</v>
      </c>
      <c r="AH485" s="48" t="n">
        <f aca="false">IF($U485&gt;=5,SUM(INDEX($AD$455:$AD485,32-5):$AD485),"")</f>
        <v>74527221273</v>
      </c>
      <c r="AI485" s="48" t="n">
        <f aca="false">IF($U485&gt;=STRUCT_S,MAX(INDEX($G$335:$G485,152-STRUCT_S):$G485),"")</f>
        <v>7849</v>
      </c>
      <c r="AJ485" s="48" t="n">
        <f aca="false">IF($U485&gt;=STRUCT_S,MIN(INDEX($H$335:$H485,152-STRUCT_S):$H485),"")</f>
        <v>7064</v>
      </c>
      <c r="AK485" s="48" t="n">
        <f aca="false">IF($U485&gt;=STRUCT_L,MAX(INDEX($G$235:$G485,252-STRUCT_L):$G485),"")</f>
        <v>7849</v>
      </c>
      <c r="AL485" s="48" t="n">
        <f aca="false">IF($U485&gt;=STRUCT_L,MIN(INDEX($H$235:$H485,252-STRUCT_L):$H485),"")</f>
        <v>6578</v>
      </c>
      <c r="AM485" s="46" t="n">
        <f aca="false">IF($A485&lt;&gt;$A486,1,0)</f>
        <v>0</v>
      </c>
      <c r="AN485" s="47" t="str">
        <f aca="false">IF($AM485=1,$A485,"")</f>
        <v/>
      </c>
    </row>
    <row r="486" customFormat="false" ht="15" hidden="false" customHeight="false" outlineLevel="0" collapsed="false">
      <c r="A486" s="43" t="s">
        <v>138</v>
      </c>
      <c r="B486" s="44" t="s">
        <v>140</v>
      </c>
      <c r="C486" s="45" t="n">
        <v>46215</v>
      </c>
      <c r="D486" s="46" t="n">
        <v>20260712</v>
      </c>
      <c r="E486" s="47" t="s">
        <v>509</v>
      </c>
      <c r="F486" s="48" t="n">
        <v>7476</v>
      </c>
      <c r="G486" s="48" t="n">
        <v>7650</v>
      </c>
      <c r="H486" s="48" t="n">
        <v>7378</v>
      </c>
      <c r="I486" s="48" t="n">
        <v>7547</v>
      </c>
      <c r="J486" s="48" t="n">
        <v>7439</v>
      </c>
      <c r="K486" s="48" t="n">
        <v>7480</v>
      </c>
      <c r="L486" s="48" t="n">
        <v>15298297</v>
      </c>
      <c r="M486" s="48" t="n">
        <v>115456247459</v>
      </c>
      <c r="N486" s="48" t="n">
        <v>426</v>
      </c>
      <c r="O486" s="48" t="n">
        <v>8344777</v>
      </c>
      <c r="P486" s="48" t="n">
        <v>7211192</v>
      </c>
      <c r="Q486" s="48" t="n">
        <v>164</v>
      </c>
      <c r="R486" s="48" t="n">
        <v>190</v>
      </c>
      <c r="S486" s="48" t="n">
        <v>6953520</v>
      </c>
      <c r="T486" s="48" t="n">
        <v>8087105</v>
      </c>
      <c r="U486" s="46" t="n">
        <f aca="false">IF($A486=$A485,$U485+1,1)</f>
        <v>222</v>
      </c>
      <c r="V486" s="48" t="n">
        <f aca="false">IF($U486&gt;=MA_SHORT,AVERAGE(INDEX($I$86:$I486,402-MA_SHORT):$I486),"")</f>
        <v>7491.7</v>
      </c>
      <c r="W486" s="48" t="n">
        <f aca="false">IF($U486&gt;=MA_MED,AVERAGE(INDEX($I$86:$I486,402-MA_MED):$I486),"")</f>
        <v>7281.3</v>
      </c>
      <c r="X486" s="48" t="n">
        <f aca="false">IF($U486&gt;=MA_LONG1,AVERAGE(INDEX($I$86:$I486,402-MA_LONG1):$I486),"")</f>
        <v>7428.87</v>
      </c>
      <c r="Y486" s="48" t="n">
        <f aca="false">IF($U486&gt;=MA_LONG2,AVERAGE(INDEX($I$86:$I486,402-MA_LONG2):$I486),"")</f>
        <v>7504.385</v>
      </c>
      <c r="Z486" s="48" t="n">
        <f aca="false">IF($U486&gt;=MA_SHORT,AVERAGE(INDEX($L$366:$L486,122-MA_SHORT):$L486),"")</f>
        <v>18016469.15</v>
      </c>
      <c r="AA486" s="48" t="n">
        <f aca="false">IF($U486=1,$G486-$H486,MAX($G486-$H486,ABS($G486-$I485),ABS($H486-$I485)))</f>
        <v>272</v>
      </c>
      <c r="AB486" s="48" t="n">
        <f aca="false">IF($U486&gt;=ATR_PER,AVERAGE(INDEX($AA$366:$AA486,122-ATR_PER):$AA486),"")</f>
        <v>255.142857142857</v>
      </c>
      <c r="AC486" s="48" t="n">
        <f aca="false">$O486-$P486</f>
        <v>1133585</v>
      </c>
      <c r="AD486" s="48" t="n">
        <f aca="false">$AC486*$I486</f>
        <v>8555165995</v>
      </c>
      <c r="AE486" s="49" t="n">
        <f aca="false">IF($Q486&gt;0,$O486*$I486/$Q486/1000000,"")</f>
        <v>384.012390359756</v>
      </c>
      <c r="AF486" s="49" t="n">
        <f aca="false">IF($R486&gt;0,$P486*$I486/$R486/1000000,"")</f>
        <v>286.436136968421</v>
      </c>
      <c r="AG486" s="50" t="n">
        <f aca="false">IF(AND(ISNUMBER($AE486),ISNUMBER($AF486),$AF486&gt;0),$AE486/$AF486,"")</f>
        <v>1.34065622593595</v>
      </c>
      <c r="AH486" s="48" t="n">
        <f aca="false">IF($U486&gt;=5,SUM(INDEX($AD$456:$AD486,32-5):$AD486),"")</f>
        <v>75773200408</v>
      </c>
      <c r="AI486" s="48" t="n">
        <f aca="false">IF($U486&gt;=STRUCT_S,MAX(INDEX($G$336:$G486,152-STRUCT_S):$G486),"")</f>
        <v>7849</v>
      </c>
      <c r="AJ486" s="48" t="n">
        <f aca="false">IF($U486&gt;=STRUCT_S,MIN(INDEX($H$336:$H486,152-STRUCT_S):$H486),"")</f>
        <v>7160</v>
      </c>
      <c r="AK486" s="48" t="n">
        <f aca="false">IF($U486&gt;=STRUCT_L,MAX(INDEX($G$236:$G486,252-STRUCT_L):$G486),"")</f>
        <v>7849</v>
      </c>
      <c r="AL486" s="48" t="n">
        <f aca="false">IF($U486&gt;=STRUCT_L,MIN(INDEX($H$236:$H486,252-STRUCT_L):$H486),"")</f>
        <v>6578</v>
      </c>
      <c r="AM486" s="46" t="n">
        <f aca="false">IF($A486&lt;&gt;$A487,1,0)</f>
        <v>0</v>
      </c>
      <c r="AN486" s="47" t="str">
        <f aca="false">IF($AM486=1,$A486,"")</f>
        <v/>
      </c>
    </row>
    <row r="487" customFormat="false" ht="15" hidden="false" customHeight="false" outlineLevel="0" collapsed="false">
      <c r="A487" s="43" t="s">
        <v>138</v>
      </c>
      <c r="B487" s="44" t="s">
        <v>140</v>
      </c>
      <c r="C487" s="45" t="n">
        <v>46216</v>
      </c>
      <c r="D487" s="46" t="n">
        <v>20260713</v>
      </c>
      <c r="E487" s="47" t="s">
        <v>510</v>
      </c>
      <c r="F487" s="48" t="n">
        <v>7385</v>
      </c>
      <c r="G487" s="48" t="n">
        <v>7663</v>
      </c>
      <c r="H487" s="48" t="n">
        <v>7264</v>
      </c>
      <c r="I487" s="48" t="n">
        <v>7377</v>
      </c>
      <c r="J487" s="48" t="n">
        <v>7579</v>
      </c>
      <c r="K487" s="48" t="n">
        <v>7547</v>
      </c>
      <c r="L487" s="48" t="n">
        <v>20975483</v>
      </c>
      <c r="M487" s="48" t="n">
        <v>154736138091</v>
      </c>
      <c r="N487" s="48" t="n">
        <v>491</v>
      </c>
      <c r="O487" s="48" t="n">
        <v>8587825</v>
      </c>
      <c r="P487" s="48" t="n">
        <v>12664488</v>
      </c>
      <c r="Q487" s="48" t="n">
        <v>291</v>
      </c>
      <c r="R487" s="48" t="n">
        <v>157</v>
      </c>
      <c r="S487" s="48" t="n">
        <v>12387658</v>
      </c>
      <c r="T487" s="48" t="n">
        <v>8310995</v>
      </c>
      <c r="U487" s="46" t="n">
        <f aca="false">IF($A487=$A486,$U486+1,1)</f>
        <v>223</v>
      </c>
      <c r="V487" s="48" t="n">
        <f aca="false">IF($U487&gt;=MA_SHORT,AVERAGE(INDEX($I$87:$I487,402-MA_SHORT):$I487),"")</f>
        <v>7495.55</v>
      </c>
      <c r="W487" s="48" t="n">
        <f aca="false">IF($U487&gt;=MA_MED,AVERAGE(INDEX($I$87:$I487,402-MA_MED):$I487),"")</f>
        <v>7282.24</v>
      </c>
      <c r="X487" s="48" t="n">
        <f aca="false">IF($U487&gt;=MA_LONG1,AVERAGE(INDEX($I$87:$I487,402-MA_LONG1):$I487),"")</f>
        <v>7429.93</v>
      </c>
      <c r="Y487" s="48" t="n">
        <f aca="false">IF($U487&gt;=MA_LONG2,AVERAGE(INDEX($I$87:$I487,402-MA_LONG2):$I487),"")</f>
        <v>7505.945</v>
      </c>
      <c r="Z487" s="48" t="n">
        <f aca="false">IF($U487&gt;=MA_SHORT,AVERAGE(INDEX($L$367:$L487,122-MA_SHORT):$L487),"")</f>
        <v>17924804.65</v>
      </c>
      <c r="AA487" s="48" t="n">
        <f aca="false">IF($U487=1,$G487-$H487,MAX($G487-$H487,ABS($G487-$I486),ABS($H487-$I486)))</f>
        <v>399</v>
      </c>
      <c r="AB487" s="48" t="n">
        <f aca="false">IF($U487&gt;=ATR_PER,AVERAGE(INDEX($AA$367:$AA487,122-ATR_PER):$AA487),"")</f>
        <v>270.214285714286</v>
      </c>
      <c r="AC487" s="48" t="n">
        <f aca="false">$O487-$P487</f>
        <v>-4076663</v>
      </c>
      <c r="AD487" s="48" t="n">
        <f aca="false">$AC487*$I487</f>
        <v>-30073542951</v>
      </c>
      <c r="AE487" s="49" t="n">
        <f aca="false">IF($Q487&gt;0,$O487*$I487/$Q487/1000000,"")</f>
        <v>217.705790463918</v>
      </c>
      <c r="AF487" s="49" t="n">
        <f aca="false">IF($R487&gt;0,$P487*$I487/$R487/1000000,"")</f>
        <v>595.069604942675</v>
      </c>
      <c r="AG487" s="50" t="n">
        <f aca="false">IF(AND(ISNUMBER($AE487),ISNUMBER($AF487),$AF487&gt;0),$AE487/$AF487,"")</f>
        <v>0.365849286630746</v>
      </c>
      <c r="AH487" s="48" t="n">
        <f aca="false">IF($U487&gt;=5,SUM(INDEX($AD$457:$AD487,32-5):$AD487),"")</f>
        <v>63227345151</v>
      </c>
      <c r="AI487" s="48" t="n">
        <f aca="false">IF($U487&gt;=STRUCT_S,MAX(INDEX($G$337:$G487,152-STRUCT_S):$G487),"")</f>
        <v>7849</v>
      </c>
      <c r="AJ487" s="48" t="n">
        <f aca="false">IF($U487&gt;=STRUCT_S,MIN(INDEX($H$337:$H487,152-STRUCT_S):$H487),"")</f>
        <v>7213</v>
      </c>
      <c r="AK487" s="48" t="n">
        <f aca="false">IF($U487&gt;=STRUCT_L,MAX(INDEX($G$237:$G487,252-STRUCT_L):$G487),"")</f>
        <v>7849</v>
      </c>
      <c r="AL487" s="48" t="n">
        <f aca="false">IF($U487&gt;=STRUCT_L,MIN(INDEX($H$237:$H487,252-STRUCT_L):$H487),"")</f>
        <v>6578</v>
      </c>
      <c r="AM487" s="46" t="n">
        <f aca="false">IF($A487&lt;&gt;$A488,1,0)</f>
        <v>0</v>
      </c>
      <c r="AN487" s="47" t="str">
        <f aca="false">IF($AM487=1,$A487,"")</f>
        <v/>
      </c>
    </row>
    <row r="488" customFormat="false" ht="15" hidden="false" customHeight="false" outlineLevel="0" collapsed="false">
      <c r="A488" s="43" t="s">
        <v>138</v>
      </c>
      <c r="B488" s="44" t="s">
        <v>140</v>
      </c>
      <c r="C488" s="45" t="n">
        <v>46217</v>
      </c>
      <c r="D488" s="46" t="n">
        <v>20260714</v>
      </c>
      <c r="E488" s="47" t="s">
        <v>511</v>
      </c>
      <c r="F488" s="48" t="n">
        <v>7502</v>
      </c>
      <c r="G488" s="48" t="n">
        <v>7520</v>
      </c>
      <c r="H488" s="48" t="n">
        <v>7271</v>
      </c>
      <c r="I488" s="48" t="n">
        <v>7413</v>
      </c>
      <c r="J488" s="48" t="n">
        <v>7512</v>
      </c>
      <c r="K488" s="48" t="n">
        <v>7377</v>
      </c>
      <c r="L488" s="48" t="n">
        <v>14943140</v>
      </c>
      <c r="M488" s="48" t="n">
        <v>110773496820</v>
      </c>
      <c r="N488" s="48" t="n">
        <v>703</v>
      </c>
      <c r="O488" s="48" t="n">
        <v>7060248</v>
      </c>
      <c r="P488" s="48" t="n">
        <v>8798645</v>
      </c>
      <c r="Q488" s="48" t="n">
        <v>272</v>
      </c>
      <c r="R488" s="48" t="n">
        <v>476</v>
      </c>
      <c r="S488" s="48" t="n">
        <v>7882892</v>
      </c>
      <c r="T488" s="48" t="n">
        <v>6144495</v>
      </c>
      <c r="U488" s="46" t="n">
        <f aca="false">IF($A488=$A487,$U487+1,1)</f>
        <v>224</v>
      </c>
      <c r="V488" s="48" t="n">
        <f aca="false">IF($U488&gt;=MA_SHORT,AVERAGE(INDEX($I$88:$I488,402-MA_SHORT):$I488),"")</f>
        <v>7489.8</v>
      </c>
      <c r="W488" s="48" t="n">
        <f aca="false">IF($U488&gt;=MA_MED,AVERAGE(INDEX($I$88:$I488,402-MA_MED):$I488),"")</f>
        <v>7289.32</v>
      </c>
      <c r="X488" s="48" t="n">
        <f aca="false">IF($U488&gt;=MA_LONG1,AVERAGE(INDEX($I$88:$I488,402-MA_LONG1):$I488),"")</f>
        <v>7429.41</v>
      </c>
      <c r="Y488" s="48" t="n">
        <f aca="false">IF($U488&gt;=MA_LONG2,AVERAGE(INDEX($I$88:$I488,402-MA_LONG2):$I488),"")</f>
        <v>7509.185</v>
      </c>
      <c r="Z488" s="48" t="n">
        <f aca="false">IF($U488&gt;=MA_SHORT,AVERAGE(INDEX($L$368:$L488,122-MA_SHORT):$L488),"")</f>
        <v>17394459.3</v>
      </c>
      <c r="AA488" s="48" t="n">
        <f aca="false">IF($U488=1,$G488-$H488,MAX($G488-$H488,ABS($G488-$I487),ABS($H488-$I487)))</f>
        <v>249</v>
      </c>
      <c r="AB488" s="48" t="n">
        <f aca="false">IF($U488&gt;=ATR_PER,AVERAGE(INDEX($AA$368:$AA488,122-ATR_PER):$AA488),"")</f>
        <v>283.714285714286</v>
      </c>
      <c r="AC488" s="48" t="n">
        <f aca="false">$O488-$P488</f>
        <v>-1738397</v>
      </c>
      <c r="AD488" s="48" t="n">
        <f aca="false">$AC488*$I488</f>
        <v>-12886736961</v>
      </c>
      <c r="AE488" s="49" t="n">
        <f aca="false">IF($Q488&gt;0,$O488*$I488/$Q488/1000000,"")</f>
        <v>192.417714794118</v>
      </c>
      <c r="AF488" s="49" t="n">
        <f aca="false">IF($R488&gt;0,$P488*$I488/$R488/1000000,"")</f>
        <v>137.025956691176</v>
      </c>
      <c r="AG488" s="50" t="n">
        <f aca="false">IF(AND(ISNUMBER($AE488),ISNUMBER($AF488),$AF488&gt;0),$AE488/$AF488,"")</f>
        <v>1.40424281238759</v>
      </c>
      <c r="AH488" s="48" t="n">
        <f aca="false">IF($U488&gt;=5,SUM(INDEX($AD$458:$AD488,32-5):$AD488),"")</f>
        <v>5538611343</v>
      </c>
      <c r="AI488" s="48" t="n">
        <f aca="false">IF($U488&gt;=STRUCT_S,MAX(INDEX($G$338:$G488,152-STRUCT_S):$G488),"")</f>
        <v>7849</v>
      </c>
      <c r="AJ488" s="48" t="n">
        <f aca="false">IF($U488&gt;=STRUCT_S,MIN(INDEX($H$338:$H488,152-STRUCT_S):$H488),"")</f>
        <v>7264</v>
      </c>
      <c r="AK488" s="48" t="n">
        <f aca="false">IF($U488&gt;=STRUCT_L,MAX(INDEX($G$238:$G488,252-STRUCT_L):$G488),"")</f>
        <v>7849</v>
      </c>
      <c r="AL488" s="48" t="n">
        <f aca="false">IF($U488&gt;=STRUCT_L,MIN(INDEX($H$238:$H488,252-STRUCT_L):$H488),"")</f>
        <v>6578</v>
      </c>
      <c r="AM488" s="46" t="n">
        <f aca="false">IF($A488&lt;&gt;$A489,1,0)</f>
        <v>0</v>
      </c>
      <c r="AN488" s="47" t="str">
        <f aca="false">IF($AM488=1,$A488,"")</f>
        <v/>
      </c>
    </row>
    <row r="489" customFormat="false" ht="15" hidden="false" customHeight="false" outlineLevel="0" collapsed="false">
      <c r="A489" s="43" t="s">
        <v>138</v>
      </c>
      <c r="B489" s="44" t="s">
        <v>140</v>
      </c>
      <c r="C489" s="45" t="n">
        <v>46218</v>
      </c>
      <c r="D489" s="46" t="n">
        <v>20260715</v>
      </c>
      <c r="E489" s="47" t="s">
        <v>512</v>
      </c>
      <c r="F489" s="48" t="n">
        <v>7578</v>
      </c>
      <c r="G489" s="48" t="n">
        <v>7670</v>
      </c>
      <c r="H489" s="48" t="n">
        <v>7378</v>
      </c>
      <c r="I489" s="48" t="n">
        <v>7633</v>
      </c>
      <c r="J489" s="48" t="n">
        <v>7583</v>
      </c>
      <c r="K489" s="48" t="n">
        <v>7413</v>
      </c>
      <c r="L489" s="48" t="n">
        <v>17785452</v>
      </c>
      <c r="M489" s="48" t="n">
        <v>135756355116</v>
      </c>
      <c r="N489" s="48" t="n">
        <v>657</v>
      </c>
      <c r="O489" s="48" t="n">
        <v>12158315</v>
      </c>
      <c r="P489" s="48" t="n">
        <v>6004588</v>
      </c>
      <c r="Q489" s="48" t="n">
        <v>203</v>
      </c>
      <c r="R489" s="48" t="n">
        <v>286</v>
      </c>
      <c r="S489" s="48" t="n">
        <v>5627137</v>
      </c>
      <c r="T489" s="48" t="n">
        <v>11780864</v>
      </c>
      <c r="U489" s="46" t="n">
        <f aca="false">IF($A489=$A488,$U488+1,1)</f>
        <v>225</v>
      </c>
      <c r="V489" s="48" t="n">
        <f aca="false">IF($U489&gt;=MA_SHORT,AVERAGE(INDEX($I$89:$I489,402-MA_SHORT):$I489),"")</f>
        <v>7490.2</v>
      </c>
      <c r="W489" s="48" t="n">
        <f aca="false">IF($U489&gt;=MA_MED,AVERAGE(INDEX($I$89:$I489,402-MA_MED):$I489),"")</f>
        <v>7300.04</v>
      </c>
      <c r="X489" s="48" t="n">
        <f aca="false">IF($U489&gt;=MA_LONG1,AVERAGE(INDEX($I$89:$I489,402-MA_LONG1):$I489),"")</f>
        <v>7430.56</v>
      </c>
      <c r="Y489" s="48" t="n">
        <f aca="false">IF($U489&gt;=MA_LONG2,AVERAGE(INDEX($I$89:$I489,402-MA_LONG2):$I489),"")</f>
        <v>7513.92</v>
      </c>
      <c r="Z489" s="48" t="n">
        <f aca="false">IF($U489&gt;=MA_SHORT,AVERAGE(INDEX($L$369:$L489,122-MA_SHORT):$L489),"")</f>
        <v>17501708.95</v>
      </c>
      <c r="AA489" s="48" t="n">
        <f aca="false">IF($U489=1,$G489-$H489,MAX($G489-$H489,ABS($G489-$I488),ABS($H489-$I488)))</f>
        <v>292</v>
      </c>
      <c r="AB489" s="48" t="n">
        <f aca="false">IF($U489&gt;=ATR_PER,AVERAGE(INDEX($AA$369:$AA489,122-ATR_PER):$AA489),"")</f>
        <v>276.857142857143</v>
      </c>
      <c r="AC489" s="48" t="n">
        <f aca="false">$O489-$P489</f>
        <v>6153727</v>
      </c>
      <c r="AD489" s="48" t="n">
        <f aca="false">$AC489*$I489</f>
        <v>46971398191</v>
      </c>
      <c r="AE489" s="49" t="n">
        <f aca="false">IF($Q489&gt;0,$O489*$I489/$Q489/1000000,"")</f>
        <v>457.164622635468</v>
      </c>
      <c r="AF489" s="49" t="n">
        <f aca="false">IF($R489&gt;0,$P489*$I489/$R489/1000000,"")</f>
        <v>160.255315398601</v>
      </c>
      <c r="AG489" s="50" t="n">
        <f aca="false">IF(AND(ISNUMBER($AE489),ISNUMBER($AF489),$AF489&gt;0),$AE489/$AF489,"")</f>
        <v>2.85272673482541</v>
      </c>
      <c r="AH489" s="48" t="n">
        <f aca="false">IF($U489&gt;=5,SUM(INDEX($AD$459:$AD489,32-5):$AD489),"")</f>
        <v>73739280114</v>
      </c>
      <c r="AI489" s="48" t="n">
        <f aca="false">IF($U489&gt;=STRUCT_S,MAX(INDEX($G$339:$G489,152-STRUCT_S):$G489),"")</f>
        <v>7839</v>
      </c>
      <c r="AJ489" s="48" t="n">
        <f aca="false">IF($U489&gt;=STRUCT_S,MIN(INDEX($H$339:$H489,152-STRUCT_S):$H489),"")</f>
        <v>7264</v>
      </c>
      <c r="AK489" s="48" t="n">
        <f aca="false">IF($U489&gt;=STRUCT_L,MAX(INDEX($G$239:$G489,252-STRUCT_L):$G489),"")</f>
        <v>7849</v>
      </c>
      <c r="AL489" s="48" t="n">
        <f aca="false">IF($U489&gt;=STRUCT_L,MIN(INDEX($H$239:$H489,252-STRUCT_L):$H489),"")</f>
        <v>6578</v>
      </c>
      <c r="AM489" s="46" t="n">
        <f aca="false">IF($A489&lt;&gt;$A490,1,0)</f>
        <v>0</v>
      </c>
      <c r="AN489" s="47" t="str">
        <f aca="false">IF($AM489=1,$A489,"")</f>
        <v/>
      </c>
    </row>
    <row r="490" customFormat="false" ht="15" hidden="false" customHeight="false" outlineLevel="0" collapsed="false">
      <c r="A490" s="43" t="s">
        <v>138</v>
      </c>
      <c r="B490" s="44" t="s">
        <v>140</v>
      </c>
      <c r="C490" s="45" t="n">
        <v>46221</v>
      </c>
      <c r="D490" s="46" t="n">
        <v>20260718</v>
      </c>
      <c r="E490" s="47" t="s">
        <v>513</v>
      </c>
      <c r="F490" s="48" t="n">
        <v>7642</v>
      </c>
      <c r="G490" s="48" t="n">
        <v>7660</v>
      </c>
      <c r="H490" s="48" t="n">
        <v>7509</v>
      </c>
      <c r="I490" s="48" t="n">
        <v>7535</v>
      </c>
      <c r="J490" s="48" t="n">
        <v>7548</v>
      </c>
      <c r="K490" s="48" t="n">
        <v>7633</v>
      </c>
      <c r="L490" s="48" t="n">
        <v>15636431</v>
      </c>
      <c r="M490" s="48" t="n">
        <v>117820507585</v>
      </c>
      <c r="N490" s="48" t="n">
        <v>993</v>
      </c>
      <c r="O490" s="48" t="n">
        <v>6917648</v>
      </c>
      <c r="P490" s="48" t="n">
        <v>9276161</v>
      </c>
      <c r="Q490" s="48" t="n">
        <v>461</v>
      </c>
      <c r="R490" s="48" t="n">
        <v>275</v>
      </c>
      <c r="S490" s="48" t="n">
        <v>8718783</v>
      </c>
      <c r="T490" s="48" t="n">
        <v>6360270</v>
      </c>
      <c r="U490" s="46" t="n">
        <f aca="false">IF($A490=$A489,$U489+1,1)</f>
        <v>226</v>
      </c>
      <c r="V490" s="48" t="n">
        <f aca="false">IF($U490&gt;=MA_SHORT,AVERAGE(INDEX($I$90:$I490,402-MA_SHORT):$I490),"")</f>
        <v>7493.35</v>
      </c>
      <c r="W490" s="48" t="n">
        <f aca="false">IF($U490&gt;=MA_MED,AVERAGE(INDEX($I$90:$I490,402-MA_MED):$I490),"")</f>
        <v>7310.06</v>
      </c>
      <c r="X490" s="48" t="n">
        <f aca="false">IF($U490&gt;=MA_LONG1,AVERAGE(INDEX($I$90:$I490,402-MA_LONG1):$I490),"")</f>
        <v>7431.01</v>
      </c>
      <c r="Y490" s="48" t="n">
        <f aca="false">IF($U490&gt;=MA_LONG2,AVERAGE(INDEX($I$90:$I490,402-MA_LONG2):$I490),"")</f>
        <v>7517.505</v>
      </c>
      <c r="Z490" s="48" t="n">
        <f aca="false">IF($U490&gt;=MA_SHORT,AVERAGE(INDEX($L$370:$L490,122-MA_SHORT):$L490),"")</f>
        <v>17447078.6</v>
      </c>
      <c r="AA490" s="48" t="n">
        <f aca="false">IF($U490=1,$G490-$H490,MAX($G490-$H490,ABS($G490-$I489),ABS($H490-$I489)))</f>
        <v>151</v>
      </c>
      <c r="AB490" s="48" t="n">
        <f aca="false">IF($U490&gt;=ATR_PER,AVERAGE(INDEX($AA$370:$AA490,122-ATR_PER):$AA490),"")</f>
        <v>276.214285714286</v>
      </c>
      <c r="AC490" s="48" t="n">
        <f aca="false">$O490-$P490</f>
        <v>-2358513</v>
      </c>
      <c r="AD490" s="48" t="n">
        <f aca="false">$AC490*$I490</f>
        <v>-17771395455</v>
      </c>
      <c r="AE490" s="49" t="n">
        <f aca="false">IF($Q490&gt;0,$O490*$I490/$Q490/1000000,"")</f>
        <v>113.068281301518</v>
      </c>
      <c r="AF490" s="49" t="n">
        <f aca="false">IF($R490&gt;0,$P490*$I490/$R490/1000000,"")</f>
        <v>254.1668114</v>
      </c>
      <c r="AG490" s="50" t="n">
        <f aca="false">IF(AND(ISNUMBER($AE490),ISNUMBER($AF490),$AF490&gt;0),$AE490/$AF490,"")</f>
        <v>0.444858558356681</v>
      </c>
      <c r="AH490" s="48" t="n">
        <f aca="false">IF($U490&gt;=5,SUM(INDEX($AD$460:$AD490,32-5):$AD490),"")</f>
        <v>-5205111181</v>
      </c>
      <c r="AI490" s="48" t="n">
        <f aca="false">IF($U490&gt;=STRUCT_S,MAX(INDEX($G$340:$G490,152-STRUCT_S):$G490),"")</f>
        <v>7839</v>
      </c>
      <c r="AJ490" s="48" t="n">
        <f aca="false">IF($U490&gt;=STRUCT_S,MIN(INDEX($H$340:$H490,152-STRUCT_S):$H490),"")</f>
        <v>7264</v>
      </c>
      <c r="AK490" s="48" t="n">
        <f aca="false">IF($U490&gt;=STRUCT_L,MAX(INDEX($G$240:$G490,252-STRUCT_L):$G490),"")</f>
        <v>7849</v>
      </c>
      <c r="AL490" s="48" t="n">
        <f aca="false">IF($U490&gt;=STRUCT_L,MIN(INDEX($H$240:$H490,252-STRUCT_L):$H490),"")</f>
        <v>6578</v>
      </c>
      <c r="AM490" s="46" t="n">
        <f aca="false">IF($A490&lt;&gt;$A491,1,0)</f>
        <v>0</v>
      </c>
      <c r="AN490" s="47" t="str">
        <f aca="false">IF($AM490=1,$A490,"")</f>
        <v/>
      </c>
    </row>
    <row r="491" customFormat="false" ht="15" hidden="false" customHeight="false" outlineLevel="0" collapsed="false">
      <c r="A491" s="43" t="s">
        <v>138</v>
      </c>
      <c r="B491" s="44" t="s">
        <v>140</v>
      </c>
      <c r="C491" s="45" t="n">
        <v>46222</v>
      </c>
      <c r="D491" s="46" t="n">
        <v>20260719</v>
      </c>
      <c r="E491" s="47" t="s">
        <v>514</v>
      </c>
      <c r="F491" s="48" t="n">
        <v>7636</v>
      </c>
      <c r="G491" s="48" t="n">
        <v>7652</v>
      </c>
      <c r="H491" s="48" t="n">
        <v>7495</v>
      </c>
      <c r="I491" s="48" t="n">
        <v>7612</v>
      </c>
      <c r="J491" s="48" t="n">
        <v>7563</v>
      </c>
      <c r="K491" s="48" t="n">
        <v>7535</v>
      </c>
      <c r="L491" s="48" t="n">
        <v>15408206</v>
      </c>
      <c r="M491" s="48" t="n">
        <v>117287264072</v>
      </c>
      <c r="N491" s="48" t="n">
        <v>402</v>
      </c>
      <c r="O491" s="48" t="n">
        <v>9432659</v>
      </c>
      <c r="P491" s="48" t="n">
        <v>6391627</v>
      </c>
      <c r="Q491" s="48" t="n">
        <v>114</v>
      </c>
      <c r="R491" s="48" t="n">
        <v>197</v>
      </c>
      <c r="S491" s="48" t="n">
        <v>5975547</v>
      </c>
      <c r="T491" s="48" t="n">
        <v>9016579</v>
      </c>
      <c r="U491" s="46" t="n">
        <f aca="false">IF($A491=$A490,$U490+1,1)</f>
        <v>227</v>
      </c>
      <c r="V491" s="48" t="n">
        <f aca="false">IF($U491&gt;=MA_SHORT,AVERAGE(INDEX($I$91:$I491,402-MA_SHORT):$I491),"")</f>
        <v>7502.65</v>
      </c>
      <c r="W491" s="48" t="n">
        <f aca="false">IF($U491&gt;=MA_MED,AVERAGE(INDEX($I$91:$I491,402-MA_MED):$I491),"")</f>
        <v>7318.9</v>
      </c>
      <c r="X491" s="48" t="n">
        <f aca="false">IF($U491&gt;=MA_LONG1,AVERAGE(INDEX($I$91:$I491,402-MA_LONG1):$I491),"")</f>
        <v>7433.69</v>
      </c>
      <c r="Y491" s="48" t="n">
        <f aca="false">IF($U491&gt;=MA_LONG2,AVERAGE(INDEX($I$91:$I491,402-MA_LONG2):$I491),"")</f>
        <v>7520.465</v>
      </c>
      <c r="Z491" s="48" t="n">
        <f aca="false">IF($U491&gt;=MA_SHORT,AVERAGE(INDEX($L$371:$L491,122-MA_SHORT):$L491),"")</f>
        <v>17340285.6</v>
      </c>
      <c r="AA491" s="48" t="n">
        <f aca="false">IF($U491=1,$G491-$H491,MAX($G491-$H491,ABS($G491-$I490),ABS($H491-$I490)))</f>
        <v>157</v>
      </c>
      <c r="AB491" s="48" t="n">
        <f aca="false">IF($U491&gt;=ATR_PER,AVERAGE(INDEX($AA$371:$AA491,122-ATR_PER):$AA491),"")</f>
        <v>271.285714285714</v>
      </c>
      <c r="AC491" s="48" t="n">
        <f aca="false">$O491-$P491</f>
        <v>3041032</v>
      </c>
      <c r="AD491" s="48" t="n">
        <f aca="false">$AC491*$I491</f>
        <v>23148335584</v>
      </c>
      <c r="AE491" s="49" t="n">
        <f aca="false">IF($Q491&gt;0,$O491*$I491/$Q491/1000000,"")</f>
        <v>629.836844807018</v>
      </c>
      <c r="AF491" s="49" t="n">
        <f aca="false">IF($R491&gt;0,$P491*$I491/$R491/1000000,"")</f>
        <v>246.969871695431</v>
      </c>
      <c r="AG491" s="50" t="n">
        <f aca="false">IF(AND(ISNUMBER($AE491),ISNUMBER($AF491),$AF491&gt;0),$AE491/$AF491,"")</f>
        <v>2.55025781275761</v>
      </c>
      <c r="AH491" s="48" t="n">
        <f aca="false">IF($U491&gt;=5,SUM(INDEX($AD$461:$AD491,32-5):$AD491),"")</f>
        <v>9388058408</v>
      </c>
      <c r="AI491" s="48" t="n">
        <f aca="false">IF($U491&gt;=STRUCT_S,MAX(INDEX($G$341:$G491,152-STRUCT_S):$G491),"")</f>
        <v>7839</v>
      </c>
      <c r="AJ491" s="48" t="n">
        <f aca="false">IF($U491&gt;=STRUCT_S,MIN(INDEX($H$341:$H491,152-STRUCT_S):$H491),"")</f>
        <v>7264</v>
      </c>
      <c r="AK491" s="48" t="n">
        <f aca="false">IF($U491&gt;=STRUCT_L,MAX(INDEX($G$241:$G491,252-STRUCT_L):$G491),"")</f>
        <v>7849</v>
      </c>
      <c r="AL491" s="48" t="n">
        <f aca="false">IF($U491&gt;=STRUCT_L,MIN(INDEX($H$241:$H491,252-STRUCT_L):$H491),"")</f>
        <v>6578</v>
      </c>
      <c r="AM491" s="46" t="n">
        <f aca="false">IF($A491&lt;&gt;$A492,1,0)</f>
        <v>0</v>
      </c>
      <c r="AN491" s="47" t="str">
        <f aca="false">IF($AM491=1,$A491,"")</f>
        <v/>
      </c>
    </row>
    <row r="492" customFormat="false" ht="15" hidden="false" customHeight="false" outlineLevel="0" collapsed="false">
      <c r="A492" s="43" t="s">
        <v>138</v>
      </c>
      <c r="B492" s="44" t="s">
        <v>140</v>
      </c>
      <c r="C492" s="45" t="n">
        <v>46223</v>
      </c>
      <c r="D492" s="46" t="n">
        <v>20260720</v>
      </c>
      <c r="E492" s="47" t="s">
        <v>515</v>
      </c>
      <c r="F492" s="48" t="n">
        <v>7444</v>
      </c>
      <c r="G492" s="48" t="n">
        <v>7699</v>
      </c>
      <c r="H492" s="48" t="n">
        <v>7392</v>
      </c>
      <c r="I492" s="48" t="n">
        <v>7477</v>
      </c>
      <c r="J492" s="48" t="n">
        <v>7598</v>
      </c>
      <c r="K492" s="48" t="n">
        <v>7612</v>
      </c>
      <c r="L492" s="48" t="n">
        <v>16062928</v>
      </c>
      <c r="M492" s="48" t="n">
        <v>120102512656</v>
      </c>
      <c r="N492" s="48" t="n">
        <v>992</v>
      </c>
      <c r="O492" s="48" t="n">
        <v>8228787</v>
      </c>
      <c r="P492" s="48" t="n">
        <v>9226911</v>
      </c>
      <c r="Q492" s="48" t="n">
        <v>509</v>
      </c>
      <c r="R492" s="48" t="n">
        <v>308</v>
      </c>
      <c r="S492" s="48" t="n">
        <v>7834141</v>
      </c>
      <c r="T492" s="48" t="n">
        <v>6836017</v>
      </c>
      <c r="U492" s="46" t="n">
        <f aca="false">IF($A492=$A491,$U491+1,1)</f>
        <v>228</v>
      </c>
      <c r="V492" s="48" t="n">
        <f aca="false">IF($U492&gt;=MA_SHORT,AVERAGE(INDEX($I$92:$I492,402-MA_SHORT):$I492),"")</f>
        <v>7511</v>
      </c>
      <c r="W492" s="48" t="n">
        <f aca="false">IF($U492&gt;=MA_MED,AVERAGE(INDEX($I$92:$I492,402-MA_MED):$I492),"")</f>
        <v>7332</v>
      </c>
      <c r="X492" s="48" t="n">
        <f aca="false">IF($U492&gt;=MA_LONG1,AVERAGE(INDEX($I$92:$I492,402-MA_LONG1):$I492),"")</f>
        <v>7436.6</v>
      </c>
      <c r="Y492" s="48" t="n">
        <f aca="false">IF($U492&gt;=MA_LONG2,AVERAGE(INDEX($I$92:$I492,402-MA_LONG2):$I492),"")</f>
        <v>7522.66</v>
      </c>
      <c r="Z492" s="48" t="n">
        <f aca="false">IF($U492&gt;=MA_SHORT,AVERAGE(INDEX($L$372:$L492,122-MA_SHORT):$L492),"")</f>
        <v>17139404.35</v>
      </c>
      <c r="AA492" s="48" t="n">
        <f aca="false">IF($U492=1,$G492-$H492,MAX($G492-$H492,ABS($G492-$I491),ABS($H492-$I491)))</f>
        <v>307</v>
      </c>
      <c r="AB492" s="48" t="n">
        <f aca="false">IF($U492&gt;=ATR_PER,AVERAGE(INDEX($AA$372:$AA492,122-ATR_PER):$AA492),"")</f>
        <v>274.714285714286</v>
      </c>
      <c r="AC492" s="48" t="n">
        <f aca="false">$O492-$P492</f>
        <v>-998124</v>
      </c>
      <c r="AD492" s="48" t="n">
        <f aca="false">$AC492*$I492</f>
        <v>-7462973148</v>
      </c>
      <c r="AE492" s="49" t="n">
        <f aca="false">IF($Q492&gt;0,$O492*$I492/$Q492/1000000,"")</f>
        <v>120.877486049116</v>
      </c>
      <c r="AF492" s="49" t="n">
        <f aca="false">IF($R492&gt;0,$P492*$I492/$R492/1000000,"")</f>
        <v>223.992251775974</v>
      </c>
      <c r="AG492" s="50" t="n">
        <f aca="false">IF(AND(ISNUMBER($AE492),ISNUMBER($AF492),$AF492&gt;0),$AE492/$AF492,"")</f>
        <v>0.539650300805992</v>
      </c>
      <c r="AH492" s="48" t="n">
        <f aca="false">IF($U492&gt;=5,SUM(INDEX($AD$462:$AD492,32-5):$AD492),"")</f>
        <v>31998628211</v>
      </c>
      <c r="AI492" s="48" t="n">
        <f aca="false">IF($U492&gt;=STRUCT_S,MAX(INDEX($G$342:$G492,152-STRUCT_S):$G492),"")</f>
        <v>7839</v>
      </c>
      <c r="AJ492" s="48" t="n">
        <f aca="false">IF($U492&gt;=STRUCT_S,MIN(INDEX($H$342:$H492,152-STRUCT_S):$H492),"")</f>
        <v>7264</v>
      </c>
      <c r="AK492" s="48" t="n">
        <f aca="false">IF($U492&gt;=STRUCT_L,MAX(INDEX($G$242:$G492,252-STRUCT_L):$G492),"")</f>
        <v>7849</v>
      </c>
      <c r="AL492" s="48" t="n">
        <f aca="false">IF($U492&gt;=STRUCT_L,MIN(INDEX($H$242:$H492,252-STRUCT_L):$H492),"")</f>
        <v>6578</v>
      </c>
      <c r="AM492" s="46" t="n">
        <f aca="false">IF($A492&lt;&gt;$A493,1,0)</f>
        <v>0</v>
      </c>
      <c r="AN492" s="47" t="str">
        <f aca="false">IF($AM492=1,$A492,"")</f>
        <v/>
      </c>
    </row>
    <row r="493" customFormat="false" ht="15" hidden="false" customHeight="false" outlineLevel="0" collapsed="false">
      <c r="A493" s="43" t="s">
        <v>138</v>
      </c>
      <c r="B493" s="44" t="s">
        <v>140</v>
      </c>
      <c r="C493" s="45" t="n">
        <v>46224</v>
      </c>
      <c r="D493" s="46" t="n">
        <v>20260721</v>
      </c>
      <c r="E493" s="47" t="s">
        <v>516</v>
      </c>
      <c r="F493" s="48" t="n">
        <v>7486</v>
      </c>
      <c r="G493" s="48" t="n">
        <v>7566</v>
      </c>
      <c r="H493" s="48" t="n">
        <v>7394</v>
      </c>
      <c r="I493" s="48" t="n">
        <v>7483</v>
      </c>
      <c r="J493" s="48" t="n">
        <v>7547</v>
      </c>
      <c r="K493" s="48" t="n">
        <v>7477</v>
      </c>
      <c r="L493" s="48" t="n">
        <v>14587950</v>
      </c>
      <c r="M493" s="48" t="n">
        <v>109161629850</v>
      </c>
      <c r="N493" s="48" t="n">
        <v>483</v>
      </c>
      <c r="O493" s="48" t="n">
        <v>8368622</v>
      </c>
      <c r="P493" s="48" t="n">
        <v>6246167</v>
      </c>
      <c r="Q493" s="48" t="n">
        <v>199</v>
      </c>
      <c r="R493" s="48" t="n">
        <v>266</v>
      </c>
      <c r="S493" s="48" t="n">
        <v>6219328</v>
      </c>
      <c r="T493" s="48" t="n">
        <v>8341783</v>
      </c>
      <c r="U493" s="46" t="n">
        <f aca="false">IF($A493=$A492,$U492+1,1)</f>
        <v>229</v>
      </c>
      <c r="V493" s="48" t="n">
        <f aca="false">IF($U493&gt;=MA_SHORT,AVERAGE(INDEX($I$93:$I493,402-MA_SHORT):$I493),"")</f>
        <v>7513.8</v>
      </c>
      <c r="W493" s="48" t="n">
        <f aca="false">IF($U493&gt;=MA_MED,AVERAGE(INDEX($I$93:$I493,402-MA_MED):$I493),"")</f>
        <v>7347.9</v>
      </c>
      <c r="X493" s="48" t="n">
        <f aca="false">IF($U493&gt;=MA_LONG1,AVERAGE(INDEX($I$93:$I493,402-MA_LONG1):$I493),"")</f>
        <v>7439.01</v>
      </c>
      <c r="Y493" s="48" t="n">
        <f aca="false">IF($U493&gt;=MA_LONG2,AVERAGE(INDEX($I$93:$I493,402-MA_LONG2):$I493),"")</f>
        <v>7524.47</v>
      </c>
      <c r="Z493" s="48" t="n">
        <f aca="false">IF($U493&gt;=MA_SHORT,AVERAGE(INDEX($L$373:$L493,122-MA_SHORT):$L493),"")</f>
        <v>16906141.2</v>
      </c>
      <c r="AA493" s="48" t="n">
        <f aca="false">IF($U493=1,$G493-$H493,MAX($G493-$H493,ABS($G493-$I492),ABS($H493-$I492)))</f>
        <v>172</v>
      </c>
      <c r="AB493" s="48" t="n">
        <f aca="false">IF($U493&gt;=ATR_PER,AVERAGE(INDEX($AA$373:$AA493,122-ATR_PER):$AA493),"")</f>
        <v>268.642857142857</v>
      </c>
      <c r="AC493" s="48" t="n">
        <f aca="false">$O493-$P493</f>
        <v>2122455</v>
      </c>
      <c r="AD493" s="48" t="n">
        <f aca="false">$AC493*$I493</f>
        <v>15882330765</v>
      </c>
      <c r="AE493" s="49" t="n">
        <f aca="false">IF($Q493&gt;0,$O493*$I493/$Q493/1000000,"")</f>
        <v>314.685419226131</v>
      </c>
      <c r="AF493" s="49" t="n">
        <f aca="false">IF($R493&gt;0,$P493*$I493/$R493/1000000,"")</f>
        <v>175.714540078947</v>
      </c>
      <c r="AG493" s="50" t="n">
        <f aca="false">IF(AND(ISNUMBER($AE493),ISNUMBER($AF493),$AF493&gt;0),$AE493/$AF493,"")</f>
        <v>1.79089003724305</v>
      </c>
      <c r="AH493" s="48" t="n">
        <f aca="false">IF($U493&gt;=5,SUM(INDEX($AD$463:$AD493,32-5):$AD493),"")</f>
        <v>60767695937</v>
      </c>
      <c r="AI493" s="48" t="n">
        <f aca="false">IF($U493&gt;=STRUCT_S,MAX(INDEX($G$343:$G493,152-STRUCT_S):$G493),"")</f>
        <v>7839</v>
      </c>
      <c r="AJ493" s="48" t="n">
        <f aca="false">IF($U493&gt;=STRUCT_S,MIN(INDEX($H$343:$H493,152-STRUCT_S):$H493),"")</f>
        <v>7264</v>
      </c>
      <c r="AK493" s="48" t="n">
        <f aca="false">IF($U493&gt;=STRUCT_L,MAX(INDEX($G$243:$G493,252-STRUCT_L):$G493),"")</f>
        <v>7849</v>
      </c>
      <c r="AL493" s="48" t="n">
        <f aca="false">IF($U493&gt;=STRUCT_L,MIN(INDEX($H$243:$H493,252-STRUCT_L):$H493),"")</f>
        <v>6578</v>
      </c>
      <c r="AM493" s="46" t="n">
        <f aca="false">IF($A493&lt;&gt;$A494,1,0)</f>
        <v>0</v>
      </c>
      <c r="AN493" s="47" t="str">
        <f aca="false">IF($AM493=1,$A493,"")</f>
        <v/>
      </c>
    </row>
    <row r="494" customFormat="false" ht="15" hidden="false" customHeight="false" outlineLevel="0" collapsed="false">
      <c r="A494" s="43" t="s">
        <v>138</v>
      </c>
      <c r="B494" s="44" t="s">
        <v>140</v>
      </c>
      <c r="C494" s="45" t="n">
        <v>46225</v>
      </c>
      <c r="D494" s="46" t="n">
        <v>20260722</v>
      </c>
      <c r="E494" s="47" t="s">
        <v>517</v>
      </c>
      <c r="F494" s="48" t="n">
        <v>7455</v>
      </c>
      <c r="G494" s="48" t="n">
        <v>7552</v>
      </c>
      <c r="H494" s="48" t="n">
        <v>7295</v>
      </c>
      <c r="I494" s="48" t="n">
        <v>7363</v>
      </c>
      <c r="J494" s="48" t="n">
        <v>7366</v>
      </c>
      <c r="K494" s="48" t="n">
        <v>7483</v>
      </c>
      <c r="L494" s="48" t="n">
        <v>17482169</v>
      </c>
      <c r="M494" s="48" t="n">
        <v>128721210347</v>
      </c>
      <c r="N494" s="48" t="n">
        <v>654</v>
      </c>
      <c r="O494" s="48" t="n">
        <v>8675506</v>
      </c>
      <c r="P494" s="48" t="n">
        <v>8687984</v>
      </c>
      <c r="Q494" s="48" t="n">
        <v>423</v>
      </c>
      <c r="R494" s="48" t="n">
        <v>249</v>
      </c>
      <c r="S494" s="48" t="n">
        <v>8806663</v>
      </c>
      <c r="T494" s="48" t="n">
        <v>8794185</v>
      </c>
      <c r="U494" s="46" t="n">
        <f aca="false">IF($A494=$A493,$U493+1,1)</f>
        <v>230</v>
      </c>
      <c r="V494" s="48" t="n">
        <f aca="false">IF($U494&gt;=MA_SHORT,AVERAGE(INDEX($I$94:$I494,402-MA_SHORT):$I494),"")</f>
        <v>7511.1</v>
      </c>
      <c r="W494" s="48" t="n">
        <f aca="false">IF($U494&gt;=MA_MED,AVERAGE(INDEX($I$94:$I494,402-MA_MED):$I494),"")</f>
        <v>7357.18</v>
      </c>
      <c r="X494" s="48" t="n">
        <f aca="false">IF($U494&gt;=MA_LONG1,AVERAGE(INDEX($I$94:$I494,402-MA_LONG1):$I494),"")</f>
        <v>7439.91</v>
      </c>
      <c r="Y494" s="48" t="n">
        <f aca="false">IF($U494&gt;=MA_LONG2,AVERAGE(INDEX($I$94:$I494,402-MA_LONG2):$I494),"")</f>
        <v>7525.635</v>
      </c>
      <c r="Z494" s="48" t="n">
        <f aca="false">IF($U494&gt;=MA_SHORT,AVERAGE(INDEX($L$374:$L494,122-MA_SHORT):$L494),"")</f>
        <v>16938851.05</v>
      </c>
      <c r="AA494" s="48" t="n">
        <f aca="false">IF($U494=1,$G494-$H494,MAX($G494-$H494,ABS($G494-$I493),ABS($H494-$I493)))</f>
        <v>257</v>
      </c>
      <c r="AB494" s="48" t="n">
        <f aca="false">IF($U494&gt;=ATR_PER,AVERAGE(INDEX($AA$374:$AA494,122-ATR_PER):$AA494),"")</f>
        <v>276</v>
      </c>
      <c r="AC494" s="48" t="n">
        <f aca="false">$O494-$P494</f>
        <v>-12478</v>
      </c>
      <c r="AD494" s="48" t="n">
        <f aca="false">$AC494*$I494</f>
        <v>-91875514</v>
      </c>
      <c r="AE494" s="49" t="n">
        <f aca="false">IF($Q494&gt;0,$O494*$I494/$Q494/1000000,"")</f>
        <v>151.011230917258</v>
      </c>
      <c r="AF494" s="49" t="n">
        <f aca="false">IF($R494&gt;0,$P494*$I494/$R494/1000000,"")</f>
        <v>256.906129285141</v>
      </c>
      <c r="AG494" s="50" t="n">
        <f aca="false">IF(AND(ISNUMBER($AE494),ISNUMBER($AF494),$AF494&gt;0),$AE494/$AF494,"")</f>
        <v>0.587807038070509</v>
      </c>
      <c r="AH494" s="48" t="n">
        <f aca="false">IF($U494&gt;=5,SUM(INDEX($AD$464:$AD494,32-5):$AD494),"")</f>
        <v>13704422232</v>
      </c>
      <c r="AI494" s="48" t="n">
        <f aca="false">IF($U494&gt;=STRUCT_S,MAX(INDEX($G$344:$G494,152-STRUCT_S):$G494),"")</f>
        <v>7839</v>
      </c>
      <c r="AJ494" s="48" t="n">
        <f aca="false">IF($U494&gt;=STRUCT_S,MIN(INDEX($H$344:$H494,152-STRUCT_S):$H494),"")</f>
        <v>7264</v>
      </c>
      <c r="AK494" s="48" t="n">
        <f aca="false">IF($U494&gt;=STRUCT_L,MAX(INDEX($G$244:$G494,252-STRUCT_L):$G494),"")</f>
        <v>7849</v>
      </c>
      <c r="AL494" s="48" t="n">
        <f aca="false">IF($U494&gt;=STRUCT_L,MIN(INDEX($H$244:$H494,252-STRUCT_L):$H494),"")</f>
        <v>6578</v>
      </c>
      <c r="AM494" s="46" t="n">
        <f aca="false">IF($A494&lt;&gt;$A495,1,0)</f>
        <v>0</v>
      </c>
      <c r="AN494" s="47" t="str">
        <f aca="false">IF($AM494=1,$A494,"")</f>
        <v/>
      </c>
    </row>
    <row r="495" customFormat="false" ht="15" hidden="false" customHeight="false" outlineLevel="0" collapsed="false">
      <c r="A495" s="43" t="s">
        <v>138</v>
      </c>
      <c r="B495" s="44" t="s">
        <v>140</v>
      </c>
      <c r="C495" s="45" t="n">
        <v>46228</v>
      </c>
      <c r="D495" s="46" t="n">
        <v>20260725</v>
      </c>
      <c r="E495" s="47" t="s">
        <v>518</v>
      </c>
      <c r="F495" s="48" t="n">
        <v>7376</v>
      </c>
      <c r="G495" s="48" t="n">
        <v>7425</v>
      </c>
      <c r="H495" s="48" t="n">
        <v>7316</v>
      </c>
      <c r="I495" s="48" t="n">
        <v>7377</v>
      </c>
      <c r="J495" s="48" t="n">
        <v>7318</v>
      </c>
      <c r="K495" s="48" t="n">
        <v>7363</v>
      </c>
      <c r="L495" s="48" t="n">
        <v>16665090</v>
      </c>
      <c r="M495" s="48" t="n">
        <v>122938368930</v>
      </c>
      <c r="N495" s="48" t="n">
        <v>391</v>
      </c>
      <c r="O495" s="48" t="n">
        <v>9243257</v>
      </c>
      <c r="P495" s="48" t="n">
        <v>7989052</v>
      </c>
      <c r="Q495" s="48" t="n">
        <v>147</v>
      </c>
      <c r="R495" s="48" t="n">
        <v>152</v>
      </c>
      <c r="S495" s="48" t="n">
        <v>7421833</v>
      </c>
      <c r="T495" s="48" t="n">
        <v>8676038</v>
      </c>
      <c r="U495" s="46" t="n">
        <f aca="false">IF($A495=$A494,$U494+1,1)</f>
        <v>231</v>
      </c>
      <c r="V495" s="48" t="n">
        <f aca="false">IF($U495&gt;=MA_SHORT,AVERAGE(INDEX($I$95:$I495,402-MA_SHORT):$I495),"")</f>
        <v>7500.5</v>
      </c>
      <c r="W495" s="48" t="n">
        <f aca="false">IF($U495&gt;=MA_MED,AVERAGE(INDEX($I$95:$I495,402-MA_MED):$I495),"")</f>
        <v>7366.9</v>
      </c>
      <c r="X495" s="48" t="n">
        <f aca="false">IF($U495&gt;=MA_LONG1,AVERAGE(INDEX($I$95:$I495,402-MA_LONG1):$I495),"")</f>
        <v>7437.95</v>
      </c>
      <c r="Y495" s="48" t="n">
        <f aca="false">IF($U495&gt;=MA_LONG2,AVERAGE(INDEX($I$95:$I495,402-MA_LONG2):$I495),"")</f>
        <v>7527.095</v>
      </c>
      <c r="Z495" s="48" t="n">
        <f aca="false">IF($U495&gt;=MA_SHORT,AVERAGE(INDEX($L$375:$L495,122-MA_SHORT):$L495),"")</f>
        <v>16945201.2</v>
      </c>
      <c r="AA495" s="48" t="n">
        <f aca="false">IF($U495=1,$G495-$H495,MAX($G495-$H495,ABS($G495-$I494),ABS($H495-$I494)))</f>
        <v>109</v>
      </c>
      <c r="AB495" s="48" t="n">
        <f aca="false">IF($U495&gt;=ATR_PER,AVERAGE(INDEX($AA$375:$AA495,122-ATR_PER):$AA495),"")</f>
        <v>276</v>
      </c>
      <c r="AC495" s="48" t="n">
        <f aca="false">$O495-$P495</f>
        <v>1254205</v>
      </c>
      <c r="AD495" s="48" t="n">
        <f aca="false">$AC495*$I495</f>
        <v>9252270285</v>
      </c>
      <c r="AE495" s="49" t="n">
        <f aca="false">IF($Q495&gt;0,$O495*$I495/$Q495/1000000,"")</f>
        <v>463.860591081633</v>
      </c>
      <c r="AF495" s="49" t="n">
        <f aca="false">IF($R495&gt;0,$P495*$I495/$R495/1000000,"")</f>
        <v>387.731819763158</v>
      </c>
      <c r="AG495" s="50" t="n">
        <f aca="false">IF(AND(ISNUMBER($AE495),ISNUMBER($AF495),$AF495&gt;0),$AE495/$AF495,"")</f>
        <v>1.19634388367965</v>
      </c>
      <c r="AH495" s="48" t="n">
        <f aca="false">IF($U495&gt;=5,SUM(INDEX($AD$465:$AD495,32-5):$AD495),"")</f>
        <v>40728087972</v>
      </c>
      <c r="AI495" s="48" t="n">
        <f aca="false">IF($U495&gt;=STRUCT_S,MAX(INDEX($G$345:$G495,152-STRUCT_S):$G495),"")</f>
        <v>7839</v>
      </c>
      <c r="AJ495" s="48" t="n">
        <f aca="false">IF($U495&gt;=STRUCT_S,MIN(INDEX($H$345:$H495,152-STRUCT_S):$H495),"")</f>
        <v>7264</v>
      </c>
      <c r="AK495" s="48" t="n">
        <f aca="false">IF($U495&gt;=STRUCT_L,MAX(INDEX($G$245:$G495,252-STRUCT_L):$G495),"")</f>
        <v>7849</v>
      </c>
      <c r="AL495" s="48" t="n">
        <f aca="false">IF($U495&gt;=STRUCT_L,MIN(INDEX($H$245:$H495,252-STRUCT_L):$H495),"")</f>
        <v>6578</v>
      </c>
      <c r="AM495" s="46" t="n">
        <f aca="false">IF($A495&lt;&gt;$A496,1,0)</f>
        <v>0</v>
      </c>
      <c r="AN495" s="47" t="str">
        <f aca="false">IF($AM495=1,$A495,"")</f>
        <v/>
      </c>
    </row>
    <row r="496" customFormat="false" ht="15" hidden="false" customHeight="false" outlineLevel="0" collapsed="false">
      <c r="A496" s="43" t="s">
        <v>138</v>
      </c>
      <c r="B496" s="44" t="s">
        <v>140</v>
      </c>
      <c r="C496" s="45" t="n">
        <v>46229</v>
      </c>
      <c r="D496" s="46" t="n">
        <v>20260726</v>
      </c>
      <c r="E496" s="47" t="s">
        <v>519</v>
      </c>
      <c r="F496" s="48" t="n">
        <v>7452</v>
      </c>
      <c r="G496" s="48" t="n">
        <v>7573</v>
      </c>
      <c r="H496" s="48" t="n">
        <v>7300</v>
      </c>
      <c r="I496" s="48" t="n">
        <v>7495</v>
      </c>
      <c r="J496" s="48" t="n">
        <v>7547</v>
      </c>
      <c r="K496" s="48" t="n">
        <v>7377</v>
      </c>
      <c r="L496" s="48" t="n">
        <v>15911403</v>
      </c>
      <c r="M496" s="48" t="n">
        <v>119255965485</v>
      </c>
      <c r="N496" s="48" t="n">
        <v>718</v>
      </c>
      <c r="O496" s="48" t="n">
        <v>10882074</v>
      </c>
      <c r="P496" s="48" t="n">
        <v>4666769</v>
      </c>
      <c r="Q496" s="48" t="n">
        <v>209</v>
      </c>
      <c r="R496" s="48" t="n">
        <v>290</v>
      </c>
      <c r="S496" s="48" t="n">
        <v>5029329</v>
      </c>
      <c r="T496" s="48" t="n">
        <v>11244634</v>
      </c>
      <c r="U496" s="46" t="n">
        <f aca="false">IF($A496=$A495,$U495+1,1)</f>
        <v>232</v>
      </c>
      <c r="V496" s="48" t="n">
        <f aca="false">IF($U496&gt;=MA_SHORT,AVERAGE(INDEX($I$96:$I496,402-MA_SHORT):$I496),"")</f>
        <v>7500.5</v>
      </c>
      <c r="W496" s="48" t="n">
        <f aca="false">IF($U496&gt;=MA_MED,AVERAGE(INDEX($I$96:$I496,402-MA_MED):$I496),"")</f>
        <v>7376.8</v>
      </c>
      <c r="X496" s="48" t="n">
        <f aca="false">IF($U496&gt;=MA_LONG1,AVERAGE(INDEX($I$96:$I496,402-MA_LONG1):$I496),"")</f>
        <v>7434.08</v>
      </c>
      <c r="Y496" s="48" t="n">
        <f aca="false">IF($U496&gt;=MA_LONG2,AVERAGE(INDEX($I$96:$I496,402-MA_LONG2):$I496),"")</f>
        <v>7530.65</v>
      </c>
      <c r="Z496" s="48" t="n">
        <f aca="false">IF($U496&gt;=MA_SHORT,AVERAGE(INDEX($L$376:$L496,122-MA_SHORT):$L496),"")</f>
        <v>16960921.25</v>
      </c>
      <c r="AA496" s="48" t="n">
        <f aca="false">IF($U496=1,$G496-$H496,MAX($G496-$H496,ABS($G496-$I495),ABS($H496-$I495)))</f>
        <v>273</v>
      </c>
      <c r="AB496" s="48" t="n">
        <f aca="false">IF($U496&gt;=ATR_PER,AVERAGE(INDEX($AA$376:$AA496,122-ATR_PER):$AA496),"")</f>
        <v>274.785714285714</v>
      </c>
      <c r="AC496" s="48" t="n">
        <f aca="false">$O496-$P496</f>
        <v>6215305</v>
      </c>
      <c r="AD496" s="48" t="n">
        <f aca="false">$AC496*$I496</f>
        <v>46583710975</v>
      </c>
      <c r="AE496" s="49" t="n">
        <f aca="false">IF($Q496&gt;0,$O496*$I496/$Q496/1000000,"")</f>
        <v>390.244711148325</v>
      </c>
      <c r="AF496" s="49" t="n">
        <f aca="false">IF($R496&gt;0,$P496*$I496/$R496/1000000,"")</f>
        <v>120.611840189655</v>
      </c>
      <c r="AG496" s="50" t="n">
        <f aca="false">IF(AND(ISNUMBER($AE496),ISNUMBER($AF496),$AF496&gt;0),$AE496/$AF496,"")</f>
        <v>3.23554230276802</v>
      </c>
      <c r="AH496" s="48" t="n">
        <f aca="false">IF($U496&gt;=5,SUM(INDEX($AD$466:$AD496,32-5):$AD496),"")</f>
        <v>64163463363</v>
      </c>
      <c r="AI496" s="48" t="n">
        <f aca="false">IF($U496&gt;=STRUCT_S,MAX(INDEX($G$346:$G496,152-STRUCT_S):$G496),"")</f>
        <v>7839</v>
      </c>
      <c r="AJ496" s="48" t="n">
        <f aca="false">IF($U496&gt;=STRUCT_S,MIN(INDEX($H$346:$H496,152-STRUCT_S):$H496),"")</f>
        <v>7264</v>
      </c>
      <c r="AK496" s="48" t="n">
        <f aca="false">IF($U496&gt;=STRUCT_L,MAX(INDEX($G$246:$G496,252-STRUCT_L):$G496),"")</f>
        <v>7849</v>
      </c>
      <c r="AL496" s="48" t="n">
        <f aca="false">IF($U496&gt;=STRUCT_L,MIN(INDEX($H$246:$H496,252-STRUCT_L):$H496),"")</f>
        <v>6578</v>
      </c>
      <c r="AM496" s="46" t="n">
        <f aca="false">IF($A496&lt;&gt;$A497,1,0)</f>
        <v>0</v>
      </c>
      <c r="AN496" s="47" t="str">
        <f aca="false">IF($AM496=1,$A496,"")</f>
        <v/>
      </c>
    </row>
    <row r="497" customFormat="false" ht="15" hidden="false" customHeight="false" outlineLevel="0" collapsed="false">
      <c r="A497" s="43" t="s">
        <v>138</v>
      </c>
      <c r="B497" s="44" t="s">
        <v>140</v>
      </c>
      <c r="C497" s="45" t="n">
        <v>46230</v>
      </c>
      <c r="D497" s="46" t="n">
        <v>20260727</v>
      </c>
      <c r="E497" s="47" t="s">
        <v>520</v>
      </c>
      <c r="F497" s="48" t="n">
        <v>7839</v>
      </c>
      <c r="G497" s="48" t="n">
        <v>7840</v>
      </c>
      <c r="H497" s="48" t="n">
        <v>7380</v>
      </c>
      <c r="I497" s="48" t="n">
        <v>7722</v>
      </c>
      <c r="J497" s="48" t="n">
        <v>7758</v>
      </c>
      <c r="K497" s="48" t="n">
        <v>7495</v>
      </c>
      <c r="L497" s="48" t="n">
        <v>17156285</v>
      </c>
      <c r="M497" s="48" t="n">
        <v>132480832770</v>
      </c>
      <c r="N497" s="48" t="n">
        <v>1474</v>
      </c>
      <c r="O497" s="48" t="n">
        <v>11490466</v>
      </c>
      <c r="P497" s="48" t="n">
        <v>6939898</v>
      </c>
      <c r="Q497" s="48" t="n">
        <v>618</v>
      </c>
      <c r="R497" s="48" t="n">
        <v>662</v>
      </c>
      <c r="S497" s="48" t="n">
        <v>5665819</v>
      </c>
      <c r="T497" s="48" t="n">
        <v>10216387</v>
      </c>
      <c r="U497" s="46" t="n">
        <f aca="false">IF($A497=$A496,$U496+1,1)</f>
        <v>233</v>
      </c>
      <c r="V497" s="48" t="n">
        <f aca="false">IF($U497&gt;=MA_SHORT,AVERAGE(INDEX($I$97:$I497,402-MA_SHORT):$I497),"")</f>
        <v>7515.6</v>
      </c>
      <c r="W497" s="48" t="n">
        <f aca="false">IF($U497&gt;=MA_MED,AVERAGE(INDEX($I$97:$I497,402-MA_MED):$I497),"")</f>
        <v>7390.78</v>
      </c>
      <c r="X497" s="48" t="n">
        <f aca="false">IF($U497&gt;=MA_LONG1,AVERAGE(INDEX($I$97:$I497,402-MA_LONG1):$I497),"")</f>
        <v>7432.42</v>
      </c>
      <c r="Y497" s="48" t="n">
        <f aca="false">IF($U497&gt;=MA_LONG2,AVERAGE(INDEX($I$97:$I497,402-MA_LONG2):$I497),"")</f>
        <v>7534.395</v>
      </c>
      <c r="Z497" s="48" t="n">
        <f aca="false">IF($U497&gt;=MA_SHORT,AVERAGE(INDEX($L$377:$L497,122-MA_SHORT):$L497),"")</f>
        <v>17026034.9</v>
      </c>
      <c r="AA497" s="48" t="n">
        <f aca="false">IF($U497=1,$G497-$H497,MAX($G497-$H497,ABS($G497-$I496),ABS($H497-$I496)))</f>
        <v>460</v>
      </c>
      <c r="AB497" s="48" t="n">
        <f aca="false">IF($U497&gt;=ATR_PER,AVERAGE(INDEX($AA$377:$AA497,122-ATR_PER):$AA497),"")</f>
        <v>273.357142857143</v>
      </c>
      <c r="AC497" s="48" t="n">
        <f aca="false">$O497-$P497</f>
        <v>4550568</v>
      </c>
      <c r="AD497" s="48" t="n">
        <f aca="false">$AC497*$I497</f>
        <v>35139486096</v>
      </c>
      <c r="AE497" s="49" t="n">
        <f aca="false">IF($Q497&gt;0,$O497*$I497/$Q497/1000000,"")</f>
        <v>143.575046038835</v>
      </c>
      <c r="AF497" s="49" t="n">
        <f aca="false">IF($R497&gt;0,$P497*$I497/$R497/1000000,"")</f>
        <v>80.9514990271903</v>
      </c>
      <c r="AG497" s="50" t="n">
        <f aca="false">IF(AND(ISNUMBER($AE497),ISNUMBER($AF497),$AF497&gt;0),$AE497/$AF497,"")</f>
        <v>1.77359342030974</v>
      </c>
      <c r="AH497" s="48" t="n">
        <f aca="false">IF($U497&gt;=5,SUM(INDEX($AD$467:$AD497,32-5):$AD497),"")</f>
        <v>106765922607</v>
      </c>
      <c r="AI497" s="48" t="n">
        <f aca="false">IF($U497&gt;=STRUCT_S,MAX(INDEX($G$347:$G497,152-STRUCT_S):$G497),"")</f>
        <v>7840</v>
      </c>
      <c r="AJ497" s="48" t="n">
        <f aca="false">IF($U497&gt;=STRUCT_S,MIN(INDEX($H$347:$H497,152-STRUCT_S):$H497),"")</f>
        <v>7264</v>
      </c>
      <c r="AK497" s="48" t="n">
        <f aca="false">IF($U497&gt;=STRUCT_L,MAX(INDEX($G$247:$G497,252-STRUCT_L):$G497),"")</f>
        <v>7849</v>
      </c>
      <c r="AL497" s="48" t="n">
        <f aca="false">IF($U497&gt;=STRUCT_L,MIN(INDEX($H$247:$H497,252-STRUCT_L):$H497),"")</f>
        <v>6578</v>
      </c>
      <c r="AM497" s="46" t="n">
        <f aca="false">IF($A497&lt;&gt;$A498,1,0)</f>
        <v>0</v>
      </c>
      <c r="AN497" s="47" t="str">
        <f aca="false">IF($AM497=1,$A497,"")</f>
        <v/>
      </c>
    </row>
    <row r="498" customFormat="false" ht="15" hidden="false" customHeight="false" outlineLevel="0" collapsed="false">
      <c r="A498" s="43" t="s">
        <v>138</v>
      </c>
      <c r="B498" s="44" t="s">
        <v>140</v>
      </c>
      <c r="C498" s="45" t="n">
        <v>46231</v>
      </c>
      <c r="D498" s="46" t="n">
        <v>20260728</v>
      </c>
      <c r="E498" s="47" t="s">
        <v>521</v>
      </c>
      <c r="F498" s="48" t="n">
        <v>7632</v>
      </c>
      <c r="G498" s="48" t="n">
        <v>7769</v>
      </c>
      <c r="H498" s="48" t="n">
        <v>7507</v>
      </c>
      <c r="I498" s="48" t="n">
        <v>7553</v>
      </c>
      <c r="J498" s="48" t="n">
        <v>7638</v>
      </c>
      <c r="K498" s="48" t="n">
        <v>7722</v>
      </c>
      <c r="L498" s="48" t="n">
        <v>17974125</v>
      </c>
      <c r="M498" s="48" t="n">
        <v>135758566125</v>
      </c>
      <c r="N498" s="48" t="n">
        <v>403</v>
      </c>
      <c r="O498" s="48" t="n">
        <v>7980972</v>
      </c>
      <c r="P498" s="48" t="n">
        <v>9560400</v>
      </c>
      <c r="Q498" s="48" t="n">
        <v>219</v>
      </c>
      <c r="R498" s="48" t="n">
        <v>112</v>
      </c>
      <c r="S498" s="48" t="n">
        <v>9993153</v>
      </c>
      <c r="T498" s="48" t="n">
        <v>8413725</v>
      </c>
      <c r="U498" s="46" t="n">
        <f aca="false">IF($A498=$A497,$U497+1,1)</f>
        <v>234</v>
      </c>
      <c r="V498" s="48" t="n">
        <f aca="false">IF($U498&gt;=MA_SHORT,AVERAGE(INDEX($I$98:$I498,402-MA_SHORT):$I498),"")</f>
        <v>7519.7</v>
      </c>
      <c r="W498" s="48" t="n">
        <f aca="false">IF($U498&gt;=MA_MED,AVERAGE(INDEX($I$98:$I498,402-MA_MED):$I498),"")</f>
        <v>7401.52</v>
      </c>
      <c r="X498" s="48" t="n">
        <f aca="false">IF($U498&gt;=MA_LONG1,AVERAGE(INDEX($I$98:$I498,402-MA_LONG1):$I498),"")</f>
        <v>7427.63</v>
      </c>
      <c r="Y498" s="48" t="n">
        <f aca="false">IF($U498&gt;=MA_LONG2,AVERAGE(INDEX($I$98:$I498,402-MA_LONG2):$I498),"")</f>
        <v>7535.975</v>
      </c>
      <c r="Z498" s="48" t="n">
        <f aca="false">IF($U498&gt;=MA_SHORT,AVERAGE(INDEX($L$378:$L498,122-MA_SHORT):$L498),"")</f>
        <v>17080696.15</v>
      </c>
      <c r="AA498" s="48" t="n">
        <f aca="false">IF($U498=1,$G498-$H498,MAX($G498-$H498,ABS($G498-$I497),ABS($H498-$I497)))</f>
        <v>262</v>
      </c>
      <c r="AB498" s="48" t="n">
        <f aca="false">IF($U498&gt;=ATR_PER,AVERAGE(INDEX($AA$378:$AA498,122-ATR_PER):$AA498),"")</f>
        <v>261.214285714286</v>
      </c>
      <c r="AC498" s="48" t="n">
        <f aca="false">$O498-$P498</f>
        <v>-1579428</v>
      </c>
      <c r="AD498" s="48" t="n">
        <f aca="false">$AC498*$I498</f>
        <v>-11929419684</v>
      </c>
      <c r="AE498" s="49" t="n">
        <f aca="false">IF($Q498&gt;0,$O498*$I498/$Q498/1000000,"")</f>
        <v>275.252427013699</v>
      </c>
      <c r="AF498" s="49" t="n">
        <f aca="false">IF($R498&gt;0,$P498*$I498/$R498/1000000,"")</f>
        <v>644.729475</v>
      </c>
      <c r="AG498" s="50" t="n">
        <f aca="false">IF(AND(ISNUMBER($AE498),ISNUMBER($AF498),$AF498&gt;0),$AE498/$AF498,"")</f>
        <v>0.426927009989265</v>
      </c>
      <c r="AH498" s="48" t="n">
        <f aca="false">IF($U498&gt;=5,SUM(INDEX($AD$468:$AD498,32-5):$AD498),"")</f>
        <v>78954172158</v>
      </c>
      <c r="AI498" s="48" t="n">
        <f aca="false">IF($U498&gt;=STRUCT_S,MAX(INDEX($G$348:$G498,152-STRUCT_S):$G498),"")</f>
        <v>7840</v>
      </c>
      <c r="AJ498" s="48" t="n">
        <f aca="false">IF($U498&gt;=STRUCT_S,MIN(INDEX($H$348:$H498,152-STRUCT_S):$H498),"")</f>
        <v>7264</v>
      </c>
      <c r="AK498" s="48" t="n">
        <f aca="false">IF($U498&gt;=STRUCT_L,MAX(INDEX($G$248:$G498,252-STRUCT_L):$G498),"")</f>
        <v>7849</v>
      </c>
      <c r="AL498" s="48" t="n">
        <f aca="false">IF($U498&gt;=STRUCT_L,MIN(INDEX($H$248:$H498,252-STRUCT_L):$H498),"")</f>
        <v>6578</v>
      </c>
      <c r="AM498" s="46" t="n">
        <f aca="false">IF($A498&lt;&gt;$A499,1,0)</f>
        <v>0</v>
      </c>
      <c r="AN498" s="47" t="str">
        <f aca="false">IF($AM498=1,$A498,"")</f>
        <v/>
      </c>
    </row>
    <row r="499" customFormat="false" ht="15" hidden="false" customHeight="false" outlineLevel="0" collapsed="false">
      <c r="A499" s="43" t="s">
        <v>138</v>
      </c>
      <c r="B499" s="44" t="s">
        <v>140</v>
      </c>
      <c r="C499" s="45" t="n">
        <v>46232</v>
      </c>
      <c r="D499" s="46" t="n">
        <v>20260729</v>
      </c>
      <c r="E499" s="47" t="s">
        <v>522</v>
      </c>
      <c r="F499" s="48" t="n">
        <v>7540</v>
      </c>
      <c r="G499" s="48" t="n">
        <v>7606</v>
      </c>
      <c r="H499" s="48" t="n">
        <v>7529</v>
      </c>
      <c r="I499" s="48" t="n">
        <v>7582</v>
      </c>
      <c r="J499" s="48" t="n">
        <v>7558</v>
      </c>
      <c r="K499" s="48" t="n">
        <v>7553</v>
      </c>
      <c r="L499" s="48" t="n">
        <v>22906702</v>
      </c>
      <c r="M499" s="48" t="n">
        <v>173678614564</v>
      </c>
      <c r="N499" s="48" t="n">
        <v>605</v>
      </c>
      <c r="O499" s="48" t="n">
        <v>14245290</v>
      </c>
      <c r="P499" s="48" t="n">
        <v>8971706</v>
      </c>
      <c r="Q499" s="48" t="n">
        <v>254</v>
      </c>
      <c r="R499" s="48" t="n">
        <v>254</v>
      </c>
      <c r="S499" s="48" t="n">
        <v>8661412</v>
      </c>
      <c r="T499" s="48" t="n">
        <v>13934996</v>
      </c>
      <c r="U499" s="46" t="n">
        <f aca="false">IF($A499=$A498,$U498+1,1)</f>
        <v>235</v>
      </c>
      <c r="V499" s="48" t="n">
        <f aca="false">IF($U499&gt;=MA_SHORT,AVERAGE(INDEX($I$99:$I499,402-MA_SHORT):$I499),"")</f>
        <v>7521.8</v>
      </c>
      <c r="W499" s="48" t="n">
        <f aca="false">IF($U499&gt;=MA_MED,AVERAGE(INDEX($I$99:$I499,402-MA_MED):$I499),"")</f>
        <v>7410.5</v>
      </c>
      <c r="X499" s="48" t="n">
        <f aca="false">IF($U499&gt;=MA_LONG1,AVERAGE(INDEX($I$99:$I499,402-MA_LONG1):$I499),"")</f>
        <v>7425.06</v>
      </c>
      <c r="Y499" s="48" t="n">
        <f aca="false">IF($U499&gt;=MA_LONG2,AVERAGE(INDEX($I$99:$I499,402-MA_LONG2):$I499),"")</f>
        <v>7536.53</v>
      </c>
      <c r="Z499" s="48" t="n">
        <f aca="false">IF($U499&gt;=MA_SHORT,AVERAGE(INDEX($L$379:$L499,122-MA_SHORT):$L499),"")</f>
        <v>17459903.45</v>
      </c>
      <c r="AA499" s="48" t="n">
        <f aca="false">IF($U499=1,$G499-$H499,MAX($G499-$H499,ABS($G499-$I498),ABS($H499-$I498)))</f>
        <v>77</v>
      </c>
      <c r="AB499" s="48" t="n">
        <f aca="false">IF($U499&gt;=ATR_PER,AVERAGE(INDEX($AA$379:$AA499,122-ATR_PER):$AA499),"")</f>
        <v>245.5</v>
      </c>
      <c r="AC499" s="48" t="n">
        <f aca="false">$O499-$P499</f>
        <v>5273584</v>
      </c>
      <c r="AD499" s="48" t="n">
        <f aca="false">$AC499*$I499</f>
        <v>39984313888</v>
      </c>
      <c r="AE499" s="49" t="n">
        <f aca="false">IF($Q499&gt;0,$O499*$I499/$Q499/1000000,"")</f>
        <v>425.22751488189</v>
      </c>
      <c r="AF499" s="49" t="n">
        <f aca="false">IF($R499&gt;0,$P499*$I499/$R499/1000000,"")</f>
        <v>267.808956267717</v>
      </c>
      <c r="AG499" s="50" t="n">
        <f aca="false">IF(AND(ISNUMBER($AE499),ISNUMBER($AF499),$AF499&gt;0),$AE499/$AF499,"")</f>
        <v>1.58780169568642</v>
      </c>
      <c r="AH499" s="48" t="n">
        <f aca="false">IF($U499&gt;=5,SUM(INDEX($AD$469:$AD499,32-5):$AD499),"")</f>
        <v>119030361560</v>
      </c>
      <c r="AI499" s="48" t="n">
        <f aca="false">IF($U499&gt;=STRUCT_S,MAX(INDEX($G$349:$G499,152-STRUCT_S):$G499),"")</f>
        <v>7840</v>
      </c>
      <c r="AJ499" s="48" t="n">
        <f aca="false">IF($U499&gt;=STRUCT_S,MIN(INDEX($H$349:$H499,152-STRUCT_S):$H499),"")</f>
        <v>7264</v>
      </c>
      <c r="AK499" s="48" t="n">
        <f aca="false">IF($U499&gt;=STRUCT_L,MAX(INDEX($G$249:$G499,252-STRUCT_L):$G499),"")</f>
        <v>7849</v>
      </c>
      <c r="AL499" s="48" t="n">
        <f aca="false">IF($U499&gt;=STRUCT_L,MIN(INDEX($H$249:$H499,252-STRUCT_L):$H499),"")</f>
        <v>6578</v>
      </c>
      <c r="AM499" s="46" t="n">
        <f aca="false">IF($A499&lt;&gt;$A500,1,0)</f>
        <v>0</v>
      </c>
      <c r="AN499" s="47" t="str">
        <f aca="false">IF($AM499=1,$A499,"")</f>
        <v/>
      </c>
    </row>
    <row r="500" customFormat="false" ht="15" hidden="false" customHeight="false" outlineLevel="0" collapsed="false">
      <c r="A500" s="43" t="s">
        <v>138</v>
      </c>
      <c r="B500" s="44" t="s">
        <v>140</v>
      </c>
      <c r="C500" s="45" t="n">
        <v>46235</v>
      </c>
      <c r="D500" s="46" t="n">
        <v>20260801</v>
      </c>
      <c r="E500" s="47" t="s">
        <v>523</v>
      </c>
      <c r="F500" s="48" t="n">
        <v>7507</v>
      </c>
      <c r="G500" s="48" t="n">
        <v>7736</v>
      </c>
      <c r="H500" s="48" t="n">
        <v>7312</v>
      </c>
      <c r="I500" s="48" t="n">
        <v>7463</v>
      </c>
      <c r="J500" s="48" t="n">
        <v>7647</v>
      </c>
      <c r="K500" s="48" t="n">
        <v>7582</v>
      </c>
      <c r="L500" s="48" t="n">
        <v>18121360</v>
      </c>
      <c r="M500" s="48" t="n">
        <v>135239709680</v>
      </c>
      <c r="N500" s="48" t="n">
        <v>437</v>
      </c>
      <c r="O500" s="48" t="n">
        <v>9607987</v>
      </c>
      <c r="P500" s="48" t="n">
        <v>8563451</v>
      </c>
      <c r="Q500" s="48" t="n">
        <v>266</v>
      </c>
      <c r="R500" s="48" t="n">
        <v>126</v>
      </c>
      <c r="S500" s="48" t="n">
        <v>8513373</v>
      </c>
      <c r="T500" s="48" t="n">
        <v>9557909</v>
      </c>
      <c r="U500" s="46" t="n">
        <f aca="false">IF($A500=$A499,$U499+1,1)</f>
        <v>236</v>
      </c>
      <c r="V500" s="48" t="n">
        <f aca="false">IF($U500&gt;=MA_SHORT,AVERAGE(INDEX($I$100:$I500,402-MA_SHORT):$I500),"")</f>
        <v>7512.8</v>
      </c>
      <c r="W500" s="48" t="n">
        <f aca="false">IF($U500&gt;=MA_MED,AVERAGE(INDEX($I$100:$I500,402-MA_MED):$I500),"")</f>
        <v>7418.24</v>
      </c>
      <c r="X500" s="48" t="n">
        <f aca="false">IF($U500&gt;=MA_LONG1,AVERAGE(INDEX($I$100:$I500,402-MA_LONG1):$I500),"")</f>
        <v>7422.23</v>
      </c>
      <c r="Y500" s="48" t="n">
        <f aca="false">IF($U500&gt;=MA_LONG2,AVERAGE(INDEX($I$100:$I500,402-MA_LONG2):$I500),"")</f>
        <v>7536.43</v>
      </c>
      <c r="Z500" s="48" t="n">
        <f aca="false">IF($U500&gt;=MA_SHORT,AVERAGE(INDEX($L$380:$L500,122-MA_SHORT):$L500),"")</f>
        <v>17374459.8</v>
      </c>
      <c r="AA500" s="48" t="n">
        <f aca="false">IF($U500=1,$G500-$H500,MAX($G500-$H500,ABS($G500-$I499),ABS($H500-$I499)))</f>
        <v>424</v>
      </c>
      <c r="AB500" s="48" t="n">
        <f aca="false">IF($U500&gt;=ATR_PER,AVERAGE(INDEX($AA$380:$AA500,122-ATR_PER):$AA500),"")</f>
        <v>256.357142857143</v>
      </c>
      <c r="AC500" s="48" t="n">
        <f aca="false">$O500-$P500</f>
        <v>1044536</v>
      </c>
      <c r="AD500" s="48" t="n">
        <f aca="false">$AC500*$I500</f>
        <v>7795372168</v>
      </c>
      <c r="AE500" s="49" t="n">
        <f aca="false">IF($Q500&gt;0,$O500*$I500/$Q500/1000000,"")</f>
        <v>269.565439778196</v>
      </c>
      <c r="AF500" s="49" t="n">
        <f aca="false">IF($R500&gt;0,$P500*$I500/$R500/1000000,"")</f>
        <v>507.214562007937</v>
      </c>
      <c r="AG500" s="50" t="n">
        <f aca="false">IF(AND(ISNUMBER($AE500),ISNUMBER($AF500),$AF500&gt;0),$AE500/$AF500,"")</f>
        <v>0.531462343492373</v>
      </c>
      <c r="AH500" s="48" t="n">
        <f aca="false">IF($U500&gt;=5,SUM(INDEX($AD$470:$AD500,32-5):$AD500),"")</f>
        <v>117573463443</v>
      </c>
      <c r="AI500" s="48" t="n">
        <f aca="false">IF($U500&gt;=STRUCT_S,MAX(INDEX($G$350:$G500,152-STRUCT_S):$G500),"")</f>
        <v>7840</v>
      </c>
      <c r="AJ500" s="48" t="n">
        <f aca="false">IF($U500&gt;=STRUCT_S,MIN(INDEX($H$350:$H500,152-STRUCT_S):$H500),"")</f>
        <v>7264</v>
      </c>
      <c r="AK500" s="48" t="n">
        <f aca="false">IF($U500&gt;=STRUCT_L,MAX(INDEX($G$250:$G500,252-STRUCT_L):$G500),"")</f>
        <v>7849</v>
      </c>
      <c r="AL500" s="48" t="n">
        <f aca="false">IF($U500&gt;=STRUCT_L,MIN(INDEX($H$250:$H500,252-STRUCT_L):$H500),"")</f>
        <v>6578</v>
      </c>
      <c r="AM500" s="46" t="n">
        <f aca="false">IF($A500&lt;&gt;$A501,1,0)</f>
        <v>0</v>
      </c>
      <c r="AN500" s="47" t="str">
        <f aca="false">IF($AM500=1,$A500,"")</f>
        <v/>
      </c>
    </row>
    <row r="501" customFormat="false" ht="15" hidden="false" customHeight="false" outlineLevel="0" collapsed="false">
      <c r="A501" s="43" t="s">
        <v>138</v>
      </c>
      <c r="B501" s="44" t="s">
        <v>140</v>
      </c>
      <c r="C501" s="45" t="n">
        <v>46236</v>
      </c>
      <c r="D501" s="46" t="n">
        <v>20260802</v>
      </c>
      <c r="E501" s="47" t="s">
        <v>524</v>
      </c>
      <c r="F501" s="48" t="n">
        <v>7465</v>
      </c>
      <c r="G501" s="48" t="n">
        <v>7493</v>
      </c>
      <c r="H501" s="48" t="n">
        <v>7351</v>
      </c>
      <c r="I501" s="48" t="n">
        <v>7381</v>
      </c>
      <c r="J501" s="48" t="n">
        <v>7370</v>
      </c>
      <c r="K501" s="48" t="n">
        <v>7463</v>
      </c>
      <c r="L501" s="48" t="n">
        <v>19063323</v>
      </c>
      <c r="M501" s="48" t="n">
        <v>140706387063</v>
      </c>
      <c r="N501" s="48" t="n">
        <v>460</v>
      </c>
      <c r="O501" s="48" t="n">
        <v>10293458</v>
      </c>
      <c r="P501" s="48" t="n">
        <v>9381334</v>
      </c>
      <c r="Q501" s="48" t="n">
        <v>215</v>
      </c>
      <c r="R501" s="48" t="n">
        <v>199</v>
      </c>
      <c r="S501" s="48" t="n">
        <v>8769865</v>
      </c>
      <c r="T501" s="48" t="n">
        <v>9681989</v>
      </c>
      <c r="U501" s="46" t="n">
        <f aca="false">IF($A501=$A500,$U500+1,1)</f>
        <v>237</v>
      </c>
      <c r="V501" s="48" t="n">
        <f aca="false">IF($U501&gt;=MA_SHORT,AVERAGE(INDEX($I$101:$I501,402-MA_SHORT):$I501),"")</f>
        <v>7502.55</v>
      </c>
      <c r="W501" s="48" t="n">
        <f aca="false">IF($U501&gt;=MA_MED,AVERAGE(INDEX($I$101:$I501,402-MA_MED):$I501),"")</f>
        <v>7421.92</v>
      </c>
      <c r="X501" s="48" t="n">
        <f aca="false">IF($U501&gt;=MA_LONG1,AVERAGE(INDEX($I$101:$I501,402-MA_LONG1):$I501),"")</f>
        <v>7420.06</v>
      </c>
      <c r="Y501" s="48" t="n">
        <f aca="false">IF($U501&gt;=MA_LONG2,AVERAGE(INDEX($I$101:$I501,402-MA_LONG2):$I501),"")</f>
        <v>7535.055</v>
      </c>
      <c r="Z501" s="48" t="n">
        <f aca="false">IF($U501&gt;=MA_SHORT,AVERAGE(INDEX($L$381:$L501,122-MA_SHORT):$L501),"")</f>
        <v>17569241.7</v>
      </c>
      <c r="AA501" s="48" t="n">
        <f aca="false">IF($U501=1,$G501-$H501,MAX($G501-$H501,ABS($G501-$I500),ABS($H501-$I500)))</f>
        <v>142</v>
      </c>
      <c r="AB501" s="48" t="n">
        <f aca="false">IF($U501&gt;=ATR_PER,AVERAGE(INDEX($AA$381:$AA501,122-ATR_PER):$AA501),"")</f>
        <v>238</v>
      </c>
      <c r="AC501" s="48" t="n">
        <f aca="false">$O501-$P501</f>
        <v>912124</v>
      </c>
      <c r="AD501" s="48" t="n">
        <f aca="false">$AC501*$I501</f>
        <v>6732387244</v>
      </c>
      <c r="AE501" s="49" t="n">
        <f aca="false">IF($Q501&gt;0,$O501*$I501/$Q501/1000000,"")</f>
        <v>353.376806967442</v>
      </c>
      <c r="AF501" s="49" t="n">
        <f aca="false">IF($R501&gt;0,$P501*$I501/$R501/1000000,"")</f>
        <v>347.957920874372</v>
      </c>
      <c r="AG501" s="50" t="n">
        <f aca="false">IF(AND(ISNUMBER($AE501),ISNUMBER($AF501),$AF501&gt;0),$AE501/$AF501,"")</f>
        <v>1.01557339485031</v>
      </c>
      <c r="AH501" s="48" t="n">
        <f aca="false">IF($U501&gt;=5,SUM(INDEX($AD$471:$AD501,32-5):$AD501),"")</f>
        <v>77722139712</v>
      </c>
      <c r="AI501" s="48" t="n">
        <f aca="false">IF($U501&gt;=STRUCT_S,MAX(INDEX($G$351:$G501,152-STRUCT_S):$G501),"")</f>
        <v>7840</v>
      </c>
      <c r="AJ501" s="48" t="n">
        <f aca="false">IF($U501&gt;=STRUCT_S,MIN(INDEX($H$351:$H501,152-STRUCT_S):$H501),"")</f>
        <v>7264</v>
      </c>
      <c r="AK501" s="48" t="n">
        <f aca="false">IF($U501&gt;=STRUCT_L,MAX(INDEX($G$251:$G501,252-STRUCT_L):$G501),"")</f>
        <v>7849</v>
      </c>
      <c r="AL501" s="48" t="n">
        <f aca="false">IF($U501&gt;=STRUCT_L,MIN(INDEX($H$251:$H501,252-STRUCT_L):$H501),"")</f>
        <v>6578</v>
      </c>
      <c r="AM501" s="46" t="n">
        <f aca="false">IF($A501&lt;&gt;$A502,1,0)</f>
        <v>0</v>
      </c>
      <c r="AN501" s="47" t="str">
        <f aca="false">IF($AM501=1,$A501,"")</f>
        <v/>
      </c>
    </row>
    <row r="502" customFormat="false" ht="15" hidden="false" customHeight="false" outlineLevel="0" collapsed="false">
      <c r="A502" s="43" t="s">
        <v>138</v>
      </c>
      <c r="B502" s="44" t="s">
        <v>140</v>
      </c>
      <c r="C502" s="45" t="n">
        <v>46237</v>
      </c>
      <c r="D502" s="46" t="n">
        <v>20260803</v>
      </c>
      <c r="E502" s="47" t="s">
        <v>525</v>
      </c>
      <c r="F502" s="48" t="n">
        <v>7391</v>
      </c>
      <c r="G502" s="48" t="n">
        <v>7512</v>
      </c>
      <c r="H502" s="48" t="n">
        <v>7137</v>
      </c>
      <c r="I502" s="48" t="n">
        <v>7266</v>
      </c>
      <c r="J502" s="48" t="n">
        <v>7504</v>
      </c>
      <c r="K502" s="48" t="n">
        <v>7381</v>
      </c>
      <c r="L502" s="48" t="n">
        <v>15875243</v>
      </c>
      <c r="M502" s="48" t="n">
        <v>115349515638</v>
      </c>
      <c r="N502" s="48" t="n">
        <v>821</v>
      </c>
      <c r="O502" s="48" t="n">
        <v>6866372</v>
      </c>
      <c r="P502" s="48" t="n">
        <v>8487853</v>
      </c>
      <c r="Q502" s="48" t="n">
        <v>301</v>
      </c>
      <c r="R502" s="48" t="n">
        <v>341</v>
      </c>
      <c r="S502" s="48" t="n">
        <v>9008871</v>
      </c>
      <c r="T502" s="48" t="n">
        <v>7387390</v>
      </c>
      <c r="U502" s="46" t="n">
        <f aca="false">IF($A502=$A501,$U501+1,1)</f>
        <v>238</v>
      </c>
      <c r="V502" s="48" t="n">
        <f aca="false">IF($U502&gt;=MA_SHORT,AVERAGE(INDEX($I$102:$I502,402-MA_SHORT):$I502),"")</f>
        <v>7493.3</v>
      </c>
      <c r="W502" s="48" t="n">
        <f aca="false">IF($U502&gt;=MA_MED,AVERAGE(INDEX($I$102:$I502,402-MA_MED):$I502),"")</f>
        <v>7420.68</v>
      </c>
      <c r="X502" s="48" t="n">
        <f aca="false">IF($U502&gt;=MA_LONG1,AVERAGE(INDEX($I$102:$I502,402-MA_LONG1):$I502),"")</f>
        <v>7415.7</v>
      </c>
      <c r="Y502" s="48" t="n">
        <f aca="false">IF($U502&gt;=MA_LONG2,AVERAGE(INDEX($I$102:$I502,402-MA_LONG2):$I502),"")</f>
        <v>7533.05</v>
      </c>
      <c r="Z502" s="48" t="n">
        <f aca="false">IF($U502&gt;=MA_SHORT,AVERAGE(INDEX($L$382:$L502,122-MA_SHORT):$L502),"")</f>
        <v>17552387.95</v>
      </c>
      <c r="AA502" s="48" t="n">
        <f aca="false">IF($U502=1,$G502-$H502,MAX($G502-$H502,ABS($G502-$I501),ABS($H502-$I501)))</f>
        <v>375</v>
      </c>
      <c r="AB502" s="48" t="n">
        <f aca="false">IF($U502&gt;=ATR_PER,AVERAGE(INDEX($AA$382:$AA502,122-ATR_PER):$AA502),"")</f>
        <v>247</v>
      </c>
      <c r="AC502" s="48" t="n">
        <f aca="false">$O502-$P502</f>
        <v>-1621481</v>
      </c>
      <c r="AD502" s="48" t="n">
        <f aca="false">$AC502*$I502</f>
        <v>-11781680946</v>
      </c>
      <c r="AE502" s="49" t="n">
        <f aca="false">IF($Q502&gt;0,$O502*$I502/$Q502/1000000,"")</f>
        <v>165.751026418605</v>
      </c>
      <c r="AF502" s="49" t="n">
        <f aca="false">IF($R502&gt;0,$P502*$I502/$R502/1000000,"")</f>
        <v>180.858474774194</v>
      </c>
      <c r="AG502" s="50" t="n">
        <f aca="false">IF(AND(ISNUMBER($AE502),ISNUMBER($AF502),$AF502&gt;0),$AE502/$AF502,"")</f>
        <v>0.916468120310918</v>
      </c>
      <c r="AH502" s="48" t="n">
        <f aca="false">IF($U502&gt;=5,SUM(INDEX($AD$472:$AD502,32-5):$AD502),"")</f>
        <v>30800972670</v>
      </c>
      <c r="AI502" s="48" t="n">
        <f aca="false">IF($U502&gt;=STRUCT_S,MAX(INDEX($G$352:$G502,152-STRUCT_S):$G502),"")</f>
        <v>7840</v>
      </c>
      <c r="AJ502" s="48" t="n">
        <f aca="false">IF($U502&gt;=STRUCT_S,MIN(INDEX($H$352:$H502,152-STRUCT_S):$H502),"")</f>
        <v>7137</v>
      </c>
      <c r="AK502" s="48" t="n">
        <f aca="false">IF($U502&gt;=STRUCT_L,MAX(INDEX($G$252:$G502,252-STRUCT_L):$G502),"")</f>
        <v>7849</v>
      </c>
      <c r="AL502" s="48" t="n">
        <f aca="false">IF($U502&gt;=STRUCT_L,MIN(INDEX($H$252:$H502,252-STRUCT_L):$H502),"")</f>
        <v>6578</v>
      </c>
      <c r="AM502" s="46" t="n">
        <f aca="false">IF($A502&lt;&gt;$A503,1,0)</f>
        <v>0</v>
      </c>
      <c r="AN502" s="47" t="str">
        <f aca="false">IF($AM502=1,$A502,"")</f>
        <v/>
      </c>
    </row>
    <row r="503" customFormat="false" ht="15" hidden="false" customHeight="false" outlineLevel="0" collapsed="false">
      <c r="A503" s="43" t="s">
        <v>138</v>
      </c>
      <c r="B503" s="44" t="s">
        <v>140</v>
      </c>
      <c r="C503" s="45" t="n">
        <v>46238</v>
      </c>
      <c r="D503" s="46" t="n">
        <v>20260804</v>
      </c>
      <c r="E503" s="47" t="s">
        <v>526</v>
      </c>
      <c r="F503" s="48" t="n">
        <v>7278</v>
      </c>
      <c r="G503" s="48" t="n">
        <v>7427</v>
      </c>
      <c r="H503" s="48" t="n">
        <v>7220</v>
      </c>
      <c r="I503" s="48" t="n">
        <v>7381</v>
      </c>
      <c r="J503" s="48" t="n">
        <v>7341</v>
      </c>
      <c r="K503" s="48" t="n">
        <v>7266</v>
      </c>
      <c r="L503" s="48" t="n">
        <v>33533674</v>
      </c>
      <c r="M503" s="48" t="n">
        <v>247512047794</v>
      </c>
      <c r="N503" s="48" t="n">
        <v>2539</v>
      </c>
      <c r="O503" s="48" t="n">
        <v>21770004</v>
      </c>
      <c r="P503" s="48" t="n">
        <v>16490915</v>
      </c>
      <c r="Q503" s="48" t="n">
        <v>1020</v>
      </c>
      <c r="R503" s="48" t="n">
        <v>1039</v>
      </c>
      <c r="S503" s="48" t="n">
        <v>11763670</v>
      </c>
      <c r="T503" s="48" t="n">
        <v>17042759</v>
      </c>
      <c r="U503" s="46" t="n">
        <f aca="false">IF($A503=$A502,$U502+1,1)</f>
        <v>239</v>
      </c>
      <c r="V503" s="48" t="n">
        <f aca="false">IF($U503&gt;=MA_SHORT,AVERAGE(INDEX($I$103:$I503,402-MA_SHORT):$I503),"")</f>
        <v>7475.2</v>
      </c>
      <c r="W503" s="48" t="n">
        <f aca="false">IF($U503&gt;=MA_MED,AVERAGE(INDEX($I$103:$I503,402-MA_MED):$I503),"")</f>
        <v>7421.56</v>
      </c>
      <c r="X503" s="48" t="n">
        <f aca="false">IF($U503&gt;=MA_LONG1,AVERAGE(INDEX($I$103:$I503,402-MA_LONG1):$I503),"")</f>
        <v>7411.76</v>
      </c>
      <c r="Y503" s="48" t="n">
        <f aca="false">IF($U503&gt;=MA_LONG2,AVERAGE(INDEX($I$103:$I503,402-MA_LONG2):$I503),"")</f>
        <v>7531.06</v>
      </c>
      <c r="Z503" s="48" t="n">
        <f aca="false">IF($U503&gt;=MA_SHORT,AVERAGE(INDEX($L$383:$L503,122-MA_SHORT):$L503),"")</f>
        <v>18203855.75</v>
      </c>
      <c r="AA503" s="48" t="n">
        <f aca="false">IF($U503=1,$G503-$H503,MAX($G503-$H503,ABS($G503-$I502),ABS($H503-$I502)))</f>
        <v>207</v>
      </c>
      <c r="AB503" s="48" t="n">
        <f aca="false">IF($U503&gt;=ATR_PER,AVERAGE(INDEX($AA$383:$AA503,122-ATR_PER):$AA503),"")</f>
        <v>240.928571428571</v>
      </c>
      <c r="AC503" s="48" t="n">
        <f aca="false">$O503-$P503</f>
        <v>5279089</v>
      </c>
      <c r="AD503" s="48" t="n">
        <f aca="false">$AC503*$I503</f>
        <v>38964955909</v>
      </c>
      <c r="AE503" s="49" t="n">
        <f aca="false">IF($Q503&gt;0,$O503*$I503/$Q503/1000000,"")</f>
        <v>157.533725023529</v>
      </c>
      <c r="AF503" s="49" t="n">
        <f aca="false">IF($R503&gt;0,$P503*$I503/$R503/1000000,"")</f>
        <v>117.150571333013</v>
      </c>
      <c r="AG503" s="50" t="n">
        <f aca="false">IF(AND(ISNUMBER($AE503),ISNUMBER($AF503),$AF503&gt;0),$AE503/$AF503,"")</f>
        <v>1.34471153858673</v>
      </c>
      <c r="AH503" s="48" t="n">
        <f aca="false">IF($U503&gt;=5,SUM(INDEX($AD$473:$AD503,32-5):$AD503),"")</f>
        <v>81695348263</v>
      </c>
      <c r="AI503" s="48" t="n">
        <f aca="false">IF($U503&gt;=STRUCT_S,MAX(INDEX($G$353:$G503,152-STRUCT_S):$G503),"")</f>
        <v>7840</v>
      </c>
      <c r="AJ503" s="48" t="n">
        <f aca="false">IF($U503&gt;=STRUCT_S,MIN(INDEX($H$353:$H503,152-STRUCT_S):$H503),"")</f>
        <v>7137</v>
      </c>
      <c r="AK503" s="48" t="n">
        <f aca="false">IF($U503&gt;=STRUCT_L,MAX(INDEX($G$253:$G503,252-STRUCT_L):$G503),"")</f>
        <v>7849</v>
      </c>
      <c r="AL503" s="48" t="n">
        <f aca="false">IF($U503&gt;=STRUCT_L,MIN(INDEX($H$253:$H503,252-STRUCT_L):$H503),"")</f>
        <v>6578</v>
      </c>
      <c r="AM503" s="46" t="n">
        <f aca="false">IF($A503&lt;&gt;$A504,1,0)</f>
        <v>0</v>
      </c>
      <c r="AN503" s="47" t="str">
        <f aca="false">IF($AM503=1,$A503,"")</f>
        <v/>
      </c>
    </row>
    <row r="504" customFormat="false" ht="15" hidden="false" customHeight="false" outlineLevel="0" collapsed="false">
      <c r="A504" s="43" t="s">
        <v>138</v>
      </c>
      <c r="B504" s="44" t="s">
        <v>140</v>
      </c>
      <c r="C504" s="45" t="n">
        <v>46239</v>
      </c>
      <c r="D504" s="46" t="n">
        <v>20260805</v>
      </c>
      <c r="E504" s="47" t="s">
        <v>527</v>
      </c>
      <c r="F504" s="48" t="n">
        <v>7369</v>
      </c>
      <c r="G504" s="48" t="n">
        <v>7477</v>
      </c>
      <c r="H504" s="48" t="n">
        <v>7111</v>
      </c>
      <c r="I504" s="48" t="n">
        <v>7205</v>
      </c>
      <c r="J504" s="48" t="n">
        <v>7225</v>
      </c>
      <c r="K504" s="48" t="n">
        <v>7381</v>
      </c>
      <c r="L504" s="48" t="n">
        <v>16595147</v>
      </c>
      <c r="M504" s="48" t="n">
        <v>119568034135</v>
      </c>
      <c r="N504" s="48" t="n">
        <v>549</v>
      </c>
      <c r="O504" s="48" t="n">
        <v>8846286</v>
      </c>
      <c r="P504" s="48" t="n">
        <v>7888832</v>
      </c>
      <c r="Q504" s="48" t="n">
        <v>299</v>
      </c>
      <c r="R504" s="48" t="n">
        <v>219</v>
      </c>
      <c r="S504" s="48" t="n">
        <v>7748861</v>
      </c>
      <c r="T504" s="48" t="n">
        <v>8706315</v>
      </c>
      <c r="U504" s="46" t="n">
        <f aca="false">IF($A504=$A503,$U503+1,1)</f>
        <v>240</v>
      </c>
      <c r="V504" s="48" t="n">
        <f aca="false">IF($U504&gt;=MA_SHORT,AVERAGE(INDEX($I$104:$I504,402-MA_SHORT):$I504),"")</f>
        <v>7467.25</v>
      </c>
      <c r="W504" s="48" t="n">
        <f aca="false">IF($U504&gt;=MA_MED,AVERAGE(INDEX($I$104:$I504,402-MA_MED):$I504),"")</f>
        <v>7422.42</v>
      </c>
      <c r="X504" s="48" t="n">
        <f aca="false">IF($U504&gt;=MA_LONG1,AVERAGE(INDEX($I$104:$I504,402-MA_LONG1):$I504),"")</f>
        <v>7403.98</v>
      </c>
      <c r="Y504" s="48" t="n">
        <f aca="false">IF($U504&gt;=MA_LONG2,AVERAGE(INDEX($I$104:$I504,402-MA_LONG2):$I504),"")</f>
        <v>7527.505</v>
      </c>
      <c r="Z504" s="48" t="n">
        <f aca="false">IF($U504&gt;=MA_SHORT,AVERAGE(INDEX($L$384:$L504,122-MA_SHORT):$L504),"")</f>
        <v>17950498.8</v>
      </c>
      <c r="AA504" s="48" t="n">
        <f aca="false">IF($U504=1,$G504-$H504,MAX($G504-$H504,ABS($G504-$I503),ABS($H504-$I503)))</f>
        <v>366</v>
      </c>
      <c r="AB504" s="48" t="n">
        <f aca="false">IF($U504&gt;=ATR_PER,AVERAGE(INDEX($AA$384:$AA504,122-ATR_PER):$AA504),"")</f>
        <v>256.285714285714</v>
      </c>
      <c r="AC504" s="48" t="n">
        <f aca="false">$O504-$P504</f>
        <v>957454</v>
      </c>
      <c r="AD504" s="48" t="n">
        <f aca="false">$AC504*$I504</f>
        <v>6898456070</v>
      </c>
      <c r="AE504" s="49" t="n">
        <f aca="false">IF($Q504&gt;0,$O504*$I504/$Q504/1000000,"")</f>
        <v>213.168864983278</v>
      </c>
      <c r="AF504" s="49" t="n">
        <f aca="false">IF($R504&gt;0,$P504*$I504/$R504/1000000,"")</f>
        <v>259.538970593607</v>
      </c>
      <c r="AG504" s="50" t="n">
        <f aca="false">IF(AND(ISNUMBER($AE504),ISNUMBER($AF504),$AF504&gt;0),$AE504/$AF504,"")</f>
        <v>0.821336635865227</v>
      </c>
      <c r="AH504" s="48" t="n">
        <f aca="false">IF($U504&gt;=5,SUM(INDEX($AD$474:$AD504,32-5):$AD504),"")</f>
        <v>48609490445</v>
      </c>
      <c r="AI504" s="48" t="n">
        <f aca="false">IF($U504&gt;=STRUCT_S,MAX(INDEX($G$354:$G504,152-STRUCT_S):$G504),"")</f>
        <v>7840</v>
      </c>
      <c r="AJ504" s="48" t="n">
        <f aca="false">IF($U504&gt;=STRUCT_S,MIN(INDEX($H$354:$H504,152-STRUCT_S):$H504),"")</f>
        <v>7111</v>
      </c>
      <c r="AK504" s="48" t="n">
        <f aca="false">IF($U504&gt;=STRUCT_L,MAX(INDEX($G$254:$G504,252-STRUCT_L):$G504),"")</f>
        <v>7849</v>
      </c>
      <c r="AL504" s="48" t="n">
        <f aca="false">IF($U504&gt;=STRUCT_L,MIN(INDEX($H$254:$H504,252-STRUCT_L):$H504),"")</f>
        <v>6814</v>
      </c>
      <c r="AM504" s="46" t="n">
        <f aca="false">IF($A504&lt;&gt;$A505,1,0)</f>
        <v>0</v>
      </c>
      <c r="AN504" s="47" t="str">
        <f aca="false">IF($AM504=1,$A504,"")</f>
        <v/>
      </c>
    </row>
    <row r="505" customFormat="false" ht="15" hidden="false" customHeight="false" outlineLevel="0" collapsed="false">
      <c r="A505" s="43" t="s">
        <v>138</v>
      </c>
      <c r="B505" s="44" t="s">
        <v>140</v>
      </c>
      <c r="C505" s="45" t="n">
        <v>46242</v>
      </c>
      <c r="D505" s="46" t="n">
        <v>20260808</v>
      </c>
      <c r="E505" s="47" t="s">
        <v>528</v>
      </c>
      <c r="F505" s="48" t="n">
        <v>7201</v>
      </c>
      <c r="G505" s="48" t="n">
        <v>7285</v>
      </c>
      <c r="H505" s="48" t="n">
        <v>7089</v>
      </c>
      <c r="I505" s="48" t="n">
        <v>7168</v>
      </c>
      <c r="J505" s="48" t="n">
        <v>7242</v>
      </c>
      <c r="K505" s="48" t="n">
        <v>7205</v>
      </c>
      <c r="L505" s="48" t="n">
        <v>20539338</v>
      </c>
      <c r="M505" s="48" t="n">
        <v>147225974784</v>
      </c>
      <c r="N505" s="48" t="n">
        <v>472</v>
      </c>
      <c r="O505" s="48" t="n">
        <v>10467294</v>
      </c>
      <c r="P505" s="48" t="n">
        <v>9819804</v>
      </c>
      <c r="Q505" s="48" t="n">
        <v>194</v>
      </c>
      <c r="R505" s="48" t="n">
        <v>211</v>
      </c>
      <c r="S505" s="48" t="n">
        <v>10072044</v>
      </c>
      <c r="T505" s="48" t="n">
        <v>10719534</v>
      </c>
      <c r="U505" s="46" t="n">
        <f aca="false">IF($A505=$A504,$U504+1,1)</f>
        <v>241</v>
      </c>
      <c r="V505" s="48" t="n">
        <f aca="false">IF($U505&gt;=MA_SHORT,AVERAGE(INDEX($I$105:$I505,402-MA_SHORT):$I505),"")</f>
        <v>7451.65</v>
      </c>
      <c r="W505" s="48" t="n">
        <f aca="false">IF($U505&gt;=MA_MED,AVERAGE(INDEX($I$105:$I505,402-MA_MED):$I505),"")</f>
        <v>7422.66</v>
      </c>
      <c r="X505" s="48" t="n">
        <f aca="false">IF($U505&gt;=MA_LONG1,AVERAGE(INDEX($I$105:$I505,402-MA_LONG1):$I505),"")</f>
        <v>7395.69</v>
      </c>
      <c r="Y505" s="48" t="n">
        <f aca="false">IF($U505&gt;=MA_LONG2,AVERAGE(INDEX($I$105:$I505,402-MA_LONG2):$I505),"")</f>
        <v>7522.63</v>
      </c>
      <c r="Z505" s="48" t="n">
        <f aca="false">IF($U505&gt;=MA_SHORT,AVERAGE(INDEX($L$385:$L505,122-MA_SHORT):$L505),"")</f>
        <v>18126087.3</v>
      </c>
      <c r="AA505" s="48" t="n">
        <f aca="false">IF($U505=1,$G505-$H505,MAX($G505-$H505,ABS($G505-$I504),ABS($H505-$I504)))</f>
        <v>196</v>
      </c>
      <c r="AB505" s="48" t="n">
        <f aca="false">IF($U505&gt;=ATR_PER,AVERAGE(INDEX($AA$385:$AA505,122-ATR_PER):$AA505),"")</f>
        <v>259.071428571429</v>
      </c>
      <c r="AC505" s="48" t="n">
        <f aca="false">$O505-$P505</f>
        <v>647490</v>
      </c>
      <c r="AD505" s="48" t="n">
        <f aca="false">$AC505*$I505</f>
        <v>4641208320</v>
      </c>
      <c r="AE505" s="49" t="n">
        <f aca="false">IF($Q505&gt;0,$O505*$I505/$Q505/1000000,"")</f>
        <v>386.750326762887</v>
      </c>
      <c r="AF505" s="49" t="n">
        <f aca="false">IF($R505&gt;0,$P505*$I505/$R505/1000000,"")</f>
        <v>333.594099867299</v>
      </c>
      <c r="AG505" s="50" t="n">
        <f aca="false">IF(AND(ISNUMBER($AE505),ISNUMBER($AF505),$AF505&gt;0),$AE505/$AF505,"")</f>
        <v>1.15934402591872</v>
      </c>
      <c r="AH505" s="48" t="n">
        <f aca="false">IF($U505&gt;=5,SUM(INDEX($AD$475:$AD505,32-5):$AD505),"")</f>
        <v>45455326597</v>
      </c>
      <c r="AI505" s="48" t="n">
        <f aca="false">IF($U505&gt;=STRUCT_S,MAX(INDEX($G$355:$G505,152-STRUCT_S):$G505),"")</f>
        <v>7840</v>
      </c>
      <c r="AJ505" s="48" t="n">
        <f aca="false">IF($U505&gt;=STRUCT_S,MIN(INDEX($H$355:$H505,152-STRUCT_S):$H505),"")</f>
        <v>7089</v>
      </c>
      <c r="AK505" s="48" t="n">
        <f aca="false">IF($U505&gt;=STRUCT_L,MAX(INDEX($G$255:$G505,252-STRUCT_L):$G505),"")</f>
        <v>7849</v>
      </c>
      <c r="AL505" s="48" t="n">
        <f aca="false">IF($U505&gt;=STRUCT_L,MIN(INDEX($H$255:$H505,252-STRUCT_L):$H505),"")</f>
        <v>6854</v>
      </c>
      <c r="AM505" s="46" t="n">
        <f aca="false">IF($A505&lt;&gt;$A506,1,0)</f>
        <v>0</v>
      </c>
      <c r="AN505" s="47" t="str">
        <f aca="false">IF($AM505=1,$A505,"")</f>
        <v/>
      </c>
    </row>
    <row r="506" customFormat="false" ht="15" hidden="false" customHeight="false" outlineLevel="0" collapsed="false">
      <c r="A506" s="43" t="s">
        <v>138</v>
      </c>
      <c r="B506" s="44" t="s">
        <v>140</v>
      </c>
      <c r="C506" s="45" t="n">
        <v>46243</v>
      </c>
      <c r="D506" s="46" t="n">
        <v>20260809</v>
      </c>
      <c r="E506" s="47" t="s">
        <v>529</v>
      </c>
      <c r="F506" s="48" t="n">
        <v>6959</v>
      </c>
      <c r="G506" s="48" t="n">
        <v>7260</v>
      </c>
      <c r="H506" s="48" t="n">
        <v>6820</v>
      </c>
      <c r="I506" s="48" t="n">
        <v>6909</v>
      </c>
      <c r="J506" s="48" t="n">
        <v>7087</v>
      </c>
      <c r="K506" s="48" t="n">
        <v>7168</v>
      </c>
      <c r="L506" s="48" t="n">
        <v>17665516</v>
      </c>
      <c r="M506" s="48" t="n">
        <v>122051050044</v>
      </c>
      <c r="N506" s="48" t="n">
        <v>419</v>
      </c>
      <c r="O506" s="48" t="n">
        <v>8101885</v>
      </c>
      <c r="P506" s="48" t="n">
        <v>9056264</v>
      </c>
      <c r="Q506" s="48" t="n">
        <v>157</v>
      </c>
      <c r="R506" s="48" t="n">
        <v>162</v>
      </c>
      <c r="S506" s="48" t="n">
        <v>9563631</v>
      </c>
      <c r="T506" s="48" t="n">
        <v>8609252</v>
      </c>
      <c r="U506" s="46" t="n">
        <f aca="false">IF($A506=$A505,$U505+1,1)</f>
        <v>242</v>
      </c>
      <c r="V506" s="48" t="n">
        <f aca="false">IF($U506&gt;=MA_SHORT,AVERAGE(INDEX($I$106:$I506,402-MA_SHORT):$I506),"")</f>
        <v>7419.75</v>
      </c>
      <c r="W506" s="48" t="n">
        <f aca="false">IF($U506&gt;=MA_MED,AVERAGE(INDEX($I$106:$I506,402-MA_MED):$I506),"")</f>
        <v>7415.96</v>
      </c>
      <c r="X506" s="48" t="n">
        <f aca="false">IF($U506&gt;=MA_LONG1,AVERAGE(INDEX($I$106:$I506,402-MA_LONG1):$I506),"")</f>
        <v>7382.65</v>
      </c>
      <c r="Y506" s="48" t="n">
        <f aca="false">IF($U506&gt;=MA_LONG2,AVERAGE(INDEX($I$106:$I506,402-MA_LONG2):$I506),"")</f>
        <v>7516.625</v>
      </c>
      <c r="Z506" s="48" t="n">
        <f aca="false">IF($U506&gt;=MA_SHORT,AVERAGE(INDEX($L$386:$L506,122-MA_SHORT):$L506),"")</f>
        <v>18244448.25</v>
      </c>
      <c r="AA506" s="48" t="n">
        <f aca="false">IF($U506=1,$G506-$H506,MAX($G506-$H506,ABS($G506-$I505),ABS($H506-$I505)))</f>
        <v>440</v>
      </c>
      <c r="AB506" s="48" t="n">
        <f aca="false">IF($U506&gt;=ATR_PER,AVERAGE(INDEX($AA$386:$AA506,122-ATR_PER):$AA506),"")</f>
        <v>268.571428571429</v>
      </c>
      <c r="AC506" s="48" t="n">
        <f aca="false">$O506-$P506</f>
        <v>-954379</v>
      </c>
      <c r="AD506" s="48" t="n">
        <f aca="false">$AC506*$I506</f>
        <v>-6593804511</v>
      </c>
      <c r="AE506" s="49" t="n">
        <f aca="false">IF($Q506&gt;0,$O506*$I506/$Q506/1000000,"")</f>
        <v>356.534544363057</v>
      </c>
      <c r="AF506" s="49" t="n">
        <f aca="false">IF($R506&gt;0,$P506*$I506/$R506/1000000,"")</f>
        <v>386.232888740741</v>
      </c>
      <c r="AG506" s="50" t="n">
        <f aca="false">IF(AND(ISNUMBER($AE506),ISNUMBER($AF506),$AF506&gt;0),$AE506/$AF506,"")</f>
        <v>0.92310767611088</v>
      </c>
      <c r="AH506" s="48" t="n">
        <f aca="false">IF($U506&gt;=5,SUM(INDEX($AD$476:$AD506,32-5):$AD506),"")</f>
        <v>32129134842</v>
      </c>
      <c r="AI506" s="48" t="n">
        <f aca="false">IF($U506&gt;=STRUCT_S,MAX(INDEX($G$356:$G506,152-STRUCT_S):$G506),"")</f>
        <v>7840</v>
      </c>
      <c r="AJ506" s="48" t="n">
        <f aca="false">IF($U506&gt;=STRUCT_S,MIN(INDEX($H$356:$H506,152-STRUCT_S):$H506),"")</f>
        <v>6820</v>
      </c>
      <c r="AK506" s="48" t="n">
        <f aca="false">IF($U506&gt;=STRUCT_L,MAX(INDEX($G$256:$G506,252-STRUCT_L):$G506),"")</f>
        <v>7849</v>
      </c>
      <c r="AL506" s="48" t="n">
        <f aca="false">IF($U506&gt;=STRUCT_L,MIN(INDEX($H$256:$H506,252-STRUCT_L):$H506),"")</f>
        <v>6820</v>
      </c>
      <c r="AM506" s="46" t="n">
        <f aca="false">IF($A506&lt;&gt;$A507,1,0)</f>
        <v>0</v>
      </c>
      <c r="AN506" s="47" t="str">
        <f aca="false">IF($AM506=1,$A506,"")</f>
        <v/>
      </c>
    </row>
    <row r="507" customFormat="false" ht="15" hidden="false" customHeight="false" outlineLevel="0" collapsed="false">
      <c r="A507" s="43" t="s">
        <v>138</v>
      </c>
      <c r="B507" s="44" t="s">
        <v>140</v>
      </c>
      <c r="C507" s="45" t="n">
        <v>46244</v>
      </c>
      <c r="D507" s="46" t="n">
        <v>20260810</v>
      </c>
      <c r="E507" s="47" t="s">
        <v>530</v>
      </c>
      <c r="F507" s="48" t="n">
        <v>6858</v>
      </c>
      <c r="G507" s="48" t="n">
        <v>7069</v>
      </c>
      <c r="H507" s="48" t="n">
        <v>6836</v>
      </c>
      <c r="I507" s="48" t="n">
        <v>6995</v>
      </c>
      <c r="J507" s="48" t="n">
        <v>6855</v>
      </c>
      <c r="K507" s="48" t="n">
        <v>6909</v>
      </c>
      <c r="L507" s="48" t="n">
        <v>51505100</v>
      </c>
      <c r="M507" s="48" t="n">
        <v>360278174500</v>
      </c>
      <c r="N507" s="48" t="n">
        <v>2145</v>
      </c>
      <c r="O507" s="48" t="n">
        <v>30072509</v>
      </c>
      <c r="P507" s="48" t="n">
        <v>20598667</v>
      </c>
      <c r="Q507" s="48" t="n">
        <v>760</v>
      </c>
      <c r="R507" s="48" t="n">
        <v>1112</v>
      </c>
      <c r="S507" s="48" t="n">
        <v>21432591</v>
      </c>
      <c r="T507" s="48" t="n">
        <v>30906433</v>
      </c>
      <c r="U507" s="46" t="n">
        <f aca="false">IF($A507=$A506,$U506+1,1)</f>
        <v>243</v>
      </c>
      <c r="V507" s="48" t="n">
        <f aca="false">IF($U507&gt;=MA_SHORT,AVERAGE(INDEX($I$107:$I507,402-MA_SHORT):$I507),"")</f>
        <v>7400.65</v>
      </c>
      <c r="W507" s="48" t="n">
        <f aca="false">IF($U507&gt;=MA_MED,AVERAGE(INDEX($I$107:$I507,402-MA_MED):$I507),"")</f>
        <v>7409.32</v>
      </c>
      <c r="X507" s="48" t="n">
        <f aca="false">IF($U507&gt;=MA_LONG1,AVERAGE(INDEX($I$107:$I507,402-MA_LONG1):$I507),"")</f>
        <v>7368.85</v>
      </c>
      <c r="Y507" s="48" t="n">
        <f aca="false">IF($U507&gt;=MA_LONG2,AVERAGE(INDEX($I$107:$I507,402-MA_LONG2):$I507),"")</f>
        <v>7511.45</v>
      </c>
      <c r="Z507" s="48" t="n">
        <f aca="false">IF($U507&gt;=MA_SHORT,AVERAGE(INDEX($L$387:$L507,122-MA_SHORT):$L507),"")</f>
        <v>19770929.1</v>
      </c>
      <c r="AA507" s="48" t="n">
        <f aca="false">IF($U507=1,$G507-$H507,MAX($G507-$H507,ABS($G507-$I506),ABS($H507-$I506)))</f>
        <v>233</v>
      </c>
      <c r="AB507" s="48" t="n">
        <f aca="false">IF($U507&gt;=ATR_PER,AVERAGE(INDEX($AA$387:$AA507,122-ATR_PER):$AA507),"")</f>
        <v>272.928571428571</v>
      </c>
      <c r="AC507" s="48" t="n">
        <f aca="false">$O507-$P507</f>
        <v>9473842</v>
      </c>
      <c r="AD507" s="48" t="n">
        <f aca="false">$AC507*$I507</f>
        <v>66269524790</v>
      </c>
      <c r="AE507" s="49" t="n">
        <f aca="false">IF($Q507&gt;0,$O507*$I507/$Q507/1000000,"")</f>
        <v>276.785790072368</v>
      </c>
      <c r="AF507" s="49" t="n">
        <f aca="false">IF($R507&gt;0,$P507*$I507/$R507/1000000,"")</f>
        <v>129.57524790018</v>
      </c>
      <c r="AG507" s="50" t="n">
        <f aca="false">IF(AND(ISNUMBER($AE507),ISNUMBER($AF507),$AF507&gt;0),$AE507/$AF507,"")</f>
        <v>2.13610079515799</v>
      </c>
      <c r="AH507" s="48" t="n">
        <f aca="false">IF($U507&gt;=5,SUM(INDEX($AD$477:$AD507,32-5):$AD507),"")</f>
        <v>110180340578</v>
      </c>
      <c r="AI507" s="48" t="n">
        <f aca="false">IF($U507&gt;=STRUCT_S,MAX(INDEX($G$357:$G507,152-STRUCT_S):$G507),"")</f>
        <v>7840</v>
      </c>
      <c r="AJ507" s="48" t="n">
        <f aca="false">IF($U507&gt;=STRUCT_S,MIN(INDEX($H$357:$H507,152-STRUCT_S):$H507),"")</f>
        <v>6820</v>
      </c>
      <c r="AK507" s="48" t="n">
        <f aca="false">IF($U507&gt;=STRUCT_L,MAX(INDEX($G$257:$G507,252-STRUCT_L):$G507),"")</f>
        <v>7849</v>
      </c>
      <c r="AL507" s="48" t="n">
        <f aca="false">IF($U507&gt;=STRUCT_L,MIN(INDEX($H$257:$H507,252-STRUCT_L):$H507),"")</f>
        <v>6820</v>
      </c>
      <c r="AM507" s="46" t="n">
        <f aca="false">IF($A507&lt;&gt;$A508,1,0)</f>
        <v>0</v>
      </c>
      <c r="AN507" s="47" t="str">
        <f aca="false">IF($AM507=1,$A507,"")</f>
        <v/>
      </c>
    </row>
    <row r="508" customFormat="false" ht="15" hidden="false" customHeight="false" outlineLevel="0" collapsed="false">
      <c r="A508" s="43" t="s">
        <v>138</v>
      </c>
      <c r="B508" s="44" t="s">
        <v>140</v>
      </c>
      <c r="C508" s="45" t="n">
        <v>46245</v>
      </c>
      <c r="D508" s="46" t="n">
        <v>20260811</v>
      </c>
      <c r="E508" s="47" t="s">
        <v>531</v>
      </c>
      <c r="F508" s="48" t="n">
        <v>7108</v>
      </c>
      <c r="G508" s="48" t="n">
        <v>7148</v>
      </c>
      <c r="H508" s="48" t="n">
        <v>6920</v>
      </c>
      <c r="I508" s="48" t="n">
        <v>7072</v>
      </c>
      <c r="J508" s="48" t="n">
        <v>6945</v>
      </c>
      <c r="K508" s="48" t="n">
        <v>6995</v>
      </c>
      <c r="L508" s="48" t="n">
        <v>28646462</v>
      </c>
      <c r="M508" s="48" t="n">
        <v>202587779264</v>
      </c>
      <c r="N508" s="48" t="n">
        <v>2601</v>
      </c>
      <c r="O508" s="48" t="n">
        <v>18043412</v>
      </c>
      <c r="P508" s="48" t="n">
        <v>8328868</v>
      </c>
      <c r="Q508" s="48" t="n">
        <v>744</v>
      </c>
      <c r="R508" s="48" t="n">
        <v>1733</v>
      </c>
      <c r="S508" s="48" t="n">
        <v>10603050</v>
      </c>
      <c r="T508" s="48" t="n">
        <v>20317594</v>
      </c>
      <c r="U508" s="46" t="n">
        <f aca="false">IF($A508=$A507,$U507+1,1)</f>
        <v>244</v>
      </c>
      <c r="V508" s="48" t="n">
        <f aca="false">IF($U508&gt;=MA_SHORT,AVERAGE(INDEX($I$108:$I508,402-MA_SHORT):$I508),"")</f>
        <v>7383.6</v>
      </c>
      <c r="W508" s="48" t="n">
        <f aca="false">IF($U508&gt;=MA_MED,AVERAGE(INDEX($I$108:$I508,402-MA_MED):$I508),"")</f>
        <v>7405.14</v>
      </c>
      <c r="X508" s="48" t="n">
        <f aca="false">IF($U508&gt;=MA_LONG1,AVERAGE(INDEX($I$108:$I508,402-MA_LONG1):$I508),"")</f>
        <v>7357.23</v>
      </c>
      <c r="Y508" s="48" t="n">
        <f aca="false">IF($U508&gt;=MA_LONG2,AVERAGE(INDEX($I$108:$I508,402-MA_LONG2):$I508),"")</f>
        <v>7507.585</v>
      </c>
      <c r="Z508" s="48" t="n">
        <f aca="false">IF($U508&gt;=MA_SHORT,AVERAGE(INDEX($L$388:$L508,122-MA_SHORT):$L508),"")</f>
        <v>20456095.2</v>
      </c>
      <c r="AA508" s="48" t="n">
        <f aca="false">IF($U508=1,$G508-$H508,MAX($G508-$H508,ABS($G508-$I507),ABS($H508-$I507)))</f>
        <v>228</v>
      </c>
      <c r="AB508" s="48" t="n">
        <f aca="false">IF($U508&gt;=ATR_PER,AVERAGE(INDEX($AA$388:$AA508,122-ATR_PER):$AA508),"")</f>
        <v>270.857142857143</v>
      </c>
      <c r="AC508" s="48" t="n">
        <f aca="false">$O508-$P508</f>
        <v>9714544</v>
      </c>
      <c r="AD508" s="48" t="n">
        <f aca="false">$AC508*$I508</f>
        <v>68701255168</v>
      </c>
      <c r="AE508" s="49" t="n">
        <f aca="false">IF($Q508&gt;0,$O508*$I508/$Q508/1000000,"")</f>
        <v>171.509421591398</v>
      </c>
      <c r="AF508" s="49" t="n">
        <f aca="false">IF($R508&gt;0,$P508*$I508/$R508/1000000,"")</f>
        <v>33.9883176549336</v>
      </c>
      <c r="AG508" s="50" t="n">
        <f aca="false">IF(AND(ISNUMBER($AE508),ISNUMBER($AF508),$AF508&gt;0),$AE508/$AF508,"")</f>
        <v>5.04612859432018</v>
      </c>
      <c r="AH508" s="48" t="n">
        <f aca="false">IF($U508&gt;=5,SUM(INDEX($AD$478:$AD508,32-5):$AD508),"")</f>
        <v>139916639837</v>
      </c>
      <c r="AI508" s="48" t="n">
        <f aca="false">IF($U508&gt;=STRUCT_S,MAX(INDEX($G$358:$G508,152-STRUCT_S):$G508),"")</f>
        <v>7840</v>
      </c>
      <c r="AJ508" s="48" t="n">
        <f aca="false">IF($U508&gt;=STRUCT_S,MIN(INDEX($H$358:$H508,152-STRUCT_S):$H508),"")</f>
        <v>6820</v>
      </c>
      <c r="AK508" s="48" t="n">
        <f aca="false">IF($U508&gt;=STRUCT_L,MAX(INDEX($G$258:$G508,252-STRUCT_L):$G508),"")</f>
        <v>7849</v>
      </c>
      <c r="AL508" s="48" t="n">
        <f aca="false">IF($U508&gt;=STRUCT_L,MIN(INDEX($H$258:$H508,252-STRUCT_L):$H508),"")</f>
        <v>6820</v>
      </c>
      <c r="AM508" s="46" t="n">
        <f aca="false">IF($A508&lt;&gt;$A509,1,0)</f>
        <v>0</v>
      </c>
      <c r="AN508" s="47" t="str">
        <f aca="false">IF($AM508=1,$A508,"")</f>
        <v/>
      </c>
    </row>
    <row r="509" customFormat="false" ht="15" hidden="false" customHeight="false" outlineLevel="0" collapsed="false">
      <c r="A509" s="43" t="s">
        <v>138</v>
      </c>
      <c r="B509" s="44" t="s">
        <v>140</v>
      </c>
      <c r="C509" s="45" t="n">
        <v>46246</v>
      </c>
      <c r="D509" s="46" t="n">
        <v>20260812</v>
      </c>
      <c r="E509" s="47" t="s">
        <v>532</v>
      </c>
      <c r="F509" s="48" t="n">
        <v>7105</v>
      </c>
      <c r="G509" s="48" t="n">
        <v>7124</v>
      </c>
      <c r="H509" s="48" t="n">
        <v>6963</v>
      </c>
      <c r="I509" s="48" t="n">
        <v>7015</v>
      </c>
      <c r="J509" s="48" t="n">
        <v>7099</v>
      </c>
      <c r="K509" s="48" t="n">
        <v>7072</v>
      </c>
      <c r="L509" s="48" t="n">
        <v>15330965</v>
      </c>
      <c r="M509" s="48" t="n">
        <v>107546719475</v>
      </c>
      <c r="N509" s="48" t="n">
        <v>704</v>
      </c>
      <c r="O509" s="48" t="n">
        <v>7258397</v>
      </c>
      <c r="P509" s="48" t="n">
        <v>8630253</v>
      </c>
      <c r="Q509" s="48" t="n">
        <v>430</v>
      </c>
      <c r="R509" s="48" t="n">
        <v>199</v>
      </c>
      <c r="S509" s="48" t="n">
        <v>8072568</v>
      </c>
      <c r="T509" s="48" t="n">
        <v>6700712</v>
      </c>
      <c r="U509" s="46" t="n">
        <f aca="false">IF($A509=$A508,$U508+1,1)</f>
        <v>245</v>
      </c>
      <c r="V509" s="48" t="n">
        <f aca="false">IF($U509&gt;=MA_SHORT,AVERAGE(INDEX($I$109:$I509,402-MA_SHORT):$I509),"")</f>
        <v>7352.7</v>
      </c>
      <c r="W509" s="48" t="n">
        <f aca="false">IF($U509&gt;=MA_MED,AVERAGE(INDEX($I$109:$I509,402-MA_MED):$I509),"")</f>
        <v>7398.7</v>
      </c>
      <c r="X509" s="48" t="n">
        <f aca="false">IF($U509&gt;=MA_LONG1,AVERAGE(INDEX($I$109:$I509,402-MA_LONG1):$I509),"")</f>
        <v>7345</v>
      </c>
      <c r="Y509" s="48" t="n">
        <f aca="false">IF($U509&gt;=MA_LONG2,AVERAGE(INDEX($I$109:$I509,402-MA_LONG2):$I509),"")</f>
        <v>7504.3</v>
      </c>
      <c r="Z509" s="48" t="n">
        <f aca="false">IF($U509&gt;=MA_SHORT,AVERAGE(INDEX($L$389:$L509,122-MA_SHORT):$L509),"")</f>
        <v>20333370.85</v>
      </c>
      <c r="AA509" s="48" t="n">
        <f aca="false">IF($U509=1,$G509-$H509,MAX($G509-$H509,ABS($G509-$I508),ABS($H509-$I508)))</f>
        <v>161</v>
      </c>
      <c r="AB509" s="48" t="n">
        <f aca="false">IF($U509&gt;=ATR_PER,AVERAGE(INDEX($AA$389:$AA509,122-ATR_PER):$AA509),"")</f>
        <v>274.571428571429</v>
      </c>
      <c r="AC509" s="48" t="n">
        <f aca="false">$O509-$P509</f>
        <v>-1371856</v>
      </c>
      <c r="AD509" s="48" t="n">
        <f aca="false">$AC509*$I509</f>
        <v>-9623569840</v>
      </c>
      <c r="AE509" s="49" t="n">
        <f aca="false">IF($Q509&gt;0,$O509*$I509/$Q509/1000000,"")</f>
        <v>118.41315105814</v>
      </c>
      <c r="AF509" s="49" t="n">
        <f aca="false">IF($R509&gt;0,$P509*$I509/$R509/1000000,"")</f>
        <v>304.227260276382</v>
      </c>
      <c r="AG509" s="50" t="n">
        <f aca="false">IF(AND(ISNUMBER($AE509),ISNUMBER($AF509),$AF509&gt;0),$AE509/$AF509,"")</f>
        <v>0.389225971895367</v>
      </c>
      <c r="AH509" s="48" t="n">
        <f aca="false">IF($U509&gt;=5,SUM(INDEX($AD$479:$AD509,32-5):$AD509),"")</f>
        <v>123394613927</v>
      </c>
      <c r="AI509" s="48" t="n">
        <f aca="false">IF($U509&gt;=STRUCT_S,MAX(INDEX($G$359:$G509,152-STRUCT_S):$G509),"")</f>
        <v>7840</v>
      </c>
      <c r="AJ509" s="48" t="n">
        <f aca="false">IF($U509&gt;=STRUCT_S,MIN(INDEX($H$359:$H509,152-STRUCT_S):$H509),"")</f>
        <v>6820</v>
      </c>
      <c r="AK509" s="48" t="n">
        <f aca="false">IF($U509&gt;=STRUCT_L,MAX(INDEX($G$259:$G509,252-STRUCT_L):$G509),"")</f>
        <v>7849</v>
      </c>
      <c r="AL509" s="48" t="n">
        <f aca="false">IF($U509&gt;=STRUCT_L,MIN(INDEX($H$259:$H509,252-STRUCT_L):$H509),"")</f>
        <v>6820</v>
      </c>
      <c r="AM509" s="46" t="n">
        <f aca="false">IF($A509&lt;&gt;$A510,1,0)</f>
        <v>0</v>
      </c>
      <c r="AN509" s="47" t="str">
        <f aca="false">IF($AM509=1,$A509,"")</f>
        <v/>
      </c>
    </row>
    <row r="510" customFormat="false" ht="15" hidden="false" customHeight="false" outlineLevel="0" collapsed="false">
      <c r="A510" s="43" t="s">
        <v>138</v>
      </c>
      <c r="B510" s="44" t="s">
        <v>140</v>
      </c>
      <c r="C510" s="45" t="n">
        <v>46249</v>
      </c>
      <c r="D510" s="46" t="n">
        <v>20260815</v>
      </c>
      <c r="E510" s="47" t="s">
        <v>533</v>
      </c>
      <c r="F510" s="48" t="n">
        <v>6888</v>
      </c>
      <c r="G510" s="48" t="n">
        <v>7089</v>
      </c>
      <c r="H510" s="48" t="n">
        <v>6843</v>
      </c>
      <c r="I510" s="48" t="n">
        <v>6916</v>
      </c>
      <c r="J510" s="48" t="n">
        <v>6947</v>
      </c>
      <c r="K510" s="48" t="n">
        <v>7015</v>
      </c>
      <c r="L510" s="48" t="n">
        <v>15747374</v>
      </c>
      <c r="M510" s="48" t="n">
        <v>108908838584</v>
      </c>
      <c r="N510" s="48" t="n">
        <v>445</v>
      </c>
      <c r="O510" s="48" t="n">
        <v>8576875</v>
      </c>
      <c r="P510" s="48" t="n">
        <v>6524000</v>
      </c>
      <c r="Q510" s="48" t="n">
        <v>229</v>
      </c>
      <c r="R510" s="48" t="n">
        <v>140</v>
      </c>
      <c r="S510" s="48" t="n">
        <v>7170499</v>
      </c>
      <c r="T510" s="48" t="n">
        <v>9223374</v>
      </c>
      <c r="U510" s="46" t="n">
        <f aca="false">IF($A510=$A509,$U509+1,1)</f>
        <v>246</v>
      </c>
      <c r="V510" s="48" t="n">
        <f aca="false">IF($U510&gt;=MA_SHORT,AVERAGE(INDEX($I$110:$I510,402-MA_SHORT):$I510),"")</f>
        <v>7321.75</v>
      </c>
      <c r="W510" s="48" t="n">
        <f aca="false">IF($U510&gt;=MA_MED,AVERAGE(INDEX($I$110:$I510,402-MA_MED):$I510),"")</f>
        <v>7390.36</v>
      </c>
      <c r="X510" s="48" t="n">
        <f aca="false">IF($U510&gt;=MA_LONG1,AVERAGE(INDEX($I$110:$I510,402-MA_LONG1):$I510),"")</f>
        <v>7333.74</v>
      </c>
      <c r="Y510" s="48" t="n">
        <f aca="false">IF($U510&gt;=MA_LONG2,AVERAGE(INDEX($I$110:$I510,402-MA_LONG2):$I510),"")</f>
        <v>7500.335</v>
      </c>
      <c r="Z510" s="48" t="n">
        <f aca="false">IF($U510&gt;=MA_SHORT,AVERAGE(INDEX($L$390:$L510,122-MA_SHORT):$L510),"")</f>
        <v>20338918</v>
      </c>
      <c r="AA510" s="48" t="n">
        <f aca="false">IF($U510=1,$G510-$H510,MAX($G510-$H510,ABS($G510-$I509),ABS($H510-$I509)))</f>
        <v>246</v>
      </c>
      <c r="AB510" s="48" t="n">
        <f aca="false">IF($U510&gt;=ATR_PER,AVERAGE(INDEX($AA$390:$AA510,122-ATR_PER):$AA510),"")</f>
        <v>272.642857142857</v>
      </c>
      <c r="AC510" s="48" t="n">
        <f aca="false">$O510-$P510</f>
        <v>2052875</v>
      </c>
      <c r="AD510" s="48" t="n">
        <f aca="false">$AC510*$I510</f>
        <v>14197683500</v>
      </c>
      <c r="AE510" s="49" t="n">
        <f aca="false">IF($Q510&gt;0,$O510*$I510/$Q510/1000000,"")</f>
        <v>259.029115720524</v>
      </c>
      <c r="AF510" s="49" t="n">
        <f aca="false">IF($R510&gt;0,$P510*$I510/$R510/1000000,"")</f>
        <v>322.2856</v>
      </c>
      <c r="AG510" s="50" t="n">
        <f aca="false">IF(AND(ISNUMBER($AE510),ISNUMBER($AF510),$AF510&gt;0),$AE510/$AF510,"")</f>
        <v>0.803725378113462</v>
      </c>
      <c r="AH510" s="48" t="n">
        <f aca="false">IF($U510&gt;=5,SUM(INDEX($AD$480:$AD510,32-5):$AD510),"")</f>
        <v>132951089107</v>
      </c>
      <c r="AI510" s="48" t="n">
        <f aca="false">IF($U510&gt;=STRUCT_S,MAX(INDEX($G$360:$G510,152-STRUCT_S):$G510),"")</f>
        <v>7840</v>
      </c>
      <c r="AJ510" s="48" t="n">
        <f aca="false">IF($U510&gt;=STRUCT_S,MIN(INDEX($H$360:$H510,152-STRUCT_S):$H510),"")</f>
        <v>6820</v>
      </c>
      <c r="AK510" s="48" t="n">
        <f aca="false">IF($U510&gt;=STRUCT_L,MAX(INDEX($G$260:$G510,252-STRUCT_L):$G510),"")</f>
        <v>7849</v>
      </c>
      <c r="AL510" s="48" t="n">
        <f aca="false">IF($U510&gt;=STRUCT_L,MIN(INDEX($H$260:$H510,252-STRUCT_L):$H510),"")</f>
        <v>6820</v>
      </c>
      <c r="AM510" s="46" t="n">
        <f aca="false">IF($A510&lt;&gt;$A511,1,0)</f>
        <v>0</v>
      </c>
      <c r="AN510" s="47" t="str">
        <f aca="false">IF($AM510=1,$A510,"")</f>
        <v/>
      </c>
    </row>
    <row r="511" customFormat="false" ht="15" hidden="false" customHeight="false" outlineLevel="0" collapsed="false">
      <c r="A511" s="43" t="s">
        <v>138</v>
      </c>
      <c r="B511" s="44" t="s">
        <v>140</v>
      </c>
      <c r="C511" s="45" t="n">
        <v>46250</v>
      </c>
      <c r="D511" s="46" t="n">
        <v>20260816</v>
      </c>
      <c r="E511" s="47" t="s">
        <v>534</v>
      </c>
      <c r="F511" s="48" t="n">
        <v>6755</v>
      </c>
      <c r="G511" s="48" t="n">
        <v>6976</v>
      </c>
      <c r="H511" s="48" t="n">
        <v>6698</v>
      </c>
      <c r="I511" s="48" t="n">
        <v>6757</v>
      </c>
      <c r="J511" s="48" t="n">
        <v>6869</v>
      </c>
      <c r="K511" s="48" t="n">
        <v>6916</v>
      </c>
      <c r="L511" s="48" t="n">
        <v>16520683</v>
      </c>
      <c r="M511" s="48" t="n">
        <v>111630255031</v>
      </c>
      <c r="N511" s="48" t="n">
        <v>454</v>
      </c>
      <c r="O511" s="48" t="n">
        <v>7945455</v>
      </c>
      <c r="P511" s="48" t="n">
        <v>8920772</v>
      </c>
      <c r="Q511" s="48" t="n">
        <v>192</v>
      </c>
      <c r="R511" s="48" t="n">
        <v>116</v>
      </c>
      <c r="S511" s="48" t="n">
        <v>8575228</v>
      </c>
      <c r="T511" s="48" t="n">
        <v>7599911</v>
      </c>
      <c r="U511" s="46" t="n">
        <f aca="false">IF($A511=$A510,$U510+1,1)</f>
        <v>247</v>
      </c>
      <c r="V511" s="48" t="n">
        <f aca="false">IF($U511&gt;=MA_SHORT,AVERAGE(INDEX($I$111:$I511,402-MA_SHORT):$I511),"")</f>
        <v>7279</v>
      </c>
      <c r="W511" s="48" t="n">
        <f aca="false">IF($U511&gt;=MA_MED,AVERAGE(INDEX($I$111:$I511,402-MA_MED):$I511),"")</f>
        <v>7380.1</v>
      </c>
      <c r="X511" s="48" t="n">
        <f aca="false">IF($U511&gt;=MA_LONG1,AVERAGE(INDEX($I$111:$I511,402-MA_LONG1):$I511),"")</f>
        <v>7324.2</v>
      </c>
      <c r="Y511" s="48" t="n">
        <f aca="false">IF($U511&gt;=MA_LONG2,AVERAGE(INDEX($I$111:$I511,402-MA_LONG2):$I511),"")</f>
        <v>7494.705</v>
      </c>
      <c r="Z511" s="48" t="n">
        <f aca="false">IF($U511&gt;=MA_SHORT,AVERAGE(INDEX($L$391:$L511,122-MA_SHORT):$L511),"")</f>
        <v>20394541.85</v>
      </c>
      <c r="AA511" s="48" t="n">
        <f aca="false">IF($U511=1,$G511-$H511,MAX($G511-$H511,ABS($G511-$I510),ABS($H511-$I510)))</f>
        <v>278</v>
      </c>
      <c r="AB511" s="48" t="n">
        <f aca="false">IF($U511&gt;=ATR_PER,AVERAGE(INDEX($AA$391:$AA511,122-ATR_PER):$AA511),"")</f>
        <v>259.642857142857</v>
      </c>
      <c r="AC511" s="48" t="n">
        <f aca="false">$O511-$P511</f>
        <v>-975317</v>
      </c>
      <c r="AD511" s="48" t="n">
        <f aca="false">$AC511*$I511</f>
        <v>-6590216969</v>
      </c>
      <c r="AE511" s="49" t="n">
        <f aca="false">IF($Q511&gt;0,$O511*$I511/$Q511/1000000,"")</f>
        <v>279.622080390625</v>
      </c>
      <c r="AF511" s="49" t="n">
        <f aca="false">IF($R511&gt;0,$P511*$I511/$R511/1000000,"")</f>
        <v>519.634969</v>
      </c>
      <c r="AG511" s="50" t="n">
        <f aca="false">IF(AND(ISNUMBER($AE511),ISNUMBER($AF511),$AF511&gt;0),$AE511/$AF511,"")</f>
        <v>0.538112515654475</v>
      </c>
      <c r="AH511" s="48" t="n">
        <f aca="false">IF($U511&gt;=5,SUM(INDEX($AD$481:$AD511,32-5):$AD511),"")</f>
        <v>132954676649</v>
      </c>
      <c r="AI511" s="48" t="n">
        <f aca="false">IF($U511&gt;=STRUCT_S,MAX(INDEX($G$361:$G511,152-STRUCT_S):$G511),"")</f>
        <v>7840</v>
      </c>
      <c r="AJ511" s="48" t="n">
        <f aca="false">IF($U511&gt;=STRUCT_S,MIN(INDEX($H$361:$H511,152-STRUCT_S):$H511),"")</f>
        <v>6698</v>
      </c>
      <c r="AK511" s="48" t="n">
        <f aca="false">IF($U511&gt;=STRUCT_L,MAX(INDEX($G$261:$G511,252-STRUCT_L):$G511),"")</f>
        <v>7849</v>
      </c>
      <c r="AL511" s="48" t="n">
        <f aca="false">IF($U511&gt;=STRUCT_L,MIN(INDEX($H$261:$H511,252-STRUCT_L):$H511),"")</f>
        <v>6698</v>
      </c>
      <c r="AM511" s="46" t="n">
        <f aca="false">IF($A511&lt;&gt;$A512,1,0)</f>
        <v>0</v>
      </c>
      <c r="AN511" s="47" t="str">
        <f aca="false">IF($AM511=1,$A511,"")</f>
        <v/>
      </c>
    </row>
    <row r="512" customFormat="false" ht="15" hidden="false" customHeight="false" outlineLevel="0" collapsed="false">
      <c r="A512" s="43" t="s">
        <v>138</v>
      </c>
      <c r="B512" s="44" t="s">
        <v>140</v>
      </c>
      <c r="C512" s="45" t="n">
        <v>46251</v>
      </c>
      <c r="D512" s="46" t="n">
        <v>20260817</v>
      </c>
      <c r="E512" s="47" t="s">
        <v>535</v>
      </c>
      <c r="F512" s="48" t="n">
        <v>6434</v>
      </c>
      <c r="G512" s="48" t="n">
        <v>6981</v>
      </c>
      <c r="H512" s="48" t="n">
        <v>6396</v>
      </c>
      <c r="I512" s="48" t="n">
        <v>6616</v>
      </c>
      <c r="J512" s="48" t="n">
        <v>6750</v>
      </c>
      <c r="K512" s="48" t="n">
        <v>6757</v>
      </c>
      <c r="L512" s="48" t="n">
        <v>16335759</v>
      </c>
      <c r="M512" s="48" t="n">
        <v>108077381544</v>
      </c>
      <c r="N512" s="48" t="n">
        <v>490</v>
      </c>
      <c r="O512" s="48" t="n">
        <v>8534834</v>
      </c>
      <c r="P512" s="48" t="n">
        <v>7851409</v>
      </c>
      <c r="Q512" s="48" t="n">
        <v>285</v>
      </c>
      <c r="R512" s="48" t="n">
        <v>127</v>
      </c>
      <c r="S512" s="48" t="n">
        <v>7800925</v>
      </c>
      <c r="T512" s="48" t="n">
        <v>8484350</v>
      </c>
      <c r="U512" s="46" t="n">
        <f aca="false">IF($A512=$A511,$U511+1,1)</f>
        <v>248</v>
      </c>
      <c r="V512" s="48" t="n">
        <f aca="false">IF($U512&gt;=MA_SHORT,AVERAGE(INDEX($I$112:$I512,402-MA_SHORT):$I512),"")</f>
        <v>7235.95</v>
      </c>
      <c r="W512" s="48" t="n">
        <f aca="false">IF($U512&gt;=MA_MED,AVERAGE(INDEX($I$112:$I512,402-MA_MED):$I512),"")</f>
        <v>7370.68</v>
      </c>
      <c r="X512" s="48" t="n">
        <f aca="false">IF($U512&gt;=MA_LONG1,AVERAGE(INDEX($I$112:$I512,402-MA_LONG1):$I512),"")</f>
        <v>7312.87</v>
      </c>
      <c r="Y512" s="48" t="n">
        <f aca="false">IF($U512&gt;=MA_LONG2,AVERAGE(INDEX($I$112:$I512,402-MA_LONG2):$I512),"")</f>
        <v>7488.905</v>
      </c>
      <c r="Z512" s="48" t="n">
        <f aca="false">IF($U512&gt;=MA_SHORT,AVERAGE(INDEX($L$392:$L512,122-MA_SHORT):$L512),"")</f>
        <v>20408183.4</v>
      </c>
      <c r="AA512" s="48" t="n">
        <f aca="false">IF($U512=1,$G512-$H512,MAX($G512-$H512,ABS($G512-$I511),ABS($H512-$I511)))</f>
        <v>585</v>
      </c>
      <c r="AB512" s="48" t="n">
        <f aca="false">IF($U512&gt;=ATR_PER,AVERAGE(INDEX($AA$392:$AA512,122-ATR_PER):$AA512),"")</f>
        <v>282.714285714286</v>
      </c>
      <c r="AC512" s="48" t="n">
        <f aca="false">$O512-$P512</f>
        <v>683425</v>
      </c>
      <c r="AD512" s="48" t="n">
        <f aca="false">$AC512*$I512</f>
        <v>4521539800</v>
      </c>
      <c r="AE512" s="49" t="n">
        <f aca="false">IF($Q512&gt;0,$O512*$I512/$Q512/1000000,"")</f>
        <v>198.12793594386</v>
      </c>
      <c r="AF512" s="49" t="n">
        <f aca="false">IF($R512&gt;0,$P512*$I512/$R512/1000000,"")</f>
        <v>409.015133417323</v>
      </c>
      <c r="AG512" s="50" t="n">
        <f aca="false">IF(AND(ISNUMBER($AE512),ISNUMBER($AF512),$AF512&gt;0),$AE512/$AF512,"")</f>
        <v>0.484402457895629</v>
      </c>
      <c r="AH512" s="48" t="n">
        <f aca="false">IF($U512&gt;=5,SUM(INDEX($AD$482:$AD512,32-5):$AD512),"")</f>
        <v>71206691659</v>
      </c>
      <c r="AI512" s="48" t="n">
        <f aca="false">IF($U512&gt;=STRUCT_S,MAX(INDEX($G$362:$G512,152-STRUCT_S):$G512),"")</f>
        <v>7840</v>
      </c>
      <c r="AJ512" s="48" t="n">
        <f aca="false">IF($U512&gt;=STRUCT_S,MIN(INDEX($H$362:$H512,152-STRUCT_S):$H512),"")</f>
        <v>6396</v>
      </c>
      <c r="AK512" s="48" t="n">
        <f aca="false">IF($U512&gt;=STRUCT_L,MAX(INDEX($G$262:$G512,252-STRUCT_L):$G512),"")</f>
        <v>7849</v>
      </c>
      <c r="AL512" s="48" t="n">
        <f aca="false">IF($U512&gt;=STRUCT_L,MIN(INDEX($H$262:$H512,252-STRUCT_L):$H512),"")</f>
        <v>6396</v>
      </c>
      <c r="AM512" s="46" t="n">
        <f aca="false">IF($A512&lt;&gt;$A513,1,0)</f>
        <v>0</v>
      </c>
      <c r="AN512" s="47" t="str">
        <f aca="false">IF($AM512=1,$A512,"")</f>
        <v/>
      </c>
    </row>
    <row r="513" customFormat="false" ht="15" hidden="false" customHeight="false" outlineLevel="0" collapsed="false">
      <c r="A513" s="43" t="s">
        <v>138</v>
      </c>
      <c r="B513" s="44" t="s">
        <v>140</v>
      </c>
      <c r="C513" s="45" t="n">
        <v>46252</v>
      </c>
      <c r="D513" s="46" t="n">
        <v>20260818</v>
      </c>
      <c r="E513" s="47" t="s">
        <v>536</v>
      </c>
      <c r="F513" s="48" t="n">
        <v>6719</v>
      </c>
      <c r="G513" s="48" t="n">
        <v>6819</v>
      </c>
      <c r="H513" s="48" t="n">
        <v>6254</v>
      </c>
      <c r="I513" s="48" t="n">
        <v>6452</v>
      </c>
      <c r="J513" s="48" t="n">
        <v>6349</v>
      </c>
      <c r="K513" s="48" t="n">
        <v>6616</v>
      </c>
      <c r="L513" s="48" t="n">
        <v>16677323</v>
      </c>
      <c r="M513" s="48" t="n">
        <v>107602087996</v>
      </c>
      <c r="N513" s="48" t="n">
        <v>389</v>
      </c>
      <c r="O513" s="48" t="n">
        <v>7750399</v>
      </c>
      <c r="P513" s="48" t="n">
        <v>9132171</v>
      </c>
      <c r="Q513" s="48" t="n">
        <v>198</v>
      </c>
      <c r="R513" s="48" t="n">
        <v>98</v>
      </c>
      <c r="S513" s="48" t="n">
        <v>8926924</v>
      </c>
      <c r="T513" s="48" t="n">
        <v>7545152</v>
      </c>
      <c r="U513" s="46" t="n">
        <f aca="false">IF($A513=$A512,$U512+1,1)</f>
        <v>249</v>
      </c>
      <c r="V513" s="48" t="n">
        <f aca="false">IF($U513&gt;=MA_SHORT,AVERAGE(INDEX($I$113:$I513,402-MA_SHORT):$I513),"")</f>
        <v>7184.4</v>
      </c>
      <c r="W513" s="48" t="n">
        <f aca="false">IF($U513&gt;=MA_MED,AVERAGE(INDEX($I$113:$I513,402-MA_MED):$I513),"")</f>
        <v>7355.7</v>
      </c>
      <c r="X513" s="48" t="n">
        <f aca="false">IF($U513&gt;=MA_LONG1,AVERAGE(INDEX($I$113:$I513,402-MA_LONG1):$I513),"")</f>
        <v>7299.9</v>
      </c>
      <c r="Y513" s="48" t="n">
        <f aca="false">IF($U513&gt;=MA_LONG2,AVERAGE(INDEX($I$113:$I513,402-MA_LONG2):$I513),"")</f>
        <v>7482.705</v>
      </c>
      <c r="Z513" s="48" t="n">
        <f aca="false">IF($U513&gt;=MA_SHORT,AVERAGE(INDEX($L$393:$L513,122-MA_SHORT):$L513),"")</f>
        <v>20512652.05</v>
      </c>
      <c r="AA513" s="48" t="n">
        <f aca="false">IF($U513=1,$G513-$H513,MAX($G513-$H513,ABS($G513-$I512),ABS($H513-$I512)))</f>
        <v>565</v>
      </c>
      <c r="AB513" s="48" t="n">
        <f aca="false">IF($U513&gt;=ATR_PER,AVERAGE(INDEX($AA$393:$AA513,122-ATR_PER):$AA513),"")</f>
        <v>317.571428571429</v>
      </c>
      <c r="AC513" s="48" t="n">
        <f aca="false">$O513-$P513</f>
        <v>-1381772</v>
      </c>
      <c r="AD513" s="48" t="n">
        <f aca="false">$AC513*$I513</f>
        <v>-8915192944</v>
      </c>
      <c r="AE513" s="49" t="n">
        <f aca="false">IF($Q513&gt;0,$O513*$I513/$Q513/1000000,"")</f>
        <v>252.55340579798</v>
      </c>
      <c r="AF513" s="49" t="n">
        <f aca="false">IF($R513&gt;0,$P513*$I513/$R513/1000000,"")</f>
        <v>601.232319306123</v>
      </c>
      <c r="AG513" s="50" t="n">
        <f aca="false">IF(AND(ISNUMBER($AE513),ISNUMBER($AF513),$AF513&gt;0),$AE513/$AF513,"")</f>
        <v>0.420059597077964</v>
      </c>
      <c r="AH513" s="48" t="n">
        <f aca="false">IF($U513&gt;=5,SUM(INDEX($AD$483:$AD513,32-5):$AD513),"")</f>
        <v>-6409756453</v>
      </c>
      <c r="AI513" s="48" t="n">
        <f aca="false">IF($U513&gt;=STRUCT_S,MAX(INDEX($G$363:$G513,152-STRUCT_S):$G513),"")</f>
        <v>7840</v>
      </c>
      <c r="AJ513" s="48" t="n">
        <f aca="false">IF($U513&gt;=STRUCT_S,MIN(INDEX($H$363:$H513,152-STRUCT_S):$H513),"")</f>
        <v>6254</v>
      </c>
      <c r="AK513" s="48" t="n">
        <f aca="false">IF($U513&gt;=STRUCT_L,MAX(INDEX($G$263:$G513,252-STRUCT_L):$G513),"")</f>
        <v>7849</v>
      </c>
      <c r="AL513" s="48" t="n">
        <f aca="false">IF($U513&gt;=STRUCT_L,MIN(INDEX($H$263:$H513,252-STRUCT_L):$H513),"")</f>
        <v>6254</v>
      </c>
      <c r="AM513" s="46" t="n">
        <f aca="false">IF($A513&lt;&gt;$A514,1,0)</f>
        <v>0</v>
      </c>
      <c r="AN513" s="47" t="str">
        <f aca="false">IF($AM513=1,$A513,"")</f>
        <v/>
      </c>
    </row>
    <row r="514" customFormat="false" ht="15" hidden="false" customHeight="false" outlineLevel="0" collapsed="false">
      <c r="A514" s="43" t="s">
        <v>138</v>
      </c>
      <c r="B514" s="44" t="s">
        <v>140</v>
      </c>
      <c r="C514" s="45" t="n">
        <v>46253</v>
      </c>
      <c r="D514" s="46" t="n">
        <v>20260819</v>
      </c>
      <c r="E514" s="47" t="s">
        <v>537</v>
      </c>
      <c r="F514" s="48" t="n">
        <v>6394</v>
      </c>
      <c r="G514" s="48" t="n">
        <v>6468</v>
      </c>
      <c r="H514" s="48" t="n">
        <v>6393</v>
      </c>
      <c r="I514" s="48" t="n">
        <v>6409</v>
      </c>
      <c r="J514" s="48" t="n">
        <v>6412</v>
      </c>
      <c r="K514" s="48" t="n">
        <v>6452</v>
      </c>
      <c r="L514" s="48" t="n">
        <v>15098591</v>
      </c>
      <c r="M514" s="48" t="n">
        <v>96766869719</v>
      </c>
      <c r="N514" s="48" t="n">
        <v>598</v>
      </c>
      <c r="O514" s="48" t="n">
        <v>7685747</v>
      </c>
      <c r="P514" s="48" t="n">
        <v>6876653</v>
      </c>
      <c r="Q514" s="48" t="n">
        <v>281</v>
      </c>
      <c r="R514" s="48" t="n">
        <v>194</v>
      </c>
      <c r="S514" s="48" t="n">
        <v>7412844</v>
      </c>
      <c r="T514" s="48" t="n">
        <v>8221938</v>
      </c>
      <c r="U514" s="46" t="n">
        <f aca="false">IF($A514=$A513,$U513+1,1)</f>
        <v>250</v>
      </c>
      <c r="V514" s="48" t="n">
        <f aca="false">IF($U514&gt;=MA_SHORT,AVERAGE(INDEX($I$114:$I514,402-MA_SHORT):$I514),"")</f>
        <v>7136.7</v>
      </c>
      <c r="W514" s="48" t="n">
        <f aca="false">IF($U514&gt;=MA_MED,AVERAGE(INDEX($I$114:$I514,402-MA_MED):$I514),"")</f>
        <v>7338.2</v>
      </c>
      <c r="X514" s="48" t="n">
        <f aca="false">IF($U514&gt;=MA_LONG1,AVERAGE(INDEX($I$114:$I514,402-MA_LONG1):$I514),"")</f>
        <v>7288.27</v>
      </c>
      <c r="Y514" s="48" t="n">
        <f aca="false">IF($U514&gt;=MA_LONG2,AVERAGE(INDEX($I$114:$I514,402-MA_LONG2):$I514),"")</f>
        <v>7475.84</v>
      </c>
      <c r="Z514" s="48" t="n">
        <f aca="false">IF($U514&gt;=MA_SHORT,AVERAGE(INDEX($L$394:$L514,122-MA_SHORT):$L514),"")</f>
        <v>20393473.15</v>
      </c>
      <c r="AA514" s="48" t="n">
        <f aca="false">IF($U514=1,$G514-$H514,MAX($G514-$H514,ABS($G514-$I513),ABS($H514-$I513)))</f>
        <v>75</v>
      </c>
      <c r="AB514" s="48" t="n">
        <f aca="false">IF($U514&gt;=ATR_PER,AVERAGE(INDEX($AA$394:$AA514,122-ATR_PER):$AA514),"")</f>
        <v>292.642857142857</v>
      </c>
      <c r="AC514" s="48" t="n">
        <f aca="false">$O514-$P514</f>
        <v>809094</v>
      </c>
      <c r="AD514" s="48" t="n">
        <f aca="false">$AC514*$I514</f>
        <v>5185483446</v>
      </c>
      <c r="AE514" s="49" t="n">
        <f aca="false">IF($Q514&gt;0,$O514*$I514/$Q514/1000000,"")</f>
        <v>175.295204708185</v>
      </c>
      <c r="AF514" s="49" t="n">
        <f aca="false">IF($R514&gt;0,$P514*$I514/$R514/1000000,"")</f>
        <v>227.177675654639</v>
      </c>
      <c r="AG514" s="50" t="n">
        <f aca="false">IF(AND(ISNUMBER($AE514),ISNUMBER($AF514),$AF514&gt;0),$AE514/$AF514,"")</f>
        <v>0.771621613800966</v>
      </c>
      <c r="AH514" s="48" t="n">
        <f aca="false">IF($U514&gt;=5,SUM(INDEX($AD$484:$AD514,32-5):$AD514),"")</f>
        <v>8399296833</v>
      </c>
      <c r="AI514" s="48" t="n">
        <f aca="false">IF($U514&gt;=STRUCT_S,MAX(INDEX($G$364:$G514,152-STRUCT_S):$G514),"")</f>
        <v>7840</v>
      </c>
      <c r="AJ514" s="48" t="n">
        <f aca="false">IF($U514&gt;=STRUCT_S,MIN(INDEX($H$364:$H514,152-STRUCT_S):$H514),"")</f>
        <v>6254</v>
      </c>
      <c r="AK514" s="48" t="n">
        <f aca="false">IF($U514&gt;=STRUCT_L,MAX(INDEX($G$264:$G514,252-STRUCT_L):$G514),"")</f>
        <v>7849</v>
      </c>
      <c r="AL514" s="48" t="n">
        <f aca="false">IF($U514&gt;=STRUCT_L,MIN(INDEX($H$264:$H514,252-STRUCT_L):$H514),"")</f>
        <v>6254</v>
      </c>
      <c r="AM514" s="46" t="n">
        <f aca="false">IF($A514&lt;&gt;$A515,1,0)</f>
        <v>0</v>
      </c>
      <c r="AN514" s="47" t="str">
        <f aca="false">IF($AM514=1,$A514,"")</f>
        <v/>
      </c>
    </row>
    <row r="515" customFormat="false" ht="15" hidden="false" customHeight="false" outlineLevel="0" collapsed="false">
      <c r="A515" s="43" t="s">
        <v>138</v>
      </c>
      <c r="B515" s="44" t="s">
        <v>140</v>
      </c>
      <c r="C515" s="45" t="n">
        <v>46256</v>
      </c>
      <c r="D515" s="46" t="n">
        <v>20260822</v>
      </c>
      <c r="E515" s="47" t="s">
        <v>538</v>
      </c>
      <c r="F515" s="48" t="n">
        <v>6333</v>
      </c>
      <c r="G515" s="48" t="n">
        <v>6458</v>
      </c>
      <c r="H515" s="48" t="n">
        <v>6271</v>
      </c>
      <c r="I515" s="48" t="n">
        <v>6320</v>
      </c>
      <c r="J515" s="48" t="n">
        <v>6406</v>
      </c>
      <c r="K515" s="48" t="n">
        <v>6409</v>
      </c>
      <c r="L515" s="48" t="n">
        <v>15727697</v>
      </c>
      <c r="M515" s="48" t="n">
        <v>99399045040</v>
      </c>
      <c r="N515" s="48" t="n">
        <v>862</v>
      </c>
      <c r="O515" s="48" t="n">
        <v>8452984</v>
      </c>
      <c r="P515" s="48" t="n">
        <v>6727789</v>
      </c>
      <c r="Q515" s="48" t="n">
        <v>309</v>
      </c>
      <c r="R515" s="48" t="n">
        <v>380</v>
      </c>
      <c r="S515" s="48" t="n">
        <v>7274713</v>
      </c>
      <c r="T515" s="48" t="n">
        <v>8999908</v>
      </c>
      <c r="U515" s="46" t="n">
        <f aca="false">IF($A515=$A514,$U514+1,1)</f>
        <v>251</v>
      </c>
      <c r="V515" s="48" t="n">
        <f aca="false">IF($U515&gt;=MA_SHORT,AVERAGE(INDEX($I$115:$I515,402-MA_SHORT):$I515),"")</f>
        <v>7083.85</v>
      </c>
      <c r="W515" s="48" t="n">
        <f aca="false">IF($U515&gt;=MA_MED,AVERAGE(INDEX($I$115:$I515,402-MA_MED):$I515),"")</f>
        <v>7321.08</v>
      </c>
      <c r="X515" s="48" t="n">
        <f aca="false">IF($U515&gt;=MA_LONG1,AVERAGE(INDEX($I$115:$I515,402-MA_LONG1):$I515),"")</f>
        <v>7276.31</v>
      </c>
      <c r="Y515" s="48" t="n">
        <f aca="false">IF($U515&gt;=MA_LONG2,AVERAGE(INDEX($I$115:$I515,402-MA_LONG2):$I515),"")</f>
        <v>7469.21</v>
      </c>
      <c r="Z515" s="48" t="n">
        <f aca="false">IF($U515&gt;=MA_SHORT,AVERAGE(INDEX($L$395:$L515,122-MA_SHORT):$L515),"")</f>
        <v>20346603.5</v>
      </c>
      <c r="AA515" s="48" t="n">
        <f aca="false">IF($U515=1,$G515-$H515,MAX($G515-$H515,ABS($G515-$I514),ABS($H515-$I514)))</f>
        <v>187</v>
      </c>
      <c r="AB515" s="48" t="n">
        <f aca="false">IF($U515&gt;=ATR_PER,AVERAGE(INDEX($AA$395:$AA515,122-ATR_PER):$AA515),"")</f>
        <v>295.857142857143</v>
      </c>
      <c r="AC515" s="48" t="n">
        <f aca="false">$O515-$P515</f>
        <v>1725195</v>
      </c>
      <c r="AD515" s="48" t="n">
        <f aca="false">$AC515*$I515</f>
        <v>10903232400</v>
      </c>
      <c r="AE515" s="49" t="n">
        <f aca="false">IF($Q515&gt;0,$O515*$I515/$Q515/1000000,"")</f>
        <v>172.889510938511</v>
      </c>
      <c r="AF515" s="49" t="n">
        <f aca="false">IF($R515&gt;0,$P515*$I515/$R515/1000000,"")</f>
        <v>111.893753894737</v>
      </c>
      <c r="AG515" s="50" t="n">
        <f aca="false">IF(AND(ISNUMBER($AE515),ISNUMBER($AF515),$AF515&gt;0),$AE515/$AF515,"")</f>
        <v>1.54512209056062</v>
      </c>
      <c r="AH515" s="48" t="n">
        <f aca="false">IF($U515&gt;=5,SUM(INDEX($AD$485:$AD515,32-5):$AD515),"")</f>
        <v>5104845733</v>
      </c>
      <c r="AI515" s="48" t="n">
        <f aca="false">IF($U515&gt;=STRUCT_S,MAX(INDEX($G$365:$G515,152-STRUCT_S):$G515),"")</f>
        <v>7840</v>
      </c>
      <c r="AJ515" s="48" t="n">
        <f aca="false">IF($U515&gt;=STRUCT_S,MIN(INDEX($H$365:$H515,152-STRUCT_S):$H515),"")</f>
        <v>6254</v>
      </c>
      <c r="AK515" s="48" t="n">
        <f aca="false">IF($U515&gt;=STRUCT_L,MAX(INDEX($G$265:$G515,252-STRUCT_L):$G515),"")</f>
        <v>7849</v>
      </c>
      <c r="AL515" s="48" t="n">
        <f aca="false">IF($U515&gt;=STRUCT_L,MIN(INDEX($H$265:$H515,252-STRUCT_L):$H515),"")</f>
        <v>6254</v>
      </c>
      <c r="AM515" s="46" t="n">
        <f aca="false">IF($A515&lt;&gt;$A516,1,0)</f>
        <v>0</v>
      </c>
      <c r="AN515" s="47" t="str">
        <f aca="false">IF($AM515=1,$A515,"")</f>
        <v/>
      </c>
    </row>
    <row r="516" customFormat="false" ht="15" hidden="false" customHeight="false" outlineLevel="0" collapsed="false">
      <c r="A516" s="43" t="s">
        <v>138</v>
      </c>
      <c r="B516" s="44" t="s">
        <v>140</v>
      </c>
      <c r="C516" s="45" t="n">
        <v>46257</v>
      </c>
      <c r="D516" s="46" t="n">
        <v>20260823</v>
      </c>
      <c r="E516" s="47" t="s">
        <v>539</v>
      </c>
      <c r="F516" s="48" t="n">
        <v>6288</v>
      </c>
      <c r="G516" s="48" t="n">
        <v>6469</v>
      </c>
      <c r="H516" s="48" t="n">
        <v>6179</v>
      </c>
      <c r="I516" s="48" t="n">
        <v>6327</v>
      </c>
      <c r="J516" s="48" t="n">
        <v>6189</v>
      </c>
      <c r="K516" s="48" t="n">
        <v>6320</v>
      </c>
      <c r="L516" s="48" t="n">
        <v>14987315</v>
      </c>
      <c r="M516" s="48" t="n">
        <v>94824742005</v>
      </c>
      <c r="N516" s="48" t="n">
        <v>338</v>
      </c>
      <c r="O516" s="48" t="n">
        <v>8632645</v>
      </c>
      <c r="P516" s="48" t="n">
        <v>6090401</v>
      </c>
      <c r="Q516" s="48" t="n">
        <v>93</v>
      </c>
      <c r="R516" s="48" t="n">
        <v>170</v>
      </c>
      <c r="S516" s="48" t="n">
        <v>6354670</v>
      </c>
      <c r="T516" s="48" t="n">
        <v>8896914</v>
      </c>
      <c r="U516" s="46" t="n">
        <f aca="false">IF($A516=$A515,$U515+1,1)</f>
        <v>252</v>
      </c>
      <c r="V516" s="48" t="n">
        <f aca="false">IF($U516&gt;=MA_SHORT,AVERAGE(INDEX($I$116:$I516,402-MA_SHORT):$I516),"")</f>
        <v>7025.45</v>
      </c>
      <c r="W516" s="48" t="n">
        <f aca="false">IF($U516&gt;=MA_MED,AVERAGE(INDEX($I$116:$I516,402-MA_MED):$I516),"")</f>
        <v>7302.16</v>
      </c>
      <c r="X516" s="48" t="n">
        <f aca="false">IF($U516&gt;=MA_LONG1,AVERAGE(INDEX($I$116:$I516,402-MA_LONG1):$I516),"")</f>
        <v>7264.02</v>
      </c>
      <c r="Y516" s="48" t="n">
        <f aca="false">IF($U516&gt;=MA_LONG2,AVERAGE(INDEX($I$116:$I516,402-MA_LONG2):$I516),"")</f>
        <v>7462.46</v>
      </c>
      <c r="Z516" s="48" t="n">
        <f aca="false">IF($U516&gt;=MA_SHORT,AVERAGE(INDEX($L$396:$L516,122-MA_SHORT):$L516),"")</f>
        <v>20300399.1</v>
      </c>
      <c r="AA516" s="48" t="n">
        <f aca="false">IF($U516=1,$G516-$H516,MAX($G516-$H516,ABS($G516-$I515),ABS($H516-$I515)))</f>
        <v>290</v>
      </c>
      <c r="AB516" s="48" t="n">
        <f aca="false">IF($U516&gt;=ATR_PER,AVERAGE(INDEX($AA$396:$AA516,122-ATR_PER):$AA516),"")</f>
        <v>289.785714285714</v>
      </c>
      <c r="AC516" s="48" t="n">
        <f aca="false">$O516-$P516</f>
        <v>2542244</v>
      </c>
      <c r="AD516" s="48" t="n">
        <f aca="false">$AC516*$I516</f>
        <v>16084777788</v>
      </c>
      <c r="AE516" s="49" t="n">
        <f aca="false">IF($Q516&gt;0,$O516*$I516/$Q516/1000000,"")</f>
        <v>587.298332419355</v>
      </c>
      <c r="AF516" s="49" t="n">
        <f aca="false">IF($R516&gt;0,$P516*$I516/$R516/1000000,"")</f>
        <v>226.670394864706</v>
      </c>
      <c r="AG516" s="50" t="n">
        <f aca="false">IF(AND(ISNUMBER($AE516),ISNUMBER($AF516),$AF516&gt;0),$AE516/$AF516,"")</f>
        <v>2.59097943853629</v>
      </c>
      <c r="AH516" s="48" t="n">
        <f aca="false">IF($U516&gt;=5,SUM(INDEX($AD$486:$AD516,32-5):$AD516),"")</f>
        <v>27779840490</v>
      </c>
      <c r="AI516" s="48" t="n">
        <f aca="false">IF($U516&gt;=STRUCT_S,MAX(INDEX($G$366:$G516,152-STRUCT_S):$G516),"")</f>
        <v>7840</v>
      </c>
      <c r="AJ516" s="48" t="n">
        <f aca="false">IF($U516&gt;=STRUCT_S,MIN(INDEX($H$366:$H516,152-STRUCT_S):$H516),"")</f>
        <v>6179</v>
      </c>
      <c r="AK516" s="48" t="n">
        <f aca="false">IF($U516&gt;=STRUCT_L,MAX(INDEX($G$266:$G516,252-STRUCT_L):$G516),"")</f>
        <v>7849</v>
      </c>
      <c r="AL516" s="48" t="n">
        <f aca="false">IF($U516&gt;=STRUCT_L,MIN(INDEX($H$266:$H516,252-STRUCT_L):$H516),"")</f>
        <v>6179</v>
      </c>
      <c r="AM516" s="46" t="n">
        <f aca="false">IF($A516&lt;&gt;$A517,1,0)</f>
        <v>0</v>
      </c>
      <c r="AN516" s="47" t="str">
        <f aca="false">IF($AM516=1,$A516,"")</f>
        <v/>
      </c>
    </row>
    <row r="517" customFormat="false" ht="15" hidden="false" customHeight="false" outlineLevel="0" collapsed="false">
      <c r="A517" s="43" t="s">
        <v>138</v>
      </c>
      <c r="B517" s="44" t="s">
        <v>140</v>
      </c>
      <c r="C517" s="45" t="n">
        <v>46258</v>
      </c>
      <c r="D517" s="46" t="n">
        <v>20260824</v>
      </c>
      <c r="E517" s="47" t="s">
        <v>540</v>
      </c>
      <c r="F517" s="48" t="n">
        <v>6305</v>
      </c>
      <c r="G517" s="48" t="n">
        <v>6467</v>
      </c>
      <c r="H517" s="48" t="n">
        <v>6256</v>
      </c>
      <c r="I517" s="48" t="n">
        <v>6395</v>
      </c>
      <c r="J517" s="48" t="n">
        <v>6292</v>
      </c>
      <c r="K517" s="48" t="n">
        <v>6327</v>
      </c>
      <c r="L517" s="48" t="n">
        <v>15454253</v>
      </c>
      <c r="M517" s="48" t="n">
        <v>98829947935</v>
      </c>
      <c r="N517" s="48" t="n">
        <v>1337</v>
      </c>
      <c r="O517" s="48" t="n">
        <v>9070071</v>
      </c>
      <c r="P517" s="48" t="n">
        <v>6674451</v>
      </c>
      <c r="Q517" s="48" t="n">
        <v>481</v>
      </c>
      <c r="R517" s="48" t="n">
        <v>738</v>
      </c>
      <c r="S517" s="48" t="n">
        <v>6384182</v>
      </c>
      <c r="T517" s="48" t="n">
        <v>8779802</v>
      </c>
      <c r="U517" s="46" t="n">
        <f aca="false">IF($A517=$A516,$U516+1,1)</f>
        <v>253</v>
      </c>
      <c r="V517" s="48" t="n">
        <f aca="false">IF($U517&gt;=MA_SHORT,AVERAGE(INDEX($I$117:$I517,402-MA_SHORT):$I517),"")</f>
        <v>6959.1</v>
      </c>
      <c r="W517" s="48" t="n">
        <f aca="false">IF($U517&gt;=MA_MED,AVERAGE(INDEX($I$117:$I517,402-MA_MED):$I517),"")</f>
        <v>7284.06</v>
      </c>
      <c r="X517" s="48" t="n">
        <f aca="false">IF($U517&gt;=MA_LONG1,AVERAGE(INDEX($I$117:$I517,402-MA_LONG1):$I517),"")</f>
        <v>7255.31</v>
      </c>
      <c r="Y517" s="48" t="n">
        <f aca="false">IF($U517&gt;=MA_LONG2,AVERAGE(INDEX($I$117:$I517,402-MA_LONG2):$I517),"")</f>
        <v>7456.08</v>
      </c>
      <c r="Z517" s="48" t="n">
        <f aca="false">IF($U517&gt;=MA_SHORT,AVERAGE(INDEX($L$397:$L517,122-MA_SHORT):$L517),"")</f>
        <v>20215297.5</v>
      </c>
      <c r="AA517" s="48" t="n">
        <f aca="false">IF($U517=1,$G517-$H517,MAX($G517-$H517,ABS($G517-$I516),ABS($H517-$I516)))</f>
        <v>211</v>
      </c>
      <c r="AB517" s="48" t="n">
        <f aca="false">IF($U517&gt;=ATR_PER,AVERAGE(INDEX($AA$397:$AA517,122-ATR_PER):$AA517),"")</f>
        <v>290.071428571429</v>
      </c>
      <c r="AC517" s="48" t="n">
        <f aca="false">$O517-$P517</f>
        <v>2395620</v>
      </c>
      <c r="AD517" s="48" t="n">
        <f aca="false">$AC517*$I517</f>
        <v>15319989900</v>
      </c>
      <c r="AE517" s="49" t="n">
        <f aca="false">IF($Q517&gt;0,$O517*$I517/$Q517/1000000,"")</f>
        <v>120.588573898129</v>
      </c>
      <c r="AF517" s="49" t="n">
        <f aca="false">IF($R517&gt;0,$P517*$I517/$R517/1000000,"")</f>
        <v>57.8361980284553</v>
      </c>
      <c r="AG517" s="50" t="n">
        <f aca="false">IF(AND(ISNUMBER($AE517),ISNUMBER($AF517),$AF517&gt;0),$AE517/$AF517,"")</f>
        <v>2.08500174646334</v>
      </c>
      <c r="AH517" s="48" t="n">
        <f aca="false">IF($U517&gt;=5,SUM(INDEX($AD$487:$AD517,32-5):$AD517),"")</f>
        <v>38578290590</v>
      </c>
      <c r="AI517" s="48" t="n">
        <f aca="false">IF($U517&gt;=STRUCT_S,MAX(INDEX($G$367:$G517,152-STRUCT_S):$G517),"")</f>
        <v>7769</v>
      </c>
      <c r="AJ517" s="48" t="n">
        <f aca="false">IF($U517&gt;=STRUCT_S,MIN(INDEX($H$367:$H517,152-STRUCT_S):$H517),"")</f>
        <v>6179</v>
      </c>
      <c r="AK517" s="48" t="n">
        <f aca="false">IF($U517&gt;=STRUCT_L,MAX(INDEX($G$267:$G517,252-STRUCT_L):$G517),"")</f>
        <v>7849</v>
      </c>
      <c r="AL517" s="48" t="n">
        <f aca="false">IF($U517&gt;=STRUCT_L,MIN(INDEX($H$267:$H517,252-STRUCT_L):$H517),"")</f>
        <v>6179</v>
      </c>
      <c r="AM517" s="46" t="n">
        <f aca="false">IF($A517&lt;&gt;$A518,1,0)</f>
        <v>0</v>
      </c>
      <c r="AN517" s="47" t="str">
        <f aca="false">IF($AM517=1,$A517,"")</f>
        <v/>
      </c>
    </row>
    <row r="518" customFormat="false" ht="15" hidden="false" customHeight="false" outlineLevel="0" collapsed="false">
      <c r="A518" s="43" t="s">
        <v>138</v>
      </c>
      <c r="B518" s="44" t="s">
        <v>140</v>
      </c>
      <c r="C518" s="45" t="n">
        <v>46259</v>
      </c>
      <c r="D518" s="46" t="n">
        <v>20260825</v>
      </c>
      <c r="E518" s="47" t="s">
        <v>541</v>
      </c>
      <c r="F518" s="48" t="n">
        <v>6416</v>
      </c>
      <c r="G518" s="48" t="n">
        <v>6498</v>
      </c>
      <c r="H518" s="48" t="n">
        <v>6221</v>
      </c>
      <c r="I518" s="48" t="n">
        <v>6323</v>
      </c>
      <c r="J518" s="48" t="n">
        <v>6415</v>
      </c>
      <c r="K518" s="48" t="n">
        <v>6395</v>
      </c>
      <c r="L518" s="48" t="n">
        <v>15498783</v>
      </c>
      <c r="M518" s="48" t="n">
        <v>97998804909</v>
      </c>
      <c r="N518" s="48" t="n">
        <v>832</v>
      </c>
      <c r="O518" s="48" t="n">
        <v>6779739</v>
      </c>
      <c r="P518" s="48" t="n">
        <v>8687414</v>
      </c>
      <c r="Q518" s="48" t="n">
        <v>498</v>
      </c>
      <c r="R518" s="48" t="n">
        <v>272</v>
      </c>
      <c r="S518" s="48" t="n">
        <v>8719044</v>
      </c>
      <c r="T518" s="48" t="n">
        <v>6811369</v>
      </c>
      <c r="U518" s="46" t="n">
        <f aca="false">IF($A518=$A517,$U517+1,1)</f>
        <v>254</v>
      </c>
      <c r="V518" s="48" t="n">
        <f aca="false">IF($U518&gt;=MA_SHORT,AVERAGE(INDEX($I$118:$I518,402-MA_SHORT):$I518),"")</f>
        <v>6897.6</v>
      </c>
      <c r="W518" s="48" t="n">
        <f aca="false">IF($U518&gt;=MA_MED,AVERAGE(INDEX($I$118:$I518,402-MA_MED):$I518),"")</f>
        <v>7259.96</v>
      </c>
      <c r="X518" s="48" t="n">
        <f aca="false">IF($U518&gt;=MA_LONG1,AVERAGE(INDEX($I$118:$I518,402-MA_LONG1):$I518),"")</f>
        <v>7245.55</v>
      </c>
      <c r="Y518" s="48" t="n">
        <f aca="false">IF($U518&gt;=MA_LONG2,AVERAGE(INDEX($I$118:$I518,402-MA_LONG2):$I518),"")</f>
        <v>7448.75</v>
      </c>
      <c r="Z518" s="48" t="n">
        <f aca="false">IF($U518&gt;=MA_SHORT,AVERAGE(INDEX($L$398:$L518,122-MA_SHORT):$L518),"")</f>
        <v>20091530.4</v>
      </c>
      <c r="AA518" s="48" t="n">
        <f aca="false">IF($U518=1,$G518-$H518,MAX($G518-$H518,ABS($G518-$I517),ABS($H518-$I517)))</f>
        <v>277</v>
      </c>
      <c r="AB518" s="48" t="n">
        <f aca="false">IF($U518&gt;=ATR_PER,AVERAGE(INDEX($AA$398:$AA518,122-ATR_PER):$AA518),"")</f>
        <v>283.714285714286</v>
      </c>
      <c r="AC518" s="48" t="n">
        <f aca="false">$O518-$P518</f>
        <v>-1907675</v>
      </c>
      <c r="AD518" s="48" t="n">
        <f aca="false">$AC518*$I518</f>
        <v>-12062229025</v>
      </c>
      <c r="AE518" s="49" t="n">
        <f aca="false">IF($Q518&gt;0,$O518*$I518/$Q518/1000000,"")</f>
        <v>86.0809030060241</v>
      </c>
      <c r="AF518" s="49" t="n">
        <f aca="false">IF($R518&gt;0,$P518*$I518/$R518/1000000,"")</f>
        <v>201.950436477941</v>
      </c>
      <c r="AG518" s="50" t="n">
        <f aca="false">IF(AND(ISNUMBER($AE518),ISNUMBER($AF518),$AF518&gt;0),$AE518/$AF518,"")</f>
        <v>0.426247670009005</v>
      </c>
      <c r="AH518" s="48" t="n">
        <f aca="false">IF($U518&gt;=5,SUM(INDEX($AD$488:$AD518,32-5):$AD518),"")</f>
        <v>35431254509</v>
      </c>
      <c r="AI518" s="48" t="n">
        <f aca="false">IF($U518&gt;=STRUCT_S,MAX(INDEX($G$368:$G518,152-STRUCT_S):$G518),"")</f>
        <v>7736</v>
      </c>
      <c r="AJ518" s="48" t="n">
        <f aca="false">IF($U518&gt;=STRUCT_S,MIN(INDEX($H$368:$H518,152-STRUCT_S):$H518),"")</f>
        <v>6179</v>
      </c>
      <c r="AK518" s="48" t="n">
        <f aca="false">IF($U518&gt;=STRUCT_L,MAX(INDEX($G$268:$G518,252-STRUCT_L):$G518),"")</f>
        <v>7849</v>
      </c>
      <c r="AL518" s="48" t="n">
        <f aca="false">IF($U518&gt;=STRUCT_L,MIN(INDEX($H$268:$H518,252-STRUCT_L):$H518),"")</f>
        <v>6179</v>
      </c>
      <c r="AM518" s="46" t="n">
        <f aca="false">IF($A518&lt;&gt;$A519,1,0)</f>
        <v>0</v>
      </c>
      <c r="AN518" s="47" t="str">
        <f aca="false">IF($AM518=1,$A518,"")</f>
        <v/>
      </c>
    </row>
    <row r="519" customFormat="false" ht="15" hidden="false" customHeight="false" outlineLevel="0" collapsed="false">
      <c r="A519" s="43" t="s">
        <v>138</v>
      </c>
      <c r="B519" s="44" t="s">
        <v>140</v>
      </c>
      <c r="C519" s="45" t="n">
        <v>46260</v>
      </c>
      <c r="D519" s="46" t="n">
        <v>20260826</v>
      </c>
      <c r="E519" s="47" t="s">
        <v>542</v>
      </c>
      <c r="F519" s="48" t="n">
        <v>6337</v>
      </c>
      <c r="G519" s="48" t="n">
        <v>6407</v>
      </c>
      <c r="H519" s="48" t="n">
        <v>6284</v>
      </c>
      <c r="I519" s="48" t="n">
        <v>6368</v>
      </c>
      <c r="J519" s="48" t="n">
        <v>6324</v>
      </c>
      <c r="K519" s="48" t="n">
        <v>6323</v>
      </c>
      <c r="L519" s="48" t="n">
        <v>16401078</v>
      </c>
      <c r="M519" s="48" t="n">
        <v>104442064704</v>
      </c>
      <c r="N519" s="48" t="n">
        <v>421</v>
      </c>
      <c r="O519" s="48" t="n">
        <v>10223416</v>
      </c>
      <c r="P519" s="48" t="n">
        <v>6436498</v>
      </c>
      <c r="Q519" s="48" t="n">
        <v>155</v>
      </c>
      <c r="R519" s="48" t="n">
        <v>229</v>
      </c>
      <c r="S519" s="48" t="n">
        <v>6177662</v>
      </c>
      <c r="T519" s="48" t="n">
        <v>9964580</v>
      </c>
      <c r="U519" s="46" t="n">
        <f aca="false">IF($A519=$A518,$U518+1,1)</f>
        <v>255</v>
      </c>
      <c r="V519" s="48" t="n">
        <f aca="false">IF($U519&gt;=MA_SHORT,AVERAGE(INDEX($I$119:$I519,402-MA_SHORT):$I519),"")</f>
        <v>6836.9</v>
      </c>
      <c r="W519" s="48" t="n">
        <f aca="false">IF($U519&gt;=MA_MED,AVERAGE(INDEX($I$119:$I519,402-MA_MED):$I519),"")</f>
        <v>7234.82</v>
      </c>
      <c r="X519" s="48" t="n">
        <f aca="false">IF($U519&gt;=MA_LONG1,AVERAGE(INDEX($I$119:$I519,402-MA_LONG1):$I519),"")</f>
        <v>7233.61</v>
      </c>
      <c r="Y519" s="48" t="n">
        <f aca="false">IF($U519&gt;=MA_LONG2,AVERAGE(INDEX($I$119:$I519,402-MA_LONG2):$I519),"")</f>
        <v>7441.85</v>
      </c>
      <c r="Z519" s="48" t="n">
        <f aca="false">IF($U519&gt;=MA_SHORT,AVERAGE(INDEX($L$399:$L519,122-MA_SHORT):$L519),"")</f>
        <v>19766249.2</v>
      </c>
      <c r="AA519" s="48" t="n">
        <f aca="false">IF($U519=1,$G519-$H519,MAX($G519-$H519,ABS($G519-$I518),ABS($H519-$I518)))</f>
        <v>123</v>
      </c>
      <c r="AB519" s="48" t="n">
        <f aca="false">IF($U519&gt;=ATR_PER,AVERAGE(INDEX($AA$399:$AA519,122-ATR_PER):$AA519),"")</f>
        <v>278.5</v>
      </c>
      <c r="AC519" s="48" t="n">
        <f aca="false">$O519-$P519</f>
        <v>3786918</v>
      </c>
      <c r="AD519" s="48" t="n">
        <f aca="false">$AC519*$I519</f>
        <v>24115093824</v>
      </c>
      <c r="AE519" s="49" t="n">
        <f aca="false">IF($Q519&gt;0,$O519*$I519/$Q519/1000000,"")</f>
        <v>420.017503793548</v>
      </c>
      <c r="AF519" s="49" t="n">
        <f aca="false">IF($R519&gt;0,$P519*$I519/$R519/1000000,"")</f>
        <v>178.985236960699</v>
      </c>
      <c r="AG519" s="50" t="n">
        <f aca="false">IF(AND(ISNUMBER($AE519),ISNUMBER($AF519),$AF519&gt;0),$AE519/$AF519,"")</f>
        <v>2.34666004261444</v>
      </c>
      <c r="AH519" s="48" t="n">
        <f aca="false">IF($U519&gt;=5,SUM(INDEX($AD$489:$AD519,32-5):$AD519),"")</f>
        <v>54360864887</v>
      </c>
      <c r="AI519" s="48" t="n">
        <f aca="false">IF($U519&gt;=STRUCT_S,MAX(INDEX($G$369:$G519,152-STRUCT_S):$G519),"")</f>
        <v>7736</v>
      </c>
      <c r="AJ519" s="48" t="n">
        <f aca="false">IF($U519&gt;=STRUCT_S,MIN(INDEX($H$369:$H519,152-STRUCT_S):$H519),"")</f>
        <v>6179</v>
      </c>
      <c r="AK519" s="48" t="n">
        <f aca="false">IF($U519&gt;=STRUCT_L,MAX(INDEX($G$269:$G519,252-STRUCT_L):$G519),"")</f>
        <v>7849</v>
      </c>
      <c r="AL519" s="48" t="n">
        <f aca="false">IF($U519&gt;=STRUCT_L,MIN(INDEX($H$269:$H519,252-STRUCT_L):$H519),"")</f>
        <v>6179</v>
      </c>
      <c r="AM519" s="46" t="n">
        <f aca="false">IF($A519&lt;&gt;$A520,1,0)</f>
        <v>0</v>
      </c>
      <c r="AN519" s="47" t="str">
        <f aca="false">IF($AM519=1,$A519,"")</f>
        <v/>
      </c>
    </row>
    <row r="520" customFormat="false" ht="15" hidden="false" customHeight="false" outlineLevel="0" collapsed="false">
      <c r="A520" s="43" t="s">
        <v>138</v>
      </c>
      <c r="B520" s="44" t="s">
        <v>140</v>
      </c>
      <c r="C520" s="45" t="n">
        <v>46263</v>
      </c>
      <c r="D520" s="46" t="n">
        <v>20260829</v>
      </c>
      <c r="E520" s="47" t="s">
        <v>543</v>
      </c>
      <c r="F520" s="48" t="n">
        <v>6479</v>
      </c>
      <c r="G520" s="48" t="n">
        <v>6571</v>
      </c>
      <c r="H520" s="48" t="n">
        <v>6298</v>
      </c>
      <c r="I520" s="48" t="n">
        <v>6499</v>
      </c>
      <c r="J520" s="48" t="n">
        <v>6555</v>
      </c>
      <c r="K520" s="48" t="n">
        <v>6368</v>
      </c>
      <c r="L520" s="48" t="n">
        <v>16310006</v>
      </c>
      <c r="M520" s="48" t="n">
        <v>105998728994</v>
      </c>
      <c r="N520" s="48" t="n">
        <v>434</v>
      </c>
      <c r="O520" s="48" t="n">
        <v>10296941</v>
      </c>
      <c r="P520" s="48" t="n">
        <v>5880567</v>
      </c>
      <c r="Q520" s="48" t="n">
        <v>171</v>
      </c>
      <c r="R520" s="48" t="n">
        <v>190</v>
      </c>
      <c r="S520" s="48" t="n">
        <v>6013065</v>
      </c>
      <c r="T520" s="48" t="n">
        <v>10429439</v>
      </c>
      <c r="U520" s="46" t="n">
        <f aca="false">IF($A520=$A519,$U519+1,1)</f>
        <v>256</v>
      </c>
      <c r="V520" s="48" t="n">
        <f aca="false">IF($U520&gt;=MA_SHORT,AVERAGE(INDEX($I$120:$I520,402-MA_SHORT):$I520),"")</f>
        <v>6788.7</v>
      </c>
      <c r="W520" s="48" t="n">
        <f aca="false">IF($U520&gt;=MA_MED,AVERAGE(INDEX($I$120:$I520,402-MA_MED):$I520),"")</f>
        <v>7215.36</v>
      </c>
      <c r="X520" s="48" t="n">
        <f aca="false">IF($U520&gt;=MA_LONG1,AVERAGE(INDEX($I$120:$I520,402-MA_LONG1):$I520),"")</f>
        <v>7222.95</v>
      </c>
      <c r="Y520" s="48" t="n">
        <f aca="false">IF($U520&gt;=MA_LONG2,AVERAGE(INDEX($I$120:$I520,402-MA_LONG2):$I520),"")</f>
        <v>7436.015</v>
      </c>
      <c r="Z520" s="48" t="n">
        <f aca="false">IF($U520&gt;=MA_SHORT,AVERAGE(INDEX($L$400:$L520,122-MA_SHORT):$L520),"")</f>
        <v>19675681.5</v>
      </c>
      <c r="AA520" s="48" t="n">
        <f aca="false">IF($U520=1,$G520-$H520,MAX($G520-$H520,ABS($G520-$I519),ABS($H520-$I519)))</f>
        <v>273</v>
      </c>
      <c r="AB520" s="48" t="n">
        <f aca="false">IF($U520&gt;=ATR_PER,AVERAGE(INDEX($AA$400:$AA520,122-ATR_PER):$AA520),"")</f>
        <v>266.571428571429</v>
      </c>
      <c r="AC520" s="48" t="n">
        <f aca="false">$O520-$P520</f>
        <v>4416374</v>
      </c>
      <c r="AD520" s="48" t="n">
        <f aca="false">$AC520*$I520</f>
        <v>28702014626</v>
      </c>
      <c r="AE520" s="49" t="n">
        <f aca="false">IF($Q520&gt;0,$O520*$I520/$Q520/1000000,"")</f>
        <v>391.34397402924</v>
      </c>
      <c r="AF520" s="49" t="n">
        <f aca="false">IF($R520&gt;0,$P520*$I520/$R520/1000000,"")</f>
        <v>201.146341752632</v>
      </c>
      <c r="AG520" s="50" t="n">
        <f aca="false">IF(AND(ISNUMBER($AE520),ISNUMBER($AF520),$AF520&gt;0),$AE520/$AF520,"")</f>
        <v>1.94556843847805</v>
      </c>
      <c r="AH520" s="48" t="n">
        <f aca="false">IF($U520&gt;=5,SUM(INDEX($AD$490:$AD520,32-5):$AD520),"")</f>
        <v>72159647113</v>
      </c>
      <c r="AI520" s="48" t="n">
        <f aca="false">IF($U520&gt;=STRUCT_S,MAX(INDEX($G$370:$G520,152-STRUCT_S):$G520),"")</f>
        <v>7512</v>
      </c>
      <c r="AJ520" s="48" t="n">
        <f aca="false">IF($U520&gt;=STRUCT_S,MIN(INDEX($H$370:$H520,152-STRUCT_S):$H520),"")</f>
        <v>6179</v>
      </c>
      <c r="AK520" s="48" t="n">
        <f aca="false">IF($U520&gt;=STRUCT_L,MAX(INDEX($G$270:$G520,252-STRUCT_L):$G520),"")</f>
        <v>7849</v>
      </c>
      <c r="AL520" s="48" t="n">
        <f aca="false">IF($U520&gt;=STRUCT_L,MIN(INDEX($H$270:$H520,252-STRUCT_L):$H520),"")</f>
        <v>6179</v>
      </c>
      <c r="AM520" s="46" t="n">
        <f aca="false">IF($A520&lt;&gt;$A521,1,0)</f>
        <v>0</v>
      </c>
      <c r="AN520" s="47" t="str">
        <f aca="false">IF($AM520=1,$A520,"")</f>
        <v/>
      </c>
    </row>
    <row r="521" customFormat="false" ht="15" hidden="false" customHeight="false" outlineLevel="0" collapsed="false">
      <c r="A521" s="43" t="s">
        <v>138</v>
      </c>
      <c r="B521" s="44" t="s">
        <v>140</v>
      </c>
      <c r="C521" s="45" t="n">
        <v>46264</v>
      </c>
      <c r="D521" s="46" t="n">
        <v>20260830</v>
      </c>
      <c r="E521" s="47" t="s">
        <v>544</v>
      </c>
      <c r="F521" s="48" t="n">
        <v>6553</v>
      </c>
      <c r="G521" s="48" t="n">
        <v>6677</v>
      </c>
      <c r="H521" s="48" t="n">
        <v>6221</v>
      </c>
      <c r="I521" s="48" t="n">
        <v>6396</v>
      </c>
      <c r="J521" s="48" t="n">
        <v>6337</v>
      </c>
      <c r="K521" s="48" t="n">
        <v>6499</v>
      </c>
      <c r="L521" s="48" t="n">
        <v>15933187</v>
      </c>
      <c r="M521" s="48" t="n">
        <v>101908664052</v>
      </c>
      <c r="N521" s="48" t="n">
        <v>1101</v>
      </c>
      <c r="O521" s="48" t="n">
        <v>8170836</v>
      </c>
      <c r="P521" s="48" t="n">
        <v>7952373</v>
      </c>
      <c r="Q521" s="48" t="n">
        <v>580</v>
      </c>
      <c r="R521" s="48" t="n">
        <v>308</v>
      </c>
      <c r="S521" s="48" t="n">
        <v>7762351</v>
      </c>
      <c r="T521" s="48" t="n">
        <v>7980814</v>
      </c>
      <c r="U521" s="46" t="n">
        <f aca="false">IF($A521=$A520,$U520+1,1)</f>
        <v>257</v>
      </c>
      <c r="V521" s="48" t="n">
        <f aca="false">IF($U521&gt;=MA_SHORT,AVERAGE(INDEX($I$121:$I521,402-MA_SHORT):$I521),"")</f>
        <v>6739.45</v>
      </c>
      <c r="W521" s="48" t="n">
        <f aca="false">IF($U521&gt;=MA_MED,AVERAGE(INDEX($I$121:$I521,402-MA_MED):$I521),"")</f>
        <v>7194.76</v>
      </c>
      <c r="X521" s="48" t="n">
        <f aca="false">IF($U521&gt;=MA_LONG1,AVERAGE(INDEX($I$121:$I521,402-MA_LONG1):$I521),"")</f>
        <v>7210.95</v>
      </c>
      <c r="Y521" s="48" t="n">
        <f aca="false">IF($U521&gt;=MA_LONG2,AVERAGE(INDEX($I$121:$I521,402-MA_LONG2):$I521),"")</f>
        <v>7429.025</v>
      </c>
      <c r="Z521" s="48" t="n">
        <f aca="false">IF($U521&gt;=MA_SHORT,AVERAGE(INDEX($L$401:$L521,122-MA_SHORT):$L521),"")</f>
        <v>19519174.7</v>
      </c>
      <c r="AA521" s="48" t="n">
        <f aca="false">IF($U521=1,$G521-$H521,MAX($G521-$H521,ABS($G521-$I520),ABS($H521-$I520)))</f>
        <v>456</v>
      </c>
      <c r="AB521" s="48" t="n">
        <f aca="false">IF($U521&gt;=ATR_PER,AVERAGE(INDEX($AA$401:$AA521,122-ATR_PER):$AA521),"")</f>
        <v>282.5</v>
      </c>
      <c r="AC521" s="48" t="n">
        <f aca="false">$O521-$P521</f>
        <v>218463</v>
      </c>
      <c r="AD521" s="48" t="n">
        <f aca="false">$AC521*$I521</f>
        <v>1397289348</v>
      </c>
      <c r="AE521" s="49" t="n">
        <f aca="false">IF($Q521&gt;0,$O521*$I521/$Q521/1000000,"")</f>
        <v>90.1045983724138</v>
      </c>
      <c r="AF521" s="49" t="n">
        <f aca="false">IF($R521&gt;0,$P521*$I521/$R521/1000000,"")</f>
        <v>165.140836714286</v>
      </c>
      <c r="AG521" s="50" t="n">
        <f aca="false">IF(AND(ISNUMBER($AE521),ISNUMBER($AF521),$AF521&gt;0),$AE521/$AF521,"")</f>
        <v>0.545622755492671</v>
      </c>
      <c r="AH521" s="48" t="n">
        <f aca="false">IF($U521&gt;=5,SUM(INDEX($AD$491:$AD521,32-5):$AD521),"")</f>
        <v>57472158673</v>
      </c>
      <c r="AI521" s="48" t="n">
        <f aca="false">IF($U521&gt;=STRUCT_S,MAX(INDEX($G$371:$G521,152-STRUCT_S):$G521),"")</f>
        <v>7512</v>
      </c>
      <c r="AJ521" s="48" t="n">
        <f aca="false">IF($U521&gt;=STRUCT_S,MIN(INDEX($H$371:$H521,152-STRUCT_S):$H521),"")</f>
        <v>6179</v>
      </c>
      <c r="AK521" s="48" t="n">
        <f aca="false">IF($U521&gt;=STRUCT_L,MAX(INDEX($G$271:$G521,252-STRUCT_L):$G521),"")</f>
        <v>7849</v>
      </c>
      <c r="AL521" s="48" t="n">
        <f aca="false">IF($U521&gt;=STRUCT_L,MIN(INDEX($H$271:$H521,252-STRUCT_L):$H521),"")</f>
        <v>6179</v>
      </c>
      <c r="AM521" s="46" t="n">
        <f aca="false">IF($A521&lt;&gt;$A522,1,0)</f>
        <v>0</v>
      </c>
      <c r="AN521" s="47" t="str">
        <f aca="false">IF($AM521=1,$A521,"")</f>
        <v/>
      </c>
    </row>
    <row r="522" customFormat="false" ht="15" hidden="false" customHeight="false" outlineLevel="0" collapsed="false">
      <c r="A522" s="43" t="s">
        <v>138</v>
      </c>
      <c r="B522" s="44" t="s">
        <v>140</v>
      </c>
      <c r="C522" s="45" t="n">
        <v>46265</v>
      </c>
      <c r="D522" s="46" t="n">
        <v>20260831</v>
      </c>
      <c r="E522" s="47" t="s">
        <v>545</v>
      </c>
      <c r="F522" s="48" t="n">
        <v>6335</v>
      </c>
      <c r="G522" s="48" t="n">
        <v>6608</v>
      </c>
      <c r="H522" s="48" t="n">
        <v>6314</v>
      </c>
      <c r="I522" s="48" t="n">
        <v>6524</v>
      </c>
      <c r="J522" s="48" t="n">
        <v>6322</v>
      </c>
      <c r="K522" s="48" t="n">
        <v>6396</v>
      </c>
      <c r="L522" s="48" t="n">
        <v>16261304</v>
      </c>
      <c r="M522" s="48" t="n">
        <v>106088747296</v>
      </c>
      <c r="N522" s="48" t="n">
        <v>1678</v>
      </c>
      <c r="O522" s="48" t="n">
        <v>9212883</v>
      </c>
      <c r="P522" s="48" t="n">
        <v>7558337</v>
      </c>
      <c r="Q522" s="48" t="n">
        <v>433</v>
      </c>
      <c r="R522" s="48" t="n">
        <v>766</v>
      </c>
      <c r="S522" s="48" t="n">
        <v>7048421</v>
      </c>
      <c r="T522" s="48" t="n">
        <v>8702967</v>
      </c>
      <c r="U522" s="46" t="n">
        <f aca="false">IF($A522=$A521,$U521+1,1)</f>
        <v>258</v>
      </c>
      <c r="V522" s="48" t="n">
        <f aca="false">IF($U522&gt;=MA_SHORT,AVERAGE(INDEX($I$122:$I522,402-MA_SHORT):$I522),"")</f>
        <v>6702.35</v>
      </c>
      <c r="W522" s="48" t="n">
        <f aca="false">IF($U522&gt;=MA_MED,AVERAGE(INDEX($I$122:$I522,402-MA_MED):$I522),"")</f>
        <v>7179.04</v>
      </c>
      <c r="X522" s="48" t="n">
        <f aca="false">IF($U522&gt;=MA_LONG1,AVERAGE(INDEX($I$122:$I522,402-MA_LONG1):$I522),"")</f>
        <v>7199.51</v>
      </c>
      <c r="Y522" s="48" t="n">
        <f aca="false">IF($U522&gt;=MA_LONG2,AVERAGE(INDEX($I$122:$I522,402-MA_LONG2):$I522),"")</f>
        <v>7423.545</v>
      </c>
      <c r="Z522" s="48" t="n">
        <f aca="false">IF($U522&gt;=MA_SHORT,AVERAGE(INDEX($L$402:$L522,122-MA_SHORT):$L522),"")</f>
        <v>19538477.75</v>
      </c>
      <c r="AA522" s="48" t="n">
        <f aca="false">IF($U522=1,$G522-$H522,MAX($G522-$H522,ABS($G522-$I521),ABS($H522-$I521)))</f>
        <v>294</v>
      </c>
      <c r="AB522" s="48" t="n">
        <f aca="false">IF($U522&gt;=ATR_PER,AVERAGE(INDEX($AA$402:$AA522,122-ATR_PER):$AA522),"")</f>
        <v>287.214285714286</v>
      </c>
      <c r="AC522" s="48" t="n">
        <f aca="false">$O522-$P522</f>
        <v>1654546</v>
      </c>
      <c r="AD522" s="48" t="n">
        <f aca="false">$AC522*$I522</f>
        <v>10794258104</v>
      </c>
      <c r="AE522" s="49" t="n">
        <f aca="false">IF($Q522&gt;0,$O522*$I522/$Q522/1000000,"")</f>
        <v>138.810274115473</v>
      </c>
      <c r="AF522" s="49" t="n">
        <f aca="false">IF($R522&gt;0,$P522*$I522/$R522/1000000,"")</f>
        <v>64.3741391488251</v>
      </c>
      <c r="AG522" s="50" t="n">
        <f aca="false">IF(AND(ISNUMBER($AE522),ISNUMBER($AF522),$AF522&gt;0),$AE522/$AF522,"")</f>
        <v>2.15630493783476</v>
      </c>
      <c r="AH522" s="48" t="n">
        <f aca="false">IF($U522&gt;=5,SUM(INDEX($AD$492:$AD522,32-5):$AD522),"")</f>
        <v>52946426877</v>
      </c>
      <c r="AI522" s="48" t="n">
        <f aca="false">IF($U522&gt;=STRUCT_S,MAX(INDEX($G$372:$G522,152-STRUCT_S):$G522),"")</f>
        <v>7477</v>
      </c>
      <c r="AJ522" s="48" t="n">
        <f aca="false">IF($U522&gt;=STRUCT_S,MIN(INDEX($H$372:$H522,152-STRUCT_S):$H522),"")</f>
        <v>6179</v>
      </c>
      <c r="AK522" s="48" t="n">
        <f aca="false">IF($U522&gt;=STRUCT_L,MAX(INDEX($G$272:$G522,252-STRUCT_L):$G522),"")</f>
        <v>7849</v>
      </c>
      <c r="AL522" s="48" t="n">
        <f aca="false">IF($U522&gt;=STRUCT_L,MIN(INDEX($H$272:$H522,252-STRUCT_L):$H522),"")</f>
        <v>6179</v>
      </c>
      <c r="AM522" s="46" t="n">
        <f aca="false">IF($A522&lt;&gt;$A523,1,0)</f>
        <v>0</v>
      </c>
      <c r="AN522" s="47" t="str">
        <f aca="false">IF($AM522=1,$A522,"")</f>
        <v/>
      </c>
    </row>
    <row r="523" customFormat="false" ht="15" hidden="false" customHeight="false" outlineLevel="0" collapsed="false">
      <c r="A523" s="43" t="s">
        <v>138</v>
      </c>
      <c r="B523" s="44" t="s">
        <v>140</v>
      </c>
      <c r="C523" s="45" t="n">
        <v>46266</v>
      </c>
      <c r="D523" s="46" t="n">
        <v>20260901</v>
      </c>
      <c r="E523" s="47" t="s">
        <v>546</v>
      </c>
      <c r="F523" s="48" t="n">
        <v>6519</v>
      </c>
      <c r="G523" s="48" t="n">
        <v>6820</v>
      </c>
      <c r="H523" s="48" t="n">
        <v>6438</v>
      </c>
      <c r="I523" s="48" t="n">
        <v>6731</v>
      </c>
      <c r="J523" s="48" t="n">
        <v>6743</v>
      </c>
      <c r="K523" s="48" t="n">
        <v>6524</v>
      </c>
      <c r="L523" s="48" t="n">
        <v>17281908</v>
      </c>
      <c r="M523" s="48" t="n">
        <v>116324522748</v>
      </c>
      <c r="N523" s="48" t="n">
        <v>1351</v>
      </c>
      <c r="O523" s="48" t="n">
        <v>11538694</v>
      </c>
      <c r="P523" s="48" t="n">
        <v>6213118</v>
      </c>
      <c r="Q523" s="48" t="n">
        <v>568</v>
      </c>
      <c r="R523" s="48" t="n">
        <v>902</v>
      </c>
      <c r="S523" s="48" t="n">
        <v>5743214</v>
      </c>
      <c r="T523" s="48" t="n">
        <v>11068790</v>
      </c>
      <c r="U523" s="46" t="n">
        <f aca="false">IF($A523=$A522,$U522+1,1)</f>
        <v>259</v>
      </c>
      <c r="V523" s="48" t="n">
        <f aca="false">IF($U523&gt;=MA_SHORT,AVERAGE(INDEX($I$123:$I523,402-MA_SHORT):$I523),"")</f>
        <v>6669.85</v>
      </c>
      <c r="W523" s="48" t="n">
        <f aca="false">IF($U523&gt;=MA_MED,AVERAGE(INDEX($I$123:$I523,402-MA_MED):$I523),"")</f>
        <v>7165.12</v>
      </c>
      <c r="X523" s="48" t="n">
        <f aca="false">IF($U523&gt;=MA_LONG1,AVERAGE(INDEX($I$123:$I523,402-MA_LONG1):$I523),"")</f>
        <v>7190.96</v>
      </c>
      <c r="Y523" s="48" t="n">
        <f aca="false">IF($U523&gt;=MA_LONG2,AVERAGE(INDEX($I$123:$I523,402-MA_LONG2):$I523),"")</f>
        <v>7417.98</v>
      </c>
      <c r="Z523" s="48" t="n">
        <f aca="false">IF($U523&gt;=MA_SHORT,AVERAGE(INDEX($L$403:$L523,122-MA_SHORT):$L523),"")</f>
        <v>18725889.45</v>
      </c>
      <c r="AA523" s="48" t="n">
        <f aca="false">IF($U523=1,$G523-$H523,MAX($G523-$H523,ABS($G523-$I522),ABS($H523-$I522)))</f>
        <v>382</v>
      </c>
      <c r="AB523" s="48" t="n">
        <f aca="false">IF($U523&gt;=ATR_PER,AVERAGE(INDEX($AA$403:$AA523,122-ATR_PER):$AA523),"")</f>
        <v>303</v>
      </c>
      <c r="AC523" s="48" t="n">
        <f aca="false">$O523-$P523</f>
        <v>5325576</v>
      </c>
      <c r="AD523" s="48" t="n">
        <f aca="false">$AC523*$I523</f>
        <v>35846452056</v>
      </c>
      <c r="AE523" s="49" t="n">
        <f aca="false">IF($Q523&gt;0,$O523*$I523/$Q523/1000000,"")</f>
        <v>136.737586820423</v>
      </c>
      <c r="AF523" s="49" t="n">
        <f aca="false">IF($R523&gt;0,$P523*$I523/$R523/1000000,"")</f>
        <v>46.3641876474501</v>
      </c>
      <c r="AG523" s="50" t="n">
        <f aca="false">IF(AND(ISNUMBER($AE523),ISNUMBER($AF523),$AF523&gt;0),$AE523/$AF523,"")</f>
        <v>2.94920700132104</v>
      </c>
      <c r="AH523" s="48" t="n">
        <f aca="false">IF($U523&gt;=5,SUM(INDEX($AD$493:$AD523,32-5):$AD523),"")</f>
        <v>100855107958</v>
      </c>
      <c r="AI523" s="48" t="n">
        <f aca="false">IF($U523&gt;=STRUCT_S,MAX(INDEX($G$373:$G523,152-STRUCT_S):$G523),"")</f>
        <v>7477</v>
      </c>
      <c r="AJ523" s="48" t="n">
        <f aca="false">IF($U523&gt;=STRUCT_S,MIN(INDEX($H$373:$H523,152-STRUCT_S):$H523),"")</f>
        <v>6179</v>
      </c>
      <c r="AK523" s="48" t="n">
        <f aca="false">IF($U523&gt;=STRUCT_L,MAX(INDEX($G$273:$G523,252-STRUCT_L):$G523),"")</f>
        <v>7849</v>
      </c>
      <c r="AL523" s="48" t="n">
        <f aca="false">IF($U523&gt;=STRUCT_L,MIN(INDEX($H$273:$H523,252-STRUCT_L):$H523),"")</f>
        <v>6179</v>
      </c>
      <c r="AM523" s="46" t="n">
        <f aca="false">IF($A523&lt;&gt;$A524,1,0)</f>
        <v>0</v>
      </c>
      <c r="AN523" s="47" t="str">
        <f aca="false">IF($AM523=1,$A523,"")</f>
        <v/>
      </c>
    </row>
    <row r="524" customFormat="false" ht="15" hidden="false" customHeight="false" outlineLevel="0" collapsed="false">
      <c r="A524" s="43" t="s">
        <v>138</v>
      </c>
      <c r="B524" s="44" t="s">
        <v>140</v>
      </c>
      <c r="C524" s="45" t="n">
        <v>46267</v>
      </c>
      <c r="D524" s="46" t="n">
        <v>20260902</v>
      </c>
      <c r="E524" s="47" t="s">
        <v>547</v>
      </c>
      <c r="F524" s="48" t="n">
        <v>6778</v>
      </c>
      <c r="G524" s="48" t="n">
        <v>6789</v>
      </c>
      <c r="H524" s="48" t="n">
        <v>6630</v>
      </c>
      <c r="I524" s="48" t="n">
        <v>6687</v>
      </c>
      <c r="J524" s="48" t="n">
        <v>6713</v>
      </c>
      <c r="K524" s="48" t="n">
        <v>6731</v>
      </c>
      <c r="L524" s="48" t="n">
        <v>18522022</v>
      </c>
      <c r="M524" s="48" t="n">
        <v>123856761114</v>
      </c>
      <c r="N524" s="48" t="n">
        <v>838</v>
      </c>
      <c r="O524" s="48" t="n">
        <v>9190607</v>
      </c>
      <c r="P524" s="48" t="n">
        <v>10626003</v>
      </c>
      <c r="Q524" s="48" t="n">
        <v>426</v>
      </c>
      <c r="R524" s="48" t="n">
        <v>298</v>
      </c>
      <c r="S524" s="48" t="n">
        <v>9331415</v>
      </c>
      <c r="T524" s="48" t="n">
        <v>7896019</v>
      </c>
      <c r="U524" s="46" t="n">
        <f aca="false">IF($A524=$A523,$U523+1,1)</f>
        <v>260</v>
      </c>
      <c r="V524" s="48" t="n">
        <f aca="false">IF($U524&gt;=MA_SHORT,AVERAGE(INDEX($I$124:$I524,402-MA_SHORT):$I524),"")</f>
        <v>6643.95</v>
      </c>
      <c r="W524" s="48" t="n">
        <f aca="false">IF($U524&gt;=MA_MED,AVERAGE(INDEX($I$124:$I524,402-MA_MED):$I524),"")</f>
        <v>7150.52</v>
      </c>
      <c r="X524" s="48" t="n">
        <f aca="false">IF($U524&gt;=MA_LONG1,AVERAGE(INDEX($I$124:$I524,402-MA_LONG1):$I524),"")</f>
        <v>7182.69</v>
      </c>
      <c r="Y524" s="48" t="n">
        <f aca="false">IF($U524&gt;=MA_LONG2,AVERAGE(INDEX($I$124:$I524,402-MA_LONG2):$I524),"")</f>
        <v>7412.74</v>
      </c>
      <c r="Z524" s="48" t="n">
        <f aca="false">IF($U524&gt;=MA_SHORT,AVERAGE(INDEX($L$404:$L524,122-MA_SHORT):$L524),"")</f>
        <v>18822233.2</v>
      </c>
      <c r="AA524" s="48" t="n">
        <f aca="false">IF($U524=1,$G524-$H524,MAX($G524-$H524,ABS($G524-$I523),ABS($H524-$I523)))</f>
        <v>159</v>
      </c>
      <c r="AB524" s="48" t="n">
        <f aca="false">IF($U524&gt;=ATR_PER,AVERAGE(INDEX($AA$404:$AA524,122-ATR_PER):$AA524),"")</f>
        <v>296.785714285714</v>
      </c>
      <c r="AC524" s="48" t="n">
        <f aca="false">$O524-$P524</f>
        <v>-1435396</v>
      </c>
      <c r="AD524" s="48" t="n">
        <f aca="false">$AC524*$I524</f>
        <v>-9598493052</v>
      </c>
      <c r="AE524" s="49" t="n">
        <f aca="false">IF($Q524&gt;0,$O524*$I524/$Q524/1000000,"")</f>
        <v>144.266640866197</v>
      </c>
      <c r="AF524" s="49" t="n">
        <f aca="false">IF($R524&gt;0,$P524*$I524/$R524/1000000,"")</f>
        <v>238.443228392617</v>
      </c>
      <c r="AG524" s="50" t="n">
        <f aca="false">IF(AND(ISNUMBER($AE524),ISNUMBER($AF524),$AF524&gt;0),$AE524/$AF524,"")</f>
        <v>0.605035596266335</v>
      </c>
      <c r="AH524" s="48" t="n">
        <f aca="false">IF($U524&gt;=5,SUM(INDEX($AD$494:$AD524,32-5):$AD524),"")</f>
        <v>67141521082</v>
      </c>
      <c r="AI524" s="48" t="n">
        <f aca="false">IF($U524&gt;=STRUCT_S,MAX(INDEX($G$374:$G524,152-STRUCT_S):$G524),"")</f>
        <v>7285</v>
      </c>
      <c r="AJ524" s="48" t="n">
        <f aca="false">IF($U524&gt;=STRUCT_S,MIN(INDEX($H$374:$H524,152-STRUCT_S):$H524),"")</f>
        <v>6179</v>
      </c>
      <c r="AK524" s="48" t="n">
        <f aca="false">IF($U524&gt;=STRUCT_L,MAX(INDEX($G$274:$G524,252-STRUCT_L):$G524),"")</f>
        <v>7849</v>
      </c>
      <c r="AL524" s="48" t="n">
        <f aca="false">IF($U524&gt;=STRUCT_L,MIN(INDEX($H$274:$H524,252-STRUCT_L):$H524),"")</f>
        <v>6179</v>
      </c>
      <c r="AM524" s="46" t="n">
        <f aca="false">IF($A524&lt;&gt;$A525,1,0)</f>
        <v>1</v>
      </c>
      <c r="AN524" s="47" t="str">
        <f aca="false">IF($AM524=1,$A524,"")</f>
        <v>فملي</v>
      </c>
    </row>
    <row r="525" customFormat="false" ht="15" hidden="false" customHeight="false" outlineLevel="0" collapsed="false">
      <c r="A525" s="43" t="s">
        <v>142</v>
      </c>
      <c r="B525" s="44" t="s">
        <v>144</v>
      </c>
      <c r="C525" s="45" t="n">
        <v>45906</v>
      </c>
      <c r="D525" s="46" t="n">
        <v>20250906</v>
      </c>
      <c r="E525" s="47" t="s">
        <v>288</v>
      </c>
      <c r="F525" s="48" t="n">
        <v>3170</v>
      </c>
      <c r="G525" s="48" t="n">
        <v>3226</v>
      </c>
      <c r="H525" s="48" t="n">
        <v>3131</v>
      </c>
      <c r="I525" s="48" t="n">
        <v>3180</v>
      </c>
      <c r="J525" s="48" t="n">
        <v>3209</v>
      </c>
      <c r="K525" s="48" t="n">
        <v>3177</v>
      </c>
      <c r="L525" s="48" t="n">
        <v>50277072</v>
      </c>
      <c r="M525" s="48" t="n">
        <v>159881088960</v>
      </c>
      <c r="N525" s="48" t="n">
        <v>1249</v>
      </c>
      <c r="O525" s="48" t="n">
        <v>23288523</v>
      </c>
      <c r="P525" s="48" t="n">
        <v>26309417</v>
      </c>
      <c r="Q525" s="48" t="n">
        <v>343</v>
      </c>
      <c r="R525" s="48" t="n">
        <v>526</v>
      </c>
      <c r="S525" s="48" t="n">
        <v>26988549</v>
      </c>
      <c r="T525" s="48" t="n">
        <v>23967655</v>
      </c>
      <c r="U525" s="46" t="n">
        <f aca="false">IF($A525=$A524,$U524+1,1)</f>
        <v>1</v>
      </c>
      <c r="V525" s="48" t="str">
        <f aca="false">IF($U525&gt;=MA_SHORT,AVERAGE(INDEX($I$125:$I525,402-MA_SHORT):$I525),"")</f>
        <v/>
      </c>
      <c r="W525" s="48" t="str">
        <f aca="false">IF($U525&gt;=MA_MED,AVERAGE(INDEX($I$125:$I525,402-MA_MED):$I525),"")</f>
        <v/>
      </c>
      <c r="X525" s="48" t="str">
        <f aca="false">IF($U525&gt;=MA_LONG1,AVERAGE(INDEX($I$125:$I525,402-MA_LONG1):$I525),"")</f>
        <v/>
      </c>
      <c r="Y525" s="48" t="str">
        <f aca="false">IF($U525&gt;=MA_LONG2,AVERAGE(INDEX($I$125:$I525,402-MA_LONG2):$I525),"")</f>
        <v/>
      </c>
      <c r="Z525" s="48" t="str">
        <f aca="false">IF($U525&gt;=MA_SHORT,AVERAGE(INDEX($L$405:$L525,122-MA_SHORT):$L525),"")</f>
        <v/>
      </c>
      <c r="AA525" s="48" t="n">
        <f aca="false">IF($U525=1,$G525-$H525,MAX($G525-$H525,ABS($G525-$I524),ABS($H525-$I524)))</f>
        <v>95</v>
      </c>
      <c r="AB525" s="48" t="str">
        <f aca="false">IF($U525&gt;=ATR_PER,AVERAGE(INDEX($AA$405:$AA525,122-ATR_PER):$AA525),"")</f>
        <v/>
      </c>
      <c r="AC525" s="48" t="n">
        <f aca="false">$O525-$P525</f>
        <v>-3020894</v>
      </c>
      <c r="AD525" s="48" t="n">
        <f aca="false">$AC525*$I525</f>
        <v>-9606442920</v>
      </c>
      <c r="AE525" s="49" t="n">
        <f aca="false">IF($Q525&gt;0,$O525*$I525/$Q525/1000000,"")</f>
        <v>215.91108787172</v>
      </c>
      <c r="AF525" s="49" t="n">
        <f aca="false">IF($R525&gt;0,$P525*$I525/$R525/1000000,"")</f>
        <v>159.056931673004</v>
      </c>
      <c r="AG525" s="50" t="n">
        <f aca="false">IF(AND(ISNUMBER($AE525),ISNUMBER($AF525),$AF525&gt;0),$AE525/$AF525,"")</f>
        <v>1.3574453222548</v>
      </c>
      <c r="AH525" s="48" t="str">
        <f aca="false">IF($U525&gt;=5,SUM(INDEX($AD$495:$AD525,32-5):$AD525),"")</f>
        <v/>
      </c>
      <c r="AI525" s="48" t="str">
        <f aca="false">IF($U525&gt;=STRUCT_S,MAX(INDEX($G$375:$G525,152-STRUCT_S):$G525),"")</f>
        <v/>
      </c>
      <c r="AJ525" s="48" t="str">
        <f aca="false">IF($U525&gt;=STRUCT_S,MIN(INDEX($H$375:$H525,152-STRUCT_S):$H525),"")</f>
        <v/>
      </c>
      <c r="AK525" s="48" t="str">
        <f aca="false">IF($U525&gt;=STRUCT_L,MAX(INDEX($G$275:$G525,252-STRUCT_L):$G525),"")</f>
        <v/>
      </c>
      <c r="AL525" s="48" t="str">
        <f aca="false">IF($U525&gt;=STRUCT_L,MIN(INDEX($H$275:$H525,252-STRUCT_L):$H525),"")</f>
        <v/>
      </c>
      <c r="AM525" s="46" t="n">
        <f aca="false">IF($A525&lt;&gt;$A526,1,0)</f>
        <v>0</v>
      </c>
      <c r="AN525" s="47" t="str">
        <f aca="false">IF($AM525=1,$A525,"")</f>
        <v/>
      </c>
    </row>
    <row r="526" customFormat="false" ht="15" hidden="false" customHeight="false" outlineLevel="0" collapsed="false">
      <c r="A526" s="43" t="s">
        <v>142</v>
      </c>
      <c r="B526" s="44" t="s">
        <v>144</v>
      </c>
      <c r="C526" s="45" t="n">
        <v>45907</v>
      </c>
      <c r="D526" s="46" t="n">
        <v>20250907</v>
      </c>
      <c r="E526" s="47" t="s">
        <v>289</v>
      </c>
      <c r="F526" s="48" t="n">
        <v>3187</v>
      </c>
      <c r="G526" s="48" t="n">
        <v>3238</v>
      </c>
      <c r="H526" s="48" t="n">
        <v>3145</v>
      </c>
      <c r="I526" s="48" t="n">
        <v>3203</v>
      </c>
      <c r="J526" s="48" t="n">
        <v>3220</v>
      </c>
      <c r="K526" s="48" t="n">
        <v>3180</v>
      </c>
      <c r="L526" s="48" t="n">
        <v>92868934</v>
      </c>
      <c r="M526" s="48" t="n">
        <v>297459195602</v>
      </c>
      <c r="N526" s="48" t="n">
        <v>5886</v>
      </c>
      <c r="O526" s="48" t="n">
        <v>54514842</v>
      </c>
      <c r="P526" s="48" t="n">
        <v>37532746</v>
      </c>
      <c r="Q526" s="48" t="n">
        <v>1972</v>
      </c>
      <c r="R526" s="48" t="n">
        <v>2608</v>
      </c>
      <c r="S526" s="48" t="n">
        <v>38354092</v>
      </c>
      <c r="T526" s="48" t="n">
        <v>55336188</v>
      </c>
      <c r="U526" s="46" t="n">
        <f aca="false">IF($A526=$A525,$U525+1,1)</f>
        <v>2</v>
      </c>
      <c r="V526" s="48" t="str">
        <f aca="false">IF($U526&gt;=MA_SHORT,AVERAGE(INDEX($I$126:$I526,402-MA_SHORT):$I526),"")</f>
        <v/>
      </c>
      <c r="W526" s="48" t="str">
        <f aca="false">IF($U526&gt;=MA_MED,AVERAGE(INDEX($I$126:$I526,402-MA_MED):$I526),"")</f>
        <v/>
      </c>
      <c r="X526" s="48" t="str">
        <f aca="false">IF($U526&gt;=MA_LONG1,AVERAGE(INDEX($I$126:$I526,402-MA_LONG1):$I526),"")</f>
        <v/>
      </c>
      <c r="Y526" s="48" t="str">
        <f aca="false">IF($U526&gt;=MA_LONG2,AVERAGE(INDEX($I$126:$I526,402-MA_LONG2):$I526),"")</f>
        <v/>
      </c>
      <c r="Z526" s="48" t="str">
        <f aca="false">IF($U526&gt;=MA_SHORT,AVERAGE(INDEX($L$406:$L526,122-MA_SHORT):$L526),"")</f>
        <v/>
      </c>
      <c r="AA526" s="48" t="n">
        <f aca="false">IF($U526=1,$G526-$H526,MAX($G526-$H526,ABS($G526-$I525),ABS($H526-$I525)))</f>
        <v>93</v>
      </c>
      <c r="AB526" s="48" t="str">
        <f aca="false">IF($U526&gt;=ATR_PER,AVERAGE(INDEX($AA$406:$AA526,122-ATR_PER):$AA526),"")</f>
        <v/>
      </c>
      <c r="AC526" s="48" t="n">
        <f aca="false">$O526-$P526</f>
        <v>16982096</v>
      </c>
      <c r="AD526" s="48" t="n">
        <f aca="false">$AC526*$I526</f>
        <v>54393653488</v>
      </c>
      <c r="AE526" s="49" t="n">
        <f aca="false">IF($Q526&gt;0,$O526*$I526/$Q526/1000000,"")</f>
        <v>88.5451515851927</v>
      </c>
      <c r="AF526" s="49" t="n">
        <f aca="false">IF($R526&gt;0,$P526*$I526/$R526/1000000,"")</f>
        <v>46.0956232507669</v>
      </c>
      <c r="AG526" s="50" t="n">
        <f aca="false">IF(AND(ISNUMBER($AE526),ISNUMBER($AF526),$AF526&gt;0),$AE526/$AF526,"")</f>
        <v>1.92090149434566</v>
      </c>
      <c r="AH526" s="48" t="str">
        <f aca="false">IF($U526&gt;=5,SUM(INDEX($AD$496:$AD526,32-5):$AD526),"")</f>
        <v/>
      </c>
      <c r="AI526" s="48" t="str">
        <f aca="false">IF($U526&gt;=STRUCT_S,MAX(INDEX($G$376:$G526,152-STRUCT_S):$G526),"")</f>
        <v/>
      </c>
      <c r="AJ526" s="48" t="str">
        <f aca="false">IF($U526&gt;=STRUCT_S,MIN(INDEX($H$376:$H526,152-STRUCT_S):$H526),"")</f>
        <v/>
      </c>
      <c r="AK526" s="48" t="str">
        <f aca="false">IF($U526&gt;=STRUCT_L,MAX(INDEX($G$276:$G526,252-STRUCT_L):$G526),"")</f>
        <v/>
      </c>
      <c r="AL526" s="48" t="str">
        <f aca="false">IF($U526&gt;=STRUCT_L,MIN(INDEX($H$276:$H526,252-STRUCT_L):$H526),"")</f>
        <v/>
      </c>
      <c r="AM526" s="46" t="n">
        <f aca="false">IF($A526&lt;&gt;$A527,1,0)</f>
        <v>0</v>
      </c>
      <c r="AN526" s="47" t="str">
        <f aca="false">IF($AM526=1,$A526,"")</f>
        <v/>
      </c>
    </row>
    <row r="527" customFormat="false" ht="15" hidden="false" customHeight="false" outlineLevel="0" collapsed="false">
      <c r="A527" s="43" t="s">
        <v>142</v>
      </c>
      <c r="B527" s="44" t="s">
        <v>144</v>
      </c>
      <c r="C527" s="45" t="n">
        <v>45908</v>
      </c>
      <c r="D527" s="46" t="n">
        <v>20250908</v>
      </c>
      <c r="E527" s="47" t="s">
        <v>290</v>
      </c>
      <c r="F527" s="48" t="n">
        <v>3206</v>
      </c>
      <c r="G527" s="48" t="n">
        <v>3276</v>
      </c>
      <c r="H527" s="48" t="n">
        <v>3188</v>
      </c>
      <c r="I527" s="48" t="n">
        <v>3261</v>
      </c>
      <c r="J527" s="48" t="n">
        <v>3211</v>
      </c>
      <c r="K527" s="48" t="n">
        <v>3203</v>
      </c>
      <c r="L527" s="48" t="n">
        <v>55462891</v>
      </c>
      <c r="M527" s="48" t="n">
        <v>180864487551</v>
      </c>
      <c r="N527" s="48" t="n">
        <v>2987</v>
      </c>
      <c r="O527" s="48" t="n">
        <v>34868607</v>
      </c>
      <c r="P527" s="48" t="n">
        <v>18523805</v>
      </c>
      <c r="Q527" s="48" t="n">
        <v>1301</v>
      </c>
      <c r="R527" s="48" t="n">
        <v>1186</v>
      </c>
      <c r="S527" s="48" t="n">
        <v>20594284</v>
      </c>
      <c r="T527" s="48" t="n">
        <v>36939086</v>
      </c>
      <c r="U527" s="46" t="n">
        <f aca="false">IF($A527=$A526,$U526+1,1)</f>
        <v>3</v>
      </c>
      <c r="V527" s="48" t="str">
        <f aca="false">IF($U527&gt;=MA_SHORT,AVERAGE(INDEX($I$127:$I527,402-MA_SHORT):$I527),"")</f>
        <v/>
      </c>
      <c r="W527" s="48" t="str">
        <f aca="false">IF($U527&gt;=MA_MED,AVERAGE(INDEX($I$127:$I527,402-MA_MED):$I527),"")</f>
        <v/>
      </c>
      <c r="X527" s="48" t="str">
        <f aca="false">IF($U527&gt;=MA_LONG1,AVERAGE(INDEX($I$127:$I527,402-MA_LONG1):$I527),"")</f>
        <v/>
      </c>
      <c r="Y527" s="48" t="str">
        <f aca="false">IF($U527&gt;=MA_LONG2,AVERAGE(INDEX($I$127:$I527,402-MA_LONG2):$I527),"")</f>
        <v/>
      </c>
      <c r="Z527" s="48" t="str">
        <f aca="false">IF($U527&gt;=MA_SHORT,AVERAGE(INDEX($L$407:$L527,122-MA_SHORT):$L527),"")</f>
        <v/>
      </c>
      <c r="AA527" s="48" t="n">
        <f aca="false">IF($U527=1,$G527-$H527,MAX($G527-$H527,ABS($G527-$I526),ABS($H527-$I526)))</f>
        <v>88</v>
      </c>
      <c r="AB527" s="48" t="str">
        <f aca="false">IF($U527&gt;=ATR_PER,AVERAGE(INDEX($AA$407:$AA527,122-ATR_PER):$AA527),"")</f>
        <v/>
      </c>
      <c r="AC527" s="48" t="n">
        <f aca="false">$O527-$P527</f>
        <v>16344802</v>
      </c>
      <c r="AD527" s="48" t="n">
        <f aca="false">$AC527*$I527</f>
        <v>53300399322</v>
      </c>
      <c r="AE527" s="49" t="n">
        <f aca="false">IF($Q527&gt;0,$O527*$I527/$Q527/1000000,"")</f>
        <v>87.3993293059185</v>
      </c>
      <c r="AF527" s="49" t="n">
        <f aca="false">IF($R527&gt;0,$P527*$I527/$R527/1000000,"")</f>
        <v>50.9326543887015</v>
      </c>
      <c r="AG527" s="50" t="n">
        <f aca="false">IF(AND(ISNUMBER($AE527),ISNUMBER($AF527),$AF527&gt;0),$AE527/$AF527,"")</f>
        <v>1.71597829241168</v>
      </c>
      <c r="AH527" s="48" t="str">
        <f aca="false">IF($U527&gt;=5,SUM(INDEX($AD$497:$AD527,32-5):$AD527),"")</f>
        <v/>
      </c>
      <c r="AI527" s="48" t="str">
        <f aca="false">IF($U527&gt;=STRUCT_S,MAX(INDEX($G$377:$G527,152-STRUCT_S):$G527),"")</f>
        <v/>
      </c>
      <c r="AJ527" s="48" t="str">
        <f aca="false">IF($U527&gt;=STRUCT_S,MIN(INDEX($H$377:$H527,152-STRUCT_S):$H527),"")</f>
        <v/>
      </c>
      <c r="AK527" s="48" t="str">
        <f aca="false">IF($U527&gt;=STRUCT_L,MAX(INDEX($G$277:$G527,252-STRUCT_L):$G527),"")</f>
        <v/>
      </c>
      <c r="AL527" s="48" t="str">
        <f aca="false">IF($U527&gt;=STRUCT_L,MIN(INDEX($H$277:$H527,252-STRUCT_L):$H527),"")</f>
        <v/>
      </c>
      <c r="AM527" s="46" t="n">
        <f aca="false">IF($A527&lt;&gt;$A528,1,0)</f>
        <v>0</v>
      </c>
      <c r="AN527" s="47" t="str">
        <f aca="false">IF($AM527=1,$A527,"")</f>
        <v/>
      </c>
    </row>
    <row r="528" customFormat="false" ht="15" hidden="false" customHeight="false" outlineLevel="0" collapsed="false">
      <c r="A528" s="43" t="s">
        <v>142</v>
      </c>
      <c r="B528" s="44" t="s">
        <v>144</v>
      </c>
      <c r="C528" s="45" t="n">
        <v>45909</v>
      </c>
      <c r="D528" s="46" t="n">
        <v>20250909</v>
      </c>
      <c r="E528" s="47" t="s">
        <v>291</v>
      </c>
      <c r="F528" s="48" t="n">
        <v>3251</v>
      </c>
      <c r="G528" s="48" t="n">
        <v>3284</v>
      </c>
      <c r="H528" s="48" t="n">
        <v>3236</v>
      </c>
      <c r="I528" s="48" t="n">
        <v>3259</v>
      </c>
      <c r="J528" s="48" t="n">
        <v>3237</v>
      </c>
      <c r="K528" s="48" t="n">
        <v>3261</v>
      </c>
      <c r="L528" s="48" t="n">
        <v>50211590</v>
      </c>
      <c r="M528" s="48" t="n">
        <v>163639571810</v>
      </c>
      <c r="N528" s="48" t="n">
        <v>2665</v>
      </c>
      <c r="O528" s="48" t="n">
        <v>29296787</v>
      </c>
      <c r="P528" s="48" t="n">
        <v>17825330</v>
      </c>
      <c r="Q528" s="48" t="n">
        <v>895</v>
      </c>
      <c r="R528" s="48" t="n">
        <v>1305</v>
      </c>
      <c r="S528" s="48" t="n">
        <v>20914803</v>
      </c>
      <c r="T528" s="48" t="n">
        <v>32386260</v>
      </c>
      <c r="U528" s="46" t="n">
        <f aca="false">IF($A528=$A527,$U527+1,1)</f>
        <v>4</v>
      </c>
      <c r="V528" s="48" t="str">
        <f aca="false">IF($U528&gt;=MA_SHORT,AVERAGE(INDEX($I$128:$I528,402-MA_SHORT):$I528),"")</f>
        <v/>
      </c>
      <c r="W528" s="48" t="str">
        <f aca="false">IF($U528&gt;=MA_MED,AVERAGE(INDEX($I$128:$I528,402-MA_MED):$I528),"")</f>
        <v/>
      </c>
      <c r="X528" s="48" t="str">
        <f aca="false">IF($U528&gt;=MA_LONG1,AVERAGE(INDEX($I$128:$I528,402-MA_LONG1):$I528),"")</f>
        <v/>
      </c>
      <c r="Y528" s="48" t="str">
        <f aca="false">IF($U528&gt;=MA_LONG2,AVERAGE(INDEX($I$128:$I528,402-MA_LONG2):$I528),"")</f>
        <v/>
      </c>
      <c r="Z528" s="48" t="str">
        <f aca="false">IF($U528&gt;=MA_SHORT,AVERAGE(INDEX($L$408:$L528,122-MA_SHORT):$L528),"")</f>
        <v/>
      </c>
      <c r="AA528" s="48" t="n">
        <f aca="false">IF($U528=1,$G528-$H528,MAX($G528-$H528,ABS($G528-$I527),ABS($H528-$I527)))</f>
        <v>48</v>
      </c>
      <c r="AB528" s="48" t="str">
        <f aca="false">IF($U528&gt;=ATR_PER,AVERAGE(INDEX($AA$408:$AA528,122-ATR_PER):$AA528),"")</f>
        <v/>
      </c>
      <c r="AC528" s="48" t="n">
        <f aca="false">$O528-$P528</f>
        <v>11471457</v>
      </c>
      <c r="AD528" s="48" t="n">
        <f aca="false">$AC528*$I528</f>
        <v>37385478363</v>
      </c>
      <c r="AE528" s="49" t="n">
        <f aca="false">IF($Q528&gt;0,$O528*$I528/$Q528/1000000,"")</f>
        <v>106.679585288268</v>
      </c>
      <c r="AF528" s="49" t="n">
        <f aca="false">IF($R528&gt;0,$P528*$I528/$R528/1000000,"")</f>
        <v>44.5155176015326</v>
      </c>
      <c r="AG528" s="50" t="n">
        <f aca="false">IF(AND(ISNUMBER($AE528),ISNUMBER($AF528),$AF528&gt;0),$AE528/$AF528,"")</f>
        <v>2.39645838206755</v>
      </c>
      <c r="AH528" s="48" t="str">
        <f aca="false">IF($U528&gt;=5,SUM(INDEX($AD$498:$AD528,32-5):$AD528),"")</f>
        <v/>
      </c>
      <c r="AI528" s="48" t="str">
        <f aca="false">IF($U528&gt;=STRUCT_S,MAX(INDEX($G$378:$G528,152-STRUCT_S):$G528),"")</f>
        <v/>
      </c>
      <c r="AJ528" s="48" t="str">
        <f aca="false">IF($U528&gt;=STRUCT_S,MIN(INDEX($H$378:$H528,152-STRUCT_S):$H528),"")</f>
        <v/>
      </c>
      <c r="AK528" s="48" t="str">
        <f aca="false">IF($U528&gt;=STRUCT_L,MAX(INDEX($G$278:$G528,252-STRUCT_L):$G528),"")</f>
        <v/>
      </c>
      <c r="AL528" s="48" t="str">
        <f aca="false">IF($U528&gt;=STRUCT_L,MIN(INDEX($H$278:$H528,252-STRUCT_L):$H528),"")</f>
        <v/>
      </c>
      <c r="AM528" s="46" t="n">
        <f aca="false">IF($A528&lt;&gt;$A529,1,0)</f>
        <v>0</v>
      </c>
      <c r="AN528" s="47" t="str">
        <f aca="false">IF($AM528=1,$A528,"")</f>
        <v/>
      </c>
    </row>
    <row r="529" customFormat="false" ht="15" hidden="false" customHeight="false" outlineLevel="0" collapsed="false">
      <c r="A529" s="43" t="s">
        <v>142</v>
      </c>
      <c r="B529" s="44" t="s">
        <v>144</v>
      </c>
      <c r="C529" s="45" t="n">
        <v>45910</v>
      </c>
      <c r="D529" s="46" t="n">
        <v>20250910</v>
      </c>
      <c r="E529" s="47" t="s">
        <v>292</v>
      </c>
      <c r="F529" s="48" t="n">
        <v>3249</v>
      </c>
      <c r="G529" s="48" t="n">
        <v>3303</v>
      </c>
      <c r="H529" s="48" t="n">
        <v>3248</v>
      </c>
      <c r="I529" s="48" t="n">
        <v>3292</v>
      </c>
      <c r="J529" s="48" t="n">
        <v>3291</v>
      </c>
      <c r="K529" s="48" t="n">
        <v>3259</v>
      </c>
      <c r="L529" s="48" t="n">
        <v>76590253</v>
      </c>
      <c r="M529" s="48" t="n">
        <v>252135112876</v>
      </c>
      <c r="N529" s="48" t="n">
        <v>2233</v>
      </c>
      <c r="O529" s="48" t="n">
        <v>43763647</v>
      </c>
      <c r="P529" s="48" t="n">
        <v>31842987</v>
      </c>
      <c r="Q529" s="48" t="n">
        <v>736</v>
      </c>
      <c r="R529" s="48" t="n">
        <v>1180</v>
      </c>
      <c r="S529" s="48" t="n">
        <v>32826606</v>
      </c>
      <c r="T529" s="48" t="n">
        <v>44747266</v>
      </c>
      <c r="U529" s="46" t="n">
        <f aca="false">IF($A529=$A528,$U528+1,1)</f>
        <v>5</v>
      </c>
      <c r="V529" s="48" t="str">
        <f aca="false">IF($U529&gt;=MA_SHORT,AVERAGE(INDEX($I$129:$I529,402-MA_SHORT):$I529),"")</f>
        <v/>
      </c>
      <c r="W529" s="48" t="str">
        <f aca="false">IF($U529&gt;=MA_MED,AVERAGE(INDEX($I$129:$I529,402-MA_MED):$I529),"")</f>
        <v/>
      </c>
      <c r="X529" s="48" t="str">
        <f aca="false">IF($U529&gt;=MA_LONG1,AVERAGE(INDEX($I$129:$I529,402-MA_LONG1):$I529),"")</f>
        <v/>
      </c>
      <c r="Y529" s="48" t="str">
        <f aca="false">IF($U529&gt;=MA_LONG2,AVERAGE(INDEX($I$129:$I529,402-MA_LONG2):$I529),"")</f>
        <v/>
      </c>
      <c r="Z529" s="48" t="str">
        <f aca="false">IF($U529&gt;=MA_SHORT,AVERAGE(INDEX($L$409:$L529,122-MA_SHORT):$L529),"")</f>
        <v/>
      </c>
      <c r="AA529" s="48" t="n">
        <f aca="false">IF($U529=1,$G529-$H529,MAX($G529-$H529,ABS($G529-$I528),ABS($H529-$I528)))</f>
        <v>55</v>
      </c>
      <c r="AB529" s="48" t="str">
        <f aca="false">IF($U529&gt;=ATR_PER,AVERAGE(INDEX($AA$409:$AA529,122-ATR_PER):$AA529),"")</f>
        <v/>
      </c>
      <c r="AC529" s="48" t="n">
        <f aca="false">$O529-$P529</f>
        <v>11920660</v>
      </c>
      <c r="AD529" s="48" t="n">
        <f aca="false">$AC529*$I529</f>
        <v>39242812720</v>
      </c>
      <c r="AE529" s="49" t="n">
        <f aca="false">IF($Q529&gt;0,$O529*$I529/$Q529/1000000,"")</f>
        <v>195.747181961957</v>
      </c>
      <c r="AF529" s="49" t="n">
        <f aca="false">IF($R529&gt;0,$P529*$I529/$R529/1000000,"")</f>
        <v>88.8365366135593</v>
      </c>
      <c r="AG529" s="50" t="n">
        <f aca="false">IF(AND(ISNUMBER($AE529),ISNUMBER($AF529),$AF529&gt;0),$AE529/$AF529,"")</f>
        <v>2.20345354989986</v>
      </c>
      <c r="AH529" s="48" t="n">
        <f aca="false">IF($U529&gt;=5,SUM(INDEX($AD$499:$AD529,32-5):$AD529),"")</f>
        <v>174715900973</v>
      </c>
      <c r="AI529" s="48" t="str">
        <f aca="false">IF($U529&gt;=STRUCT_S,MAX(INDEX($G$379:$G529,152-STRUCT_S):$G529),"")</f>
        <v/>
      </c>
      <c r="AJ529" s="48" t="str">
        <f aca="false">IF($U529&gt;=STRUCT_S,MIN(INDEX($H$379:$H529,152-STRUCT_S):$H529),"")</f>
        <v/>
      </c>
      <c r="AK529" s="48" t="str">
        <f aca="false">IF($U529&gt;=STRUCT_L,MAX(INDEX($G$279:$G529,252-STRUCT_L):$G529),"")</f>
        <v/>
      </c>
      <c r="AL529" s="48" t="str">
        <f aca="false">IF($U529&gt;=STRUCT_L,MIN(INDEX($H$279:$H529,252-STRUCT_L):$H529),"")</f>
        <v/>
      </c>
      <c r="AM529" s="46" t="n">
        <f aca="false">IF($A529&lt;&gt;$A530,1,0)</f>
        <v>0</v>
      </c>
      <c r="AN529" s="47" t="str">
        <f aca="false">IF($AM529=1,$A529,"")</f>
        <v/>
      </c>
    </row>
    <row r="530" customFormat="false" ht="15" hidden="false" customHeight="false" outlineLevel="0" collapsed="false">
      <c r="A530" s="43" t="s">
        <v>142</v>
      </c>
      <c r="B530" s="44" t="s">
        <v>144</v>
      </c>
      <c r="C530" s="45" t="n">
        <v>45913</v>
      </c>
      <c r="D530" s="46" t="n">
        <v>20250913</v>
      </c>
      <c r="E530" s="47" t="s">
        <v>293</v>
      </c>
      <c r="F530" s="48" t="n">
        <v>3285</v>
      </c>
      <c r="G530" s="48" t="n">
        <v>3338</v>
      </c>
      <c r="H530" s="48" t="n">
        <v>3248</v>
      </c>
      <c r="I530" s="48" t="n">
        <v>3294</v>
      </c>
      <c r="J530" s="48" t="n">
        <v>3320</v>
      </c>
      <c r="K530" s="48" t="n">
        <v>3292</v>
      </c>
      <c r="L530" s="48" t="n">
        <v>57831707</v>
      </c>
      <c r="M530" s="48" t="n">
        <v>190497642858</v>
      </c>
      <c r="N530" s="48" t="n">
        <v>2065</v>
      </c>
      <c r="O530" s="48" t="n">
        <v>29983148</v>
      </c>
      <c r="P530" s="48" t="n">
        <v>31311716</v>
      </c>
      <c r="Q530" s="48" t="n">
        <v>591</v>
      </c>
      <c r="R530" s="48" t="n">
        <v>831</v>
      </c>
      <c r="S530" s="48" t="n">
        <v>27848559</v>
      </c>
      <c r="T530" s="48" t="n">
        <v>26519991</v>
      </c>
      <c r="U530" s="46" t="n">
        <f aca="false">IF($A530=$A529,$U529+1,1)</f>
        <v>6</v>
      </c>
      <c r="V530" s="48" t="str">
        <f aca="false">IF($U530&gt;=MA_SHORT,AVERAGE(INDEX($I$130:$I530,402-MA_SHORT):$I530),"")</f>
        <v/>
      </c>
      <c r="W530" s="48" t="str">
        <f aca="false">IF($U530&gt;=MA_MED,AVERAGE(INDEX($I$130:$I530,402-MA_MED):$I530),"")</f>
        <v/>
      </c>
      <c r="X530" s="48" t="str">
        <f aca="false">IF($U530&gt;=MA_LONG1,AVERAGE(INDEX($I$130:$I530,402-MA_LONG1):$I530),"")</f>
        <v/>
      </c>
      <c r="Y530" s="48" t="str">
        <f aca="false">IF($U530&gt;=MA_LONG2,AVERAGE(INDEX($I$130:$I530,402-MA_LONG2):$I530),"")</f>
        <v/>
      </c>
      <c r="Z530" s="48" t="str">
        <f aca="false">IF($U530&gt;=MA_SHORT,AVERAGE(INDEX($L$410:$L530,122-MA_SHORT):$L530),"")</f>
        <v/>
      </c>
      <c r="AA530" s="48" t="n">
        <f aca="false">IF($U530=1,$G530-$H530,MAX($G530-$H530,ABS($G530-$I529),ABS($H530-$I529)))</f>
        <v>90</v>
      </c>
      <c r="AB530" s="48" t="str">
        <f aca="false">IF($U530&gt;=ATR_PER,AVERAGE(INDEX($AA$410:$AA530,122-ATR_PER):$AA530),"")</f>
        <v/>
      </c>
      <c r="AC530" s="48" t="n">
        <f aca="false">$O530-$P530</f>
        <v>-1328568</v>
      </c>
      <c r="AD530" s="48" t="n">
        <f aca="false">$AC530*$I530</f>
        <v>-4376302992</v>
      </c>
      <c r="AE530" s="49" t="n">
        <f aca="false">IF($Q530&gt;0,$O530*$I530/$Q530/1000000,"")</f>
        <v>167.114195451777</v>
      </c>
      <c r="AF530" s="49" t="n">
        <f aca="false">IF($R530&gt;0,$P530*$I530/$R530/1000000,"")</f>
        <v>124.116477140794</v>
      </c>
      <c r="AG530" s="50" t="n">
        <f aca="false">IF(AND(ISNUMBER($AE530),ISNUMBER($AF530),$AF530&gt;0),$AE530/$AF530,"")</f>
        <v>1.34643037976503</v>
      </c>
      <c r="AH530" s="48" t="n">
        <f aca="false">IF($U530&gt;=5,SUM(INDEX($AD$500:$AD530,32-5):$AD530),"")</f>
        <v>179946040901</v>
      </c>
      <c r="AI530" s="48" t="str">
        <f aca="false">IF($U530&gt;=STRUCT_S,MAX(INDEX($G$380:$G530,152-STRUCT_S):$G530),"")</f>
        <v/>
      </c>
      <c r="AJ530" s="48" t="str">
        <f aca="false">IF($U530&gt;=STRUCT_S,MIN(INDEX($H$380:$H530,152-STRUCT_S):$H530),"")</f>
        <v/>
      </c>
      <c r="AK530" s="48" t="str">
        <f aca="false">IF($U530&gt;=STRUCT_L,MAX(INDEX($G$280:$G530,252-STRUCT_L):$G530),"")</f>
        <v/>
      </c>
      <c r="AL530" s="48" t="str">
        <f aca="false">IF($U530&gt;=STRUCT_L,MIN(INDEX($H$280:$H530,252-STRUCT_L):$H530),"")</f>
        <v/>
      </c>
      <c r="AM530" s="46" t="n">
        <f aca="false">IF($A530&lt;&gt;$A531,1,0)</f>
        <v>0</v>
      </c>
      <c r="AN530" s="47" t="str">
        <f aca="false">IF($AM530=1,$A530,"")</f>
        <v/>
      </c>
    </row>
    <row r="531" customFormat="false" ht="15" hidden="false" customHeight="false" outlineLevel="0" collapsed="false">
      <c r="A531" s="43" t="s">
        <v>142</v>
      </c>
      <c r="B531" s="44" t="s">
        <v>144</v>
      </c>
      <c r="C531" s="45" t="n">
        <v>45914</v>
      </c>
      <c r="D531" s="46" t="n">
        <v>20250914</v>
      </c>
      <c r="E531" s="47" t="s">
        <v>294</v>
      </c>
      <c r="F531" s="48" t="n">
        <v>3310</v>
      </c>
      <c r="G531" s="48" t="n">
        <v>3379</v>
      </c>
      <c r="H531" s="48" t="n">
        <v>3269</v>
      </c>
      <c r="I531" s="48" t="n">
        <v>3354</v>
      </c>
      <c r="J531" s="48" t="n">
        <v>3333</v>
      </c>
      <c r="K531" s="48" t="n">
        <v>3294</v>
      </c>
      <c r="L531" s="48" t="n">
        <v>66840716</v>
      </c>
      <c r="M531" s="48" t="n">
        <v>224183761464</v>
      </c>
      <c r="N531" s="48" t="n">
        <v>4656</v>
      </c>
      <c r="O531" s="48" t="n">
        <v>36391118</v>
      </c>
      <c r="P531" s="48" t="n">
        <v>28663783</v>
      </c>
      <c r="Q531" s="48" t="n">
        <v>2289</v>
      </c>
      <c r="R531" s="48" t="n">
        <v>2056</v>
      </c>
      <c r="S531" s="48" t="n">
        <v>30449598</v>
      </c>
      <c r="T531" s="48" t="n">
        <v>38176933</v>
      </c>
      <c r="U531" s="46" t="n">
        <f aca="false">IF($A531=$A530,$U530+1,1)</f>
        <v>7</v>
      </c>
      <c r="V531" s="48" t="str">
        <f aca="false">IF($U531&gt;=MA_SHORT,AVERAGE(INDEX($I$131:$I531,402-MA_SHORT):$I531),"")</f>
        <v/>
      </c>
      <c r="W531" s="48" t="str">
        <f aca="false">IF($U531&gt;=MA_MED,AVERAGE(INDEX($I$131:$I531,402-MA_MED):$I531),"")</f>
        <v/>
      </c>
      <c r="X531" s="48" t="str">
        <f aca="false">IF($U531&gt;=MA_LONG1,AVERAGE(INDEX($I$131:$I531,402-MA_LONG1):$I531),"")</f>
        <v/>
      </c>
      <c r="Y531" s="48" t="str">
        <f aca="false">IF($U531&gt;=MA_LONG2,AVERAGE(INDEX($I$131:$I531,402-MA_LONG2):$I531),"")</f>
        <v/>
      </c>
      <c r="Z531" s="48" t="str">
        <f aca="false">IF($U531&gt;=MA_SHORT,AVERAGE(INDEX($L$411:$L531,122-MA_SHORT):$L531),"")</f>
        <v/>
      </c>
      <c r="AA531" s="48" t="n">
        <f aca="false">IF($U531=1,$G531-$H531,MAX($G531-$H531,ABS($G531-$I530),ABS($H531-$I530)))</f>
        <v>110</v>
      </c>
      <c r="AB531" s="48" t="str">
        <f aca="false">IF($U531&gt;=ATR_PER,AVERAGE(INDEX($AA$411:$AA531,122-ATR_PER):$AA531),"")</f>
        <v/>
      </c>
      <c r="AC531" s="48" t="n">
        <f aca="false">$O531-$P531</f>
        <v>7727335</v>
      </c>
      <c r="AD531" s="48" t="n">
        <f aca="false">$AC531*$I531</f>
        <v>25917481590</v>
      </c>
      <c r="AE531" s="49" t="n">
        <f aca="false">IF($Q531&gt;0,$O531*$I531/$Q531/1000000,"")</f>
        <v>53.3227653001311</v>
      </c>
      <c r="AF531" s="49" t="n">
        <f aca="false">IF($R531&gt;0,$P531*$I531/$R531/1000000,"")</f>
        <v>46.7598872480545</v>
      </c>
      <c r="AG531" s="50" t="n">
        <f aca="false">IF(AND(ISNUMBER($AE531),ISNUMBER($AF531),$AF531&gt;0),$AE531/$AF531,"")</f>
        <v>1.1403527347545</v>
      </c>
      <c r="AH531" s="48" t="n">
        <f aca="false">IF($U531&gt;=5,SUM(INDEX($AD$501:$AD531,32-5):$AD531),"")</f>
        <v>151469869003</v>
      </c>
      <c r="AI531" s="48" t="str">
        <f aca="false">IF($U531&gt;=STRUCT_S,MAX(INDEX($G$381:$G531,152-STRUCT_S):$G531),"")</f>
        <v/>
      </c>
      <c r="AJ531" s="48" t="str">
        <f aca="false">IF($U531&gt;=STRUCT_S,MIN(INDEX($H$381:$H531,152-STRUCT_S):$H531),"")</f>
        <v/>
      </c>
      <c r="AK531" s="48" t="str">
        <f aca="false">IF($U531&gt;=STRUCT_L,MAX(INDEX($G$281:$G531,252-STRUCT_L):$G531),"")</f>
        <v/>
      </c>
      <c r="AL531" s="48" t="str">
        <f aca="false">IF($U531&gt;=STRUCT_L,MIN(INDEX($H$281:$H531,252-STRUCT_L):$H531),"")</f>
        <v/>
      </c>
      <c r="AM531" s="46" t="n">
        <f aca="false">IF($A531&lt;&gt;$A532,1,0)</f>
        <v>0</v>
      </c>
      <c r="AN531" s="47" t="str">
        <f aca="false">IF($AM531=1,$A531,"")</f>
        <v/>
      </c>
    </row>
    <row r="532" customFormat="false" ht="15" hidden="false" customHeight="false" outlineLevel="0" collapsed="false">
      <c r="A532" s="43" t="s">
        <v>142</v>
      </c>
      <c r="B532" s="44" t="s">
        <v>144</v>
      </c>
      <c r="C532" s="45" t="n">
        <v>45915</v>
      </c>
      <c r="D532" s="46" t="n">
        <v>20250915</v>
      </c>
      <c r="E532" s="47" t="s">
        <v>295</v>
      </c>
      <c r="F532" s="48" t="n">
        <v>3446</v>
      </c>
      <c r="G532" s="48" t="n">
        <v>3519</v>
      </c>
      <c r="H532" s="48" t="n">
        <v>3324</v>
      </c>
      <c r="I532" s="48" t="n">
        <v>3488</v>
      </c>
      <c r="J532" s="48" t="n">
        <v>3458</v>
      </c>
      <c r="K532" s="48" t="n">
        <v>3354</v>
      </c>
      <c r="L532" s="48" t="n">
        <v>63637546</v>
      </c>
      <c r="M532" s="48" t="n">
        <v>221967760448</v>
      </c>
      <c r="N532" s="48" t="n">
        <v>4441</v>
      </c>
      <c r="O532" s="48" t="n">
        <v>43582079</v>
      </c>
      <c r="P532" s="48" t="n">
        <v>20753765</v>
      </c>
      <c r="Q532" s="48" t="n">
        <v>1873</v>
      </c>
      <c r="R532" s="48" t="n">
        <v>2484</v>
      </c>
      <c r="S532" s="48" t="n">
        <v>20055467</v>
      </c>
      <c r="T532" s="48" t="n">
        <v>42883781</v>
      </c>
      <c r="U532" s="46" t="n">
        <f aca="false">IF($A532=$A531,$U531+1,1)</f>
        <v>8</v>
      </c>
      <c r="V532" s="48" t="str">
        <f aca="false">IF($U532&gt;=MA_SHORT,AVERAGE(INDEX($I$132:$I532,402-MA_SHORT):$I532),"")</f>
        <v/>
      </c>
      <c r="W532" s="48" t="str">
        <f aca="false">IF($U532&gt;=MA_MED,AVERAGE(INDEX($I$132:$I532,402-MA_MED):$I532),"")</f>
        <v/>
      </c>
      <c r="X532" s="48" t="str">
        <f aca="false">IF($U532&gt;=MA_LONG1,AVERAGE(INDEX($I$132:$I532,402-MA_LONG1):$I532),"")</f>
        <v/>
      </c>
      <c r="Y532" s="48" t="str">
        <f aca="false">IF($U532&gt;=MA_LONG2,AVERAGE(INDEX($I$132:$I532,402-MA_LONG2):$I532),"")</f>
        <v/>
      </c>
      <c r="Z532" s="48" t="str">
        <f aca="false">IF($U532&gt;=MA_SHORT,AVERAGE(INDEX($L$412:$L532,122-MA_SHORT):$L532),"")</f>
        <v/>
      </c>
      <c r="AA532" s="48" t="n">
        <f aca="false">IF($U532=1,$G532-$H532,MAX($G532-$H532,ABS($G532-$I531),ABS($H532-$I531)))</f>
        <v>195</v>
      </c>
      <c r="AB532" s="48" t="str">
        <f aca="false">IF($U532&gt;=ATR_PER,AVERAGE(INDEX($AA$412:$AA532,122-ATR_PER):$AA532),"")</f>
        <v/>
      </c>
      <c r="AC532" s="48" t="n">
        <f aca="false">$O532-$P532</f>
        <v>22828314</v>
      </c>
      <c r="AD532" s="48" t="n">
        <f aca="false">$AC532*$I532</f>
        <v>79625159232</v>
      </c>
      <c r="AE532" s="49" t="n">
        <f aca="false">IF($Q532&gt;0,$O532*$I532/$Q532/1000000,"")</f>
        <v>81.160860412173</v>
      </c>
      <c r="AF532" s="49" t="n">
        <f aca="false">IF($R532&gt;0,$P532*$I532/$R532/1000000,"")</f>
        <v>29.1421627697262</v>
      </c>
      <c r="AG532" s="50" t="n">
        <f aca="false">IF(AND(ISNUMBER($AE532),ISNUMBER($AF532),$AF532&gt;0),$AE532/$AF532,"")</f>
        <v>2.78499784156327</v>
      </c>
      <c r="AH532" s="48" t="n">
        <f aca="false">IF($U532&gt;=5,SUM(INDEX($AD$502:$AD532,32-5):$AD532),"")</f>
        <v>177794628913</v>
      </c>
      <c r="AI532" s="48" t="str">
        <f aca="false">IF($U532&gt;=STRUCT_S,MAX(INDEX($G$382:$G532,152-STRUCT_S):$G532),"")</f>
        <v/>
      </c>
      <c r="AJ532" s="48" t="str">
        <f aca="false">IF($U532&gt;=STRUCT_S,MIN(INDEX($H$382:$H532,152-STRUCT_S):$H532),"")</f>
        <v/>
      </c>
      <c r="AK532" s="48" t="str">
        <f aca="false">IF($U532&gt;=STRUCT_L,MAX(INDEX($G$282:$G532,252-STRUCT_L):$G532),"")</f>
        <v/>
      </c>
      <c r="AL532" s="48" t="str">
        <f aca="false">IF($U532&gt;=STRUCT_L,MIN(INDEX($H$282:$H532,252-STRUCT_L):$H532),"")</f>
        <v/>
      </c>
      <c r="AM532" s="46" t="n">
        <f aca="false">IF($A532&lt;&gt;$A533,1,0)</f>
        <v>0</v>
      </c>
      <c r="AN532" s="47" t="str">
        <f aca="false">IF($AM532=1,$A532,"")</f>
        <v/>
      </c>
    </row>
    <row r="533" customFormat="false" ht="15" hidden="false" customHeight="false" outlineLevel="0" collapsed="false">
      <c r="A533" s="43" t="s">
        <v>142</v>
      </c>
      <c r="B533" s="44" t="s">
        <v>144</v>
      </c>
      <c r="C533" s="45" t="n">
        <v>45916</v>
      </c>
      <c r="D533" s="46" t="n">
        <v>20250916</v>
      </c>
      <c r="E533" s="47" t="s">
        <v>296</v>
      </c>
      <c r="F533" s="48" t="n">
        <v>3567</v>
      </c>
      <c r="G533" s="48" t="n">
        <v>3597</v>
      </c>
      <c r="H533" s="48" t="n">
        <v>3465</v>
      </c>
      <c r="I533" s="48" t="n">
        <v>3573</v>
      </c>
      <c r="J533" s="48" t="n">
        <v>3554</v>
      </c>
      <c r="K533" s="48" t="n">
        <v>3488</v>
      </c>
      <c r="L533" s="48" t="n">
        <v>59580570</v>
      </c>
      <c r="M533" s="48" t="n">
        <v>212881376610</v>
      </c>
      <c r="N533" s="48" t="n">
        <v>3744</v>
      </c>
      <c r="O533" s="48" t="n">
        <v>39258844</v>
      </c>
      <c r="P533" s="48" t="n">
        <v>19212698</v>
      </c>
      <c r="Q533" s="48" t="n">
        <v>1337</v>
      </c>
      <c r="R533" s="48" t="n">
        <v>2168</v>
      </c>
      <c r="S533" s="48" t="n">
        <v>20321726</v>
      </c>
      <c r="T533" s="48" t="n">
        <v>40367872</v>
      </c>
      <c r="U533" s="46" t="n">
        <f aca="false">IF($A533=$A532,$U532+1,1)</f>
        <v>9</v>
      </c>
      <c r="V533" s="48" t="str">
        <f aca="false">IF($U533&gt;=MA_SHORT,AVERAGE(INDEX($I$133:$I533,402-MA_SHORT):$I533),"")</f>
        <v/>
      </c>
      <c r="W533" s="48" t="str">
        <f aca="false">IF($U533&gt;=MA_MED,AVERAGE(INDEX($I$133:$I533,402-MA_MED):$I533),"")</f>
        <v/>
      </c>
      <c r="X533" s="48" t="str">
        <f aca="false">IF($U533&gt;=MA_LONG1,AVERAGE(INDEX($I$133:$I533,402-MA_LONG1):$I533),"")</f>
        <v/>
      </c>
      <c r="Y533" s="48" t="str">
        <f aca="false">IF($U533&gt;=MA_LONG2,AVERAGE(INDEX($I$133:$I533,402-MA_LONG2):$I533),"")</f>
        <v/>
      </c>
      <c r="Z533" s="48" t="str">
        <f aca="false">IF($U533&gt;=MA_SHORT,AVERAGE(INDEX($L$413:$L533,122-MA_SHORT):$L533),"")</f>
        <v/>
      </c>
      <c r="AA533" s="48" t="n">
        <f aca="false">IF($U533=1,$G533-$H533,MAX($G533-$H533,ABS($G533-$I532),ABS($H533-$I532)))</f>
        <v>132</v>
      </c>
      <c r="AB533" s="48" t="str">
        <f aca="false">IF($U533&gt;=ATR_PER,AVERAGE(INDEX($AA$413:$AA533,122-ATR_PER):$AA533),"")</f>
        <v/>
      </c>
      <c r="AC533" s="48" t="n">
        <f aca="false">$O533-$P533</f>
        <v>20046146</v>
      </c>
      <c r="AD533" s="48" t="n">
        <f aca="false">$AC533*$I533</f>
        <v>71624879658</v>
      </c>
      <c r="AE533" s="49" t="n">
        <f aca="false">IF($Q533&gt;0,$O533*$I533/$Q533/1000000,"")</f>
        <v>104.91536994166</v>
      </c>
      <c r="AF533" s="49" t="n">
        <f aca="false">IF($R533&gt;0,$P533*$I533/$R533/1000000,"")</f>
        <v>31.6637315285978</v>
      </c>
      <c r="AG533" s="50" t="n">
        <f aca="false">IF(AND(ISNUMBER($AE533),ISNUMBER($AF533),$AF533&gt;0),$AE533/$AF533,"")</f>
        <v>3.31342406206621</v>
      </c>
      <c r="AH533" s="48" t="n">
        <f aca="false">IF($U533&gt;=5,SUM(INDEX($AD$503:$AD533,32-5):$AD533),"")</f>
        <v>212034030208</v>
      </c>
      <c r="AI533" s="48" t="str">
        <f aca="false">IF($U533&gt;=STRUCT_S,MAX(INDEX($G$383:$G533,152-STRUCT_S):$G533),"")</f>
        <v/>
      </c>
      <c r="AJ533" s="48" t="str">
        <f aca="false">IF($U533&gt;=STRUCT_S,MIN(INDEX($H$383:$H533,152-STRUCT_S):$H533),"")</f>
        <v/>
      </c>
      <c r="AK533" s="48" t="str">
        <f aca="false">IF($U533&gt;=STRUCT_L,MAX(INDEX($G$283:$G533,252-STRUCT_L):$G533),"")</f>
        <v/>
      </c>
      <c r="AL533" s="48" t="str">
        <f aca="false">IF($U533&gt;=STRUCT_L,MIN(INDEX($H$283:$H533,252-STRUCT_L):$H533),"")</f>
        <v/>
      </c>
      <c r="AM533" s="46" t="n">
        <f aca="false">IF($A533&lt;&gt;$A534,1,0)</f>
        <v>0</v>
      </c>
      <c r="AN533" s="47" t="str">
        <f aca="false">IF($AM533=1,$A533,"")</f>
        <v/>
      </c>
    </row>
    <row r="534" customFormat="false" ht="15" hidden="false" customHeight="false" outlineLevel="0" collapsed="false">
      <c r="A534" s="43" t="s">
        <v>142</v>
      </c>
      <c r="B534" s="44" t="s">
        <v>144</v>
      </c>
      <c r="C534" s="45" t="n">
        <v>45917</v>
      </c>
      <c r="D534" s="46" t="n">
        <v>20250917</v>
      </c>
      <c r="E534" s="47" t="s">
        <v>297</v>
      </c>
      <c r="F534" s="48" t="n">
        <v>3550</v>
      </c>
      <c r="G534" s="48" t="n">
        <v>3701</v>
      </c>
      <c r="H534" s="48" t="n">
        <v>3546</v>
      </c>
      <c r="I534" s="48" t="n">
        <v>3673</v>
      </c>
      <c r="J534" s="48" t="n">
        <v>3606</v>
      </c>
      <c r="K534" s="48" t="n">
        <v>3573</v>
      </c>
      <c r="L534" s="48" t="n">
        <v>58428420</v>
      </c>
      <c r="M534" s="48" t="n">
        <v>214607586660</v>
      </c>
      <c r="N534" s="48" t="n">
        <v>1384</v>
      </c>
      <c r="O534" s="48" t="n">
        <v>35111132</v>
      </c>
      <c r="P534" s="48" t="n">
        <v>24424427</v>
      </c>
      <c r="Q534" s="48" t="n">
        <v>589</v>
      </c>
      <c r="R534" s="48" t="n">
        <v>761</v>
      </c>
      <c r="S534" s="48" t="n">
        <v>23317288</v>
      </c>
      <c r="T534" s="48" t="n">
        <v>34003993</v>
      </c>
      <c r="U534" s="46" t="n">
        <f aca="false">IF($A534=$A533,$U533+1,1)</f>
        <v>10</v>
      </c>
      <c r="V534" s="48" t="str">
        <f aca="false">IF($U534&gt;=MA_SHORT,AVERAGE(INDEX($I$134:$I534,402-MA_SHORT):$I534),"")</f>
        <v/>
      </c>
      <c r="W534" s="48" t="str">
        <f aca="false">IF($U534&gt;=MA_MED,AVERAGE(INDEX($I$134:$I534,402-MA_MED):$I534),"")</f>
        <v/>
      </c>
      <c r="X534" s="48" t="str">
        <f aca="false">IF($U534&gt;=MA_LONG1,AVERAGE(INDEX($I$134:$I534,402-MA_LONG1):$I534),"")</f>
        <v/>
      </c>
      <c r="Y534" s="48" t="str">
        <f aca="false">IF($U534&gt;=MA_LONG2,AVERAGE(INDEX($I$134:$I534,402-MA_LONG2):$I534),"")</f>
        <v/>
      </c>
      <c r="Z534" s="48" t="str">
        <f aca="false">IF($U534&gt;=MA_SHORT,AVERAGE(INDEX($L$414:$L534,122-MA_SHORT):$L534),"")</f>
        <v/>
      </c>
      <c r="AA534" s="48" t="n">
        <f aca="false">IF($U534=1,$G534-$H534,MAX($G534-$H534,ABS($G534-$I533),ABS($H534-$I533)))</f>
        <v>155</v>
      </c>
      <c r="AB534" s="48" t="str">
        <f aca="false">IF($U534&gt;=ATR_PER,AVERAGE(INDEX($AA$414:$AA534,122-ATR_PER):$AA534),"")</f>
        <v/>
      </c>
      <c r="AC534" s="48" t="n">
        <f aca="false">$O534-$P534</f>
        <v>10686705</v>
      </c>
      <c r="AD534" s="48" t="n">
        <f aca="false">$AC534*$I534</f>
        <v>39252267465</v>
      </c>
      <c r="AE534" s="49" t="n">
        <f aca="false">IF($Q534&gt;0,$O534*$I534/$Q534/1000000,"")</f>
        <v>218.952780706282</v>
      </c>
      <c r="AF534" s="49" t="n">
        <f aca="false">IF($R534&gt;0,$P534*$I534/$R534/1000000,"")</f>
        <v>117.885572103811</v>
      </c>
      <c r="AG534" s="50" t="n">
        <f aca="false">IF(AND(ISNUMBER($AE534),ISNUMBER($AF534),$AF534&gt;0),$AE534/$AF534,"")</f>
        <v>1.85733314771947</v>
      </c>
      <c r="AH534" s="48" t="n">
        <f aca="false">IF($U534&gt;=5,SUM(INDEX($AD$504:$AD534,32-5):$AD534),"")</f>
        <v>212043484953</v>
      </c>
      <c r="AI534" s="48" t="str">
        <f aca="false">IF($U534&gt;=STRUCT_S,MAX(INDEX($G$384:$G534,152-STRUCT_S):$G534),"")</f>
        <v/>
      </c>
      <c r="AJ534" s="48" t="str">
        <f aca="false">IF($U534&gt;=STRUCT_S,MIN(INDEX($H$384:$H534,152-STRUCT_S):$H534),"")</f>
        <v/>
      </c>
      <c r="AK534" s="48" t="str">
        <f aca="false">IF($U534&gt;=STRUCT_L,MAX(INDEX($G$284:$G534,252-STRUCT_L):$G534),"")</f>
        <v/>
      </c>
      <c r="AL534" s="48" t="str">
        <f aca="false">IF($U534&gt;=STRUCT_L,MIN(INDEX($H$284:$H534,252-STRUCT_L):$H534),"")</f>
        <v/>
      </c>
      <c r="AM534" s="46" t="n">
        <f aca="false">IF($A534&lt;&gt;$A535,1,0)</f>
        <v>0</v>
      </c>
      <c r="AN534" s="47" t="str">
        <f aca="false">IF($AM534=1,$A534,"")</f>
        <v/>
      </c>
    </row>
    <row r="535" customFormat="false" ht="15" hidden="false" customHeight="false" outlineLevel="0" collapsed="false">
      <c r="A535" s="43" t="s">
        <v>142</v>
      </c>
      <c r="B535" s="44" t="s">
        <v>144</v>
      </c>
      <c r="C535" s="45" t="n">
        <v>45920</v>
      </c>
      <c r="D535" s="46" t="n">
        <v>20250920</v>
      </c>
      <c r="E535" s="47" t="s">
        <v>298</v>
      </c>
      <c r="F535" s="48" t="n">
        <v>3649</v>
      </c>
      <c r="G535" s="48" t="n">
        <v>3685</v>
      </c>
      <c r="H535" s="48" t="n">
        <v>3628</v>
      </c>
      <c r="I535" s="48" t="n">
        <v>3640</v>
      </c>
      <c r="J535" s="48" t="n">
        <v>3642</v>
      </c>
      <c r="K535" s="48" t="n">
        <v>3673</v>
      </c>
      <c r="L535" s="48" t="n">
        <v>52724323</v>
      </c>
      <c r="M535" s="48" t="n">
        <v>191916535720</v>
      </c>
      <c r="N535" s="48" t="n">
        <v>1857</v>
      </c>
      <c r="O535" s="48" t="n">
        <v>24629403</v>
      </c>
      <c r="P535" s="48" t="n">
        <v>26064287</v>
      </c>
      <c r="Q535" s="48" t="n">
        <v>832</v>
      </c>
      <c r="R535" s="48" t="n">
        <v>886</v>
      </c>
      <c r="S535" s="48" t="n">
        <v>28094920</v>
      </c>
      <c r="T535" s="48" t="n">
        <v>26660036</v>
      </c>
      <c r="U535" s="46" t="n">
        <f aca="false">IF($A535=$A534,$U534+1,1)</f>
        <v>11</v>
      </c>
      <c r="V535" s="48" t="str">
        <f aca="false">IF($U535&gt;=MA_SHORT,AVERAGE(INDEX($I$135:$I535,402-MA_SHORT):$I535),"")</f>
        <v/>
      </c>
      <c r="W535" s="48" t="str">
        <f aca="false">IF($U535&gt;=MA_MED,AVERAGE(INDEX($I$135:$I535,402-MA_MED):$I535),"")</f>
        <v/>
      </c>
      <c r="X535" s="48" t="str">
        <f aca="false">IF($U535&gt;=MA_LONG1,AVERAGE(INDEX($I$135:$I535,402-MA_LONG1):$I535),"")</f>
        <v/>
      </c>
      <c r="Y535" s="48" t="str">
        <f aca="false">IF($U535&gt;=MA_LONG2,AVERAGE(INDEX($I$135:$I535,402-MA_LONG2):$I535),"")</f>
        <v/>
      </c>
      <c r="Z535" s="48" t="str">
        <f aca="false">IF($U535&gt;=MA_SHORT,AVERAGE(INDEX($L$415:$L535,122-MA_SHORT):$L535),"")</f>
        <v/>
      </c>
      <c r="AA535" s="48" t="n">
        <f aca="false">IF($U535=1,$G535-$H535,MAX($G535-$H535,ABS($G535-$I534),ABS($H535-$I534)))</f>
        <v>57</v>
      </c>
      <c r="AB535" s="48" t="str">
        <f aca="false">IF($U535&gt;=ATR_PER,AVERAGE(INDEX($AA$415:$AA535,122-ATR_PER):$AA535),"")</f>
        <v/>
      </c>
      <c r="AC535" s="48" t="n">
        <f aca="false">$O535-$P535</f>
        <v>-1434884</v>
      </c>
      <c r="AD535" s="48" t="n">
        <f aca="false">$AC535*$I535</f>
        <v>-5222977760</v>
      </c>
      <c r="AE535" s="49" t="n">
        <f aca="false">IF($Q535&gt;0,$O535*$I535/$Q535/1000000,"")</f>
        <v>107.753638125</v>
      </c>
      <c r="AF535" s="49" t="n">
        <f aca="false">IF($R535&gt;0,$P535*$I535/$R535/1000000,"")</f>
        <v>107.081269390519</v>
      </c>
      <c r="AG535" s="50" t="n">
        <f aca="false">IF(AND(ISNUMBER($AE535),ISNUMBER($AF535),$AF535&gt;0),$AE535/$AF535,"")</f>
        <v>1.00627905083968</v>
      </c>
      <c r="AH535" s="48" t="n">
        <f aca="false">IF($U535&gt;=5,SUM(INDEX($AD$505:$AD535,32-5):$AD535),"")</f>
        <v>211196810185</v>
      </c>
      <c r="AI535" s="48" t="str">
        <f aca="false">IF($U535&gt;=STRUCT_S,MAX(INDEX($G$385:$G535,152-STRUCT_S):$G535),"")</f>
        <v/>
      </c>
      <c r="AJ535" s="48" t="str">
        <f aca="false">IF($U535&gt;=STRUCT_S,MIN(INDEX($H$385:$H535,152-STRUCT_S):$H535),"")</f>
        <v/>
      </c>
      <c r="AK535" s="48" t="str">
        <f aca="false">IF($U535&gt;=STRUCT_L,MAX(INDEX($G$285:$G535,252-STRUCT_L):$G535),"")</f>
        <v/>
      </c>
      <c r="AL535" s="48" t="str">
        <f aca="false">IF($U535&gt;=STRUCT_L,MIN(INDEX($H$285:$H535,252-STRUCT_L):$H535),"")</f>
        <v/>
      </c>
      <c r="AM535" s="46" t="n">
        <f aca="false">IF($A535&lt;&gt;$A536,1,0)</f>
        <v>0</v>
      </c>
      <c r="AN535" s="47" t="str">
        <f aca="false">IF($AM535=1,$A535,"")</f>
        <v/>
      </c>
    </row>
    <row r="536" customFormat="false" ht="15" hidden="false" customHeight="false" outlineLevel="0" collapsed="false">
      <c r="A536" s="43" t="s">
        <v>142</v>
      </c>
      <c r="B536" s="44" t="s">
        <v>144</v>
      </c>
      <c r="C536" s="45" t="n">
        <v>45921</v>
      </c>
      <c r="D536" s="46" t="n">
        <v>20250921</v>
      </c>
      <c r="E536" s="47" t="s">
        <v>299</v>
      </c>
      <c r="F536" s="48" t="n">
        <v>3618</v>
      </c>
      <c r="G536" s="48" t="n">
        <v>3671</v>
      </c>
      <c r="H536" s="48" t="n">
        <v>3558</v>
      </c>
      <c r="I536" s="48" t="n">
        <v>3588</v>
      </c>
      <c r="J536" s="48" t="n">
        <v>3623</v>
      </c>
      <c r="K536" s="48" t="n">
        <v>3640</v>
      </c>
      <c r="L536" s="48" t="n">
        <v>56777724</v>
      </c>
      <c r="M536" s="48" t="n">
        <v>203718473712</v>
      </c>
      <c r="N536" s="48" t="n">
        <v>3554</v>
      </c>
      <c r="O536" s="48" t="n">
        <v>26930208</v>
      </c>
      <c r="P536" s="48" t="n">
        <v>26391742</v>
      </c>
      <c r="Q536" s="48" t="n">
        <v>1324</v>
      </c>
      <c r="R536" s="48" t="n">
        <v>1419</v>
      </c>
      <c r="S536" s="48" t="n">
        <v>29847516</v>
      </c>
      <c r="T536" s="48" t="n">
        <v>30385982</v>
      </c>
      <c r="U536" s="46" t="n">
        <f aca="false">IF($A536=$A535,$U535+1,1)</f>
        <v>12</v>
      </c>
      <c r="V536" s="48" t="str">
        <f aca="false">IF($U536&gt;=MA_SHORT,AVERAGE(INDEX($I$136:$I536,402-MA_SHORT):$I536),"")</f>
        <v/>
      </c>
      <c r="W536" s="48" t="str">
        <f aca="false">IF($U536&gt;=MA_MED,AVERAGE(INDEX($I$136:$I536,402-MA_MED):$I536),"")</f>
        <v/>
      </c>
      <c r="X536" s="48" t="str">
        <f aca="false">IF($U536&gt;=MA_LONG1,AVERAGE(INDEX($I$136:$I536,402-MA_LONG1):$I536),"")</f>
        <v/>
      </c>
      <c r="Y536" s="48" t="str">
        <f aca="false">IF($U536&gt;=MA_LONG2,AVERAGE(INDEX($I$136:$I536,402-MA_LONG2):$I536),"")</f>
        <v/>
      </c>
      <c r="Z536" s="48" t="str">
        <f aca="false">IF($U536&gt;=MA_SHORT,AVERAGE(INDEX($L$416:$L536,122-MA_SHORT):$L536),"")</f>
        <v/>
      </c>
      <c r="AA536" s="48" t="n">
        <f aca="false">IF($U536=1,$G536-$H536,MAX($G536-$H536,ABS($G536-$I535),ABS($H536-$I535)))</f>
        <v>113</v>
      </c>
      <c r="AB536" s="48" t="str">
        <f aca="false">IF($U536&gt;=ATR_PER,AVERAGE(INDEX($AA$416:$AA536,122-ATR_PER):$AA536),"")</f>
        <v/>
      </c>
      <c r="AC536" s="48" t="n">
        <f aca="false">$O536-$P536</f>
        <v>538466</v>
      </c>
      <c r="AD536" s="48" t="n">
        <f aca="false">$AC536*$I536</f>
        <v>1932016008</v>
      </c>
      <c r="AE536" s="49" t="n">
        <f aca="false">IF($Q536&gt;0,$O536*$I536/$Q536/1000000,"")</f>
        <v>72.9800500785499</v>
      </c>
      <c r="AF536" s="49" t="n">
        <f aca="false">IF($R536&gt;0,$P536*$I536/$R536/1000000,"")</f>
        <v>66.7326076786469</v>
      </c>
      <c r="AG536" s="50" t="n">
        <f aca="false">IF(AND(ISNUMBER($AE536),ISNUMBER($AF536),$AF536&gt;0),$AE536/$AF536,"")</f>
        <v>1.09361903598894</v>
      </c>
      <c r="AH536" s="48" t="n">
        <f aca="false">IF($U536&gt;=5,SUM(INDEX($AD$506:$AD536,32-5):$AD536),"")</f>
        <v>187211344603</v>
      </c>
      <c r="AI536" s="48" t="str">
        <f aca="false">IF($U536&gt;=STRUCT_S,MAX(INDEX($G$386:$G536,152-STRUCT_S):$G536),"")</f>
        <v/>
      </c>
      <c r="AJ536" s="48" t="str">
        <f aca="false">IF($U536&gt;=STRUCT_S,MIN(INDEX($H$386:$H536,152-STRUCT_S):$H536),"")</f>
        <v/>
      </c>
      <c r="AK536" s="48" t="str">
        <f aca="false">IF($U536&gt;=STRUCT_L,MAX(INDEX($G$286:$G536,252-STRUCT_L):$G536),"")</f>
        <v/>
      </c>
      <c r="AL536" s="48" t="str">
        <f aca="false">IF($U536&gt;=STRUCT_L,MIN(INDEX($H$286:$H536,252-STRUCT_L):$H536),"")</f>
        <v/>
      </c>
      <c r="AM536" s="46" t="n">
        <f aca="false">IF($A536&lt;&gt;$A537,1,0)</f>
        <v>0</v>
      </c>
      <c r="AN536" s="47" t="str">
        <f aca="false">IF($AM536=1,$A536,"")</f>
        <v/>
      </c>
    </row>
    <row r="537" customFormat="false" ht="15" hidden="false" customHeight="false" outlineLevel="0" collapsed="false">
      <c r="A537" s="43" t="s">
        <v>142</v>
      </c>
      <c r="B537" s="44" t="s">
        <v>144</v>
      </c>
      <c r="C537" s="45" t="n">
        <v>45922</v>
      </c>
      <c r="D537" s="46" t="n">
        <v>20250922</v>
      </c>
      <c r="E537" s="47" t="s">
        <v>300</v>
      </c>
      <c r="F537" s="48" t="n">
        <v>3514</v>
      </c>
      <c r="G537" s="48" t="n">
        <v>3605</v>
      </c>
      <c r="H537" s="48" t="n">
        <v>3471</v>
      </c>
      <c r="I537" s="48" t="n">
        <v>3487</v>
      </c>
      <c r="J537" s="48" t="n">
        <v>3529</v>
      </c>
      <c r="K537" s="48" t="n">
        <v>3588</v>
      </c>
      <c r="L537" s="48" t="n">
        <v>66021991</v>
      </c>
      <c r="M537" s="48" t="n">
        <v>230218682617</v>
      </c>
      <c r="N537" s="48" t="n">
        <v>1851</v>
      </c>
      <c r="O537" s="48" t="n">
        <v>27431486</v>
      </c>
      <c r="P537" s="48" t="n">
        <v>43134258</v>
      </c>
      <c r="Q537" s="48" t="n">
        <v>621</v>
      </c>
      <c r="R537" s="48" t="n">
        <v>523</v>
      </c>
      <c r="S537" s="48" t="n">
        <v>38590505</v>
      </c>
      <c r="T537" s="48" t="n">
        <v>22887733</v>
      </c>
      <c r="U537" s="46" t="n">
        <f aca="false">IF($A537=$A536,$U536+1,1)</f>
        <v>13</v>
      </c>
      <c r="V537" s="48" t="str">
        <f aca="false">IF($U537&gt;=MA_SHORT,AVERAGE(INDEX($I$137:$I537,402-MA_SHORT):$I537),"")</f>
        <v/>
      </c>
      <c r="W537" s="48" t="str">
        <f aca="false">IF($U537&gt;=MA_MED,AVERAGE(INDEX($I$137:$I537,402-MA_MED):$I537),"")</f>
        <v/>
      </c>
      <c r="X537" s="48" t="str">
        <f aca="false">IF($U537&gt;=MA_LONG1,AVERAGE(INDEX($I$137:$I537,402-MA_LONG1):$I537),"")</f>
        <v/>
      </c>
      <c r="Y537" s="48" t="str">
        <f aca="false">IF($U537&gt;=MA_LONG2,AVERAGE(INDEX($I$137:$I537,402-MA_LONG2):$I537),"")</f>
        <v/>
      </c>
      <c r="Z537" s="48" t="str">
        <f aca="false">IF($U537&gt;=MA_SHORT,AVERAGE(INDEX($L$417:$L537,122-MA_SHORT):$L537),"")</f>
        <v/>
      </c>
      <c r="AA537" s="48" t="n">
        <f aca="false">IF($U537=1,$G537-$H537,MAX($G537-$H537,ABS($G537-$I536),ABS($H537-$I536)))</f>
        <v>134</v>
      </c>
      <c r="AB537" s="48" t="str">
        <f aca="false">IF($U537&gt;=ATR_PER,AVERAGE(INDEX($AA$417:$AA537,122-ATR_PER):$AA537),"")</f>
        <v/>
      </c>
      <c r="AC537" s="48" t="n">
        <f aca="false">$O537-$P537</f>
        <v>-15702772</v>
      </c>
      <c r="AD537" s="48" t="n">
        <f aca="false">$AC537*$I537</f>
        <v>-54755565964</v>
      </c>
      <c r="AE537" s="49" t="n">
        <f aca="false">IF($Q537&gt;0,$O537*$I537/$Q537/1000000,"")</f>
        <v>154.031548602254</v>
      </c>
      <c r="AF537" s="49" t="n">
        <f aca="false">IF($R537&gt;0,$P537*$I537/$R537/1000000,"")</f>
        <v>287.589211560229</v>
      </c>
      <c r="AG537" s="50" t="n">
        <f aca="false">IF(AND(ISNUMBER($AE537),ISNUMBER($AF537),$AF537&gt;0),$AE537/$AF537,"")</f>
        <v>0.535595712254303</v>
      </c>
      <c r="AH537" s="48" t="n">
        <f aca="false">IF($U537&gt;=5,SUM(INDEX($AD$507:$AD537,32-5):$AD537),"")</f>
        <v>52830619407</v>
      </c>
      <c r="AI537" s="48" t="str">
        <f aca="false">IF($U537&gt;=STRUCT_S,MAX(INDEX($G$387:$G537,152-STRUCT_S):$G537),"")</f>
        <v/>
      </c>
      <c r="AJ537" s="48" t="str">
        <f aca="false">IF($U537&gt;=STRUCT_S,MIN(INDEX($H$387:$H537,152-STRUCT_S):$H537),"")</f>
        <v/>
      </c>
      <c r="AK537" s="48" t="str">
        <f aca="false">IF($U537&gt;=STRUCT_L,MAX(INDEX($G$287:$G537,252-STRUCT_L):$G537),"")</f>
        <v/>
      </c>
      <c r="AL537" s="48" t="str">
        <f aca="false">IF($U537&gt;=STRUCT_L,MIN(INDEX($H$287:$H537,252-STRUCT_L):$H537),"")</f>
        <v/>
      </c>
      <c r="AM537" s="46" t="n">
        <f aca="false">IF($A537&lt;&gt;$A538,1,0)</f>
        <v>0</v>
      </c>
      <c r="AN537" s="47" t="str">
        <f aca="false">IF($AM537=1,$A537,"")</f>
        <v/>
      </c>
    </row>
    <row r="538" customFormat="false" ht="15" hidden="false" customHeight="false" outlineLevel="0" collapsed="false">
      <c r="A538" s="43" t="s">
        <v>142</v>
      </c>
      <c r="B538" s="44" t="s">
        <v>144</v>
      </c>
      <c r="C538" s="45" t="n">
        <v>45923</v>
      </c>
      <c r="D538" s="46" t="n">
        <v>20250923</v>
      </c>
      <c r="E538" s="47" t="s">
        <v>301</v>
      </c>
      <c r="F538" s="48" t="n">
        <v>3524</v>
      </c>
      <c r="G538" s="48" t="n">
        <v>3594</v>
      </c>
      <c r="H538" s="48" t="n">
        <v>3353</v>
      </c>
      <c r="I538" s="48" t="n">
        <v>3459</v>
      </c>
      <c r="J538" s="48" t="n">
        <v>3389</v>
      </c>
      <c r="K538" s="48" t="n">
        <v>3487</v>
      </c>
      <c r="L538" s="48" t="n">
        <v>52437769</v>
      </c>
      <c r="M538" s="48" t="n">
        <v>181382242971</v>
      </c>
      <c r="N538" s="48" t="n">
        <v>1605</v>
      </c>
      <c r="O538" s="48" t="n">
        <v>23982048</v>
      </c>
      <c r="P538" s="48" t="n">
        <v>29770119</v>
      </c>
      <c r="Q538" s="48" t="n">
        <v>585</v>
      </c>
      <c r="R538" s="48" t="n">
        <v>585</v>
      </c>
      <c r="S538" s="48" t="n">
        <v>28455721</v>
      </c>
      <c r="T538" s="48" t="n">
        <v>22667650</v>
      </c>
      <c r="U538" s="46" t="n">
        <f aca="false">IF($A538=$A537,$U537+1,1)</f>
        <v>14</v>
      </c>
      <c r="V538" s="48" t="str">
        <f aca="false">IF($U538&gt;=MA_SHORT,AVERAGE(INDEX($I$138:$I538,402-MA_SHORT):$I538),"")</f>
        <v/>
      </c>
      <c r="W538" s="48" t="str">
        <f aca="false">IF($U538&gt;=MA_MED,AVERAGE(INDEX($I$138:$I538,402-MA_MED):$I538),"")</f>
        <v/>
      </c>
      <c r="X538" s="48" t="str">
        <f aca="false">IF($U538&gt;=MA_LONG1,AVERAGE(INDEX($I$138:$I538,402-MA_LONG1):$I538),"")</f>
        <v/>
      </c>
      <c r="Y538" s="48" t="str">
        <f aca="false">IF($U538&gt;=MA_LONG2,AVERAGE(INDEX($I$138:$I538,402-MA_LONG2):$I538),"")</f>
        <v/>
      </c>
      <c r="Z538" s="48" t="str">
        <f aca="false">IF($U538&gt;=MA_SHORT,AVERAGE(INDEX($L$418:$L538,122-MA_SHORT):$L538),"")</f>
        <v/>
      </c>
      <c r="AA538" s="48" t="n">
        <f aca="false">IF($U538=1,$G538-$H538,MAX($G538-$H538,ABS($G538-$I537),ABS($H538-$I537)))</f>
        <v>241</v>
      </c>
      <c r="AB538" s="48" t="n">
        <f aca="false">IF($U538&gt;=ATR_PER,AVERAGE(INDEX($AA$418:$AA538,122-ATR_PER):$AA538),"")</f>
        <v>114.714285714286</v>
      </c>
      <c r="AC538" s="48" t="n">
        <f aca="false">$O538-$P538</f>
        <v>-5788071</v>
      </c>
      <c r="AD538" s="48" t="n">
        <f aca="false">$AC538*$I538</f>
        <v>-20020937589</v>
      </c>
      <c r="AE538" s="49" t="n">
        <f aca="false">IF($Q538&gt;0,$O538*$I538/$Q538/1000000,"")</f>
        <v>141.801545353846</v>
      </c>
      <c r="AF538" s="49" t="n">
        <f aca="false">IF($R538&gt;0,$P538*$I538/$R538/1000000,"")</f>
        <v>176.025370292308</v>
      </c>
      <c r="AG538" s="50" t="n">
        <f aca="false">IF(AND(ISNUMBER($AE538),ISNUMBER($AF538),$AF538&gt;0),$AE538/$AF538,"")</f>
        <v>0.805574475533672</v>
      </c>
      <c r="AH538" s="48" t="n">
        <f aca="false">IF($U538&gt;=5,SUM(INDEX($AD$508:$AD538,32-5):$AD538),"")</f>
        <v>-38815197840</v>
      </c>
      <c r="AI538" s="48" t="str">
        <f aca="false">IF($U538&gt;=STRUCT_S,MAX(INDEX($G$388:$G538,152-STRUCT_S):$G538),"")</f>
        <v/>
      </c>
      <c r="AJ538" s="48" t="str">
        <f aca="false">IF($U538&gt;=STRUCT_S,MIN(INDEX($H$388:$H538,152-STRUCT_S):$H538),"")</f>
        <v/>
      </c>
      <c r="AK538" s="48" t="str">
        <f aca="false">IF($U538&gt;=STRUCT_L,MAX(INDEX($G$288:$G538,252-STRUCT_L):$G538),"")</f>
        <v/>
      </c>
      <c r="AL538" s="48" t="str">
        <f aca="false">IF($U538&gt;=STRUCT_L,MIN(INDEX($H$288:$H538,252-STRUCT_L):$H538),"")</f>
        <v/>
      </c>
      <c r="AM538" s="46" t="n">
        <f aca="false">IF($A538&lt;&gt;$A539,1,0)</f>
        <v>0</v>
      </c>
      <c r="AN538" s="47" t="str">
        <f aca="false">IF($AM538=1,$A538,"")</f>
        <v/>
      </c>
    </row>
    <row r="539" customFormat="false" ht="15" hidden="false" customHeight="false" outlineLevel="0" collapsed="false">
      <c r="A539" s="43" t="s">
        <v>142</v>
      </c>
      <c r="B539" s="44" t="s">
        <v>144</v>
      </c>
      <c r="C539" s="45" t="n">
        <v>45924</v>
      </c>
      <c r="D539" s="46" t="n">
        <v>20250924</v>
      </c>
      <c r="E539" s="47" t="s">
        <v>302</v>
      </c>
      <c r="F539" s="48" t="n">
        <v>3434</v>
      </c>
      <c r="G539" s="48" t="n">
        <v>3494</v>
      </c>
      <c r="H539" s="48" t="n">
        <v>3407</v>
      </c>
      <c r="I539" s="48" t="n">
        <v>3442</v>
      </c>
      <c r="J539" s="48" t="n">
        <v>3461</v>
      </c>
      <c r="K539" s="48" t="n">
        <v>3459</v>
      </c>
      <c r="L539" s="48" t="n">
        <v>57754239</v>
      </c>
      <c r="M539" s="48" t="n">
        <v>198790090638</v>
      </c>
      <c r="N539" s="48" t="n">
        <v>1893</v>
      </c>
      <c r="O539" s="48" t="n">
        <v>31779266</v>
      </c>
      <c r="P539" s="48" t="n">
        <v>28292811</v>
      </c>
      <c r="Q539" s="48" t="n">
        <v>828</v>
      </c>
      <c r="R539" s="48" t="n">
        <v>530</v>
      </c>
      <c r="S539" s="48" t="n">
        <v>25974973</v>
      </c>
      <c r="T539" s="48" t="n">
        <v>29461428</v>
      </c>
      <c r="U539" s="46" t="n">
        <f aca="false">IF($A539=$A538,$U538+1,1)</f>
        <v>15</v>
      </c>
      <c r="V539" s="48" t="str">
        <f aca="false">IF($U539&gt;=MA_SHORT,AVERAGE(INDEX($I$139:$I539,402-MA_SHORT):$I539),"")</f>
        <v/>
      </c>
      <c r="W539" s="48" t="str">
        <f aca="false">IF($U539&gt;=MA_MED,AVERAGE(INDEX($I$139:$I539,402-MA_MED):$I539),"")</f>
        <v/>
      </c>
      <c r="X539" s="48" t="str">
        <f aca="false">IF($U539&gt;=MA_LONG1,AVERAGE(INDEX($I$139:$I539,402-MA_LONG1):$I539),"")</f>
        <v/>
      </c>
      <c r="Y539" s="48" t="str">
        <f aca="false">IF($U539&gt;=MA_LONG2,AVERAGE(INDEX($I$139:$I539,402-MA_LONG2):$I539),"")</f>
        <v/>
      </c>
      <c r="Z539" s="48" t="str">
        <f aca="false">IF($U539&gt;=MA_SHORT,AVERAGE(INDEX($L$419:$L539,122-MA_SHORT):$L539),"")</f>
        <v/>
      </c>
      <c r="AA539" s="48" t="n">
        <f aca="false">IF($U539=1,$G539-$H539,MAX($G539-$H539,ABS($G539-$I538),ABS($H539-$I538)))</f>
        <v>87</v>
      </c>
      <c r="AB539" s="48" t="n">
        <f aca="false">IF($U539&gt;=ATR_PER,AVERAGE(INDEX($AA$419:$AA539,122-ATR_PER):$AA539),"")</f>
        <v>114.142857142857</v>
      </c>
      <c r="AC539" s="48" t="n">
        <f aca="false">$O539-$P539</f>
        <v>3486455</v>
      </c>
      <c r="AD539" s="48" t="n">
        <f aca="false">$AC539*$I539</f>
        <v>12000378110</v>
      </c>
      <c r="AE539" s="49" t="n">
        <f aca="false">IF($Q539&gt;0,$O539*$I539/$Q539/1000000,"")</f>
        <v>132.106562285024</v>
      </c>
      <c r="AF539" s="49" t="n">
        <f aca="false">IF($R539&gt;0,$P539*$I539/$R539/1000000,"")</f>
        <v>183.743123513208</v>
      </c>
      <c r="AG539" s="50" t="n">
        <f aca="false">IF(AND(ISNUMBER($AE539),ISNUMBER($AF539),$AF539&gt;0),$AE539/$AF539,"")</f>
        <v>0.718974183953764</v>
      </c>
      <c r="AH539" s="48" t="n">
        <f aca="false">IF($U539&gt;=5,SUM(INDEX($AD$509:$AD539,32-5):$AD539),"")</f>
        <v>-66067087195</v>
      </c>
      <c r="AI539" s="48" t="str">
        <f aca="false">IF($U539&gt;=STRUCT_S,MAX(INDEX($G$389:$G539,152-STRUCT_S):$G539),"")</f>
        <v/>
      </c>
      <c r="AJ539" s="48" t="str">
        <f aca="false">IF($U539&gt;=STRUCT_S,MIN(INDEX($H$389:$H539,152-STRUCT_S):$H539),"")</f>
        <v/>
      </c>
      <c r="AK539" s="48" t="str">
        <f aca="false">IF($U539&gt;=STRUCT_L,MAX(INDEX($G$289:$G539,252-STRUCT_L):$G539),"")</f>
        <v/>
      </c>
      <c r="AL539" s="48" t="str">
        <f aca="false">IF($U539&gt;=STRUCT_L,MIN(INDEX($H$289:$H539,252-STRUCT_L):$H539),"")</f>
        <v/>
      </c>
      <c r="AM539" s="46" t="n">
        <f aca="false">IF($A539&lt;&gt;$A540,1,0)</f>
        <v>0</v>
      </c>
      <c r="AN539" s="47" t="str">
        <f aca="false">IF($AM539=1,$A539,"")</f>
        <v/>
      </c>
    </row>
    <row r="540" customFormat="false" ht="15" hidden="false" customHeight="false" outlineLevel="0" collapsed="false">
      <c r="A540" s="43" t="s">
        <v>142</v>
      </c>
      <c r="B540" s="44" t="s">
        <v>144</v>
      </c>
      <c r="C540" s="45" t="n">
        <v>45927</v>
      </c>
      <c r="D540" s="46" t="n">
        <v>20250927</v>
      </c>
      <c r="E540" s="47" t="s">
        <v>303</v>
      </c>
      <c r="F540" s="48" t="n">
        <v>3462</v>
      </c>
      <c r="G540" s="48" t="n">
        <v>3563</v>
      </c>
      <c r="H540" s="48" t="n">
        <v>3400</v>
      </c>
      <c r="I540" s="48" t="n">
        <v>3520</v>
      </c>
      <c r="J540" s="48" t="n">
        <v>3551</v>
      </c>
      <c r="K540" s="48" t="n">
        <v>3442</v>
      </c>
      <c r="L540" s="48" t="n">
        <v>86355054</v>
      </c>
      <c r="M540" s="48" t="n">
        <v>303969790080</v>
      </c>
      <c r="N540" s="48" t="n">
        <v>2227</v>
      </c>
      <c r="O540" s="48" t="n">
        <v>61904142</v>
      </c>
      <c r="P540" s="48" t="n">
        <v>22321354</v>
      </c>
      <c r="Q540" s="48" t="n">
        <v>645</v>
      </c>
      <c r="R540" s="48" t="n">
        <v>921</v>
      </c>
      <c r="S540" s="48" t="n">
        <v>24450912</v>
      </c>
      <c r="T540" s="48" t="n">
        <v>64033700</v>
      </c>
      <c r="U540" s="46" t="n">
        <f aca="false">IF($A540=$A539,$U539+1,1)</f>
        <v>16</v>
      </c>
      <c r="V540" s="48" t="str">
        <f aca="false">IF($U540&gt;=MA_SHORT,AVERAGE(INDEX($I$140:$I540,402-MA_SHORT):$I540),"")</f>
        <v/>
      </c>
      <c r="W540" s="48" t="str">
        <f aca="false">IF($U540&gt;=MA_MED,AVERAGE(INDEX($I$140:$I540,402-MA_MED):$I540),"")</f>
        <v/>
      </c>
      <c r="X540" s="48" t="str">
        <f aca="false">IF($U540&gt;=MA_LONG1,AVERAGE(INDEX($I$140:$I540,402-MA_LONG1):$I540),"")</f>
        <v/>
      </c>
      <c r="Y540" s="48" t="str">
        <f aca="false">IF($U540&gt;=MA_LONG2,AVERAGE(INDEX($I$140:$I540,402-MA_LONG2):$I540),"")</f>
        <v/>
      </c>
      <c r="Z540" s="48" t="str">
        <f aca="false">IF($U540&gt;=MA_SHORT,AVERAGE(INDEX($L$420:$L540,122-MA_SHORT):$L540),"")</f>
        <v/>
      </c>
      <c r="AA540" s="48" t="n">
        <f aca="false">IF($U540=1,$G540-$H540,MAX($G540-$H540,ABS($G540-$I539),ABS($H540-$I539)))</f>
        <v>163</v>
      </c>
      <c r="AB540" s="48" t="n">
        <f aca="false">IF($U540&gt;=ATR_PER,AVERAGE(INDEX($AA$420:$AA540,122-ATR_PER):$AA540),"")</f>
        <v>119.142857142857</v>
      </c>
      <c r="AC540" s="48" t="n">
        <f aca="false">$O540-$P540</f>
        <v>39582788</v>
      </c>
      <c r="AD540" s="48" t="n">
        <f aca="false">$AC540*$I540</f>
        <v>139331413760</v>
      </c>
      <c r="AE540" s="49" t="n">
        <f aca="false">IF($Q540&gt;0,$O540*$I540/$Q540/1000000,"")</f>
        <v>337.833457116279</v>
      </c>
      <c r="AF540" s="49" t="n">
        <f aca="false">IF($R540&gt;0,$P540*$I540/$R540/1000000,"")</f>
        <v>85.3107123561346</v>
      </c>
      <c r="AG540" s="50" t="n">
        <f aca="false">IF(AND(ISNUMBER($AE540),ISNUMBER($AF540),$AF540&gt;0),$AE540/$AF540,"")</f>
        <v>3.96003558973899</v>
      </c>
      <c r="AH540" s="48" t="n">
        <f aca="false">IF($U540&gt;=5,SUM(INDEX($AD$510:$AD540,32-5):$AD540),"")</f>
        <v>78487304325</v>
      </c>
      <c r="AI540" s="48" t="str">
        <f aca="false">IF($U540&gt;=STRUCT_S,MAX(INDEX($G$390:$G540,152-STRUCT_S):$G540),"")</f>
        <v/>
      </c>
      <c r="AJ540" s="48" t="str">
        <f aca="false">IF($U540&gt;=STRUCT_S,MIN(INDEX($H$390:$H540,152-STRUCT_S):$H540),"")</f>
        <v/>
      </c>
      <c r="AK540" s="48" t="str">
        <f aca="false">IF($U540&gt;=STRUCT_L,MAX(INDEX($G$290:$G540,252-STRUCT_L):$G540),"")</f>
        <v/>
      </c>
      <c r="AL540" s="48" t="str">
        <f aca="false">IF($U540&gt;=STRUCT_L,MIN(INDEX($H$290:$H540,252-STRUCT_L):$H540),"")</f>
        <v/>
      </c>
      <c r="AM540" s="46" t="n">
        <f aca="false">IF($A540&lt;&gt;$A541,1,0)</f>
        <v>0</v>
      </c>
      <c r="AN540" s="47" t="str">
        <f aca="false">IF($AM540=1,$A540,"")</f>
        <v/>
      </c>
    </row>
    <row r="541" customFormat="false" ht="15" hidden="false" customHeight="false" outlineLevel="0" collapsed="false">
      <c r="A541" s="43" t="s">
        <v>142</v>
      </c>
      <c r="B541" s="44" t="s">
        <v>144</v>
      </c>
      <c r="C541" s="45" t="n">
        <v>45928</v>
      </c>
      <c r="D541" s="46" t="n">
        <v>20250928</v>
      </c>
      <c r="E541" s="47" t="s">
        <v>304</v>
      </c>
      <c r="F541" s="48" t="n">
        <v>3424</v>
      </c>
      <c r="G541" s="48" t="n">
        <v>3540</v>
      </c>
      <c r="H541" s="48" t="n">
        <v>3400</v>
      </c>
      <c r="I541" s="48" t="n">
        <v>3419</v>
      </c>
      <c r="J541" s="48" t="n">
        <v>3436</v>
      </c>
      <c r="K541" s="48" t="n">
        <v>3520</v>
      </c>
      <c r="L541" s="48" t="n">
        <v>58640185</v>
      </c>
      <c r="M541" s="48" t="n">
        <v>200490792515</v>
      </c>
      <c r="N541" s="48" t="n">
        <v>3948</v>
      </c>
      <c r="O541" s="48" t="n">
        <v>22458379</v>
      </c>
      <c r="P541" s="48" t="n">
        <v>37694521</v>
      </c>
      <c r="Q541" s="48" t="n">
        <v>1762</v>
      </c>
      <c r="R541" s="48" t="n">
        <v>1341</v>
      </c>
      <c r="S541" s="48" t="n">
        <v>36181806</v>
      </c>
      <c r="T541" s="48" t="n">
        <v>20945664</v>
      </c>
      <c r="U541" s="46" t="n">
        <f aca="false">IF($A541=$A540,$U540+1,1)</f>
        <v>17</v>
      </c>
      <c r="V541" s="48" t="str">
        <f aca="false">IF($U541&gt;=MA_SHORT,AVERAGE(INDEX($I$141:$I541,402-MA_SHORT):$I541),"")</f>
        <v/>
      </c>
      <c r="W541" s="48" t="str">
        <f aca="false">IF($U541&gt;=MA_MED,AVERAGE(INDEX($I$141:$I541,402-MA_MED):$I541),"")</f>
        <v/>
      </c>
      <c r="X541" s="48" t="str">
        <f aca="false">IF($U541&gt;=MA_LONG1,AVERAGE(INDEX($I$141:$I541,402-MA_LONG1):$I541),"")</f>
        <v/>
      </c>
      <c r="Y541" s="48" t="str">
        <f aca="false">IF($U541&gt;=MA_LONG2,AVERAGE(INDEX($I$141:$I541,402-MA_LONG2):$I541),"")</f>
        <v/>
      </c>
      <c r="Z541" s="48" t="str">
        <f aca="false">IF($U541&gt;=MA_SHORT,AVERAGE(INDEX($L$421:$L541,122-MA_SHORT):$L541),"")</f>
        <v/>
      </c>
      <c r="AA541" s="48" t="n">
        <f aca="false">IF($U541=1,$G541-$H541,MAX($G541-$H541,ABS($G541-$I540),ABS($H541-$I540)))</f>
        <v>140</v>
      </c>
      <c r="AB541" s="48" t="n">
        <f aca="false">IF($U541&gt;=ATR_PER,AVERAGE(INDEX($AA$421:$AA541,122-ATR_PER):$AA541),"")</f>
        <v>122.857142857143</v>
      </c>
      <c r="AC541" s="48" t="n">
        <f aca="false">$O541-$P541</f>
        <v>-15236142</v>
      </c>
      <c r="AD541" s="48" t="n">
        <f aca="false">$AC541*$I541</f>
        <v>-52092369498</v>
      </c>
      <c r="AE541" s="49" t="n">
        <f aca="false">IF($Q541&gt;0,$O541*$I541/$Q541/1000000,"")</f>
        <v>43.5784323501703</v>
      </c>
      <c r="AF541" s="49" t="n">
        <f aca="false">IF($R541&gt;0,$P541*$I541/$R541/1000000,"")</f>
        <v>96.1055684556301</v>
      </c>
      <c r="AG541" s="50" t="n">
        <f aca="false">IF(AND(ISNUMBER($AE541),ISNUMBER($AF541),$AF541&gt;0),$AE541/$AF541,"")</f>
        <v>0.45344336494185</v>
      </c>
      <c r="AH541" s="48" t="n">
        <f aca="false">IF($U541&gt;=5,SUM(INDEX($AD$511:$AD541,32-5):$AD541),"")</f>
        <v>24462918819</v>
      </c>
      <c r="AI541" s="48" t="str">
        <f aca="false">IF($U541&gt;=STRUCT_S,MAX(INDEX($G$391:$G541,152-STRUCT_S):$G541),"")</f>
        <v/>
      </c>
      <c r="AJ541" s="48" t="str">
        <f aca="false">IF($U541&gt;=STRUCT_S,MIN(INDEX($H$391:$H541,152-STRUCT_S):$H541),"")</f>
        <v/>
      </c>
      <c r="AK541" s="48" t="str">
        <f aca="false">IF($U541&gt;=STRUCT_L,MAX(INDEX($G$291:$G541,252-STRUCT_L):$G541),"")</f>
        <v/>
      </c>
      <c r="AL541" s="48" t="str">
        <f aca="false">IF($U541&gt;=STRUCT_L,MIN(INDEX($H$291:$H541,252-STRUCT_L):$H541),"")</f>
        <v/>
      </c>
      <c r="AM541" s="46" t="n">
        <f aca="false">IF($A541&lt;&gt;$A542,1,0)</f>
        <v>0</v>
      </c>
      <c r="AN541" s="47" t="str">
        <f aca="false">IF($AM541=1,$A541,"")</f>
        <v/>
      </c>
    </row>
    <row r="542" customFormat="false" ht="15" hidden="false" customHeight="false" outlineLevel="0" collapsed="false">
      <c r="A542" s="43" t="s">
        <v>142</v>
      </c>
      <c r="B542" s="44" t="s">
        <v>144</v>
      </c>
      <c r="C542" s="45" t="n">
        <v>45929</v>
      </c>
      <c r="D542" s="46" t="n">
        <v>20250929</v>
      </c>
      <c r="E542" s="47" t="s">
        <v>305</v>
      </c>
      <c r="F542" s="48" t="n">
        <v>3367</v>
      </c>
      <c r="G542" s="48" t="n">
        <v>3465</v>
      </c>
      <c r="H542" s="48" t="n">
        <v>3313</v>
      </c>
      <c r="I542" s="48" t="n">
        <v>3359</v>
      </c>
      <c r="J542" s="48" t="n">
        <v>3449</v>
      </c>
      <c r="K542" s="48" t="n">
        <v>3419</v>
      </c>
      <c r="L542" s="48" t="n">
        <v>55295089</v>
      </c>
      <c r="M542" s="48" t="n">
        <v>185736203951</v>
      </c>
      <c r="N542" s="48" t="n">
        <v>1799</v>
      </c>
      <c r="O542" s="48" t="n">
        <v>23452960</v>
      </c>
      <c r="P542" s="48" t="n">
        <v>31231141</v>
      </c>
      <c r="Q542" s="48" t="n">
        <v>687</v>
      </c>
      <c r="R542" s="48" t="n">
        <v>603</v>
      </c>
      <c r="S542" s="48" t="n">
        <v>31842129</v>
      </c>
      <c r="T542" s="48" t="n">
        <v>24063948</v>
      </c>
      <c r="U542" s="46" t="n">
        <f aca="false">IF($A542=$A541,$U541+1,1)</f>
        <v>18</v>
      </c>
      <c r="V542" s="48" t="str">
        <f aca="false">IF($U542&gt;=MA_SHORT,AVERAGE(INDEX($I$142:$I542,402-MA_SHORT):$I542),"")</f>
        <v/>
      </c>
      <c r="W542" s="48" t="str">
        <f aca="false">IF($U542&gt;=MA_MED,AVERAGE(INDEX($I$142:$I542,402-MA_MED):$I542),"")</f>
        <v/>
      </c>
      <c r="X542" s="48" t="str">
        <f aca="false">IF($U542&gt;=MA_LONG1,AVERAGE(INDEX($I$142:$I542,402-MA_LONG1):$I542),"")</f>
        <v/>
      </c>
      <c r="Y542" s="48" t="str">
        <f aca="false">IF($U542&gt;=MA_LONG2,AVERAGE(INDEX($I$142:$I542,402-MA_LONG2):$I542),"")</f>
        <v/>
      </c>
      <c r="Z542" s="48" t="str">
        <f aca="false">IF($U542&gt;=MA_SHORT,AVERAGE(INDEX($L$422:$L542,122-MA_SHORT):$L542),"")</f>
        <v/>
      </c>
      <c r="AA542" s="48" t="n">
        <f aca="false">IF($U542=1,$G542-$H542,MAX($G542-$H542,ABS($G542-$I541),ABS($H542-$I541)))</f>
        <v>152</v>
      </c>
      <c r="AB542" s="48" t="n">
        <f aca="false">IF($U542&gt;=ATR_PER,AVERAGE(INDEX($AA$422:$AA542,122-ATR_PER):$AA542),"")</f>
        <v>130.285714285714</v>
      </c>
      <c r="AC542" s="48" t="n">
        <f aca="false">$O542-$P542</f>
        <v>-7778181</v>
      </c>
      <c r="AD542" s="48" t="n">
        <f aca="false">$AC542*$I542</f>
        <v>-26126909979</v>
      </c>
      <c r="AE542" s="49" t="n">
        <f aca="false">IF($Q542&gt;0,$O542*$I542/$Q542/1000000,"")</f>
        <v>114.67029496361</v>
      </c>
      <c r="AF542" s="49" t="n">
        <f aca="false">IF($R542&gt;0,$P542*$I542/$R542/1000000,"")</f>
        <v>173.972475321725</v>
      </c>
      <c r="AG542" s="50" t="n">
        <f aca="false">IF(AND(ISNUMBER($AE542),ISNUMBER($AF542),$AF542&gt;0),$AE542/$AF542,"")</f>
        <v>0.659128949861476</v>
      </c>
      <c r="AH542" s="48" t="n">
        <f aca="false">IF($U542&gt;=5,SUM(INDEX($AD$512:$AD542,32-5):$AD542),"")</f>
        <v>53091574804</v>
      </c>
      <c r="AI542" s="48" t="str">
        <f aca="false">IF($U542&gt;=STRUCT_S,MAX(INDEX($G$392:$G542,152-STRUCT_S):$G542),"")</f>
        <v/>
      </c>
      <c r="AJ542" s="48" t="str">
        <f aca="false">IF($U542&gt;=STRUCT_S,MIN(INDEX($H$392:$H542,152-STRUCT_S):$H542),"")</f>
        <v/>
      </c>
      <c r="AK542" s="48" t="str">
        <f aca="false">IF($U542&gt;=STRUCT_L,MAX(INDEX($G$292:$G542,252-STRUCT_L):$G542),"")</f>
        <v/>
      </c>
      <c r="AL542" s="48" t="str">
        <f aca="false">IF($U542&gt;=STRUCT_L,MIN(INDEX($H$292:$H542,252-STRUCT_L):$H542),"")</f>
        <v/>
      </c>
      <c r="AM542" s="46" t="n">
        <f aca="false">IF($A542&lt;&gt;$A543,1,0)</f>
        <v>0</v>
      </c>
      <c r="AN542" s="47" t="str">
        <f aca="false">IF($AM542=1,$A542,"")</f>
        <v/>
      </c>
    </row>
    <row r="543" customFormat="false" ht="15" hidden="false" customHeight="false" outlineLevel="0" collapsed="false">
      <c r="A543" s="43" t="s">
        <v>142</v>
      </c>
      <c r="B543" s="44" t="s">
        <v>144</v>
      </c>
      <c r="C543" s="45" t="n">
        <v>45930</v>
      </c>
      <c r="D543" s="46" t="n">
        <v>20250930</v>
      </c>
      <c r="E543" s="47" t="s">
        <v>306</v>
      </c>
      <c r="F543" s="48" t="n">
        <v>3382</v>
      </c>
      <c r="G543" s="48" t="n">
        <v>3399</v>
      </c>
      <c r="H543" s="48" t="n">
        <v>3350</v>
      </c>
      <c r="I543" s="48" t="n">
        <v>3390</v>
      </c>
      <c r="J543" s="48" t="n">
        <v>3381</v>
      </c>
      <c r="K543" s="48" t="n">
        <v>3359</v>
      </c>
      <c r="L543" s="48" t="n">
        <v>57543451</v>
      </c>
      <c r="M543" s="48" t="n">
        <v>195072298890</v>
      </c>
      <c r="N543" s="48" t="n">
        <v>1297</v>
      </c>
      <c r="O543" s="48" t="n">
        <v>35668871</v>
      </c>
      <c r="P543" s="48" t="n">
        <v>21663325</v>
      </c>
      <c r="Q543" s="48" t="n">
        <v>447</v>
      </c>
      <c r="R543" s="48" t="n">
        <v>569</v>
      </c>
      <c r="S543" s="48" t="n">
        <v>21874580</v>
      </c>
      <c r="T543" s="48" t="n">
        <v>35880126</v>
      </c>
      <c r="U543" s="46" t="n">
        <f aca="false">IF($A543=$A542,$U542+1,1)</f>
        <v>19</v>
      </c>
      <c r="V543" s="48" t="str">
        <f aca="false">IF($U543&gt;=MA_SHORT,AVERAGE(INDEX($I$143:$I543,402-MA_SHORT):$I543),"")</f>
        <v/>
      </c>
      <c r="W543" s="48" t="str">
        <f aca="false">IF($U543&gt;=MA_MED,AVERAGE(INDEX($I$143:$I543,402-MA_MED):$I543),"")</f>
        <v/>
      </c>
      <c r="X543" s="48" t="str">
        <f aca="false">IF($U543&gt;=MA_LONG1,AVERAGE(INDEX($I$143:$I543,402-MA_LONG1):$I543),"")</f>
        <v/>
      </c>
      <c r="Y543" s="48" t="str">
        <f aca="false">IF($U543&gt;=MA_LONG2,AVERAGE(INDEX($I$143:$I543,402-MA_LONG2):$I543),"")</f>
        <v/>
      </c>
      <c r="Z543" s="48" t="str">
        <f aca="false">IF($U543&gt;=MA_SHORT,AVERAGE(INDEX($L$423:$L543,122-MA_SHORT):$L543),"")</f>
        <v/>
      </c>
      <c r="AA543" s="48" t="n">
        <f aca="false">IF($U543=1,$G543-$H543,MAX($G543-$H543,ABS($G543-$I542),ABS($H543-$I542)))</f>
        <v>49</v>
      </c>
      <c r="AB543" s="48" t="n">
        <f aca="false">IF($U543&gt;=ATR_PER,AVERAGE(INDEX($AA$423:$AA543,122-ATR_PER):$AA543),"")</f>
        <v>129.857142857143</v>
      </c>
      <c r="AC543" s="48" t="n">
        <f aca="false">$O543-$P543</f>
        <v>14005546</v>
      </c>
      <c r="AD543" s="48" t="n">
        <f aca="false">$AC543*$I543</f>
        <v>47478800940</v>
      </c>
      <c r="AE543" s="49" t="n">
        <f aca="false">IF($Q543&gt;0,$O543*$I543/$Q543/1000000,"")</f>
        <v>270.508887449664</v>
      </c>
      <c r="AF543" s="49" t="n">
        <f aca="false">IF($R543&gt;0,$P543*$I543/$R543/1000000,"")</f>
        <v>129.066206942004</v>
      </c>
      <c r="AG543" s="50" t="n">
        <f aca="false">IF(AND(ISNUMBER($AE543),ISNUMBER($AF543),$AF543&gt;0),$AE543/$AF543,"")</f>
        <v>2.09589244046832</v>
      </c>
      <c r="AH543" s="48" t="n">
        <f aca="false">IF($U543&gt;=5,SUM(INDEX($AD$513:$AD543,32-5):$AD543),"")</f>
        <v>120591313333</v>
      </c>
      <c r="AI543" s="48" t="str">
        <f aca="false">IF($U543&gt;=STRUCT_S,MAX(INDEX($G$393:$G543,152-STRUCT_S):$G543),"")</f>
        <v/>
      </c>
      <c r="AJ543" s="48" t="str">
        <f aca="false">IF($U543&gt;=STRUCT_S,MIN(INDEX($H$393:$H543,152-STRUCT_S):$H543),"")</f>
        <v/>
      </c>
      <c r="AK543" s="48" t="str">
        <f aca="false">IF($U543&gt;=STRUCT_L,MAX(INDEX($G$293:$G543,252-STRUCT_L):$G543),"")</f>
        <v/>
      </c>
      <c r="AL543" s="48" t="str">
        <f aca="false">IF($U543&gt;=STRUCT_L,MIN(INDEX($H$293:$H543,252-STRUCT_L):$H543),"")</f>
        <v/>
      </c>
      <c r="AM543" s="46" t="n">
        <f aca="false">IF($A543&lt;&gt;$A544,1,0)</f>
        <v>0</v>
      </c>
      <c r="AN543" s="47" t="str">
        <f aca="false">IF($AM543=1,$A543,"")</f>
        <v/>
      </c>
    </row>
    <row r="544" customFormat="false" ht="15" hidden="false" customHeight="false" outlineLevel="0" collapsed="false">
      <c r="A544" s="43" t="s">
        <v>142</v>
      </c>
      <c r="B544" s="44" t="s">
        <v>144</v>
      </c>
      <c r="C544" s="45" t="n">
        <v>45931</v>
      </c>
      <c r="D544" s="46" t="n">
        <v>20251001</v>
      </c>
      <c r="E544" s="47" t="s">
        <v>307</v>
      </c>
      <c r="F544" s="48" t="n">
        <v>3389</v>
      </c>
      <c r="G544" s="48" t="n">
        <v>3409</v>
      </c>
      <c r="H544" s="48" t="n">
        <v>3380</v>
      </c>
      <c r="I544" s="48" t="n">
        <v>3399</v>
      </c>
      <c r="J544" s="48" t="n">
        <v>3397</v>
      </c>
      <c r="K544" s="48" t="n">
        <v>3390</v>
      </c>
      <c r="L544" s="48" t="n">
        <v>50824395</v>
      </c>
      <c r="M544" s="48" t="n">
        <v>172752118605</v>
      </c>
      <c r="N544" s="48" t="n">
        <v>1252</v>
      </c>
      <c r="O544" s="48" t="n">
        <v>25815819</v>
      </c>
      <c r="P544" s="48" t="n">
        <v>22629074</v>
      </c>
      <c r="Q544" s="48" t="n">
        <v>568</v>
      </c>
      <c r="R544" s="48" t="n">
        <v>690</v>
      </c>
      <c r="S544" s="48" t="n">
        <v>25008576</v>
      </c>
      <c r="T544" s="48" t="n">
        <v>28195321</v>
      </c>
      <c r="U544" s="46" t="n">
        <f aca="false">IF($A544=$A543,$U543+1,1)</f>
        <v>20</v>
      </c>
      <c r="V544" s="48" t="n">
        <f aca="false">IF($U544&gt;=MA_SHORT,AVERAGE(INDEX($I$144:$I544,402-MA_SHORT):$I544),"")</f>
        <v>3414</v>
      </c>
      <c r="W544" s="48" t="str">
        <f aca="false">IF($U544&gt;=MA_MED,AVERAGE(INDEX($I$144:$I544,402-MA_MED):$I544),"")</f>
        <v/>
      </c>
      <c r="X544" s="48" t="str">
        <f aca="false">IF($U544&gt;=MA_LONG1,AVERAGE(INDEX($I$144:$I544,402-MA_LONG1):$I544),"")</f>
        <v/>
      </c>
      <c r="Y544" s="48" t="str">
        <f aca="false">IF($U544&gt;=MA_LONG2,AVERAGE(INDEX($I$144:$I544,402-MA_LONG2):$I544),"")</f>
        <v/>
      </c>
      <c r="Z544" s="48" t="n">
        <f aca="false">IF($U544&gt;=MA_SHORT,AVERAGE(INDEX($L$424:$L544,122-MA_SHORT):$L544),"")</f>
        <v>61305195.95</v>
      </c>
      <c r="AA544" s="48" t="n">
        <f aca="false">IF($U544=1,$G544-$H544,MAX($G544-$H544,ABS($G544-$I543),ABS($H544-$I543)))</f>
        <v>29</v>
      </c>
      <c r="AB544" s="48" t="n">
        <f aca="false">IF($U544&gt;=ATR_PER,AVERAGE(INDEX($AA$424:$AA544,122-ATR_PER):$AA544),"")</f>
        <v>125.5</v>
      </c>
      <c r="AC544" s="48" t="n">
        <f aca="false">$O544-$P544</f>
        <v>3186745</v>
      </c>
      <c r="AD544" s="48" t="n">
        <f aca="false">$AC544*$I544</f>
        <v>10831746255</v>
      </c>
      <c r="AE544" s="49" t="n">
        <f aca="false">IF($Q544&gt;0,$O544*$I544/$Q544/1000000,"")</f>
        <v>154.48586052993</v>
      </c>
      <c r="AF544" s="49" t="n">
        <f aca="false">IF($R544&gt;0,$P544*$I544/$R544/1000000,"")</f>
        <v>111.472786269565</v>
      </c>
      <c r="AG544" s="50" t="n">
        <f aca="false">IF(AND(ISNUMBER($AE544),ISNUMBER($AF544),$AF544&gt;0),$AE544/$AF544,"")</f>
        <v>1.38586165915284</v>
      </c>
      <c r="AH544" s="48" t="n">
        <f aca="false">IF($U544&gt;=5,SUM(INDEX($AD$514:$AD544,32-5):$AD544),"")</f>
        <v>119422681478</v>
      </c>
      <c r="AI544" s="48" t="n">
        <f aca="false">IF($U544&gt;=STRUCT_S,MAX(INDEX($G$394:$G544,152-STRUCT_S):$G544),"")</f>
        <v>3701</v>
      </c>
      <c r="AJ544" s="48" t="n">
        <f aca="false">IF($U544&gt;=STRUCT_S,MIN(INDEX($H$394:$H544,152-STRUCT_S):$H544),"")</f>
        <v>3131</v>
      </c>
      <c r="AK544" s="48" t="str">
        <f aca="false">IF($U544&gt;=STRUCT_L,MAX(INDEX($G$294:$G544,252-STRUCT_L):$G544),"")</f>
        <v/>
      </c>
      <c r="AL544" s="48" t="str">
        <f aca="false">IF($U544&gt;=STRUCT_L,MIN(INDEX($H$294:$H544,252-STRUCT_L):$H544),"")</f>
        <v/>
      </c>
      <c r="AM544" s="46" t="n">
        <f aca="false">IF($A544&lt;&gt;$A545,1,0)</f>
        <v>0</v>
      </c>
      <c r="AN544" s="47" t="str">
        <f aca="false">IF($AM544=1,$A544,"")</f>
        <v/>
      </c>
    </row>
    <row r="545" customFormat="false" ht="15" hidden="false" customHeight="false" outlineLevel="0" collapsed="false">
      <c r="A545" s="43" t="s">
        <v>142</v>
      </c>
      <c r="B545" s="44" t="s">
        <v>144</v>
      </c>
      <c r="C545" s="45" t="n">
        <v>45934</v>
      </c>
      <c r="D545" s="46" t="n">
        <v>20251004</v>
      </c>
      <c r="E545" s="47" t="s">
        <v>308</v>
      </c>
      <c r="F545" s="48" t="n">
        <v>3387</v>
      </c>
      <c r="G545" s="48" t="n">
        <v>3481</v>
      </c>
      <c r="H545" s="48" t="n">
        <v>3369</v>
      </c>
      <c r="I545" s="48" t="n">
        <v>3450</v>
      </c>
      <c r="J545" s="48" t="n">
        <v>3383</v>
      </c>
      <c r="K545" s="48" t="n">
        <v>3399</v>
      </c>
      <c r="L545" s="48" t="n">
        <v>54531296</v>
      </c>
      <c r="M545" s="48" t="n">
        <v>188132971200</v>
      </c>
      <c r="N545" s="48" t="n">
        <v>1613</v>
      </c>
      <c r="O545" s="48" t="n">
        <v>32453415</v>
      </c>
      <c r="P545" s="48" t="n">
        <v>21219927</v>
      </c>
      <c r="Q545" s="48" t="n">
        <v>778</v>
      </c>
      <c r="R545" s="48" t="n">
        <v>584</v>
      </c>
      <c r="S545" s="48" t="n">
        <v>22077881</v>
      </c>
      <c r="T545" s="48" t="n">
        <v>33311369</v>
      </c>
      <c r="U545" s="46" t="n">
        <f aca="false">IF($A545=$A544,$U544+1,1)</f>
        <v>21</v>
      </c>
      <c r="V545" s="48" t="n">
        <f aca="false">IF($U545&gt;=MA_SHORT,AVERAGE(INDEX($I$145:$I545,402-MA_SHORT):$I545),"")</f>
        <v>3427.5</v>
      </c>
      <c r="W545" s="48" t="str">
        <f aca="false">IF($U545&gt;=MA_MED,AVERAGE(INDEX($I$145:$I545,402-MA_MED):$I545),"")</f>
        <v/>
      </c>
      <c r="X545" s="48" t="str">
        <f aca="false">IF($U545&gt;=MA_LONG1,AVERAGE(INDEX($I$145:$I545,402-MA_LONG1):$I545),"")</f>
        <v/>
      </c>
      <c r="Y545" s="48" t="str">
        <f aca="false">IF($U545&gt;=MA_LONG2,AVERAGE(INDEX($I$145:$I545,402-MA_LONG2):$I545),"")</f>
        <v/>
      </c>
      <c r="Z545" s="48" t="n">
        <f aca="false">IF($U545&gt;=MA_SHORT,AVERAGE(INDEX($L$425:$L545,122-MA_SHORT):$L545),"")</f>
        <v>61517907.15</v>
      </c>
      <c r="AA545" s="48" t="n">
        <f aca="false">IF($U545=1,$G545-$H545,MAX($G545-$H545,ABS($G545-$I544),ABS($H545-$I544)))</f>
        <v>112</v>
      </c>
      <c r="AB545" s="48" t="n">
        <f aca="false">IF($U545&gt;=ATR_PER,AVERAGE(INDEX($AA$425:$AA545,122-ATR_PER):$AA545),"")</f>
        <v>125.642857142857</v>
      </c>
      <c r="AC545" s="48" t="n">
        <f aca="false">$O545-$P545</f>
        <v>11233488</v>
      </c>
      <c r="AD545" s="48" t="n">
        <f aca="false">$AC545*$I545</f>
        <v>38755533600</v>
      </c>
      <c r="AE545" s="49" t="n">
        <f aca="false">IF($Q545&gt;0,$O545*$I545/$Q545/1000000,"")</f>
        <v>143.912958547558</v>
      </c>
      <c r="AF545" s="49" t="n">
        <f aca="false">IF($R545&gt;0,$P545*$I545/$R545/1000000,"")</f>
        <v>125.357445462329</v>
      </c>
      <c r="AG545" s="50" t="n">
        <f aca="false">IF(AND(ISNUMBER($AE545),ISNUMBER($AF545),$AF545&gt;0),$AE545/$AF545,"")</f>
        <v>1.14802082969061</v>
      </c>
      <c r="AH545" s="48" t="n">
        <f aca="false">IF($U545&gt;=5,SUM(INDEX($AD$515:$AD545,32-5):$AD545),"")</f>
        <v>18846801318</v>
      </c>
      <c r="AI545" s="48" t="n">
        <f aca="false">IF($U545&gt;=STRUCT_S,MAX(INDEX($G$395:$G545,152-STRUCT_S):$G545),"")</f>
        <v>3701</v>
      </c>
      <c r="AJ545" s="48" t="n">
        <f aca="false">IF($U545&gt;=STRUCT_S,MIN(INDEX($H$395:$H545,152-STRUCT_S):$H545),"")</f>
        <v>3145</v>
      </c>
      <c r="AK545" s="48" t="str">
        <f aca="false">IF($U545&gt;=STRUCT_L,MAX(INDEX($G$295:$G545,252-STRUCT_L):$G545),"")</f>
        <v/>
      </c>
      <c r="AL545" s="48" t="str">
        <f aca="false">IF($U545&gt;=STRUCT_L,MIN(INDEX($H$295:$H545,252-STRUCT_L):$H545),"")</f>
        <v/>
      </c>
      <c r="AM545" s="46" t="n">
        <f aca="false">IF($A545&lt;&gt;$A546,1,0)</f>
        <v>0</v>
      </c>
      <c r="AN545" s="47" t="str">
        <f aca="false">IF($AM545=1,$A545,"")</f>
        <v/>
      </c>
    </row>
    <row r="546" customFormat="false" ht="15" hidden="false" customHeight="false" outlineLevel="0" collapsed="false">
      <c r="A546" s="43" t="s">
        <v>142</v>
      </c>
      <c r="B546" s="44" t="s">
        <v>144</v>
      </c>
      <c r="C546" s="45" t="n">
        <v>45935</v>
      </c>
      <c r="D546" s="46" t="n">
        <v>20251005</v>
      </c>
      <c r="E546" s="47" t="s">
        <v>309</v>
      </c>
      <c r="F546" s="48" t="n">
        <v>3406</v>
      </c>
      <c r="G546" s="48" t="n">
        <v>3489</v>
      </c>
      <c r="H546" s="48" t="n">
        <v>3393</v>
      </c>
      <c r="I546" s="48" t="n">
        <v>3432</v>
      </c>
      <c r="J546" s="48" t="n">
        <v>3402</v>
      </c>
      <c r="K546" s="48" t="n">
        <v>3450</v>
      </c>
      <c r="L546" s="48" t="n">
        <v>146811088</v>
      </c>
      <c r="M546" s="48" t="n">
        <v>503855654016</v>
      </c>
      <c r="N546" s="48" t="n">
        <v>8453</v>
      </c>
      <c r="O546" s="48" t="n">
        <v>64959600</v>
      </c>
      <c r="P546" s="48" t="n">
        <v>75750445</v>
      </c>
      <c r="Q546" s="48" t="n">
        <v>2955</v>
      </c>
      <c r="R546" s="48" t="n">
        <v>3177</v>
      </c>
      <c r="S546" s="48" t="n">
        <v>81851488</v>
      </c>
      <c r="T546" s="48" t="n">
        <v>71060643</v>
      </c>
      <c r="U546" s="46" t="n">
        <f aca="false">IF($A546=$A545,$U545+1,1)</f>
        <v>22</v>
      </c>
      <c r="V546" s="48" t="n">
        <f aca="false">IF($U546&gt;=MA_SHORT,AVERAGE(INDEX($I$146:$I546,402-MA_SHORT):$I546),"")</f>
        <v>3438.95</v>
      </c>
      <c r="W546" s="48" t="str">
        <f aca="false">IF($U546&gt;=MA_MED,AVERAGE(INDEX($I$146:$I546,402-MA_MED):$I546),"")</f>
        <v/>
      </c>
      <c r="X546" s="48" t="str">
        <f aca="false">IF($U546&gt;=MA_LONG1,AVERAGE(INDEX($I$146:$I546,402-MA_LONG1):$I546),"")</f>
        <v/>
      </c>
      <c r="Y546" s="48" t="str">
        <f aca="false">IF($U546&gt;=MA_LONG2,AVERAGE(INDEX($I$146:$I546,402-MA_LONG2):$I546),"")</f>
        <v/>
      </c>
      <c r="Z546" s="48" t="n">
        <f aca="false">IF($U546&gt;=MA_SHORT,AVERAGE(INDEX($L$426:$L546,122-MA_SHORT):$L546),"")</f>
        <v>64215014.85</v>
      </c>
      <c r="AA546" s="48" t="n">
        <f aca="false">IF($U546=1,$G546-$H546,MAX($G546-$H546,ABS($G546-$I545),ABS($H546-$I545)))</f>
        <v>96</v>
      </c>
      <c r="AB546" s="48" t="n">
        <f aca="false">IF($U546&gt;=ATR_PER,AVERAGE(INDEX($AA$426:$AA546,122-ATR_PER):$AA546),"")</f>
        <v>118.571428571429</v>
      </c>
      <c r="AC546" s="48" t="n">
        <f aca="false">$O546-$P546</f>
        <v>-10790845</v>
      </c>
      <c r="AD546" s="48" t="n">
        <f aca="false">$AC546*$I546</f>
        <v>-37034180040</v>
      </c>
      <c r="AE546" s="49" t="n">
        <f aca="false">IF($Q546&gt;0,$O546*$I546/$Q546/1000000,"")</f>
        <v>75.4454643654822</v>
      </c>
      <c r="AF546" s="49" t="n">
        <f aca="false">IF($R546&gt;0,$P546*$I546/$R546/1000000,"")</f>
        <v>81.8305090462701</v>
      </c>
      <c r="AG546" s="50" t="n">
        <f aca="false">IF(AND(ISNUMBER($AE546),ISNUMBER($AF546),$AF546&gt;0),$AE546/$AF546,"")</f>
        <v>0.921972321140304</v>
      </c>
      <c r="AH546" s="48" t="n">
        <f aca="false">IF($U546&gt;=5,SUM(INDEX($AD$516:$AD546,32-5):$AD546),"")</f>
        <v>33904990776</v>
      </c>
      <c r="AI546" s="48" t="n">
        <f aca="false">IF($U546&gt;=STRUCT_S,MAX(INDEX($G$396:$G546,152-STRUCT_S):$G546),"")</f>
        <v>3701</v>
      </c>
      <c r="AJ546" s="48" t="n">
        <f aca="false">IF($U546&gt;=STRUCT_S,MIN(INDEX($H$396:$H546,152-STRUCT_S):$H546),"")</f>
        <v>3188</v>
      </c>
      <c r="AK546" s="48" t="str">
        <f aca="false">IF($U546&gt;=STRUCT_L,MAX(INDEX($G$296:$G546,252-STRUCT_L):$G546),"")</f>
        <v/>
      </c>
      <c r="AL546" s="48" t="str">
        <f aca="false">IF($U546&gt;=STRUCT_L,MIN(INDEX($H$296:$H546,252-STRUCT_L):$H546),"")</f>
        <v/>
      </c>
      <c r="AM546" s="46" t="n">
        <f aca="false">IF($A546&lt;&gt;$A547,1,0)</f>
        <v>0</v>
      </c>
      <c r="AN546" s="47" t="str">
        <f aca="false">IF($AM546=1,$A546,"")</f>
        <v/>
      </c>
    </row>
    <row r="547" customFormat="false" ht="15" hidden="false" customHeight="false" outlineLevel="0" collapsed="false">
      <c r="A547" s="43" t="s">
        <v>142</v>
      </c>
      <c r="B547" s="44" t="s">
        <v>144</v>
      </c>
      <c r="C547" s="45" t="n">
        <v>45936</v>
      </c>
      <c r="D547" s="46" t="n">
        <v>20251006</v>
      </c>
      <c r="E547" s="47" t="s">
        <v>310</v>
      </c>
      <c r="F547" s="48" t="n">
        <v>3417</v>
      </c>
      <c r="G547" s="48" t="n">
        <v>3446</v>
      </c>
      <c r="H547" s="48" t="n">
        <v>3410</v>
      </c>
      <c r="I547" s="48" t="n">
        <v>3424</v>
      </c>
      <c r="J547" s="48" t="n">
        <v>3444</v>
      </c>
      <c r="K547" s="48" t="n">
        <v>3432</v>
      </c>
      <c r="L547" s="48" t="n">
        <v>57717303</v>
      </c>
      <c r="M547" s="48" t="n">
        <v>197624045472</v>
      </c>
      <c r="N547" s="48" t="n">
        <v>1463</v>
      </c>
      <c r="O547" s="48" t="n">
        <v>27456702</v>
      </c>
      <c r="P547" s="48" t="n">
        <v>31615567</v>
      </c>
      <c r="Q547" s="48" t="n">
        <v>813</v>
      </c>
      <c r="R547" s="48" t="n">
        <v>559</v>
      </c>
      <c r="S547" s="48" t="n">
        <v>30260601</v>
      </c>
      <c r="T547" s="48" t="n">
        <v>26101736</v>
      </c>
      <c r="U547" s="46" t="n">
        <f aca="false">IF($A547=$A546,$U546+1,1)</f>
        <v>23</v>
      </c>
      <c r="V547" s="48" t="n">
        <f aca="false">IF($U547&gt;=MA_SHORT,AVERAGE(INDEX($I$147:$I547,402-MA_SHORT):$I547),"")</f>
        <v>3447.1</v>
      </c>
      <c r="W547" s="48" t="str">
        <f aca="false">IF($U547&gt;=MA_MED,AVERAGE(INDEX($I$147:$I547,402-MA_MED):$I547),"")</f>
        <v/>
      </c>
      <c r="X547" s="48" t="str">
        <f aca="false">IF($U547&gt;=MA_LONG1,AVERAGE(INDEX($I$147:$I547,402-MA_LONG1):$I547),"")</f>
        <v/>
      </c>
      <c r="Y547" s="48" t="str">
        <f aca="false">IF($U547&gt;=MA_LONG2,AVERAGE(INDEX($I$147:$I547,402-MA_LONG2):$I547),"")</f>
        <v/>
      </c>
      <c r="Z547" s="48" t="n">
        <f aca="false">IF($U547&gt;=MA_SHORT,AVERAGE(INDEX($L$427:$L547,122-MA_SHORT):$L547),"")</f>
        <v>64327735.45</v>
      </c>
      <c r="AA547" s="48" t="n">
        <f aca="false">IF($U547=1,$G547-$H547,MAX($G547-$H547,ABS($G547-$I546),ABS($H547-$I546)))</f>
        <v>36</v>
      </c>
      <c r="AB547" s="48" t="n">
        <f aca="false">IF($U547&gt;=ATR_PER,AVERAGE(INDEX($AA$427:$AA547,122-ATR_PER):$AA547),"")</f>
        <v>111.714285714286</v>
      </c>
      <c r="AC547" s="48" t="n">
        <f aca="false">$O547-$P547</f>
        <v>-4158865</v>
      </c>
      <c r="AD547" s="48" t="n">
        <f aca="false">$AC547*$I547</f>
        <v>-14239953760</v>
      </c>
      <c r="AE547" s="49" t="n">
        <f aca="false">IF($Q547&gt;0,$O547*$I547/$Q547/1000000,"")</f>
        <v>115.6356059631</v>
      </c>
      <c r="AF547" s="49" t="n">
        <f aca="false">IF($R547&gt;0,$P547*$I547/$R547/1000000,"")</f>
        <v>193.652417545617</v>
      </c>
      <c r="AG547" s="50" t="n">
        <f aca="false">IF(AND(ISNUMBER($AE547),ISNUMBER($AF547),$AF547&gt;0),$AE547/$AF547,"")</f>
        <v>0.59712967918854</v>
      </c>
      <c r="AH547" s="48" t="n">
        <f aca="false">IF($U547&gt;=5,SUM(INDEX($AD$517:$AD547,32-5):$AD547),"")</f>
        <v>45791946995</v>
      </c>
      <c r="AI547" s="48" t="n">
        <f aca="false">IF($U547&gt;=STRUCT_S,MAX(INDEX($G$397:$G547,152-STRUCT_S):$G547),"")</f>
        <v>3701</v>
      </c>
      <c r="AJ547" s="48" t="n">
        <f aca="false">IF($U547&gt;=STRUCT_S,MIN(INDEX($H$397:$H547,152-STRUCT_S):$H547),"")</f>
        <v>3236</v>
      </c>
      <c r="AK547" s="48" t="str">
        <f aca="false">IF($U547&gt;=STRUCT_L,MAX(INDEX($G$297:$G547,252-STRUCT_L):$G547),"")</f>
        <v/>
      </c>
      <c r="AL547" s="48" t="str">
        <f aca="false">IF($U547&gt;=STRUCT_L,MIN(INDEX($H$297:$H547,252-STRUCT_L):$H547),"")</f>
        <v/>
      </c>
      <c r="AM547" s="46" t="n">
        <f aca="false">IF($A547&lt;&gt;$A548,1,0)</f>
        <v>0</v>
      </c>
      <c r="AN547" s="47" t="str">
        <f aca="false">IF($AM547=1,$A547,"")</f>
        <v/>
      </c>
    </row>
    <row r="548" customFormat="false" ht="15" hidden="false" customHeight="false" outlineLevel="0" collapsed="false">
      <c r="A548" s="43" t="s">
        <v>142</v>
      </c>
      <c r="B548" s="44" t="s">
        <v>144</v>
      </c>
      <c r="C548" s="45" t="n">
        <v>45937</v>
      </c>
      <c r="D548" s="46" t="n">
        <v>20251007</v>
      </c>
      <c r="E548" s="47" t="s">
        <v>311</v>
      </c>
      <c r="F548" s="48" t="n">
        <v>3460</v>
      </c>
      <c r="G548" s="48" t="n">
        <v>3482</v>
      </c>
      <c r="H548" s="48" t="n">
        <v>3325</v>
      </c>
      <c r="I548" s="48" t="n">
        <v>3382</v>
      </c>
      <c r="J548" s="48" t="n">
        <v>3378</v>
      </c>
      <c r="K548" s="48" t="n">
        <v>3424</v>
      </c>
      <c r="L548" s="48" t="n">
        <v>95066929</v>
      </c>
      <c r="M548" s="48" t="n">
        <v>321516353878</v>
      </c>
      <c r="N548" s="48" t="n">
        <v>2255</v>
      </c>
      <c r="O548" s="48" t="n">
        <v>47223465</v>
      </c>
      <c r="P548" s="48" t="n">
        <v>46539471</v>
      </c>
      <c r="Q548" s="48" t="n">
        <v>983</v>
      </c>
      <c r="R548" s="48" t="n">
        <v>884</v>
      </c>
      <c r="S548" s="48" t="n">
        <v>47843464</v>
      </c>
      <c r="T548" s="48" t="n">
        <v>48527458</v>
      </c>
      <c r="U548" s="46" t="n">
        <f aca="false">IF($A548=$A547,$U547+1,1)</f>
        <v>24</v>
      </c>
      <c r="V548" s="48" t="n">
        <f aca="false">IF($U548&gt;=MA_SHORT,AVERAGE(INDEX($I$148:$I548,402-MA_SHORT):$I548),"")</f>
        <v>3453.25</v>
      </c>
      <c r="W548" s="48" t="str">
        <f aca="false">IF($U548&gt;=MA_MED,AVERAGE(INDEX($I$148:$I548,402-MA_MED):$I548),"")</f>
        <v/>
      </c>
      <c r="X548" s="48" t="str">
        <f aca="false">IF($U548&gt;=MA_LONG1,AVERAGE(INDEX($I$148:$I548,402-MA_LONG1):$I548),"")</f>
        <v/>
      </c>
      <c r="Y548" s="48" t="str">
        <f aca="false">IF($U548&gt;=MA_LONG2,AVERAGE(INDEX($I$148:$I548,402-MA_LONG2):$I548),"")</f>
        <v/>
      </c>
      <c r="Z548" s="48" t="n">
        <f aca="false">IF($U548&gt;=MA_SHORT,AVERAGE(INDEX($L$428:$L548,122-MA_SHORT):$L548),"")</f>
        <v>66570502.4</v>
      </c>
      <c r="AA548" s="48" t="n">
        <f aca="false">IF($U548=1,$G548-$H548,MAX($G548-$H548,ABS($G548-$I547),ABS($H548-$I547)))</f>
        <v>157</v>
      </c>
      <c r="AB548" s="48" t="n">
        <f aca="false">IF($U548&gt;=ATR_PER,AVERAGE(INDEX($AA$428:$AA548,122-ATR_PER):$AA548),"")</f>
        <v>111.857142857143</v>
      </c>
      <c r="AC548" s="48" t="n">
        <f aca="false">$O548-$P548</f>
        <v>683994</v>
      </c>
      <c r="AD548" s="48" t="n">
        <f aca="false">$AC548*$I548</f>
        <v>2313267708</v>
      </c>
      <c r="AE548" s="49" t="n">
        <f aca="false">IF($Q548&gt;0,$O548*$I548/$Q548/1000000,"")</f>
        <v>162.471778870804</v>
      </c>
      <c r="AF548" s="49" t="n">
        <f aca="false">IF($R548&gt;0,$P548*$I548/$R548/1000000,"")</f>
        <v>178.050329097285</v>
      </c>
      <c r="AG548" s="50" t="n">
        <f aca="false">IF(AND(ISNUMBER($AE548),ISNUMBER($AF548),$AF548&gt;0),$AE548/$AF548,"")</f>
        <v>0.912504793978957</v>
      </c>
      <c r="AH548" s="48" t="n">
        <f aca="false">IF($U548&gt;=5,SUM(INDEX($AD$518:$AD548,32-5):$AD548),"")</f>
        <v>626413763</v>
      </c>
      <c r="AI548" s="48" t="n">
        <f aca="false">IF($U548&gt;=STRUCT_S,MAX(INDEX($G$398:$G548,152-STRUCT_S):$G548),"")</f>
        <v>3701</v>
      </c>
      <c r="AJ548" s="48" t="n">
        <f aca="false">IF($U548&gt;=STRUCT_S,MIN(INDEX($H$398:$H548,152-STRUCT_S):$H548),"")</f>
        <v>3248</v>
      </c>
      <c r="AK548" s="48" t="str">
        <f aca="false">IF($U548&gt;=STRUCT_L,MAX(INDEX($G$298:$G548,252-STRUCT_L):$G548),"")</f>
        <v/>
      </c>
      <c r="AL548" s="48" t="str">
        <f aca="false">IF($U548&gt;=STRUCT_L,MIN(INDEX($H$298:$H548,252-STRUCT_L):$H548),"")</f>
        <v/>
      </c>
      <c r="AM548" s="46" t="n">
        <f aca="false">IF($A548&lt;&gt;$A549,1,0)</f>
        <v>0</v>
      </c>
      <c r="AN548" s="47" t="str">
        <f aca="false">IF($AM548=1,$A548,"")</f>
        <v/>
      </c>
    </row>
    <row r="549" customFormat="false" ht="15" hidden="false" customHeight="false" outlineLevel="0" collapsed="false">
      <c r="A549" s="43" t="s">
        <v>142</v>
      </c>
      <c r="B549" s="44" t="s">
        <v>144</v>
      </c>
      <c r="C549" s="45" t="n">
        <v>45938</v>
      </c>
      <c r="D549" s="46" t="n">
        <v>20251008</v>
      </c>
      <c r="E549" s="47" t="s">
        <v>312</v>
      </c>
      <c r="F549" s="48" t="n">
        <v>3393</v>
      </c>
      <c r="G549" s="48" t="n">
        <v>3454</v>
      </c>
      <c r="H549" s="48" t="n">
        <v>3366</v>
      </c>
      <c r="I549" s="48" t="n">
        <v>3438</v>
      </c>
      <c r="J549" s="48" t="n">
        <v>3450</v>
      </c>
      <c r="K549" s="48" t="n">
        <v>3382</v>
      </c>
      <c r="L549" s="48" t="n">
        <v>54997703</v>
      </c>
      <c r="M549" s="48" t="n">
        <v>189082102914</v>
      </c>
      <c r="N549" s="48" t="n">
        <v>1319</v>
      </c>
      <c r="O549" s="48" t="n">
        <v>28775329</v>
      </c>
      <c r="P549" s="48" t="n">
        <v>24302442</v>
      </c>
      <c r="Q549" s="48" t="n">
        <v>446</v>
      </c>
      <c r="R549" s="48" t="n">
        <v>507</v>
      </c>
      <c r="S549" s="48" t="n">
        <v>26222374</v>
      </c>
      <c r="T549" s="48" t="n">
        <v>30695261</v>
      </c>
      <c r="U549" s="46" t="n">
        <f aca="false">IF($A549=$A548,$U548+1,1)</f>
        <v>25</v>
      </c>
      <c r="V549" s="48" t="n">
        <f aca="false">IF($U549&gt;=MA_SHORT,AVERAGE(INDEX($I$149:$I549,402-MA_SHORT):$I549),"")</f>
        <v>3460.55</v>
      </c>
      <c r="W549" s="48" t="str">
        <f aca="false">IF($U549&gt;=MA_MED,AVERAGE(INDEX($I$149:$I549,402-MA_MED):$I549),"")</f>
        <v/>
      </c>
      <c r="X549" s="48" t="str">
        <f aca="false">IF($U549&gt;=MA_LONG1,AVERAGE(INDEX($I$149:$I549,402-MA_LONG1):$I549),"")</f>
        <v/>
      </c>
      <c r="Y549" s="48" t="str">
        <f aca="false">IF($U549&gt;=MA_LONG2,AVERAGE(INDEX($I$149:$I549,402-MA_LONG2):$I549),"")</f>
        <v/>
      </c>
      <c r="Z549" s="48" t="n">
        <f aca="false">IF($U549&gt;=MA_SHORT,AVERAGE(INDEX($L$429:$L549,122-MA_SHORT):$L549),"")</f>
        <v>65490874.9</v>
      </c>
      <c r="AA549" s="48" t="n">
        <f aca="false">IF($U549=1,$G549-$H549,MAX($G549-$H549,ABS($G549-$I548),ABS($H549-$I548)))</f>
        <v>88</v>
      </c>
      <c r="AB549" s="48" t="n">
        <f aca="false">IF($U549&gt;=ATR_PER,AVERAGE(INDEX($AA$429:$AA549,122-ATR_PER):$AA549),"")</f>
        <v>114.071428571429</v>
      </c>
      <c r="AC549" s="48" t="n">
        <f aca="false">$O549-$P549</f>
        <v>4472887</v>
      </c>
      <c r="AD549" s="48" t="n">
        <f aca="false">$AC549*$I549</f>
        <v>15377785506</v>
      </c>
      <c r="AE549" s="49" t="n">
        <f aca="false">IF($Q549&gt;0,$O549*$I549/$Q549/1000000,"")</f>
        <v>221.815204264574</v>
      </c>
      <c r="AF549" s="49" t="n">
        <f aca="false">IF($R549&gt;0,$P549*$I549/$R549/1000000,"")</f>
        <v>164.796441017751</v>
      </c>
      <c r="AG549" s="50" t="n">
        <f aca="false">IF(AND(ISNUMBER($AE549),ISNUMBER($AF549),$AF549&gt;0),$AE549/$AF549,"")</f>
        <v>1.34599511309034</v>
      </c>
      <c r="AH549" s="48" t="n">
        <f aca="false">IF($U549&gt;=5,SUM(INDEX($AD$519:$AD549,32-5):$AD549),"")</f>
        <v>5172453014</v>
      </c>
      <c r="AI549" s="48" t="n">
        <f aca="false">IF($U549&gt;=STRUCT_S,MAX(INDEX($G$399:$G549,152-STRUCT_S):$G549),"")</f>
        <v>3701</v>
      </c>
      <c r="AJ549" s="48" t="n">
        <f aca="false">IF($U549&gt;=STRUCT_S,MIN(INDEX($H$399:$H549,152-STRUCT_S):$H549),"")</f>
        <v>3248</v>
      </c>
      <c r="AK549" s="48" t="str">
        <f aca="false">IF($U549&gt;=STRUCT_L,MAX(INDEX($G$299:$G549,252-STRUCT_L):$G549),"")</f>
        <v/>
      </c>
      <c r="AL549" s="48" t="str">
        <f aca="false">IF($U549&gt;=STRUCT_L,MIN(INDEX($H$299:$H549,252-STRUCT_L):$H549),"")</f>
        <v/>
      </c>
      <c r="AM549" s="46" t="n">
        <f aca="false">IF($A549&lt;&gt;$A550,1,0)</f>
        <v>0</v>
      </c>
      <c r="AN549" s="47" t="str">
        <f aca="false">IF($AM549=1,$A549,"")</f>
        <v/>
      </c>
    </row>
    <row r="550" customFormat="false" ht="15" hidden="false" customHeight="false" outlineLevel="0" collapsed="false">
      <c r="A550" s="43" t="s">
        <v>142</v>
      </c>
      <c r="B550" s="44" t="s">
        <v>144</v>
      </c>
      <c r="C550" s="45" t="n">
        <v>45941</v>
      </c>
      <c r="D550" s="46" t="n">
        <v>20251011</v>
      </c>
      <c r="E550" s="47" t="s">
        <v>313</v>
      </c>
      <c r="F550" s="48" t="n">
        <v>3448</v>
      </c>
      <c r="G550" s="48" t="n">
        <v>3491</v>
      </c>
      <c r="H550" s="48" t="n">
        <v>3406</v>
      </c>
      <c r="I550" s="48" t="n">
        <v>3458</v>
      </c>
      <c r="J550" s="48" t="n">
        <v>3441</v>
      </c>
      <c r="K550" s="48" t="n">
        <v>3438</v>
      </c>
      <c r="L550" s="48" t="n">
        <v>51773657</v>
      </c>
      <c r="M550" s="48" t="n">
        <v>179033305906</v>
      </c>
      <c r="N550" s="48" t="n">
        <v>1925</v>
      </c>
      <c r="O550" s="48" t="n">
        <v>25328755</v>
      </c>
      <c r="P550" s="48" t="n">
        <v>29685533</v>
      </c>
      <c r="Q550" s="48" t="n">
        <v>829</v>
      </c>
      <c r="R550" s="48" t="n">
        <v>740</v>
      </c>
      <c r="S550" s="48" t="n">
        <v>26444902</v>
      </c>
      <c r="T550" s="48" t="n">
        <v>22088124</v>
      </c>
      <c r="U550" s="46" t="n">
        <f aca="false">IF($A550=$A549,$U549+1,1)</f>
        <v>26</v>
      </c>
      <c r="V550" s="48" t="n">
        <f aca="false">IF($U550&gt;=MA_SHORT,AVERAGE(INDEX($I$150:$I550,402-MA_SHORT):$I550),"")</f>
        <v>3468.75</v>
      </c>
      <c r="W550" s="48" t="str">
        <f aca="false">IF($U550&gt;=MA_MED,AVERAGE(INDEX($I$150:$I550,402-MA_MED):$I550),"")</f>
        <v/>
      </c>
      <c r="X550" s="48" t="str">
        <f aca="false">IF($U550&gt;=MA_LONG1,AVERAGE(INDEX($I$150:$I550,402-MA_LONG1):$I550),"")</f>
        <v/>
      </c>
      <c r="Y550" s="48" t="str">
        <f aca="false">IF($U550&gt;=MA_LONG2,AVERAGE(INDEX($I$150:$I550,402-MA_LONG2):$I550),"")</f>
        <v/>
      </c>
      <c r="Z550" s="48" t="n">
        <f aca="false">IF($U550&gt;=MA_SHORT,AVERAGE(INDEX($L$430:$L550,122-MA_SHORT):$L550),"")</f>
        <v>65187972.4</v>
      </c>
      <c r="AA550" s="48" t="n">
        <f aca="false">IF($U550=1,$G550-$H550,MAX($G550-$H550,ABS($G550-$I549),ABS($H550-$I549)))</f>
        <v>85</v>
      </c>
      <c r="AB550" s="48" t="n">
        <f aca="false">IF($U550&gt;=ATR_PER,AVERAGE(INDEX($AA$430:$AA550,122-ATR_PER):$AA550),"")</f>
        <v>112.071428571429</v>
      </c>
      <c r="AC550" s="48" t="n">
        <f aca="false">$O550-$P550</f>
        <v>-4356778</v>
      </c>
      <c r="AD550" s="48" t="n">
        <f aca="false">$AC550*$I550</f>
        <v>-15065738324</v>
      </c>
      <c r="AE550" s="49" t="n">
        <f aca="false">IF($Q550&gt;0,$O550*$I550/$Q550/1000000,"")</f>
        <v>105.653600470446</v>
      </c>
      <c r="AF550" s="49" t="n">
        <f aca="false">IF($R550&gt;0,$P550*$I550/$R550/1000000,"")</f>
        <v>138.719693397297</v>
      </c>
      <c r="AG550" s="50" t="n">
        <f aca="false">IF(AND(ISNUMBER($AE550),ISNUMBER($AF550),$AF550&gt;0),$AE550/$AF550,"")</f>
        <v>0.761633751365434</v>
      </c>
      <c r="AH550" s="48" t="n">
        <f aca="false">IF($U550&gt;=5,SUM(INDEX($AD$520:$AD550,32-5):$AD550),"")</f>
        <v>-48648818910</v>
      </c>
      <c r="AI550" s="48" t="n">
        <f aca="false">IF($U550&gt;=STRUCT_S,MAX(INDEX($G$400:$G550,152-STRUCT_S):$G550),"")</f>
        <v>3701</v>
      </c>
      <c r="AJ550" s="48" t="n">
        <f aca="false">IF($U550&gt;=STRUCT_S,MIN(INDEX($H$400:$H550,152-STRUCT_S):$H550),"")</f>
        <v>3269</v>
      </c>
      <c r="AK550" s="48" t="str">
        <f aca="false">IF($U550&gt;=STRUCT_L,MAX(INDEX($G$300:$G550,252-STRUCT_L):$G550),"")</f>
        <v/>
      </c>
      <c r="AL550" s="48" t="str">
        <f aca="false">IF($U550&gt;=STRUCT_L,MIN(INDEX($H$300:$H550,252-STRUCT_L):$H550),"")</f>
        <v/>
      </c>
      <c r="AM550" s="46" t="n">
        <f aca="false">IF($A550&lt;&gt;$A551,1,0)</f>
        <v>0</v>
      </c>
      <c r="AN550" s="47" t="str">
        <f aca="false">IF($AM550=1,$A550,"")</f>
        <v/>
      </c>
    </row>
    <row r="551" customFormat="false" ht="15" hidden="false" customHeight="false" outlineLevel="0" collapsed="false">
      <c r="A551" s="43" t="s">
        <v>142</v>
      </c>
      <c r="B551" s="44" t="s">
        <v>144</v>
      </c>
      <c r="C551" s="45" t="n">
        <v>45942</v>
      </c>
      <c r="D551" s="46" t="n">
        <v>20251012</v>
      </c>
      <c r="E551" s="47" t="s">
        <v>314</v>
      </c>
      <c r="F551" s="48" t="n">
        <v>3436</v>
      </c>
      <c r="G551" s="48" t="n">
        <v>3533</v>
      </c>
      <c r="H551" s="48" t="n">
        <v>3427</v>
      </c>
      <c r="I551" s="48" t="n">
        <v>3501</v>
      </c>
      <c r="J551" s="48" t="n">
        <v>3528</v>
      </c>
      <c r="K551" s="48" t="n">
        <v>3458</v>
      </c>
      <c r="L551" s="48" t="n">
        <v>159128335</v>
      </c>
      <c r="M551" s="48" t="n">
        <v>557108300835</v>
      </c>
      <c r="N551" s="48" t="n">
        <v>8458</v>
      </c>
      <c r="O551" s="48" t="n">
        <v>95288532</v>
      </c>
      <c r="P551" s="48" t="n">
        <v>52053985</v>
      </c>
      <c r="Q551" s="48" t="n">
        <v>4213</v>
      </c>
      <c r="R551" s="48" t="n">
        <v>3162</v>
      </c>
      <c r="S551" s="48" t="n">
        <v>63839803</v>
      </c>
      <c r="T551" s="48" t="n">
        <v>107074350</v>
      </c>
      <c r="U551" s="46" t="n">
        <f aca="false">IF($A551=$A550,$U550+1,1)</f>
        <v>27</v>
      </c>
      <c r="V551" s="48" t="n">
        <f aca="false">IF($U551&gt;=MA_SHORT,AVERAGE(INDEX($I$151:$I551,402-MA_SHORT):$I551),"")</f>
        <v>3476.1</v>
      </c>
      <c r="W551" s="48" t="str">
        <f aca="false">IF($U551&gt;=MA_MED,AVERAGE(INDEX($I$151:$I551,402-MA_MED):$I551),"")</f>
        <v/>
      </c>
      <c r="X551" s="48" t="str">
        <f aca="false">IF($U551&gt;=MA_LONG1,AVERAGE(INDEX($I$151:$I551,402-MA_LONG1):$I551),"")</f>
        <v/>
      </c>
      <c r="Y551" s="48" t="str">
        <f aca="false">IF($U551&gt;=MA_LONG2,AVERAGE(INDEX($I$151:$I551,402-MA_LONG2):$I551),"")</f>
        <v/>
      </c>
      <c r="Z551" s="48" t="n">
        <f aca="false">IF($U551&gt;=MA_SHORT,AVERAGE(INDEX($L$431:$L551,122-MA_SHORT):$L551),"")</f>
        <v>69802353.35</v>
      </c>
      <c r="AA551" s="48" t="n">
        <f aca="false">IF($U551=1,$G551-$H551,MAX($G551-$H551,ABS($G551-$I550),ABS($H551-$I550)))</f>
        <v>106</v>
      </c>
      <c r="AB551" s="48" t="n">
        <f aca="false">IF($U551&gt;=ATR_PER,AVERAGE(INDEX($AA$431:$AA551,122-ATR_PER):$AA551),"")</f>
        <v>110.071428571429</v>
      </c>
      <c r="AC551" s="48" t="n">
        <f aca="false">$O551-$P551</f>
        <v>43234547</v>
      </c>
      <c r="AD551" s="48" t="n">
        <f aca="false">$AC551*$I551</f>
        <v>151364149047</v>
      </c>
      <c r="AE551" s="49" t="n">
        <f aca="false">IF($Q551&gt;0,$O551*$I551/$Q551/1000000,"")</f>
        <v>79.1847022387847</v>
      </c>
      <c r="AF551" s="49" t="n">
        <f aca="false">IF($R551&gt;0,$P551*$I551/$R551/1000000,"")</f>
        <v>57.6347253273245</v>
      </c>
      <c r="AG551" s="50" t="n">
        <f aca="false">IF(AND(ISNUMBER($AE551),ISNUMBER($AF551),$AF551&gt;0),$AE551/$AF551,"")</f>
        <v>1.37390612671565</v>
      </c>
      <c r="AH551" s="48" t="n">
        <f aca="false">IF($U551&gt;=5,SUM(INDEX($AD$521:$AD551,32-5):$AD551),"")</f>
        <v>139749510177</v>
      </c>
      <c r="AI551" s="48" t="n">
        <f aca="false">IF($U551&gt;=STRUCT_S,MAX(INDEX($G$401:$G551,152-STRUCT_S):$G551),"")</f>
        <v>3701</v>
      </c>
      <c r="AJ551" s="48" t="n">
        <f aca="false">IF($U551&gt;=STRUCT_S,MIN(INDEX($H$401:$H551,152-STRUCT_S):$H551),"")</f>
        <v>3313</v>
      </c>
      <c r="AK551" s="48" t="str">
        <f aca="false">IF($U551&gt;=STRUCT_L,MAX(INDEX($G$301:$G551,252-STRUCT_L):$G551),"")</f>
        <v/>
      </c>
      <c r="AL551" s="48" t="str">
        <f aca="false">IF($U551&gt;=STRUCT_L,MIN(INDEX($H$301:$H551,252-STRUCT_L):$H551),"")</f>
        <v/>
      </c>
      <c r="AM551" s="46" t="n">
        <f aca="false">IF($A551&lt;&gt;$A552,1,0)</f>
        <v>0</v>
      </c>
      <c r="AN551" s="47" t="str">
        <f aca="false">IF($AM551=1,$A551,"")</f>
        <v/>
      </c>
    </row>
    <row r="552" customFormat="false" ht="15" hidden="false" customHeight="false" outlineLevel="0" collapsed="false">
      <c r="A552" s="43" t="s">
        <v>142</v>
      </c>
      <c r="B552" s="44" t="s">
        <v>144</v>
      </c>
      <c r="C552" s="45" t="n">
        <v>45943</v>
      </c>
      <c r="D552" s="46" t="n">
        <v>20251013</v>
      </c>
      <c r="E552" s="47" t="s">
        <v>315</v>
      </c>
      <c r="F552" s="48" t="n">
        <v>3469</v>
      </c>
      <c r="G552" s="48" t="n">
        <v>3650</v>
      </c>
      <c r="H552" s="48" t="n">
        <v>3408</v>
      </c>
      <c r="I552" s="48" t="n">
        <v>3556</v>
      </c>
      <c r="J552" s="48" t="n">
        <v>3493</v>
      </c>
      <c r="K552" s="48" t="n">
        <v>3501</v>
      </c>
      <c r="L552" s="48" t="n">
        <v>73638911</v>
      </c>
      <c r="M552" s="48" t="n">
        <v>261859967516</v>
      </c>
      <c r="N552" s="48" t="n">
        <v>5718</v>
      </c>
      <c r="O552" s="48" t="n">
        <v>45829674</v>
      </c>
      <c r="P552" s="48" t="n">
        <v>31007000</v>
      </c>
      <c r="Q552" s="48" t="n">
        <v>2828</v>
      </c>
      <c r="R552" s="48" t="n">
        <v>2557</v>
      </c>
      <c r="S552" s="48" t="n">
        <v>27809237</v>
      </c>
      <c r="T552" s="48" t="n">
        <v>42631911</v>
      </c>
      <c r="U552" s="46" t="n">
        <f aca="false">IF($A552=$A551,$U551+1,1)</f>
        <v>28</v>
      </c>
      <c r="V552" s="48" t="n">
        <f aca="false">IF($U552&gt;=MA_SHORT,AVERAGE(INDEX($I$152:$I552,402-MA_SHORT):$I552),"")</f>
        <v>3479.5</v>
      </c>
      <c r="W552" s="48" t="str">
        <f aca="false">IF($U552&gt;=MA_MED,AVERAGE(INDEX($I$152:$I552,402-MA_MED):$I552),"")</f>
        <v/>
      </c>
      <c r="X552" s="48" t="str">
        <f aca="false">IF($U552&gt;=MA_LONG1,AVERAGE(INDEX($I$152:$I552,402-MA_LONG1):$I552),"")</f>
        <v/>
      </c>
      <c r="Y552" s="48" t="str">
        <f aca="false">IF($U552&gt;=MA_LONG2,AVERAGE(INDEX($I$152:$I552,402-MA_LONG2):$I552),"")</f>
        <v/>
      </c>
      <c r="Z552" s="48" t="n">
        <f aca="false">IF($U552&gt;=MA_SHORT,AVERAGE(INDEX($L$432:$L552,122-MA_SHORT):$L552),"")</f>
        <v>70302421.6</v>
      </c>
      <c r="AA552" s="48" t="n">
        <f aca="false">IF($U552=1,$G552-$H552,MAX($G552-$H552,ABS($G552-$I551),ABS($H552-$I551)))</f>
        <v>242</v>
      </c>
      <c r="AB552" s="48" t="n">
        <f aca="false">IF($U552&gt;=ATR_PER,AVERAGE(INDEX($AA$432:$AA552,122-ATR_PER):$AA552),"")</f>
        <v>110.142857142857</v>
      </c>
      <c r="AC552" s="48" t="n">
        <f aca="false">$O552-$P552</f>
        <v>14822674</v>
      </c>
      <c r="AD552" s="48" t="n">
        <f aca="false">$AC552*$I552</f>
        <v>52709428744</v>
      </c>
      <c r="AE552" s="49" t="n">
        <f aca="false">IF($Q552&gt;0,$O552*$I552/$Q552/1000000,"")</f>
        <v>57.6274118613861</v>
      </c>
      <c r="AF552" s="49" t="n">
        <f aca="false">IF($R552&gt;0,$P552*$I552/$R552/1000000,"")</f>
        <v>43.1211935862339</v>
      </c>
      <c r="AG552" s="50" t="n">
        <f aca="false">IF(AND(ISNUMBER($AE552),ISNUMBER($AF552),$AF552&gt;0),$AE552/$AF552,"")</f>
        <v>1.33640576868872</v>
      </c>
      <c r="AH552" s="48" t="n">
        <f aca="false">IF($U552&gt;=5,SUM(INDEX($AD$522:$AD552,32-5):$AD552),"")</f>
        <v>206698892681</v>
      </c>
      <c r="AI552" s="48" t="n">
        <f aca="false">IF($U552&gt;=STRUCT_S,MAX(INDEX($G$402:$G552,152-STRUCT_S):$G552),"")</f>
        <v>3701</v>
      </c>
      <c r="AJ552" s="48" t="n">
        <f aca="false">IF($U552&gt;=STRUCT_S,MIN(INDEX($H$402:$H552,152-STRUCT_S):$H552),"")</f>
        <v>3313</v>
      </c>
      <c r="AK552" s="48" t="str">
        <f aca="false">IF($U552&gt;=STRUCT_L,MAX(INDEX($G$302:$G552,252-STRUCT_L):$G552),"")</f>
        <v/>
      </c>
      <c r="AL552" s="48" t="str">
        <f aca="false">IF($U552&gt;=STRUCT_L,MIN(INDEX($H$302:$H552,252-STRUCT_L):$H552),"")</f>
        <v/>
      </c>
      <c r="AM552" s="46" t="n">
        <f aca="false">IF($A552&lt;&gt;$A553,1,0)</f>
        <v>0</v>
      </c>
      <c r="AN552" s="47" t="str">
        <f aca="false">IF($AM552=1,$A552,"")</f>
        <v/>
      </c>
    </row>
    <row r="553" customFormat="false" ht="15" hidden="false" customHeight="false" outlineLevel="0" collapsed="false">
      <c r="A553" s="43" t="s">
        <v>142</v>
      </c>
      <c r="B553" s="44" t="s">
        <v>144</v>
      </c>
      <c r="C553" s="45" t="n">
        <v>45944</v>
      </c>
      <c r="D553" s="46" t="n">
        <v>20251014</v>
      </c>
      <c r="E553" s="47" t="s">
        <v>316</v>
      </c>
      <c r="F553" s="48" t="n">
        <v>3561</v>
      </c>
      <c r="G553" s="48" t="n">
        <v>3568</v>
      </c>
      <c r="H553" s="48" t="n">
        <v>3536</v>
      </c>
      <c r="I553" s="48" t="n">
        <v>3548</v>
      </c>
      <c r="J553" s="48" t="n">
        <v>3538</v>
      </c>
      <c r="K553" s="48" t="n">
        <v>3556</v>
      </c>
      <c r="L553" s="48" t="n">
        <v>56670730</v>
      </c>
      <c r="M553" s="48" t="n">
        <v>201067750040</v>
      </c>
      <c r="N553" s="48" t="n">
        <v>1653</v>
      </c>
      <c r="O553" s="48" t="n">
        <v>35617936</v>
      </c>
      <c r="P553" s="48" t="n">
        <v>22164001</v>
      </c>
      <c r="Q553" s="48" t="n">
        <v>675</v>
      </c>
      <c r="R553" s="48" t="n">
        <v>756</v>
      </c>
      <c r="S553" s="48" t="n">
        <v>21052794</v>
      </c>
      <c r="T553" s="48" t="n">
        <v>34506729</v>
      </c>
      <c r="U553" s="46" t="n">
        <f aca="false">IF($A553=$A552,$U552+1,1)</f>
        <v>29</v>
      </c>
      <c r="V553" s="48" t="n">
        <f aca="false">IF($U553&gt;=MA_SHORT,AVERAGE(INDEX($I$153:$I553,402-MA_SHORT):$I553),"")</f>
        <v>3478.25</v>
      </c>
      <c r="W553" s="48" t="str">
        <f aca="false">IF($U553&gt;=MA_MED,AVERAGE(INDEX($I$153:$I553,402-MA_MED):$I553),"")</f>
        <v/>
      </c>
      <c r="X553" s="48" t="str">
        <f aca="false">IF($U553&gt;=MA_LONG1,AVERAGE(INDEX($I$153:$I553,402-MA_LONG1):$I553),"")</f>
        <v/>
      </c>
      <c r="Y553" s="48" t="str">
        <f aca="false">IF($U553&gt;=MA_LONG2,AVERAGE(INDEX($I$153:$I553,402-MA_LONG2):$I553),"")</f>
        <v/>
      </c>
      <c r="Z553" s="48" t="n">
        <f aca="false">IF($U553&gt;=MA_SHORT,AVERAGE(INDEX($L$433:$L553,122-MA_SHORT):$L553),"")</f>
        <v>70156929.6</v>
      </c>
      <c r="AA553" s="48" t="n">
        <f aca="false">IF($U553=1,$G553-$H553,MAX($G553-$H553,ABS($G553-$I552),ABS($H553-$I552)))</f>
        <v>32</v>
      </c>
      <c r="AB553" s="48" t="n">
        <f aca="false">IF($U553&gt;=ATR_PER,AVERAGE(INDEX($AA$433:$AA553,122-ATR_PER):$AA553),"")</f>
        <v>106.214285714286</v>
      </c>
      <c r="AC553" s="48" t="n">
        <f aca="false">$O553-$P553</f>
        <v>13453935</v>
      </c>
      <c r="AD553" s="48" t="n">
        <f aca="false">$AC553*$I553</f>
        <v>47734561380</v>
      </c>
      <c r="AE553" s="49" t="n">
        <f aca="false">IF($Q553&gt;0,$O553*$I553/$Q553/1000000,"")</f>
        <v>187.218425078519</v>
      </c>
      <c r="AF553" s="49" t="n">
        <f aca="false">IF($R553&gt;0,$P553*$I553/$R553/1000000,"")</f>
        <v>104.018353899471</v>
      </c>
      <c r="AG553" s="50" t="n">
        <f aca="false">IF(AND(ISNUMBER($AE553),ISNUMBER($AF553),$AF553&gt;0),$AE553/$AF553,"")</f>
        <v>1.79985952536277</v>
      </c>
      <c r="AH553" s="48" t="n">
        <f aca="false">IF($U553&gt;=5,SUM(INDEX($AD$523:$AD553,32-5):$AD553),"")</f>
        <v>252120186353</v>
      </c>
      <c r="AI553" s="48" t="n">
        <f aca="false">IF($U553&gt;=STRUCT_S,MAX(INDEX($G$403:$G553,152-STRUCT_S):$G553),"")</f>
        <v>3701</v>
      </c>
      <c r="AJ553" s="48" t="n">
        <f aca="false">IF($U553&gt;=STRUCT_S,MIN(INDEX($H$403:$H553,152-STRUCT_S):$H553),"")</f>
        <v>3313</v>
      </c>
      <c r="AK553" s="48" t="str">
        <f aca="false">IF($U553&gt;=STRUCT_L,MAX(INDEX($G$303:$G553,252-STRUCT_L):$G553),"")</f>
        <v/>
      </c>
      <c r="AL553" s="48" t="str">
        <f aca="false">IF($U553&gt;=STRUCT_L,MIN(INDEX($H$303:$H553,252-STRUCT_L):$H553),"")</f>
        <v/>
      </c>
      <c r="AM553" s="46" t="n">
        <f aca="false">IF($A553&lt;&gt;$A554,1,0)</f>
        <v>0</v>
      </c>
      <c r="AN553" s="47" t="str">
        <f aca="false">IF($AM553=1,$A553,"")</f>
        <v/>
      </c>
    </row>
    <row r="554" customFormat="false" ht="15" hidden="false" customHeight="false" outlineLevel="0" collapsed="false">
      <c r="A554" s="43" t="s">
        <v>142</v>
      </c>
      <c r="B554" s="44" t="s">
        <v>144</v>
      </c>
      <c r="C554" s="45" t="n">
        <v>45945</v>
      </c>
      <c r="D554" s="46" t="n">
        <v>20251015</v>
      </c>
      <c r="E554" s="47" t="s">
        <v>317</v>
      </c>
      <c r="F554" s="48" t="n">
        <v>3580</v>
      </c>
      <c r="G554" s="48" t="n">
        <v>3595</v>
      </c>
      <c r="H554" s="48" t="n">
        <v>3524</v>
      </c>
      <c r="I554" s="48" t="n">
        <v>3570</v>
      </c>
      <c r="J554" s="48" t="n">
        <v>3584</v>
      </c>
      <c r="K554" s="48" t="n">
        <v>3548</v>
      </c>
      <c r="L554" s="48" t="n">
        <v>76413969</v>
      </c>
      <c r="M554" s="48" t="n">
        <v>272797869330</v>
      </c>
      <c r="N554" s="48" t="n">
        <v>1738</v>
      </c>
      <c r="O554" s="48" t="n">
        <v>34079275</v>
      </c>
      <c r="P554" s="48" t="n">
        <v>43690811</v>
      </c>
      <c r="Q554" s="48" t="n">
        <v>864</v>
      </c>
      <c r="R554" s="48" t="n">
        <v>575</v>
      </c>
      <c r="S554" s="48" t="n">
        <v>42334694</v>
      </c>
      <c r="T554" s="48" t="n">
        <v>32723158</v>
      </c>
      <c r="U554" s="46" t="n">
        <f aca="false">IF($A554=$A553,$U553+1,1)</f>
        <v>30</v>
      </c>
      <c r="V554" s="48" t="n">
        <f aca="false">IF($U554&gt;=MA_SHORT,AVERAGE(INDEX($I$154:$I554,402-MA_SHORT):$I554),"")</f>
        <v>3473.1</v>
      </c>
      <c r="W554" s="48" t="str">
        <f aca="false">IF($U554&gt;=MA_MED,AVERAGE(INDEX($I$154:$I554,402-MA_MED):$I554),"")</f>
        <v/>
      </c>
      <c r="X554" s="48" t="str">
        <f aca="false">IF($U554&gt;=MA_LONG1,AVERAGE(INDEX($I$154:$I554,402-MA_LONG1):$I554),"")</f>
        <v/>
      </c>
      <c r="Y554" s="48" t="str">
        <f aca="false">IF($U554&gt;=MA_LONG2,AVERAGE(INDEX($I$154:$I554,402-MA_LONG2):$I554),"")</f>
        <v/>
      </c>
      <c r="Z554" s="48" t="n">
        <f aca="false">IF($U554&gt;=MA_SHORT,AVERAGE(INDEX($L$434:$L554,122-MA_SHORT):$L554),"")</f>
        <v>71056207.05</v>
      </c>
      <c r="AA554" s="48" t="n">
        <f aca="false">IF($U554=1,$G554-$H554,MAX($G554-$H554,ABS($G554-$I553),ABS($H554-$I553)))</f>
        <v>71</v>
      </c>
      <c r="AB554" s="48" t="n">
        <f aca="false">IF($U554&gt;=ATR_PER,AVERAGE(INDEX($AA$434:$AA554,122-ATR_PER):$AA554),"")</f>
        <v>99.6428571428571</v>
      </c>
      <c r="AC554" s="48" t="n">
        <f aca="false">$O554-$P554</f>
        <v>-9611536</v>
      </c>
      <c r="AD554" s="48" t="n">
        <f aca="false">$AC554*$I554</f>
        <v>-34313183520</v>
      </c>
      <c r="AE554" s="49" t="n">
        <f aca="false">IF($Q554&gt;0,$O554*$I554/$Q554/1000000,"")</f>
        <v>140.813671006944</v>
      </c>
      <c r="AF554" s="49" t="n">
        <f aca="false">IF($R554&gt;0,$P554*$I554/$R554/1000000,"")</f>
        <v>271.262948295652</v>
      </c>
      <c r="AG554" s="50" t="n">
        <f aca="false">IF(AND(ISNUMBER($AE554),ISNUMBER($AF554),$AF554&gt;0),$AE554/$AF554,"")</f>
        <v>0.519103961273289</v>
      </c>
      <c r="AH554" s="48" t="n">
        <f aca="false">IF($U554&gt;=5,SUM(INDEX($AD$524:$AD554,32-5):$AD554),"")</f>
        <v>202429217327</v>
      </c>
      <c r="AI554" s="48" t="n">
        <f aca="false">IF($U554&gt;=STRUCT_S,MAX(INDEX($G$404:$G554,152-STRUCT_S):$G554),"")</f>
        <v>3685</v>
      </c>
      <c r="AJ554" s="48" t="n">
        <f aca="false">IF($U554&gt;=STRUCT_S,MIN(INDEX($H$404:$H554,152-STRUCT_S):$H554),"")</f>
        <v>3313</v>
      </c>
      <c r="AK554" s="48" t="str">
        <f aca="false">IF($U554&gt;=STRUCT_L,MAX(INDEX($G$304:$G554,252-STRUCT_L):$G554),"")</f>
        <v/>
      </c>
      <c r="AL554" s="48" t="str">
        <f aca="false">IF($U554&gt;=STRUCT_L,MIN(INDEX($H$304:$H554,252-STRUCT_L):$H554),"")</f>
        <v/>
      </c>
      <c r="AM554" s="46" t="n">
        <f aca="false">IF($A554&lt;&gt;$A555,1,0)</f>
        <v>0</v>
      </c>
      <c r="AN554" s="47" t="str">
        <f aca="false">IF($AM554=1,$A554,"")</f>
        <v/>
      </c>
    </row>
    <row r="555" customFormat="false" ht="15" hidden="false" customHeight="false" outlineLevel="0" collapsed="false">
      <c r="A555" s="43" t="s">
        <v>142</v>
      </c>
      <c r="B555" s="44" t="s">
        <v>144</v>
      </c>
      <c r="C555" s="45" t="n">
        <v>45948</v>
      </c>
      <c r="D555" s="46" t="n">
        <v>20251018</v>
      </c>
      <c r="E555" s="47" t="s">
        <v>318</v>
      </c>
      <c r="F555" s="48" t="n">
        <v>3553</v>
      </c>
      <c r="G555" s="48" t="n">
        <v>3630</v>
      </c>
      <c r="H555" s="48" t="n">
        <v>3471</v>
      </c>
      <c r="I555" s="48" t="n">
        <v>3530</v>
      </c>
      <c r="J555" s="48" t="n">
        <v>3488</v>
      </c>
      <c r="K555" s="48" t="n">
        <v>3570</v>
      </c>
      <c r="L555" s="48" t="n">
        <v>60765650</v>
      </c>
      <c r="M555" s="48" t="n">
        <v>214502744500</v>
      </c>
      <c r="N555" s="48" t="n">
        <v>1411</v>
      </c>
      <c r="O555" s="48" t="n">
        <v>33928966</v>
      </c>
      <c r="P555" s="48" t="n">
        <v>27274886</v>
      </c>
      <c r="Q555" s="48" t="n">
        <v>481</v>
      </c>
      <c r="R555" s="48" t="n">
        <v>418</v>
      </c>
      <c r="S555" s="48" t="n">
        <v>26836684</v>
      </c>
      <c r="T555" s="48" t="n">
        <v>33490764</v>
      </c>
      <c r="U555" s="46" t="n">
        <f aca="false">IF($A555=$A554,$U554+1,1)</f>
        <v>31</v>
      </c>
      <c r="V555" s="48" t="n">
        <f aca="false">IF($U555&gt;=MA_SHORT,AVERAGE(INDEX($I$155:$I555,402-MA_SHORT):$I555),"")</f>
        <v>3467.6</v>
      </c>
      <c r="W555" s="48" t="str">
        <f aca="false">IF($U555&gt;=MA_MED,AVERAGE(INDEX($I$155:$I555,402-MA_MED):$I555),"")</f>
        <v/>
      </c>
      <c r="X555" s="48" t="str">
        <f aca="false">IF($U555&gt;=MA_LONG1,AVERAGE(INDEX($I$155:$I555,402-MA_LONG1):$I555),"")</f>
        <v/>
      </c>
      <c r="Y555" s="48" t="str">
        <f aca="false">IF($U555&gt;=MA_LONG2,AVERAGE(INDEX($I$155:$I555,402-MA_LONG2):$I555),"")</f>
        <v/>
      </c>
      <c r="Z555" s="48" t="n">
        <f aca="false">IF($U555&gt;=MA_SHORT,AVERAGE(INDEX($L$435:$L555,122-MA_SHORT):$L555),"")</f>
        <v>71458273.4</v>
      </c>
      <c r="AA555" s="48" t="n">
        <f aca="false">IF($U555=1,$G555-$H555,MAX($G555-$H555,ABS($G555-$I554),ABS($H555-$I554)))</f>
        <v>159</v>
      </c>
      <c r="AB555" s="48" t="n">
        <f aca="false">IF($U555&gt;=ATR_PER,AVERAGE(INDEX($AA$435:$AA555,122-ATR_PER):$AA555),"")</f>
        <v>101</v>
      </c>
      <c r="AC555" s="48" t="n">
        <f aca="false">$O555-$P555</f>
        <v>6654080</v>
      </c>
      <c r="AD555" s="48" t="n">
        <f aca="false">$AC555*$I555</f>
        <v>23488902400</v>
      </c>
      <c r="AE555" s="49" t="n">
        <f aca="false">IF($Q555&gt;0,$O555*$I555/$Q555/1000000,"")</f>
        <v>249.00051970894</v>
      </c>
      <c r="AF555" s="49" t="n">
        <f aca="false">IF($R555&gt;0,$P555*$I555/$R555/1000000,"")</f>
        <v>230.335759760766</v>
      </c>
      <c r="AG555" s="50" t="n">
        <f aca="false">IF(AND(ISNUMBER($AE555),ISNUMBER($AF555),$AF555&gt;0),$AE555/$AF555,"")</f>
        <v>1.0810328364452</v>
      </c>
      <c r="AH555" s="48" t="n">
        <f aca="false">IF($U555&gt;=5,SUM(INDEX($AD$525:$AD555,32-5):$AD555),"")</f>
        <v>240983858051</v>
      </c>
      <c r="AI555" s="48" t="n">
        <f aca="false">IF($U555&gt;=STRUCT_S,MAX(INDEX($G$405:$G555,152-STRUCT_S):$G555),"")</f>
        <v>3671</v>
      </c>
      <c r="AJ555" s="48" t="n">
        <f aca="false">IF($U555&gt;=STRUCT_S,MIN(INDEX($H$405:$H555,152-STRUCT_S):$H555),"")</f>
        <v>3313</v>
      </c>
      <c r="AK555" s="48" t="str">
        <f aca="false">IF($U555&gt;=STRUCT_L,MAX(INDEX($G$305:$G555,252-STRUCT_L):$G555),"")</f>
        <v/>
      </c>
      <c r="AL555" s="48" t="str">
        <f aca="false">IF($U555&gt;=STRUCT_L,MIN(INDEX($H$305:$H555,252-STRUCT_L):$H555),"")</f>
        <v/>
      </c>
      <c r="AM555" s="46" t="n">
        <f aca="false">IF($A555&lt;&gt;$A556,1,0)</f>
        <v>0</v>
      </c>
      <c r="AN555" s="47" t="str">
        <f aca="false">IF($AM555=1,$A555,"")</f>
        <v/>
      </c>
    </row>
    <row r="556" customFormat="false" ht="15" hidden="false" customHeight="false" outlineLevel="0" collapsed="false">
      <c r="A556" s="43" t="s">
        <v>142</v>
      </c>
      <c r="B556" s="44" t="s">
        <v>144</v>
      </c>
      <c r="C556" s="45" t="n">
        <v>45949</v>
      </c>
      <c r="D556" s="46" t="n">
        <v>20251019</v>
      </c>
      <c r="E556" s="47" t="s">
        <v>319</v>
      </c>
      <c r="F556" s="48" t="n">
        <v>3544</v>
      </c>
      <c r="G556" s="48" t="n">
        <v>3575</v>
      </c>
      <c r="H556" s="48" t="n">
        <v>3490</v>
      </c>
      <c r="I556" s="48" t="n">
        <v>3535</v>
      </c>
      <c r="J556" s="48" t="n">
        <v>3527</v>
      </c>
      <c r="K556" s="48" t="n">
        <v>3530</v>
      </c>
      <c r="L556" s="48" t="n">
        <v>58615142</v>
      </c>
      <c r="M556" s="48" t="n">
        <v>207204526970</v>
      </c>
      <c r="N556" s="48" t="n">
        <v>3660</v>
      </c>
      <c r="O556" s="48" t="n">
        <v>38371978</v>
      </c>
      <c r="P556" s="48" t="n">
        <v>20607149</v>
      </c>
      <c r="Q556" s="48" t="n">
        <v>1348</v>
      </c>
      <c r="R556" s="48" t="n">
        <v>1326</v>
      </c>
      <c r="S556" s="48" t="n">
        <v>20243164</v>
      </c>
      <c r="T556" s="48" t="n">
        <v>38007993</v>
      </c>
      <c r="U556" s="46" t="n">
        <f aca="false">IF($A556=$A555,$U555+1,1)</f>
        <v>32</v>
      </c>
      <c r="V556" s="48" t="n">
        <f aca="false">IF($U556&gt;=MA_SHORT,AVERAGE(INDEX($I$156:$I556,402-MA_SHORT):$I556),"")</f>
        <v>3464.95</v>
      </c>
      <c r="W556" s="48" t="str">
        <f aca="false">IF($U556&gt;=MA_MED,AVERAGE(INDEX($I$156:$I556,402-MA_MED):$I556),"")</f>
        <v/>
      </c>
      <c r="X556" s="48" t="str">
        <f aca="false">IF($U556&gt;=MA_LONG1,AVERAGE(INDEX($I$156:$I556,402-MA_LONG1):$I556),"")</f>
        <v/>
      </c>
      <c r="Y556" s="48" t="str">
        <f aca="false">IF($U556&gt;=MA_LONG2,AVERAGE(INDEX($I$156:$I556,402-MA_LONG2):$I556),"")</f>
        <v/>
      </c>
      <c r="Z556" s="48" t="n">
        <f aca="false">IF($U556&gt;=MA_SHORT,AVERAGE(INDEX($L$436:$L556,122-MA_SHORT):$L556),"")</f>
        <v>71550144.3</v>
      </c>
      <c r="AA556" s="48" t="n">
        <f aca="false">IF($U556=1,$G556-$H556,MAX($G556-$H556,ABS($G556-$I555),ABS($H556-$I555)))</f>
        <v>85</v>
      </c>
      <c r="AB556" s="48" t="n">
        <f aca="false">IF($U556&gt;=ATR_PER,AVERAGE(INDEX($AA$436:$AA556,122-ATR_PER):$AA556),"")</f>
        <v>96.2142857142857</v>
      </c>
      <c r="AC556" s="48" t="n">
        <f aca="false">$O556-$P556</f>
        <v>17764829</v>
      </c>
      <c r="AD556" s="48" t="n">
        <f aca="false">$AC556*$I556</f>
        <v>62798670515</v>
      </c>
      <c r="AE556" s="49" t="n">
        <f aca="false">IF($Q556&gt;0,$O556*$I556/$Q556/1000000,"")</f>
        <v>100.626811743323</v>
      </c>
      <c r="AF556" s="49" t="n">
        <f aca="false">IF($R556&gt;0,$P556*$I556/$R556/1000000,"")</f>
        <v>54.9368564969834</v>
      </c>
      <c r="AG556" s="50" t="n">
        <f aca="false">IF(AND(ISNUMBER($AE556),ISNUMBER($AF556),$AF556&gt;0),$AE556/$AF556,"")</f>
        <v>1.83168128210701</v>
      </c>
      <c r="AH556" s="48" t="n">
        <f aca="false">IF($U556&gt;=5,SUM(INDEX($AD$526:$AD556,32-5):$AD556),"")</f>
        <v>152418379519</v>
      </c>
      <c r="AI556" s="48" t="n">
        <f aca="false">IF($U556&gt;=STRUCT_S,MAX(INDEX($G$406:$G556,152-STRUCT_S):$G556),"")</f>
        <v>3650</v>
      </c>
      <c r="AJ556" s="48" t="n">
        <f aca="false">IF($U556&gt;=STRUCT_S,MIN(INDEX($H$406:$H556,152-STRUCT_S):$H556),"")</f>
        <v>3313</v>
      </c>
      <c r="AK556" s="48" t="str">
        <f aca="false">IF($U556&gt;=STRUCT_L,MAX(INDEX($G$306:$G556,252-STRUCT_L):$G556),"")</f>
        <v/>
      </c>
      <c r="AL556" s="48" t="str">
        <f aca="false">IF($U556&gt;=STRUCT_L,MIN(INDEX($H$306:$H556,252-STRUCT_L):$H556),"")</f>
        <v/>
      </c>
      <c r="AM556" s="46" t="n">
        <f aca="false">IF($A556&lt;&gt;$A557,1,0)</f>
        <v>0</v>
      </c>
      <c r="AN556" s="47" t="str">
        <f aca="false">IF($AM556=1,$A556,"")</f>
        <v/>
      </c>
    </row>
    <row r="557" customFormat="false" ht="15" hidden="false" customHeight="false" outlineLevel="0" collapsed="false">
      <c r="A557" s="43" t="s">
        <v>142</v>
      </c>
      <c r="B557" s="44" t="s">
        <v>144</v>
      </c>
      <c r="C557" s="45" t="n">
        <v>45950</v>
      </c>
      <c r="D557" s="46" t="n">
        <v>20251020</v>
      </c>
      <c r="E557" s="47" t="s">
        <v>320</v>
      </c>
      <c r="F557" s="48" t="n">
        <v>3545</v>
      </c>
      <c r="G557" s="48" t="n">
        <v>3583</v>
      </c>
      <c r="H557" s="48" t="n">
        <v>3472</v>
      </c>
      <c r="I557" s="48" t="n">
        <v>3520</v>
      </c>
      <c r="J557" s="48" t="n">
        <v>3580</v>
      </c>
      <c r="K557" s="48" t="n">
        <v>3535</v>
      </c>
      <c r="L557" s="48" t="n">
        <v>51301181</v>
      </c>
      <c r="M557" s="48" t="n">
        <v>180580157120</v>
      </c>
      <c r="N557" s="48" t="n">
        <v>4056</v>
      </c>
      <c r="O557" s="48" t="n">
        <v>25731813</v>
      </c>
      <c r="P557" s="48" t="n">
        <v>25183942</v>
      </c>
      <c r="Q557" s="48" t="n">
        <v>1860</v>
      </c>
      <c r="R557" s="48" t="n">
        <v>1714</v>
      </c>
      <c r="S557" s="48" t="n">
        <v>25569368</v>
      </c>
      <c r="T557" s="48" t="n">
        <v>26117239</v>
      </c>
      <c r="U557" s="46" t="n">
        <f aca="false">IF($A557=$A556,$U556+1,1)</f>
        <v>33</v>
      </c>
      <c r="V557" s="48" t="n">
        <f aca="false">IF($U557&gt;=MA_SHORT,AVERAGE(INDEX($I$157:$I557,402-MA_SHORT):$I557),"")</f>
        <v>3466.6</v>
      </c>
      <c r="W557" s="48" t="str">
        <f aca="false">IF($U557&gt;=MA_MED,AVERAGE(INDEX($I$157:$I557,402-MA_MED):$I557),"")</f>
        <v/>
      </c>
      <c r="X557" s="48" t="str">
        <f aca="false">IF($U557&gt;=MA_LONG1,AVERAGE(INDEX($I$157:$I557,402-MA_LONG1):$I557),"")</f>
        <v/>
      </c>
      <c r="Y557" s="48" t="str">
        <f aca="false">IF($U557&gt;=MA_LONG2,AVERAGE(INDEX($I$157:$I557,402-MA_LONG2):$I557),"")</f>
        <v/>
      </c>
      <c r="Z557" s="48" t="n">
        <f aca="false">IF($U557&gt;=MA_SHORT,AVERAGE(INDEX($L$437:$L557,122-MA_SHORT):$L557),"")</f>
        <v>70814103.8</v>
      </c>
      <c r="AA557" s="48" t="n">
        <f aca="false">IF($U557=1,$G557-$H557,MAX($G557-$H557,ABS($G557-$I556),ABS($H557-$I556)))</f>
        <v>111</v>
      </c>
      <c r="AB557" s="48" t="n">
        <f aca="false">IF($U557&gt;=ATR_PER,AVERAGE(INDEX($AA$437:$AA557,122-ATR_PER):$AA557),"")</f>
        <v>100.642857142857</v>
      </c>
      <c r="AC557" s="48" t="n">
        <f aca="false">$O557-$P557</f>
        <v>547871</v>
      </c>
      <c r="AD557" s="48" t="n">
        <f aca="false">$AC557*$I557</f>
        <v>1928505920</v>
      </c>
      <c r="AE557" s="49" t="n">
        <f aca="false">IF($Q557&gt;0,$O557*$I557/$Q557/1000000,"")</f>
        <v>48.6967643870968</v>
      </c>
      <c r="AF557" s="49" t="n">
        <f aca="false">IF($R557&gt;0,$P557*$I557/$R557/1000000,"")</f>
        <v>51.7196475145858</v>
      </c>
      <c r="AG557" s="50" t="n">
        <f aca="false">IF(AND(ISNUMBER($AE557),ISNUMBER($AF557),$AF557&gt;0),$AE557/$AF557,"")</f>
        <v>0.941552518766945</v>
      </c>
      <c r="AH557" s="48" t="n">
        <f aca="false">IF($U557&gt;=5,SUM(INDEX($AD$527:$AD557,32-5):$AD557),"")</f>
        <v>101637456695</v>
      </c>
      <c r="AI557" s="48" t="n">
        <f aca="false">IF($U557&gt;=STRUCT_S,MAX(INDEX($G$407:$G557,152-STRUCT_S):$G557),"")</f>
        <v>3650</v>
      </c>
      <c r="AJ557" s="48" t="n">
        <f aca="false">IF($U557&gt;=STRUCT_S,MIN(INDEX($H$407:$H557,152-STRUCT_S):$H557),"")</f>
        <v>3313</v>
      </c>
      <c r="AK557" s="48" t="str">
        <f aca="false">IF($U557&gt;=STRUCT_L,MAX(INDEX($G$307:$G557,252-STRUCT_L):$G557),"")</f>
        <v/>
      </c>
      <c r="AL557" s="48" t="str">
        <f aca="false">IF($U557&gt;=STRUCT_L,MIN(INDEX($H$307:$H557,252-STRUCT_L):$H557),"")</f>
        <v/>
      </c>
      <c r="AM557" s="46" t="n">
        <f aca="false">IF($A557&lt;&gt;$A558,1,0)</f>
        <v>0</v>
      </c>
      <c r="AN557" s="47" t="str">
        <f aca="false">IF($AM557=1,$A557,"")</f>
        <v/>
      </c>
    </row>
    <row r="558" customFormat="false" ht="15" hidden="false" customHeight="false" outlineLevel="0" collapsed="false">
      <c r="A558" s="43" t="s">
        <v>142</v>
      </c>
      <c r="B558" s="44" t="s">
        <v>144</v>
      </c>
      <c r="C558" s="45" t="n">
        <v>45951</v>
      </c>
      <c r="D558" s="46" t="n">
        <v>20251021</v>
      </c>
      <c r="E558" s="47" t="s">
        <v>321</v>
      </c>
      <c r="F558" s="48" t="n">
        <v>3612</v>
      </c>
      <c r="G558" s="48" t="n">
        <v>3711</v>
      </c>
      <c r="H558" s="48" t="n">
        <v>3479</v>
      </c>
      <c r="I558" s="48" t="n">
        <v>3668</v>
      </c>
      <c r="J558" s="48" t="n">
        <v>3540</v>
      </c>
      <c r="K558" s="48" t="n">
        <v>3520</v>
      </c>
      <c r="L558" s="48" t="n">
        <v>62648070</v>
      </c>
      <c r="M558" s="48" t="n">
        <v>229793120760</v>
      </c>
      <c r="N558" s="48" t="n">
        <v>5485</v>
      </c>
      <c r="O558" s="48" t="n">
        <v>43089125</v>
      </c>
      <c r="P558" s="48" t="n">
        <v>12529614</v>
      </c>
      <c r="Q558" s="48" t="n">
        <v>1527</v>
      </c>
      <c r="R558" s="48" t="n">
        <v>2195</v>
      </c>
      <c r="S558" s="48" t="n">
        <v>19558945</v>
      </c>
      <c r="T558" s="48" t="n">
        <v>50118456</v>
      </c>
      <c r="U558" s="46" t="n">
        <f aca="false">IF($A558=$A557,$U557+1,1)</f>
        <v>34</v>
      </c>
      <c r="V558" s="48" t="n">
        <f aca="false">IF($U558&gt;=MA_SHORT,AVERAGE(INDEX($I$158:$I558,402-MA_SHORT):$I558),"")</f>
        <v>3477.05</v>
      </c>
      <c r="W558" s="48" t="str">
        <f aca="false">IF($U558&gt;=MA_MED,AVERAGE(INDEX($I$158:$I558,402-MA_MED):$I558),"")</f>
        <v/>
      </c>
      <c r="X558" s="48" t="str">
        <f aca="false">IF($U558&gt;=MA_LONG1,AVERAGE(INDEX($I$158:$I558,402-MA_LONG1):$I558),"")</f>
        <v/>
      </c>
      <c r="Y558" s="48" t="str">
        <f aca="false">IF($U558&gt;=MA_LONG2,AVERAGE(INDEX($I$158:$I558,402-MA_LONG2):$I558),"")</f>
        <v/>
      </c>
      <c r="Z558" s="48" t="n">
        <f aca="false">IF($U558&gt;=MA_SHORT,AVERAGE(INDEX($L$438:$L558,122-MA_SHORT):$L558),"")</f>
        <v>71324618.85</v>
      </c>
      <c r="AA558" s="48" t="n">
        <f aca="false">IF($U558=1,$G558-$H558,MAX($G558-$H558,ABS($G558-$I557),ABS($H558-$I557)))</f>
        <v>232</v>
      </c>
      <c r="AB558" s="48" t="n">
        <f aca="false">IF($U558&gt;=ATR_PER,AVERAGE(INDEX($AA$438:$AA558,122-ATR_PER):$AA558),"")</f>
        <v>115.142857142857</v>
      </c>
      <c r="AC558" s="48" t="n">
        <f aca="false">$O558-$P558</f>
        <v>30559511</v>
      </c>
      <c r="AD558" s="48" t="n">
        <f aca="false">$AC558*$I558</f>
        <v>112092286348</v>
      </c>
      <c r="AE558" s="49" t="n">
        <f aca="false">IF($Q558&gt;0,$O558*$I558/$Q558/1000000,"")</f>
        <v>103.504198100851</v>
      </c>
      <c r="AF558" s="49" t="n">
        <f aca="false">IF($R558&gt;0,$P558*$I558/$R558/1000000,"")</f>
        <v>20.9378697731207</v>
      </c>
      <c r="AG558" s="50" t="n">
        <f aca="false">IF(AND(ISNUMBER($AE558),ISNUMBER($AF558),$AF558&gt;0),$AE558/$AF558,"")</f>
        <v>4.94339678402844</v>
      </c>
      <c r="AH558" s="48" t="n">
        <f aca="false">IF($U558&gt;=5,SUM(INDEX($AD$528:$AD558,32-5):$AD558),"")</f>
        <v>165995181663</v>
      </c>
      <c r="AI558" s="48" t="n">
        <f aca="false">IF($U558&gt;=STRUCT_S,MAX(INDEX($G$408:$G558,152-STRUCT_S):$G558),"")</f>
        <v>3711</v>
      </c>
      <c r="AJ558" s="48" t="n">
        <f aca="false">IF($U558&gt;=STRUCT_S,MIN(INDEX($H$408:$H558,152-STRUCT_S):$H558),"")</f>
        <v>3313</v>
      </c>
      <c r="AK558" s="48" t="str">
        <f aca="false">IF($U558&gt;=STRUCT_L,MAX(INDEX($G$308:$G558,252-STRUCT_L):$G558),"")</f>
        <v/>
      </c>
      <c r="AL558" s="48" t="str">
        <f aca="false">IF($U558&gt;=STRUCT_L,MIN(INDEX($H$308:$H558,252-STRUCT_L):$H558),"")</f>
        <v/>
      </c>
      <c r="AM558" s="46" t="n">
        <f aca="false">IF($A558&lt;&gt;$A559,1,0)</f>
        <v>0</v>
      </c>
      <c r="AN558" s="47" t="str">
        <f aca="false">IF($AM558=1,$A558,"")</f>
        <v/>
      </c>
    </row>
    <row r="559" customFormat="false" ht="15" hidden="false" customHeight="false" outlineLevel="0" collapsed="false">
      <c r="A559" s="43" t="s">
        <v>142</v>
      </c>
      <c r="B559" s="44" t="s">
        <v>144</v>
      </c>
      <c r="C559" s="45" t="n">
        <v>45952</v>
      </c>
      <c r="D559" s="46" t="n">
        <v>20251022</v>
      </c>
      <c r="E559" s="47" t="s">
        <v>322</v>
      </c>
      <c r="F559" s="48" t="n">
        <v>3704</v>
      </c>
      <c r="G559" s="48" t="n">
        <v>3793</v>
      </c>
      <c r="H559" s="48" t="n">
        <v>3637</v>
      </c>
      <c r="I559" s="48" t="n">
        <v>3761</v>
      </c>
      <c r="J559" s="48" t="n">
        <v>3710</v>
      </c>
      <c r="K559" s="48" t="n">
        <v>3668</v>
      </c>
      <c r="L559" s="48" t="n">
        <v>65147493</v>
      </c>
      <c r="M559" s="48" t="n">
        <v>245019721173</v>
      </c>
      <c r="N559" s="48" t="n">
        <v>1522</v>
      </c>
      <c r="O559" s="48" t="n">
        <v>40285204</v>
      </c>
      <c r="P559" s="48" t="n">
        <v>26380607</v>
      </c>
      <c r="Q559" s="48" t="n">
        <v>607</v>
      </c>
      <c r="R559" s="48" t="n">
        <v>786</v>
      </c>
      <c r="S559" s="48" t="n">
        <v>24862289</v>
      </c>
      <c r="T559" s="48" t="n">
        <v>38766886</v>
      </c>
      <c r="U559" s="46" t="n">
        <f aca="false">IF($A559=$A558,$U558+1,1)</f>
        <v>35</v>
      </c>
      <c r="V559" s="48" t="n">
        <f aca="false">IF($U559&gt;=MA_SHORT,AVERAGE(INDEX($I$159:$I559,402-MA_SHORT):$I559),"")</f>
        <v>3493</v>
      </c>
      <c r="W559" s="48" t="str">
        <f aca="false">IF($U559&gt;=MA_MED,AVERAGE(INDEX($I$159:$I559,402-MA_MED):$I559),"")</f>
        <v/>
      </c>
      <c r="X559" s="48" t="str">
        <f aca="false">IF($U559&gt;=MA_LONG1,AVERAGE(INDEX($I$159:$I559,402-MA_LONG1):$I559),"")</f>
        <v/>
      </c>
      <c r="Y559" s="48" t="str">
        <f aca="false">IF($U559&gt;=MA_LONG2,AVERAGE(INDEX($I$159:$I559,402-MA_LONG2):$I559),"")</f>
        <v/>
      </c>
      <c r="Z559" s="48" t="n">
        <f aca="false">IF($U559&gt;=MA_SHORT,AVERAGE(INDEX($L$439:$L559,122-MA_SHORT):$L559),"")</f>
        <v>71694281.55</v>
      </c>
      <c r="AA559" s="48" t="n">
        <f aca="false">IF($U559=1,$G559-$H559,MAX($G559-$H559,ABS($G559-$I558),ABS($H559-$I558)))</f>
        <v>156</v>
      </c>
      <c r="AB559" s="48" t="n">
        <f aca="false">IF($U559&gt;=ATR_PER,AVERAGE(INDEX($AA$439:$AA559,122-ATR_PER):$AA559),"")</f>
        <v>118.285714285714</v>
      </c>
      <c r="AC559" s="48" t="n">
        <f aca="false">$O559-$P559</f>
        <v>13904597</v>
      </c>
      <c r="AD559" s="48" t="n">
        <f aca="false">$AC559*$I559</f>
        <v>52295189317</v>
      </c>
      <c r="AE559" s="49" t="n">
        <f aca="false">IF($Q559&gt;0,$O559*$I559/$Q559/1000000,"")</f>
        <v>249.608982280066</v>
      </c>
      <c r="AF559" s="49" t="n">
        <f aca="false">IF($R559&gt;0,$P559*$I559/$R559/1000000,"")</f>
        <v>126.230868863868</v>
      </c>
      <c r="AG559" s="50" t="n">
        <f aca="false">IF(AND(ISNUMBER($AE559),ISNUMBER($AF559),$AF559&gt;0),$AE559/$AF559,"")</f>
        <v>1.97740049265805</v>
      </c>
      <c r="AH559" s="48" t="n">
        <f aca="false">IF($U559&gt;=5,SUM(INDEX($AD$529:$AD559,32-5):$AD559),"")</f>
        <v>252603554500</v>
      </c>
      <c r="AI559" s="48" t="n">
        <f aca="false">IF($U559&gt;=STRUCT_S,MAX(INDEX($G$409:$G559,152-STRUCT_S):$G559),"")</f>
        <v>3793</v>
      </c>
      <c r="AJ559" s="48" t="n">
        <f aca="false">IF($U559&gt;=STRUCT_S,MIN(INDEX($H$409:$H559,152-STRUCT_S):$H559),"")</f>
        <v>3313</v>
      </c>
      <c r="AK559" s="48" t="str">
        <f aca="false">IF($U559&gt;=STRUCT_L,MAX(INDEX($G$309:$G559,252-STRUCT_L):$G559),"")</f>
        <v/>
      </c>
      <c r="AL559" s="48" t="str">
        <f aca="false">IF($U559&gt;=STRUCT_L,MIN(INDEX($H$309:$H559,252-STRUCT_L):$H559),"")</f>
        <v/>
      </c>
      <c r="AM559" s="46" t="n">
        <f aca="false">IF($A559&lt;&gt;$A560,1,0)</f>
        <v>0</v>
      </c>
      <c r="AN559" s="47" t="str">
        <f aca="false">IF($AM559=1,$A559,"")</f>
        <v/>
      </c>
    </row>
    <row r="560" customFormat="false" ht="15" hidden="false" customHeight="false" outlineLevel="0" collapsed="false">
      <c r="A560" s="43" t="s">
        <v>142</v>
      </c>
      <c r="B560" s="44" t="s">
        <v>144</v>
      </c>
      <c r="C560" s="45" t="n">
        <v>45955</v>
      </c>
      <c r="D560" s="46" t="n">
        <v>20251025</v>
      </c>
      <c r="E560" s="47" t="s">
        <v>323</v>
      </c>
      <c r="F560" s="48" t="n">
        <v>3652</v>
      </c>
      <c r="G560" s="48" t="n">
        <v>3797</v>
      </c>
      <c r="H560" s="48" t="n">
        <v>3644</v>
      </c>
      <c r="I560" s="48" t="n">
        <v>3679</v>
      </c>
      <c r="J560" s="48" t="n">
        <v>3769</v>
      </c>
      <c r="K560" s="48" t="n">
        <v>3761</v>
      </c>
      <c r="L560" s="48" t="n">
        <v>56571907</v>
      </c>
      <c r="M560" s="48" t="n">
        <v>208128045853</v>
      </c>
      <c r="N560" s="48" t="n">
        <v>2110</v>
      </c>
      <c r="O560" s="48" t="n">
        <v>22618797</v>
      </c>
      <c r="P560" s="48" t="n">
        <v>33914686</v>
      </c>
      <c r="Q560" s="48" t="n">
        <v>1121</v>
      </c>
      <c r="R560" s="48" t="n">
        <v>712</v>
      </c>
      <c r="S560" s="48" t="n">
        <v>33953110</v>
      </c>
      <c r="T560" s="48" t="n">
        <v>22657221</v>
      </c>
      <c r="U560" s="46" t="n">
        <f aca="false">IF($A560=$A559,$U559+1,1)</f>
        <v>36</v>
      </c>
      <c r="V560" s="48" t="n">
        <f aca="false">IF($U560&gt;=MA_SHORT,AVERAGE(INDEX($I$160:$I560,402-MA_SHORT):$I560),"")</f>
        <v>3500.95</v>
      </c>
      <c r="W560" s="48" t="str">
        <f aca="false">IF($U560&gt;=MA_MED,AVERAGE(INDEX($I$160:$I560,402-MA_MED):$I560),"")</f>
        <v/>
      </c>
      <c r="X560" s="48" t="str">
        <f aca="false">IF($U560&gt;=MA_LONG1,AVERAGE(INDEX($I$160:$I560,402-MA_LONG1):$I560),"")</f>
        <v/>
      </c>
      <c r="Y560" s="48" t="str">
        <f aca="false">IF($U560&gt;=MA_LONG2,AVERAGE(INDEX($I$160:$I560,402-MA_LONG2):$I560),"")</f>
        <v/>
      </c>
      <c r="Z560" s="48" t="n">
        <f aca="false">IF($U560&gt;=MA_SHORT,AVERAGE(INDEX($L$440:$L560,122-MA_SHORT):$L560),"")</f>
        <v>70205124.2</v>
      </c>
      <c r="AA560" s="48" t="n">
        <f aca="false">IF($U560=1,$G560-$H560,MAX($G560-$H560,ABS($G560-$I559),ABS($H560-$I559)))</f>
        <v>153</v>
      </c>
      <c r="AB560" s="48" t="n">
        <f aca="false">IF($U560&gt;=ATR_PER,AVERAGE(INDEX($AA$440:$AA560,122-ATR_PER):$AA560),"")</f>
        <v>122.357142857143</v>
      </c>
      <c r="AC560" s="48" t="n">
        <f aca="false">$O560-$P560</f>
        <v>-11295889</v>
      </c>
      <c r="AD560" s="48" t="n">
        <f aca="false">$AC560*$I560</f>
        <v>-41557575631</v>
      </c>
      <c r="AE560" s="49" t="n">
        <f aca="false">IF($Q560&gt;0,$O560*$I560/$Q560/1000000,"")</f>
        <v>74.2324301186441</v>
      </c>
      <c r="AF560" s="49" t="n">
        <f aca="false">IF($R560&gt;0,$P560*$I560/$R560/1000000,"")</f>
        <v>175.241755328652</v>
      </c>
      <c r="AG560" s="50" t="n">
        <f aca="false">IF(AND(ISNUMBER($AE560),ISNUMBER($AF560),$AF560&gt;0),$AE560/$AF560,"")</f>
        <v>0.423600128744586</v>
      </c>
      <c r="AH560" s="48" t="n">
        <f aca="false">IF($U560&gt;=5,SUM(INDEX($AD$530:$AD560,32-5):$AD560),"")</f>
        <v>187557076469</v>
      </c>
      <c r="AI560" s="48" t="n">
        <f aca="false">IF($U560&gt;=STRUCT_S,MAX(INDEX($G$410:$G560,152-STRUCT_S):$G560),"")</f>
        <v>3797</v>
      </c>
      <c r="AJ560" s="48" t="n">
        <f aca="false">IF($U560&gt;=STRUCT_S,MIN(INDEX($H$410:$H560,152-STRUCT_S):$H560),"")</f>
        <v>3313</v>
      </c>
      <c r="AK560" s="48" t="str">
        <f aca="false">IF($U560&gt;=STRUCT_L,MAX(INDEX($G$310:$G560,252-STRUCT_L):$G560),"")</f>
        <v/>
      </c>
      <c r="AL560" s="48" t="str">
        <f aca="false">IF($U560&gt;=STRUCT_L,MIN(INDEX($H$310:$H560,252-STRUCT_L):$H560),"")</f>
        <v/>
      </c>
      <c r="AM560" s="46" t="n">
        <f aca="false">IF($A560&lt;&gt;$A561,1,0)</f>
        <v>0</v>
      </c>
      <c r="AN560" s="47" t="str">
        <f aca="false">IF($AM560=1,$A560,"")</f>
        <v/>
      </c>
    </row>
    <row r="561" customFormat="false" ht="15" hidden="false" customHeight="false" outlineLevel="0" collapsed="false">
      <c r="A561" s="43" t="s">
        <v>142</v>
      </c>
      <c r="B561" s="44" t="s">
        <v>144</v>
      </c>
      <c r="C561" s="45" t="n">
        <v>45956</v>
      </c>
      <c r="D561" s="46" t="n">
        <v>20251026</v>
      </c>
      <c r="E561" s="47" t="s">
        <v>324</v>
      </c>
      <c r="F561" s="48" t="n">
        <v>3654</v>
      </c>
      <c r="G561" s="48" t="n">
        <v>3724</v>
      </c>
      <c r="H561" s="48" t="n">
        <v>3490</v>
      </c>
      <c r="I561" s="48" t="n">
        <v>3533</v>
      </c>
      <c r="J561" s="48" t="n">
        <v>3525</v>
      </c>
      <c r="K561" s="48" t="n">
        <v>3679</v>
      </c>
      <c r="L561" s="48" t="n">
        <v>94107331</v>
      </c>
      <c r="M561" s="48" t="n">
        <v>332481200423</v>
      </c>
      <c r="N561" s="48" t="n">
        <v>4231</v>
      </c>
      <c r="O561" s="48" t="n">
        <v>38975199</v>
      </c>
      <c r="P561" s="48" t="n">
        <v>54911732</v>
      </c>
      <c r="Q561" s="48" t="n">
        <v>2349</v>
      </c>
      <c r="R561" s="48" t="n">
        <v>1891</v>
      </c>
      <c r="S561" s="48" t="n">
        <v>55132132</v>
      </c>
      <c r="T561" s="48" t="n">
        <v>39195599</v>
      </c>
      <c r="U561" s="46" t="n">
        <f aca="false">IF($A561=$A560,$U560+1,1)</f>
        <v>37</v>
      </c>
      <c r="V561" s="48" t="n">
        <f aca="false">IF($U561&gt;=MA_SHORT,AVERAGE(INDEX($I$161:$I561,402-MA_SHORT):$I561),"")</f>
        <v>3506.65</v>
      </c>
      <c r="W561" s="48" t="str">
        <f aca="false">IF($U561&gt;=MA_MED,AVERAGE(INDEX($I$161:$I561,402-MA_MED):$I561),"")</f>
        <v/>
      </c>
      <c r="X561" s="48" t="str">
        <f aca="false">IF($U561&gt;=MA_LONG1,AVERAGE(INDEX($I$161:$I561,402-MA_LONG1):$I561),"")</f>
        <v/>
      </c>
      <c r="Y561" s="48" t="str">
        <f aca="false">IF($U561&gt;=MA_LONG2,AVERAGE(INDEX($I$161:$I561,402-MA_LONG2):$I561),"")</f>
        <v/>
      </c>
      <c r="Z561" s="48" t="n">
        <f aca="false">IF($U561&gt;=MA_SHORT,AVERAGE(INDEX($L$441:$L561,122-MA_SHORT):$L561),"")</f>
        <v>71978481.5</v>
      </c>
      <c r="AA561" s="48" t="n">
        <f aca="false">IF($U561=1,$G561-$H561,MAX($G561-$H561,ABS($G561-$I560),ABS($H561-$I560)))</f>
        <v>234</v>
      </c>
      <c r="AB561" s="48" t="n">
        <f aca="false">IF($U561&gt;=ATR_PER,AVERAGE(INDEX($AA$441:$AA561,122-ATR_PER):$AA561),"")</f>
        <v>136.5</v>
      </c>
      <c r="AC561" s="48" t="n">
        <f aca="false">$O561-$P561</f>
        <v>-15936533</v>
      </c>
      <c r="AD561" s="48" t="n">
        <f aca="false">$AC561*$I561</f>
        <v>-56303771089</v>
      </c>
      <c r="AE561" s="49" t="n">
        <f aca="false">IF($Q561&gt;0,$O561*$I561/$Q561/1000000,"")</f>
        <v>58.620424890166</v>
      </c>
      <c r="AF561" s="49" t="n">
        <f aca="false">IF($R561&gt;0,$P561*$I561/$R561/1000000,"")</f>
        <v>102.59288691486</v>
      </c>
      <c r="AG561" s="50" t="n">
        <f aca="false">IF(AND(ISNUMBER($AE561),ISNUMBER($AF561),$AF561&gt;0),$AE561/$AF561,"")</f>
        <v>0.571388783891169</v>
      </c>
      <c r="AH561" s="48" t="n">
        <f aca="false">IF($U561&gt;=5,SUM(INDEX($AD$531:$AD561,32-5):$AD561),"")</f>
        <v>68454634865</v>
      </c>
      <c r="AI561" s="48" t="n">
        <f aca="false">IF($U561&gt;=STRUCT_S,MAX(INDEX($G$411:$G561,152-STRUCT_S):$G561),"")</f>
        <v>3797</v>
      </c>
      <c r="AJ561" s="48" t="n">
        <f aca="false">IF($U561&gt;=STRUCT_S,MIN(INDEX($H$411:$H561,152-STRUCT_S):$H561),"")</f>
        <v>3313</v>
      </c>
      <c r="AK561" s="48" t="str">
        <f aca="false">IF($U561&gt;=STRUCT_L,MAX(INDEX($G$311:$G561,252-STRUCT_L):$G561),"")</f>
        <v/>
      </c>
      <c r="AL561" s="48" t="str">
        <f aca="false">IF($U561&gt;=STRUCT_L,MIN(INDEX($H$311:$H561,252-STRUCT_L):$H561),"")</f>
        <v/>
      </c>
      <c r="AM561" s="46" t="n">
        <f aca="false">IF($A561&lt;&gt;$A562,1,0)</f>
        <v>0</v>
      </c>
      <c r="AN561" s="47" t="str">
        <f aca="false">IF($AM561=1,$A561,"")</f>
        <v/>
      </c>
    </row>
    <row r="562" customFormat="false" ht="15" hidden="false" customHeight="false" outlineLevel="0" collapsed="false">
      <c r="A562" s="43" t="s">
        <v>142</v>
      </c>
      <c r="B562" s="44" t="s">
        <v>144</v>
      </c>
      <c r="C562" s="45" t="n">
        <v>45957</v>
      </c>
      <c r="D562" s="46" t="n">
        <v>20251027</v>
      </c>
      <c r="E562" s="47" t="s">
        <v>325</v>
      </c>
      <c r="F562" s="48" t="n">
        <v>3529</v>
      </c>
      <c r="G562" s="48" t="n">
        <v>3565</v>
      </c>
      <c r="H562" s="48" t="n">
        <v>3422</v>
      </c>
      <c r="I562" s="48" t="n">
        <v>3454</v>
      </c>
      <c r="J562" s="48" t="n">
        <v>3491</v>
      </c>
      <c r="K562" s="48" t="n">
        <v>3533</v>
      </c>
      <c r="L562" s="48" t="n">
        <v>81153456</v>
      </c>
      <c r="M562" s="48" t="n">
        <v>280304037024</v>
      </c>
      <c r="N562" s="48" t="n">
        <v>4453</v>
      </c>
      <c r="O562" s="48" t="n">
        <v>37198689</v>
      </c>
      <c r="P562" s="48" t="n">
        <v>48611652</v>
      </c>
      <c r="Q562" s="48" t="n">
        <v>2646</v>
      </c>
      <c r="R562" s="48" t="n">
        <v>2192</v>
      </c>
      <c r="S562" s="48" t="n">
        <v>43954767</v>
      </c>
      <c r="T562" s="48" t="n">
        <v>32541804</v>
      </c>
      <c r="U562" s="46" t="n">
        <f aca="false">IF($A562=$A561,$U561+1,1)</f>
        <v>38</v>
      </c>
      <c r="V562" s="48" t="n">
        <f aca="false">IF($U562&gt;=MA_SHORT,AVERAGE(INDEX($I$162:$I562,402-MA_SHORT):$I562),"")</f>
        <v>3511.4</v>
      </c>
      <c r="W562" s="48" t="str">
        <f aca="false">IF($U562&gt;=MA_MED,AVERAGE(INDEX($I$162:$I562,402-MA_MED):$I562),"")</f>
        <v/>
      </c>
      <c r="X562" s="48" t="str">
        <f aca="false">IF($U562&gt;=MA_LONG1,AVERAGE(INDEX($I$162:$I562,402-MA_LONG1):$I562),"")</f>
        <v/>
      </c>
      <c r="Y562" s="48" t="str">
        <f aca="false">IF($U562&gt;=MA_LONG2,AVERAGE(INDEX($I$162:$I562,402-MA_LONG2):$I562),"")</f>
        <v/>
      </c>
      <c r="Z562" s="48" t="n">
        <f aca="false">IF($U562&gt;=MA_SHORT,AVERAGE(INDEX($L$442:$L562,122-MA_SHORT):$L562),"")</f>
        <v>73271399.85</v>
      </c>
      <c r="AA562" s="48" t="n">
        <f aca="false">IF($U562=1,$G562-$H562,MAX($G562-$H562,ABS($G562-$I561),ABS($H562-$I561)))</f>
        <v>143</v>
      </c>
      <c r="AB562" s="48" t="n">
        <f aca="false">IF($U562&gt;=ATR_PER,AVERAGE(INDEX($AA$442:$AA562,122-ATR_PER):$AA562),"")</f>
        <v>135.5</v>
      </c>
      <c r="AC562" s="48" t="n">
        <f aca="false">$O562-$P562</f>
        <v>-11412963</v>
      </c>
      <c r="AD562" s="48" t="n">
        <f aca="false">$AC562*$I562</f>
        <v>-39420374202</v>
      </c>
      <c r="AE562" s="49" t="n">
        <f aca="false">IF($Q562&gt;0,$O562*$I562/$Q562/1000000,"")</f>
        <v>48.5579258526077</v>
      </c>
      <c r="AF562" s="49" t="n">
        <f aca="false">IF($R562&gt;0,$P562*$I562/$R562/1000000,"")</f>
        <v>76.5988348576642</v>
      </c>
      <c r="AG562" s="50" t="n">
        <f aca="false">IF(AND(ISNUMBER($AE562),ISNUMBER($AF562),$AF562&gt;0),$AE562/$AF562,"")</f>
        <v>0.633925123571892</v>
      </c>
      <c r="AH562" s="48" t="n">
        <f aca="false">IF($U562&gt;=5,SUM(INDEX($AD$532:$AD562,32-5):$AD562),"")</f>
        <v>27105754743</v>
      </c>
      <c r="AI562" s="48" t="n">
        <f aca="false">IF($U562&gt;=STRUCT_S,MAX(INDEX($G$412:$G562,152-STRUCT_S):$G562),"")</f>
        <v>3797</v>
      </c>
      <c r="AJ562" s="48" t="n">
        <f aca="false">IF($U562&gt;=STRUCT_S,MIN(INDEX($H$412:$H562,152-STRUCT_S):$H562),"")</f>
        <v>3325</v>
      </c>
      <c r="AK562" s="48" t="str">
        <f aca="false">IF($U562&gt;=STRUCT_L,MAX(INDEX($G$312:$G562,252-STRUCT_L):$G562),"")</f>
        <v/>
      </c>
      <c r="AL562" s="48" t="str">
        <f aca="false">IF($U562&gt;=STRUCT_L,MIN(INDEX($H$312:$H562,252-STRUCT_L):$H562),"")</f>
        <v/>
      </c>
      <c r="AM562" s="46" t="n">
        <f aca="false">IF($A562&lt;&gt;$A563,1,0)</f>
        <v>0</v>
      </c>
      <c r="AN562" s="47" t="str">
        <f aca="false">IF($AM562=1,$A562,"")</f>
        <v/>
      </c>
    </row>
    <row r="563" customFormat="false" ht="15" hidden="false" customHeight="false" outlineLevel="0" collapsed="false">
      <c r="A563" s="43" t="s">
        <v>142</v>
      </c>
      <c r="B563" s="44" t="s">
        <v>144</v>
      </c>
      <c r="C563" s="45" t="n">
        <v>45958</v>
      </c>
      <c r="D563" s="46" t="n">
        <v>20251028</v>
      </c>
      <c r="E563" s="47" t="s">
        <v>326</v>
      </c>
      <c r="F563" s="48" t="n">
        <v>3516</v>
      </c>
      <c r="G563" s="48" t="n">
        <v>3547</v>
      </c>
      <c r="H563" s="48" t="n">
        <v>3370</v>
      </c>
      <c r="I563" s="48" t="n">
        <v>3463</v>
      </c>
      <c r="J563" s="48" t="n">
        <v>3380</v>
      </c>
      <c r="K563" s="48" t="n">
        <v>3454</v>
      </c>
      <c r="L563" s="48" t="n">
        <v>54760041</v>
      </c>
      <c r="M563" s="48" t="n">
        <v>189634021983</v>
      </c>
      <c r="N563" s="48" t="n">
        <v>2992</v>
      </c>
      <c r="O563" s="48" t="n">
        <v>33640309</v>
      </c>
      <c r="P563" s="48" t="n">
        <v>24039004</v>
      </c>
      <c r="Q563" s="48" t="n">
        <v>883</v>
      </c>
      <c r="R563" s="48" t="n">
        <v>1062</v>
      </c>
      <c r="S563" s="48" t="n">
        <v>21119732</v>
      </c>
      <c r="T563" s="48" t="n">
        <v>30721037</v>
      </c>
      <c r="U563" s="46" t="n">
        <f aca="false">IF($A563=$A562,$U562+1,1)</f>
        <v>39</v>
      </c>
      <c r="V563" s="48" t="n">
        <f aca="false">IF($U563&gt;=MA_SHORT,AVERAGE(INDEX($I$163:$I563,402-MA_SHORT):$I563),"")</f>
        <v>3515.05</v>
      </c>
      <c r="W563" s="48" t="str">
        <f aca="false">IF($U563&gt;=MA_MED,AVERAGE(INDEX($I$163:$I563,402-MA_MED):$I563),"")</f>
        <v/>
      </c>
      <c r="X563" s="48" t="str">
        <f aca="false">IF($U563&gt;=MA_LONG1,AVERAGE(INDEX($I$163:$I563,402-MA_LONG1):$I563),"")</f>
        <v/>
      </c>
      <c r="Y563" s="48" t="str">
        <f aca="false">IF($U563&gt;=MA_LONG2,AVERAGE(INDEX($I$163:$I563,402-MA_LONG2):$I563),"")</f>
        <v/>
      </c>
      <c r="Z563" s="48" t="n">
        <f aca="false">IF($U563&gt;=MA_SHORT,AVERAGE(INDEX($L$443:$L563,122-MA_SHORT):$L563),"")</f>
        <v>73132229.35</v>
      </c>
      <c r="AA563" s="48" t="n">
        <f aca="false">IF($U563=1,$G563-$H563,MAX($G563-$H563,ABS($G563-$I562),ABS($H563-$I562)))</f>
        <v>177</v>
      </c>
      <c r="AB563" s="48" t="n">
        <f aca="false">IF($U563&gt;=ATR_PER,AVERAGE(INDEX($AA$443:$AA563,122-ATR_PER):$AA563),"")</f>
        <v>141.857142857143</v>
      </c>
      <c r="AC563" s="48" t="n">
        <f aca="false">$O563-$P563</f>
        <v>9601305</v>
      </c>
      <c r="AD563" s="48" t="n">
        <f aca="false">$AC563*$I563</f>
        <v>33249319215</v>
      </c>
      <c r="AE563" s="49" t="n">
        <f aca="false">IF($Q563&gt;0,$O563*$I563/$Q563/1000000,"")</f>
        <v>131.932491582106</v>
      </c>
      <c r="AF563" s="49" t="n">
        <f aca="false">IF($R563&gt;0,$P563*$I563/$R563/1000000,"")</f>
        <v>78.3870723653484</v>
      </c>
      <c r="AG563" s="50" t="n">
        <f aca="false">IF(AND(ISNUMBER($AE563),ISNUMBER($AF563),$AF563&gt;0),$AE563/$AF563,"")</f>
        <v>1.68308992287902</v>
      </c>
      <c r="AH563" s="48" t="n">
        <f aca="false">IF($U563&gt;=5,SUM(INDEX($AD$533:$AD563,32-5):$AD563),"")</f>
        <v>-51737212390</v>
      </c>
      <c r="AI563" s="48" t="n">
        <f aca="false">IF($U563&gt;=STRUCT_S,MAX(INDEX($G$413:$G563,152-STRUCT_S):$G563),"")</f>
        <v>3797</v>
      </c>
      <c r="AJ563" s="48" t="n">
        <f aca="false">IF($U563&gt;=STRUCT_S,MIN(INDEX($H$413:$H563,152-STRUCT_S):$H563),"")</f>
        <v>3325</v>
      </c>
      <c r="AK563" s="48" t="str">
        <f aca="false">IF($U563&gt;=STRUCT_L,MAX(INDEX($G$313:$G563,252-STRUCT_L):$G563),"")</f>
        <v/>
      </c>
      <c r="AL563" s="48" t="str">
        <f aca="false">IF($U563&gt;=STRUCT_L,MIN(INDEX($H$313:$H563,252-STRUCT_L):$H563),"")</f>
        <v/>
      </c>
      <c r="AM563" s="46" t="n">
        <f aca="false">IF($A563&lt;&gt;$A564,1,0)</f>
        <v>0</v>
      </c>
      <c r="AN563" s="47" t="str">
        <f aca="false">IF($AM563=1,$A563,"")</f>
        <v/>
      </c>
    </row>
    <row r="564" customFormat="false" ht="15" hidden="false" customHeight="false" outlineLevel="0" collapsed="false">
      <c r="A564" s="43" t="s">
        <v>142</v>
      </c>
      <c r="B564" s="44" t="s">
        <v>144</v>
      </c>
      <c r="C564" s="45" t="n">
        <v>45959</v>
      </c>
      <c r="D564" s="46" t="n">
        <v>20251029</v>
      </c>
      <c r="E564" s="47" t="s">
        <v>327</v>
      </c>
      <c r="F564" s="48" t="n">
        <v>3471</v>
      </c>
      <c r="G564" s="48" t="n">
        <v>3497</v>
      </c>
      <c r="H564" s="48" t="n">
        <v>3435</v>
      </c>
      <c r="I564" s="48" t="n">
        <v>3469</v>
      </c>
      <c r="J564" s="48" t="n">
        <v>3446</v>
      </c>
      <c r="K564" s="48" t="n">
        <v>3463</v>
      </c>
      <c r="L564" s="48" t="n">
        <v>54635594</v>
      </c>
      <c r="M564" s="48" t="n">
        <v>189530875586</v>
      </c>
      <c r="N564" s="48" t="n">
        <v>1661</v>
      </c>
      <c r="O564" s="48" t="n">
        <v>26896175</v>
      </c>
      <c r="P564" s="48" t="n">
        <v>26024230</v>
      </c>
      <c r="Q564" s="48" t="n">
        <v>651</v>
      </c>
      <c r="R564" s="48" t="n">
        <v>999</v>
      </c>
      <c r="S564" s="48" t="n">
        <v>27739419</v>
      </c>
      <c r="T564" s="48" t="n">
        <v>28611364</v>
      </c>
      <c r="U564" s="46" t="n">
        <f aca="false">IF($A564=$A563,$U563+1,1)</f>
        <v>40</v>
      </c>
      <c r="V564" s="48" t="n">
        <f aca="false">IF($U564&gt;=MA_SHORT,AVERAGE(INDEX($I$164:$I564,402-MA_SHORT):$I564),"")</f>
        <v>3518.55</v>
      </c>
      <c r="W564" s="48" t="str">
        <f aca="false">IF($U564&gt;=MA_MED,AVERAGE(INDEX($I$164:$I564,402-MA_MED):$I564),"")</f>
        <v/>
      </c>
      <c r="X564" s="48" t="str">
        <f aca="false">IF($U564&gt;=MA_LONG1,AVERAGE(INDEX($I$164:$I564,402-MA_LONG1):$I564),"")</f>
        <v/>
      </c>
      <c r="Y564" s="48" t="str">
        <f aca="false">IF($U564&gt;=MA_LONG2,AVERAGE(INDEX($I$164:$I564,402-MA_LONG2):$I564),"")</f>
        <v/>
      </c>
      <c r="Z564" s="48" t="n">
        <f aca="false">IF($U564&gt;=MA_SHORT,AVERAGE(INDEX($L$444:$L564,122-MA_SHORT):$L564),"")</f>
        <v>73322789.3</v>
      </c>
      <c r="AA564" s="48" t="n">
        <f aca="false">IF($U564=1,$G564-$H564,MAX($G564-$H564,ABS($G564-$I563),ABS($H564-$I563)))</f>
        <v>62</v>
      </c>
      <c r="AB564" s="48" t="n">
        <f aca="false">IF($U564&gt;=ATR_PER,AVERAGE(INDEX($AA$444:$AA564,122-ATR_PER):$AA564),"")</f>
        <v>140.214285714286</v>
      </c>
      <c r="AC564" s="48" t="n">
        <f aca="false">$O564-$P564</f>
        <v>871945</v>
      </c>
      <c r="AD564" s="48" t="n">
        <f aca="false">$AC564*$I564</f>
        <v>3024777205</v>
      </c>
      <c r="AE564" s="49" t="n">
        <f aca="false">IF($Q564&gt;0,$O564*$I564/$Q564/1000000,"")</f>
        <v>143.322321159754</v>
      </c>
      <c r="AF564" s="49" t="n">
        <f aca="false">IF($R564&gt;0,$P564*$I564/$R564/1000000,"")</f>
        <v>90.3684222922923</v>
      </c>
      <c r="AG564" s="50" t="n">
        <f aca="false">IF(AND(ISNUMBER($AE564),ISNUMBER($AF564),$AF564&gt;0),$AE564/$AF564,"")</f>
        <v>1.58597790604538</v>
      </c>
      <c r="AH564" s="48" t="n">
        <f aca="false">IF($U564&gt;=5,SUM(INDEX($AD$534:$AD564,32-5):$AD564),"")</f>
        <v>-101007624502</v>
      </c>
      <c r="AI564" s="48" t="n">
        <f aca="false">IF($U564&gt;=STRUCT_S,MAX(INDEX($G$414:$G564,152-STRUCT_S):$G564),"")</f>
        <v>3797</v>
      </c>
      <c r="AJ564" s="48" t="n">
        <f aca="false">IF($U564&gt;=STRUCT_S,MIN(INDEX($H$414:$H564,152-STRUCT_S):$H564),"")</f>
        <v>3325</v>
      </c>
      <c r="AK564" s="48" t="str">
        <f aca="false">IF($U564&gt;=STRUCT_L,MAX(INDEX($G$314:$G564,252-STRUCT_L):$G564),"")</f>
        <v/>
      </c>
      <c r="AL564" s="48" t="str">
        <f aca="false">IF($U564&gt;=STRUCT_L,MIN(INDEX($H$314:$H564,252-STRUCT_L):$H564),"")</f>
        <v/>
      </c>
      <c r="AM564" s="46" t="n">
        <f aca="false">IF($A564&lt;&gt;$A565,1,0)</f>
        <v>0</v>
      </c>
      <c r="AN564" s="47" t="str">
        <f aca="false">IF($AM564=1,$A564,"")</f>
        <v/>
      </c>
    </row>
    <row r="565" customFormat="false" ht="15" hidden="false" customHeight="false" outlineLevel="0" collapsed="false">
      <c r="A565" s="43" t="s">
        <v>142</v>
      </c>
      <c r="B565" s="44" t="s">
        <v>144</v>
      </c>
      <c r="C565" s="45" t="n">
        <v>45962</v>
      </c>
      <c r="D565" s="46" t="n">
        <v>20251101</v>
      </c>
      <c r="E565" s="47" t="s">
        <v>328</v>
      </c>
      <c r="F565" s="48" t="n">
        <v>3486</v>
      </c>
      <c r="G565" s="48" t="n">
        <v>3541</v>
      </c>
      <c r="H565" s="48" t="n">
        <v>3432</v>
      </c>
      <c r="I565" s="48" t="n">
        <v>3504</v>
      </c>
      <c r="J565" s="48" t="n">
        <v>3534</v>
      </c>
      <c r="K565" s="48" t="n">
        <v>3469</v>
      </c>
      <c r="L565" s="48" t="n">
        <v>55421274</v>
      </c>
      <c r="M565" s="48" t="n">
        <v>194196144096</v>
      </c>
      <c r="N565" s="48" t="n">
        <v>1840</v>
      </c>
      <c r="O565" s="48" t="n">
        <v>30098923</v>
      </c>
      <c r="P565" s="48" t="n">
        <v>27151597</v>
      </c>
      <c r="Q565" s="48" t="n">
        <v>548</v>
      </c>
      <c r="R565" s="48" t="n">
        <v>1050</v>
      </c>
      <c r="S565" s="48" t="n">
        <v>25322351</v>
      </c>
      <c r="T565" s="48" t="n">
        <v>28269677</v>
      </c>
      <c r="U565" s="46" t="n">
        <f aca="false">IF($A565=$A564,$U564+1,1)</f>
        <v>41</v>
      </c>
      <c r="V565" s="48" t="n">
        <f aca="false">IF($U565&gt;=MA_SHORT,AVERAGE(INDEX($I$165:$I565,402-MA_SHORT):$I565),"")</f>
        <v>3521.25</v>
      </c>
      <c r="W565" s="48" t="str">
        <f aca="false">IF($U565&gt;=MA_MED,AVERAGE(INDEX($I$165:$I565,402-MA_MED):$I565),"")</f>
        <v/>
      </c>
      <c r="X565" s="48" t="str">
        <f aca="false">IF($U565&gt;=MA_LONG1,AVERAGE(INDEX($I$165:$I565,402-MA_LONG1):$I565),"")</f>
        <v/>
      </c>
      <c r="Y565" s="48" t="str">
        <f aca="false">IF($U565&gt;=MA_LONG2,AVERAGE(INDEX($I$165:$I565,402-MA_LONG2):$I565),"")</f>
        <v/>
      </c>
      <c r="Z565" s="48" t="n">
        <f aca="false">IF($U565&gt;=MA_SHORT,AVERAGE(INDEX($L$445:$L565,122-MA_SHORT):$L565),"")</f>
        <v>73367288.2</v>
      </c>
      <c r="AA565" s="48" t="n">
        <f aca="false">IF($U565=1,$G565-$H565,MAX($G565-$H565,ABS($G565-$I564),ABS($H565-$I564)))</f>
        <v>109</v>
      </c>
      <c r="AB565" s="48" t="n">
        <f aca="false">IF($U565&gt;=ATR_PER,AVERAGE(INDEX($AA$445:$AA565,122-ATR_PER):$AA565),"")</f>
        <v>140.428571428571</v>
      </c>
      <c r="AC565" s="48" t="n">
        <f aca="false">$O565-$P565</f>
        <v>2947326</v>
      </c>
      <c r="AD565" s="48" t="n">
        <f aca="false">$AC565*$I565</f>
        <v>10327430304</v>
      </c>
      <c r="AE565" s="49" t="n">
        <f aca="false">IF($Q565&gt;0,$O565*$I565/$Q565/1000000,"")</f>
        <v>192.457347065693</v>
      </c>
      <c r="AF565" s="49" t="n">
        <f aca="false">IF($R565&gt;0,$P565*$I565/$R565/1000000,"")</f>
        <v>90.6087579885714</v>
      </c>
      <c r="AG565" s="50" t="n">
        <f aca="false">IF(AND(ISNUMBER($AE565),ISNUMBER($AF565),$AF565&gt;0),$AE565/$AF565,"")</f>
        <v>2.12404795450312</v>
      </c>
      <c r="AH565" s="48" t="n">
        <f aca="false">IF($U565&gt;=5,SUM(INDEX($AD$535:$AD565,32-5):$AD565),"")</f>
        <v>-49122618567</v>
      </c>
      <c r="AI565" s="48" t="n">
        <f aca="false">IF($U565&gt;=STRUCT_S,MAX(INDEX($G$415:$G565,152-STRUCT_S):$G565),"")</f>
        <v>3797</v>
      </c>
      <c r="AJ565" s="48" t="n">
        <f aca="false">IF($U565&gt;=STRUCT_S,MIN(INDEX($H$415:$H565,152-STRUCT_S):$H565),"")</f>
        <v>3325</v>
      </c>
      <c r="AK565" s="48" t="str">
        <f aca="false">IF($U565&gt;=STRUCT_L,MAX(INDEX($G$315:$G565,252-STRUCT_L):$G565),"")</f>
        <v/>
      </c>
      <c r="AL565" s="48" t="str">
        <f aca="false">IF($U565&gt;=STRUCT_L,MIN(INDEX($H$315:$H565,252-STRUCT_L):$H565),"")</f>
        <v/>
      </c>
      <c r="AM565" s="46" t="n">
        <f aca="false">IF($A565&lt;&gt;$A566,1,0)</f>
        <v>0</v>
      </c>
      <c r="AN565" s="47" t="str">
        <f aca="false">IF($AM565=1,$A565,"")</f>
        <v/>
      </c>
    </row>
    <row r="566" customFormat="false" ht="15" hidden="false" customHeight="false" outlineLevel="0" collapsed="false">
      <c r="A566" s="43" t="s">
        <v>142</v>
      </c>
      <c r="B566" s="44" t="s">
        <v>144</v>
      </c>
      <c r="C566" s="45" t="n">
        <v>45963</v>
      </c>
      <c r="D566" s="46" t="n">
        <v>20251102</v>
      </c>
      <c r="E566" s="47" t="s">
        <v>329</v>
      </c>
      <c r="F566" s="48" t="n">
        <v>3459</v>
      </c>
      <c r="G566" s="48" t="n">
        <v>3529</v>
      </c>
      <c r="H566" s="48" t="n">
        <v>3349</v>
      </c>
      <c r="I566" s="48" t="n">
        <v>3373</v>
      </c>
      <c r="J566" s="48" t="n">
        <v>3424</v>
      </c>
      <c r="K566" s="48" t="n">
        <v>3504</v>
      </c>
      <c r="L566" s="48" t="n">
        <v>61249418</v>
      </c>
      <c r="M566" s="48" t="n">
        <v>206594286914</v>
      </c>
      <c r="N566" s="48" t="n">
        <v>3762</v>
      </c>
      <c r="O566" s="48" t="n">
        <v>23912428</v>
      </c>
      <c r="P566" s="48" t="n">
        <v>35237369</v>
      </c>
      <c r="Q566" s="48" t="n">
        <v>1471</v>
      </c>
      <c r="R566" s="48" t="n">
        <v>1238</v>
      </c>
      <c r="S566" s="48" t="n">
        <v>37336990</v>
      </c>
      <c r="T566" s="48" t="n">
        <v>26012049</v>
      </c>
      <c r="U566" s="46" t="n">
        <f aca="false">IF($A566=$A565,$U565+1,1)</f>
        <v>42</v>
      </c>
      <c r="V566" s="48" t="n">
        <f aca="false">IF($U566&gt;=MA_SHORT,AVERAGE(INDEX($I$166:$I566,402-MA_SHORT):$I566),"")</f>
        <v>3518.3</v>
      </c>
      <c r="W566" s="48" t="str">
        <f aca="false">IF($U566&gt;=MA_MED,AVERAGE(INDEX($I$166:$I566,402-MA_MED):$I566),"")</f>
        <v/>
      </c>
      <c r="X566" s="48" t="str">
        <f aca="false">IF($U566&gt;=MA_LONG1,AVERAGE(INDEX($I$166:$I566,402-MA_LONG1):$I566),"")</f>
        <v/>
      </c>
      <c r="Y566" s="48" t="str">
        <f aca="false">IF($U566&gt;=MA_LONG2,AVERAGE(INDEX($I$166:$I566,402-MA_LONG2):$I566),"")</f>
        <v/>
      </c>
      <c r="Z566" s="48" t="n">
        <f aca="false">IF($U566&gt;=MA_SHORT,AVERAGE(INDEX($L$446:$L566,122-MA_SHORT):$L566),"")</f>
        <v>69089204.7</v>
      </c>
      <c r="AA566" s="48" t="n">
        <f aca="false">IF($U566=1,$G566-$H566,MAX($G566-$H566,ABS($G566-$I565),ABS($H566-$I565)))</f>
        <v>180</v>
      </c>
      <c r="AB566" s="48" t="n">
        <f aca="false">IF($U566&gt;=ATR_PER,AVERAGE(INDEX($AA$446:$AA566,122-ATR_PER):$AA566),"")</f>
        <v>136</v>
      </c>
      <c r="AC566" s="48" t="n">
        <f aca="false">$O566-$P566</f>
        <v>-11324941</v>
      </c>
      <c r="AD566" s="48" t="n">
        <f aca="false">$AC566*$I566</f>
        <v>-38199025993</v>
      </c>
      <c r="AE566" s="49" t="n">
        <f aca="false">IF($Q566&gt;0,$O566*$I566/$Q566/1000000,"")</f>
        <v>54.8311486363018</v>
      </c>
      <c r="AF566" s="49" t="n">
        <f aca="false">IF($R566&gt;0,$P566*$I566/$R566/1000000,"")</f>
        <v>96.0061757972536</v>
      </c>
      <c r="AG566" s="50" t="n">
        <f aca="false">IF(AND(ISNUMBER($AE566),ISNUMBER($AF566),$AF566&gt;0),$AE566/$AF566,"")</f>
        <v>0.571121057379627</v>
      </c>
      <c r="AH566" s="48" t="n">
        <f aca="false">IF($U566&gt;=5,SUM(INDEX($AD$536:$AD566,32-5):$AD566),"")</f>
        <v>-31017873471</v>
      </c>
      <c r="AI566" s="48" t="n">
        <f aca="false">IF($U566&gt;=STRUCT_S,MAX(INDEX($G$416:$G566,152-STRUCT_S):$G566),"")</f>
        <v>3797</v>
      </c>
      <c r="AJ566" s="48" t="n">
        <f aca="false">IF($U566&gt;=STRUCT_S,MIN(INDEX($H$416:$H566,152-STRUCT_S):$H566),"")</f>
        <v>3325</v>
      </c>
      <c r="AK566" s="48" t="str">
        <f aca="false">IF($U566&gt;=STRUCT_L,MAX(INDEX($G$316:$G566,252-STRUCT_L):$G566),"")</f>
        <v/>
      </c>
      <c r="AL566" s="48" t="str">
        <f aca="false">IF($U566&gt;=STRUCT_L,MIN(INDEX($H$316:$H566,252-STRUCT_L):$H566),"")</f>
        <v/>
      </c>
      <c r="AM566" s="46" t="n">
        <f aca="false">IF($A566&lt;&gt;$A567,1,0)</f>
        <v>0</v>
      </c>
      <c r="AN566" s="47" t="str">
        <f aca="false">IF($AM566=1,$A566,"")</f>
        <v/>
      </c>
    </row>
    <row r="567" customFormat="false" ht="15" hidden="false" customHeight="false" outlineLevel="0" collapsed="false">
      <c r="A567" s="43" t="s">
        <v>142</v>
      </c>
      <c r="B567" s="44" t="s">
        <v>144</v>
      </c>
      <c r="C567" s="45" t="n">
        <v>45964</v>
      </c>
      <c r="D567" s="46" t="n">
        <v>20251103</v>
      </c>
      <c r="E567" s="47" t="s">
        <v>330</v>
      </c>
      <c r="F567" s="48" t="n">
        <v>3374</v>
      </c>
      <c r="G567" s="48" t="n">
        <v>3398</v>
      </c>
      <c r="H567" s="48" t="n">
        <v>3361</v>
      </c>
      <c r="I567" s="48" t="n">
        <v>3386</v>
      </c>
      <c r="J567" s="48" t="n">
        <v>3367</v>
      </c>
      <c r="K567" s="48" t="n">
        <v>3373</v>
      </c>
      <c r="L567" s="48" t="n">
        <v>57853059</v>
      </c>
      <c r="M567" s="48" t="n">
        <v>195890457774</v>
      </c>
      <c r="N567" s="48" t="n">
        <v>5638</v>
      </c>
      <c r="O567" s="48" t="n">
        <v>33147815</v>
      </c>
      <c r="P567" s="48" t="n">
        <v>25721145</v>
      </c>
      <c r="Q567" s="48" t="n">
        <v>1585</v>
      </c>
      <c r="R567" s="48" t="n">
        <v>2384</v>
      </c>
      <c r="S567" s="48" t="n">
        <v>24705244</v>
      </c>
      <c r="T567" s="48" t="n">
        <v>32131914</v>
      </c>
      <c r="U567" s="46" t="n">
        <f aca="false">IF($A567=$A566,$U566+1,1)</f>
        <v>43</v>
      </c>
      <c r="V567" s="48" t="n">
        <f aca="false">IF($U567&gt;=MA_SHORT,AVERAGE(INDEX($I$167:$I567,402-MA_SHORT):$I567),"")</f>
        <v>3516.4</v>
      </c>
      <c r="W567" s="48" t="str">
        <f aca="false">IF($U567&gt;=MA_MED,AVERAGE(INDEX($I$167:$I567,402-MA_MED):$I567),"")</f>
        <v/>
      </c>
      <c r="X567" s="48" t="str">
        <f aca="false">IF($U567&gt;=MA_LONG1,AVERAGE(INDEX($I$167:$I567,402-MA_LONG1):$I567),"")</f>
        <v/>
      </c>
      <c r="Y567" s="48" t="str">
        <f aca="false">IF($U567&gt;=MA_LONG2,AVERAGE(INDEX($I$167:$I567,402-MA_LONG2):$I567),"")</f>
        <v/>
      </c>
      <c r="Z567" s="48" t="n">
        <f aca="false">IF($U567&gt;=MA_SHORT,AVERAGE(INDEX($L$447:$L567,122-MA_SHORT):$L567),"")</f>
        <v>69095992.5</v>
      </c>
      <c r="AA567" s="48" t="n">
        <f aca="false">IF($U567=1,$G567-$H567,MAX($G567-$H567,ABS($G567-$I566),ABS($H567-$I566)))</f>
        <v>37</v>
      </c>
      <c r="AB567" s="48" t="n">
        <f aca="false">IF($U567&gt;=ATR_PER,AVERAGE(INDEX($AA$447:$AA567,122-ATR_PER):$AA567),"")</f>
        <v>136.357142857143</v>
      </c>
      <c r="AC567" s="48" t="n">
        <f aca="false">$O567-$P567</f>
        <v>7426670</v>
      </c>
      <c r="AD567" s="48" t="n">
        <f aca="false">$AC567*$I567</f>
        <v>25146704620</v>
      </c>
      <c r="AE567" s="49" t="n">
        <f aca="false">IF($Q567&gt;0,$O567*$I567/$Q567/1000000,"")</f>
        <v>70.8129347570978</v>
      </c>
      <c r="AF567" s="49" t="n">
        <f aca="false">IF($R567&gt;0,$P567*$I567/$R567/1000000,"")</f>
        <v>36.5317940310403</v>
      </c>
      <c r="AG567" s="50" t="n">
        <f aca="false">IF(AND(ISNUMBER($AE567),ISNUMBER($AF567),$AF567&gt;0),$AE567/$AF567,"")</f>
        <v>1.93839193051755</v>
      </c>
      <c r="AH567" s="48" t="n">
        <f aca="false">IF($U567&gt;=5,SUM(INDEX($AD$537:$AD567,32-5):$AD567),"")</f>
        <v>33549205351</v>
      </c>
      <c r="AI567" s="48" t="n">
        <f aca="false">IF($U567&gt;=STRUCT_S,MAX(INDEX($G$417:$G567,152-STRUCT_S):$G567),"")</f>
        <v>3797</v>
      </c>
      <c r="AJ567" s="48" t="n">
        <f aca="false">IF($U567&gt;=STRUCT_S,MIN(INDEX($H$417:$H567,152-STRUCT_S):$H567),"")</f>
        <v>3325</v>
      </c>
      <c r="AK567" s="48" t="str">
        <f aca="false">IF($U567&gt;=STRUCT_L,MAX(INDEX($G$317:$G567,252-STRUCT_L):$G567),"")</f>
        <v/>
      </c>
      <c r="AL567" s="48" t="str">
        <f aca="false">IF($U567&gt;=STRUCT_L,MIN(INDEX($H$317:$H567,252-STRUCT_L):$H567),"")</f>
        <v/>
      </c>
      <c r="AM567" s="46" t="n">
        <f aca="false">IF($A567&lt;&gt;$A568,1,0)</f>
        <v>0</v>
      </c>
      <c r="AN567" s="47" t="str">
        <f aca="false">IF($AM567=1,$A567,"")</f>
        <v/>
      </c>
    </row>
    <row r="568" customFormat="false" ht="15" hidden="false" customHeight="false" outlineLevel="0" collapsed="false">
      <c r="A568" s="43" t="s">
        <v>142</v>
      </c>
      <c r="B568" s="44" t="s">
        <v>144</v>
      </c>
      <c r="C568" s="45" t="n">
        <v>45965</v>
      </c>
      <c r="D568" s="46" t="n">
        <v>20251104</v>
      </c>
      <c r="E568" s="47" t="s">
        <v>331</v>
      </c>
      <c r="F568" s="48" t="n">
        <v>3403</v>
      </c>
      <c r="G568" s="48" t="n">
        <v>3423</v>
      </c>
      <c r="H568" s="48" t="n">
        <v>3345</v>
      </c>
      <c r="I568" s="48" t="n">
        <v>3382</v>
      </c>
      <c r="J568" s="48" t="n">
        <v>3389</v>
      </c>
      <c r="K568" s="48" t="n">
        <v>3386</v>
      </c>
      <c r="L568" s="48" t="n">
        <v>50382092</v>
      </c>
      <c r="M568" s="48" t="n">
        <v>170392235144</v>
      </c>
      <c r="N568" s="48" t="n">
        <v>4964</v>
      </c>
      <c r="O568" s="48" t="n">
        <v>26675575</v>
      </c>
      <c r="P568" s="48" t="n">
        <v>26846021</v>
      </c>
      <c r="Q568" s="48" t="n">
        <v>2221</v>
      </c>
      <c r="R568" s="48" t="n">
        <v>1864</v>
      </c>
      <c r="S568" s="48" t="n">
        <v>23706517</v>
      </c>
      <c r="T568" s="48" t="n">
        <v>23536071</v>
      </c>
      <c r="U568" s="46" t="n">
        <f aca="false">IF($A568=$A567,$U567+1,1)</f>
        <v>44</v>
      </c>
      <c r="V568" s="48" t="n">
        <f aca="false">IF($U568&gt;=MA_SHORT,AVERAGE(INDEX($I$168:$I568,402-MA_SHORT):$I568),"")</f>
        <v>3516.4</v>
      </c>
      <c r="W568" s="48" t="str">
        <f aca="false">IF($U568&gt;=MA_MED,AVERAGE(INDEX($I$168:$I568,402-MA_MED):$I568),"")</f>
        <v/>
      </c>
      <c r="X568" s="48" t="str">
        <f aca="false">IF($U568&gt;=MA_LONG1,AVERAGE(INDEX($I$168:$I568,402-MA_LONG1):$I568),"")</f>
        <v/>
      </c>
      <c r="Y568" s="48" t="str">
        <f aca="false">IF($U568&gt;=MA_LONG2,AVERAGE(INDEX($I$168:$I568,402-MA_LONG2):$I568),"")</f>
        <v/>
      </c>
      <c r="Z568" s="48" t="n">
        <f aca="false">IF($U568&gt;=MA_SHORT,AVERAGE(INDEX($L$448:$L568,122-MA_SHORT):$L568),"")</f>
        <v>66861750.65</v>
      </c>
      <c r="AA568" s="48" t="n">
        <f aca="false">IF($U568=1,$G568-$H568,MAX($G568-$H568,ABS($G568-$I567),ABS($H568-$I567)))</f>
        <v>78</v>
      </c>
      <c r="AB568" s="48" t="n">
        <f aca="false">IF($U568&gt;=ATR_PER,AVERAGE(INDEX($AA$448:$AA568,122-ATR_PER):$AA568),"")</f>
        <v>136.857142857143</v>
      </c>
      <c r="AC568" s="48" t="n">
        <f aca="false">$O568-$P568</f>
        <v>-170446</v>
      </c>
      <c r="AD568" s="48" t="n">
        <f aca="false">$AC568*$I568</f>
        <v>-576448372</v>
      </c>
      <c r="AE568" s="49" t="n">
        <f aca="false">IF($Q568&gt;0,$O568*$I568/$Q568/1000000,"")</f>
        <v>40.6198985366952</v>
      </c>
      <c r="AF568" s="49" t="n">
        <f aca="false">IF($R568&gt;0,$P568*$I568/$R568/1000000,"")</f>
        <v>48.7088213637339</v>
      </c>
      <c r="AG568" s="50" t="n">
        <f aca="false">IF(AND(ISNUMBER($AE568),ISNUMBER($AF568),$AF568&gt;0),$AE568/$AF568,"")</f>
        <v>0.833933102863759</v>
      </c>
      <c r="AH568" s="48" t="n">
        <f aca="false">IF($U568&gt;=5,SUM(INDEX($AD$538:$AD568,32-5):$AD568),"")</f>
        <v>-276562236</v>
      </c>
      <c r="AI568" s="48" t="n">
        <f aca="false">IF($U568&gt;=STRUCT_S,MAX(INDEX($G$418:$G568,152-STRUCT_S):$G568),"")</f>
        <v>3797</v>
      </c>
      <c r="AJ568" s="48" t="n">
        <f aca="false">IF($U568&gt;=STRUCT_S,MIN(INDEX($H$418:$H568,152-STRUCT_S):$H568),"")</f>
        <v>3345</v>
      </c>
      <c r="AK568" s="48" t="str">
        <f aca="false">IF($U568&gt;=STRUCT_L,MAX(INDEX($G$318:$G568,252-STRUCT_L):$G568),"")</f>
        <v/>
      </c>
      <c r="AL568" s="48" t="str">
        <f aca="false">IF($U568&gt;=STRUCT_L,MIN(INDEX($H$318:$H568,252-STRUCT_L):$H568),"")</f>
        <v/>
      </c>
      <c r="AM568" s="46" t="n">
        <f aca="false">IF($A568&lt;&gt;$A569,1,0)</f>
        <v>0</v>
      </c>
      <c r="AN568" s="47" t="str">
        <f aca="false">IF($AM568=1,$A568,"")</f>
        <v/>
      </c>
    </row>
    <row r="569" customFormat="false" ht="15" hidden="false" customHeight="false" outlineLevel="0" collapsed="false">
      <c r="A569" s="43" t="s">
        <v>142</v>
      </c>
      <c r="B569" s="44" t="s">
        <v>144</v>
      </c>
      <c r="C569" s="45" t="n">
        <v>45966</v>
      </c>
      <c r="D569" s="46" t="n">
        <v>20251105</v>
      </c>
      <c r="E569" s="47" t="s">
        <v>332</v>
      </c>
      <c r="F569" s="48" t="n">
        <v>3402</v>
      </c>
      <c r="G569" s="48" t="n">
        <v>3468</v>
      </c>
      <c r="H569" s="48" t="n">
        <v>3337</v>
      </c>
      <c r="I569" s="48" t="n">
        <v>3423</v>
      </c>
      <c r="J569" s="48" t="n">
        <v>3346</v>
      </c>
      <c r="K569" s="48" t="n">
        <v>3382</v>
      </c>
      <c r="L569" s="48" t="n">
        <v>71156848</v>
      </c>
      <c r="M569" s="48" t="n">
        <v>243569890704</v>
      </c>
      <c r="N569" s="48" t="n">
        <v>2781</v>
      </c>
      <c r="O569" s="48" t="n">
        <v>41266132</v>
      </c>
      <c r="P569" s="48" t="n">
        <v>34590509</v>
      </c>
      <c r="Q569" s="48" t="n">
        <v>1342</v>
      </c>
      <c r="R569" s="48" t="n">
        <v>1166</v>
      </c>
      <c r="S569" s="48" t="n">
        <v>29890716</v>
      </c>
      <c r="T569" s="48" t="n">
        <v>36566339</v>
      </c>
      <c r="U569" s="46" t="n">
        <f aca="false">IF($A569=$A568,$U568+1,1)</f>
        <v>45</v>
      </c>
      <c r="V569" s="48" t="n">
        <f aca="false">IF($U569&gt;=MA_SHORT,AVERAGE(INDEX($I$169:$I569,402-MA_SHORT):$I569),"")</f>
        <v>3515.65</v>
      </c>
      <c r="W569" s="48" t="str">
        <f aca="false">IF($U569&gt;=MA_MED,AVERAGE(INDEX($I$169:$I569,402-MA_MED):$I569),"")</f>
        <v/>
      </c>
      <c r="X569" s="48" t="str">
        <f aca="false">IF($U569&gt;=MA_LONG1,AVERAGE(INDEX($I$169:$I569,402-MA_LONG1):$I569),"")</f>
        <v/>
      </c>
      <c r="Y569" s="48" t="str">
        <f aca="false">IF($U569&gt;=MA_LONG2,AVERAGE(INDEX($I$169:$I569,402-MA_LONG2):$I569),"")</f>
        <v/>
      </c>
      <c r="Z569" s="48" t="n">
        <f aca="false">IF($U569&gt;=MA_SHORT,AVERAGE(INDEX($L$449:$L569,122-MA_SHORT):$L569),"")</f>
        <v>67669707.9</v>
      </c>
      <c r="AA569" s="48" t="n">
        <f aca="false">IF($U569=1,$G569-$H569,MAX($G569-$H569,ABS($G569-$I568),ABS($H569-$I568)))</f>
        <v>131</v>
      </c>
      <c r="AB569" s="48" t="n">
        <f aca="false">IF($U569&gt;=ATR_PER,AVERAGE(INDEX($AA$449:$AA569,122-ATR_PER):$AA569),"")</f>
        <v>134.857142857143</v>
      </c>
      <c r="AC569" s="48" t="n">
        <f aca="false">$O569-$P569</f>
        <v>6675623</v>
      </c>
      <c r="AD569" s="48" t="n">
        <f aca="false">$AC569*$I569</f>
        <v>22850657529</v>
      </c>
      <c r="AE569" s="49" t="n">
        <f aca="false">IF($Q569&gt;0,$O569*$I569/$Q569/1000000,"")</f>
        <v>105.256311353204</v>
      </c>
      <c r="AF569" s="49" t="n">
        <f aca="false">IF($R569&gt;0,$P569*$I569/$R569/1000000,"")</f>
        <v>101.546580023156</v>
      </c>
      <c r="AG569" s="50" t="n">
        <f aca="false">IF(AND(ISNUMBER($AE569),ISNUMBER($AF569),$AF569&gt;0),$AE569/$AF569,"")</f>
        <v>1.03653231186321</v>
      </c>
      <c r="AH569" s="48" t="n">
        <f aca="false">IF($U569&gt;=5,SUM(INDEX($AD$539:$AD569,32-5):$AD569),"")</f>
        <v>19549318088</v>
      </c>
      <c r="AI569" s="48" t="n">
        <f aca="false">IF($U569&gt;=STRUCT_S,MAX(INDEX($G$419:$G569,152-STRUCT_S):$G569),"")</f>
        <v>3797</v>
      </c>
      <c r="AJ569" s="48" t="n">
        <f aca="false">IF($U569&gt;=STRUCT_S,MIN(INDEX($H$419:$H569,152-STRUCT_S):$H569),"")</f>
        <v>3337</v>
      </c>
      <c r="AK569" s="48" t="str">
        <f aca="false">IF($U569&gt;=STRUCT_L,MAX(INDEX($G$319:$G569,252-STRUCT_L):$G569),"")</f>
        <v/>
      </c>
      <c r="AL569" s="48" t="str">
        <f aca="false">IF($U569&gt;=STRUCT_L,MIN(INDEX($H$319:$H569,252-STRUCT_L):$H569),"")</f>
        <v/>
      </c>
      <c r="AM569" s="46" t="n">
        <f aca="false">IF($A569&lt;&gt;$A570,1,0)</f>
        <v>0</v>
      </c>
      <c r="AN569" s="47" t="str">
        <f aca="false">IF($AM569=1,$A569,"")</f>
        <v/>
      </c>
    </row>
    <row r="570" customFormat="false" ht="15" hidden="false" customHeight="false" outlineLevel="0" collapsed="false">
      <c r="A570" s="43" t="s">
        <v>142</v>
      </c>
      <c r="B570" s="44" t="s">
        <v>144</v>
      </c>
      <c r="C570" s="45" t="n">
        <v>45969</v>
      </c>
      <c r="D570" s="46" t="n">
        <v>20251108</v>
      </c>
      <c r="E570" s="47" t="s">
        <v>333</v>
      </c>
      <c r="F570" s="48" t="n">
        <v>3406</v>
      </c>
      <c r="G570" s="48" t="n">
        <v>3470</v>
      </c>
      <c r="H570" s="48" t="n">
        <v>3379</v>
      </c>
      <c r="I570" s="48" t="n">
        <v>3426</v>
      </c>
      <c r="J570" s="48" t="n">
        <v>3384</v>
      </c>
      <c r="K570" s="48" t="n">
        <v>3423</v>
      </c>
      <c r="L570" s="48" t="n">
        <v>50290568</v>
      </c>
      <c r="M570" s="48" t="n">
        <v>172295485968</v>
      </c>
      <c r="N570" s="48" t="n">
        <v>1932</v>
      </c>
      <c r="O570" s="48" t="n">
        <v>24344584</v>
      </c>
      <c r="P570" s="48" t="n">
        <v>28497767</v>
      </c>
      <c r="Q570" s="48" t="n">
        <v>969</v>
      </c>
      <c r="R570" s="48" t="n">
        <v>878</v>
      </c>
      <c r="S570" s="48" t="n">
        <v>25945984</v>
      </c>
      <c r="T570" s="48" t="n">
        <v>21792801</v>
      </c>
      <c r="U570" s="46" t="n">
        <f aca="false">IF($A570=$A569,$U569+1,1)</f>
        <v>46</v>
      </c>
      <c r="V570" s="48" t="n">
        <f aca="false">IF($U570&gt;=MA_SHORT,AVERAGE(INDEX($I$170:$I570,402-MA_SHORT):$I570),"")</f>
        <v>3514.05</v>
      </c>
      <c r="W570" s="48" t="str">
        <f aca="false">IF($U570&gt;=MA_MED,AVERAGE(INDEX($I$170:$I570,402-MA_MED):$I570),"")</f>
        <v/>
      </c>
      <c r="X570" s="48" t="str">
        <f aca="false">IF($U570&gt;=MA_LONG1,AVERAGE(INDEX($I$170:$I570,402-MA_LONG1):$I570),"")</f>
        <v/>
      </c>
      <c r="Y570" s="48" t="str">
        <f aca="false">IF($U570&gt;=MA_LONG2,AVERAGE(INDEX($I$170:$I570,402-MA_LONG2):$I570),"")</f>
        <v/>
      </c>
      <c r="Z570" s="48" t="n">
        <f aca="false">IF($U570&gt;=MA_SHORT,AVERAGE(INDEX($L$450:$L570,122-MA_SHORT):$L570),"")</f>
        <v>67595553.45</v>
      </c>
      <c r="AA570" s="48" t="n">
        <f aca="false">IF($U570=1,$G570-$H570,MAX($G570-$H570,ABS($G570-$I569),ABS($H570-$I569)))</f>
        <v>91</v>
      </c>
      <c r="AB570" s="48" t="n">
        <f aca="false">IF($U570&gt;=ATR_PER,AVERAGE(INDEX($AA$450:$AA570,122-ATR_PER):$AA570),"")</f>
        <v>135.285714285714</v>
      </c>
      <c r="AC570" s="48" t="n">
        <f aca="false">$O570-$P570</f>
        <v>-4153183</v>
      </c>
      <c r="AD570" s="48" t="n">
        <f aca="false">$AC570*$I570</f>
        <v>-14228804958</v>
      </c>
      <c r="AE570" s="49" t="n">
        <f aca="false">IF($Q570&gt;0,$O570*$I570/$Q570/1000000,"")</f>
        <v>86.0728016346749</v>
      </c>
      <c r="AF570" s="49" t="n">
        <f aca="false">IF($R570&gt;0,$P570*$I570/$R570/1000000,"")</f>
        <v>111.199714968109</v>
      </c>
      <c r="AG570" s="50" t="n">
        <f aca="false">IF(AND(ISNUMBER($AE570),ISNUMBER($AF570),$AF570&gt;0),$AE570/$AF570,"")</f>
        <v>0.774037969965656</v>
      </c>
      <c r="AH570" s="48" t="n">
        <f aca="false">IF($U570&gt;=5,SUM(INDEX($AD$540:$AD570,32-5):$AD570),"")</f>
        <v>-5006917174</v>
      </c>
      <c r="AI570" s="48" t="n">
        <f aca="false">IF($U570&gt;=STRUCT_S,MAX(INDEX($G$420:$G570,152-STRUCT_S):$G570),"")</f>
        <v>3797</v>
      </c>
      <c r="AJ570" s="48" t="n">
        <f aca="false">IF($U570&gt;=STRUCT_S,MIN(INDEX($H$420:$H570,152-STRUCT_S):$H570),"")</f>
        <v>3337</v>
      </c>
      <c r="AK570" s="48" t="str">
        <f aca="false">IF($U570&gt;=STRUCT_L,MAX(INDEX($G$320:$G570,252-STRUCT_L):$G570),"")</f>
        <v/>
      </c>
      <c r="AL570" s="48" t="str">
        <f aca="false">IF($U570&gt;=STRUCT_L,MIN(INDEX($H$320:$H570,252-STRUCT_L):$H570),"")</f>
        <v/>
      </c>
      <c r="AM570" s="46" t="n">
        <f aca="false">IF($A570&lt;&gt;$A571,1,0)</f>
        <v>0</v>
      </c>
      <c r="AN570" s="47" t="str">
        <f aca="false">IF($AM570=1,$A570,"")</f>
        <v/>
      </c>
    </row>
    <row r="571" customFormat="false" ht="15" hidden="false" customHeight="false" outlineLevel="0" collapsed="false">
      <c r="A571" s="43" t="s">
        <v>142</v>
      </c>
      <c r="B571" s="44" t="s">
        <v>144</v>
      </c>
      <c r="C571" s="45" t="n">
        <v>45970</v>
      </c>
      <c r="D571" s="46" t="n">
        <v>20251109</v>
      </c>
      <c r="E571" s="47" t="s">
        <v>334</v>
      </c>
      <c r="F571" s="48" t="n">
        <v>3445</v>
      </c>
      <c r="G571" s="48" t="n">
        <v>3485</v>
      </c>
      <c r="H571" s="48" t="n">
        <v>3325</v>
      </c>
      <c r="I571" s="48" t="n">
        <v>3383</v>
      </c>
      <c r="J571" s="48" t="n">
        <v>3428</v>
      </c>
      <c r="K571" s="48" t="n">
        <v>3426</v>
      </c>
      <c r="L571" s="48" t="n">
        <v>53794891</v>
      </c>
      <c r="M571" s="48" t="n">
        <v>181988116253</v>
      </c>
      <c r="N571" s="48" t="n">
        <v>2479</v>
      </c>
      <c r="O571" s="48" t="n">
        <v>27001079</v>
      </c>
      <c r="P571" s="48" t="n">
        <v>28244606</v>
      </c>
      <c r="Q571" s="48" t="n">
        <v>1014</v>
      </c>
      <c r="R571" s="48" t="n">
        <v>1103</v>
      </c>
      <c r="S571" s="48" t="n">
        <v>26793812</v>
      </c>
      <c r="T571" s="48" t="n">
        <v>25550285</v>
      </c>
      <c r="U571" s="46" t="n">
        <f aca="false">IF($A571=$A570,$U570+1,1)</f>
        <v>47</v>
      </c>
      <c r="V571" s="48" t="n">
        <f aca="false">IF($U571&gt;=MA_SHORT,AVERAGE(INDEX($I$171:$I571,402-MA_SHORT):$I571),"")</f>
        <v>3508.15</v>
      </c>
      <c r="W571" s="48" t="str">
        <f aca="false">IF($U571&gt;=MA_MED,AVERAGE(INDEX($I$171:$I571,402-MA_MED):$I571),"")</f>
        <v/>
      </c>
      <c r="X571" s="48" t="str">
        <f aca="false">IF($U571&gt;=MA_LONG1,AVERAGE(INDEX($I$171:$I571,402-MA_LONG1):$I571),"")</f>
        <v/>
      </c>
      <c r="Y571" s="48" t="str">
        <f aca="false">IF($U571&gt;=MA_LONG2,AVERAGE(INDEX($I$171:$I571,402-MA_LONG2):$I571),"")</f>
        <v/>
      </c>
      <c r="Z571" s="48" t="n">
        <f aca="false">IF($U571&gt;=MA_SHORT,AVERAGE(INDEX($L$451:$L571,122-MA_SHORT):$L571),"")</f>
        <v>62328881.25</v>
      </c>
      <c r="AA571" s="48" t="n">
        <f aca="false">IF($U571=1,$G571-$H571,MAX($G571-$H571,ABS($G571-$I570),ABS($H571-$I570)))</f>
        <v>160</v>
      </c>
      <c r="AB571" s="48" t="n">
        <f aca="false">IF($U571&gt;=ATR_PER,AVERAGE(INDEX($AA$451:$AA571,122-ATR_PER):$AA571),"")</f>
        <v>138.785714285714</v>
      </c>
      <c r="AC571" s="48" t="n">
        <f aca="false">$O571-$P571</f>
        <v>-1243527</v>
      </c>
      <c r="AD571" s="48" t="n">
        <f aca="false">$AC571*$I571</f>
        <v>-4206851841</v>
      </c>
      <c r="AE571" s="49" t="n">
        <f aca="false">IF($Q571&gt;0,$O571*$I571/$Q571/1000000,"")</f>
        <v>90.0834815157791</v>
      </c>
      <c r="AF571" s="49" t="n">
        <f aca="false">IF($R571&gt;0,$P571*$I571/$R571/1000000,"")</f>
        <v>86.6287417026292</v>
      </c>
      <c r="AG571" s="50" t="n">
        <f aca="false">IF(AND(ISNUMBER($AE571),ISNUMBER($AF571),$AF571&gt;0),$AE571/$AF571,"")</f>
        <v>1.03987983370472</v>
      </c>
      <c r="AH571" s="48" t="n">
        <f aca="false">IF($U571&gt;=5,SUM(INDEX($AD$541:$AD571,32-5):$AD571),"")</f>
        <v>28985256978</v>
      </c>
      <c r="AI571" s="48" t="n">
        <f aca="false">IF($U571&gt;=STRUCT_S,MAX(INDEX($G$421:$G571,152-STRUCT_S):$G571),"")</f>
        <v>3797</v>
      </c>
      <c r="AJ571" s="48" t="n">
        <f aca="false">IF($U571&gt;=STRUCT_S,MIN(INDEX($H$421:$H571,152-STRUCT_S):$H571),"")</f>
        <v>3325</v>
      </c>
      <c r="AK571" s="48" t="str">
        <f aca="false">IF($U571&gt;=STRUCT_L,MAX(INDEX($G$321:$G571,252-STRUCT_L):$G571),"")</f>
        <v/>
      </c>
      <c r="AL571" s="48" t="str">
        <f aca="false">IF($U571&gt;=STRUCT_L,MIN(INDEX($H$321:$H571,252-STRUCT_L):$H571),"")</f>
        <v/>
      </c>
      <c r="AM571" s="46" t="n">
        <f aca="false">IF($A571&lt;&gt;$A572,1,0)</f>
        <v>0</v>
      </c>
      <c r="AN571" s="47" t="str">
        <f aca="false">IF($AM571=1,$A571,"")</f>
        <v/>
      </c>
    </row>
    <row r="572" customFormat="false" ht="15" hidden="false" customHeight="false" outlineLevel="0" collapsed="false">
      <c r="A572" s="43" t="s">
        <v>142</v>
      </c>
      <c r="B572" s="44" t="s">
        <v>144</v>
      </c>
      <c r="C572" s="45" t="n">
        <v>45971</v>
      </c>
      <c r="D572" s="46" t="n">
        <v>20251110</v>
      </c>
      <c r="E572" s="47" t="s">
        <v>335</v>
      </c>
      <c r="F572" s="48" t="n">
        <v>3522</v>
      </c>
      <c r="G572" s="48" t="n">
        <v>3580</v>
      </c>
      <c r="H572" s="48" t="n">
        <v>3327</v>
      </c>
      <c r="I572" s="48" t="n">
        <v>3521</v>
      </c>
      <c r="J572" s="48" t="n">
        <v>3404</v>
      </c>
      <c r="K572" s="48" t="n">
        <v>3383</v>
      </c>
      <c r="L572" s="48" t="n">
        <v>69833475</v>
      </c>
      <c r="M572" s="48" t="n">
        <v>245883665475</v>
      </c>
      <c r="N572" s="48" t="n">
        <v>1703</v>
      </c>
      <c r="O572" s="48" t="n">
        <v>55866780</v>
      </c>
      <c r="P572" s="48" t="n">
        <v>13966695</v>
      </c>
      <c r="Q572" s="48" t="n">
        <v>829</v>
      </c>
      <c r="R572" s="48" t="n">
        <v>976</v>
      </c>
      <c r="S572" s="48" t="n">
        <v>13966695</v>
      </c>
      <c r="T572" s="48" t="n">
        <v>55866780</v>
      </c>
      <c r="U572" s="46" t="n">
        <f aca="false">IF($A572=$A571,$U571+1,1)</f>
        <v>48</v>
      </c>
      <c r="V572" s="48" t="n">
        <f aca="false">IF($U572&gt;=MA_SHORT,AVERAGE(INDEX($I$172:$I572,402-MA_SHORT):$I572),"")</f>
        <v>3506.4</v>
      </c>
      <c r="W572" s="48" t="str">
        <f aca="false">IF($U572&gt;=MA_MED,AVERAGE(INDEX($I$172:$I572,402-MA_MED):$I572),"")</f>
        <v/>
      </c>
      <c r="X572" s="48" t="str">
        <f aca="false">IF($U572&gt;=MA_LONG1,AVERAGE(INDEX($I$172:$I572,402-MA_LONG1):$I572),"")</f>
        <v/>
      </c>
      <c r="Y572" s="48" t="str">
        <f aca="false">IF($U572&gt;=MA_LONG2,AVERAGE(INDEX($I$172:$I572,402-MA_LONG2):$I572),"")</f>
        <v/>
      </c>
      <c r="Z572" s="48" t="n">
        <f aca="false">IF($U572&gt;=MA_SHORT,AVERAGE(INDEX($L$452:$L572,122-MA_SHORT):$L572),"")</f>
        <v>62138609.45</v>
      </c>
      <c r="AA572" s="48" t="n">
        <f aca="false">IF($U572=1,$G572-$H572,MAX($G572-$H572,ABS($G572-$I571),ABS($H572-$I571)))</f>
        <v>253</v>
      </c>
      <c r="AB572" s="48" t="n">
        <f aca="false">IF($U572&gt;=ATR_PER,AVERAGE(INDEX($AA$452:$AA572,122-ATR_PER):$AA572),"")</f>
        <v>140.285714285714</v>
      </c>
      <c r="AC572" s="48" t="n">
        <f aca="false">$O572-$P572</f>
        <v>41900085</v>
      </c>
      <c r="AD572" s="48" t="n">
        <f aca="false">$AC572*$I572</f>
        <v>147530199285</v>
      </c>
      <c r="AE572" s="49" t="n">
        <f aca="false">IF($Q572&gt;0,$O572*$I572/$Q572/1000000,"")</f>
        <v>237.282186224367</v>
      </c>
      <c r="AF572" s="49" t="n">
        <f aca="false">IF($R572&gt;0,$P572*$I572/$R572/1000000,"")</f>
        <v>50.3859970235656</v>
      </c>
      <c r="AG572" s="50" t="n">
        <f aca="false">IF(AND(ISNUMBER($AE572),ISNUMBER($AF572),$AF572&gt;0),$AE572/$AF572,"")</f>
        <v>4.70928829915561</v>
      </c>
      <c r="AH572" s="48" t="n">
        <f aca="false">IF($U572&gt;=5,SUM(INDEX($AD$542:$AD572,32-5):$AD572),"")</f>
        <v>151368751643</v>
      </c>
      <c r="AI572" s="48" t="n">
        <f aca="false">IF($U572&gt;=STRUCT_S,MAX(INDEX($G$422:$G572,152-STRUCT_S):$G572),"")</f>
        <v>3797</v>
      </c>
      <c r="AJ572" s="48" t="n">
        <f aca="false">IF($U572&gt;=STRUCT_S,MIN(INDEX($H$422:$H572,152-STRUCT_S):$H572),"")</f>
        <v>3325</v>
      </c>
      <c r="AK572" s="48" t="str">
        <f aca="false">IF($U572&gt;=STRUCT_L,MAX(INDEX($G$322:$G572,252-STRUCT_L):$G572),"")</f>
        <v/>
      </c>
      <c r="AL572" s="48" t="str">
        <f aca="false">IF($U572&gt;=STRUCT_L,MIN(INDEX($H$322:$H572,252-STRUCT_L):$H572),"")</f>
        <v/>
      </c>
      <c r="AM572" s="46" t="n">
        <f aca="false">IF($A572&lt;&gt;$A573,1,0)</f>
        <v>0</v>
      </c>
      <c r="AN572" s="47" t="str">
        <f aca="false">IF($AM572=1,$A572,"")</f>
        <v/>
      </c>
    </row>
    <row r="573" customFormat="false" ht="15" hidden="false" customHeight="false" outlineLevel="0" collapsed="false">
      <c r="A573" s="43" t="s">
        <v>142</v>
      </c>
      <c r="B573" s="44" t="s">
        <v>144</v>
      </c>
      <c r="C573" s="45" t="n">
        <v>45972</v>
      </c>
      <c r="D573" s="46" t="n">
        <v>20251111</v>
      </c>
      <c r="E573" s="47" t="s">
        <v>336</v>
      </c>
      <c r="F573" s="48" t="n">
        <v>3497</v>
      </c>
      <c r="G573" s="48" t="n">
        <v>3565</v>
      </c>
      <c r="H573" s="48" t="n">
        <v>3496</v>
      </c>
      <c r="I573" s="48" t="n">
        <v>3540</v>
      </c>
      <c r="J573" s="48" t="n">
        <v>3533</v>
      </c>
      <c r="K573" s="48" t="n">
        <v>3521</v>
      </c>
      <c r="L573" s="48" t="n">
        <v>76537169</v>
      </c>
      <c r="M573" s="48" t="n">
        <v>270941578260</v>
      </c>
      <c r="N573" s="48" t="n">
        <v>1812</v>
      </c>
      <c r="O573" s="48" t="n">
        <v>39570655</v>
      </c>
      <c r="P573" s="48" t="n">
        <v>40184639</v>
      </c>
      <c r="Q573" s="48" t="n">
        <v>621</v>
      </c>
      <c r="R573" s="48" t="n">
        <v>694</v>
      </c>
      <c r="S573" s="48" t="n">
        <v>36966514</v>
      </c>
      <c r="T573" s="48" t="n">
        <v>36352530</v>
      </c>
      <c r="U573" s="46" t="n">
        <f aca="false">IF($A573=$A572,$U572+1,1)</f>
        <v>49</v>
      </c>
      <c r="V573" s="48" t="n">
        <f aca="false">IF($U573&gt;=MA_SHORT,AVERAGE(INDEX($I$173:$I573,402-MA_SHORT):$I573),"")</f>
        <v>3506</v>
      </c>
      <c r="W573" s="48" t="str">
        <f aca="false">IF($U573&gt;=MA_MED,AVERAGE(INDEX($I$173:$I573,402-MA_MED):$I573),"")</f>
        <v/>
      </c>
      <c r="X573" s="48" t="str">
        <f aca="false">IF($U573&gt;=MA_LONG1,AVERAGE(INDEX($I$173:$I573,402-MA_LONG1):$I573),"")</f>
        <v/>
      </c>
      <c r="Y573" s="48" t="str">
        <f aca="false">IF($U573&gt;=MA_LONG2,AVERAGE(INDEX($I$173:$I573,402-MA_LONG2):$I573),"")</f>
        <v/>
      </c>
      <c r="Z573" s="48" t="n">
        <f aca="false">IF($U573&gt;=MA_SHORT,AVERAGE(INDEX($L$453:$L573,122-MA_SHORT):$L573),"")</f>
        <v>63131931.4</v>
      </c>
      <c r="AA573" s="48" t="n">
        <f aca="false">IF($U573=1,$G573-$H573,MAX($G573-$H573,ABS($G573-$I572),ABS($H573-$I572)))</f>
        <v>69</v>
      </c>
      <c r="AB573" s="48" t="n">
        <f aca="false">IF($U573&gt;=ATR_PER,AVERAGE(INDEX($AA$453:$AA573,122-ATR_PER):$AA573),"")</f>
        <v>134.071428571429</v>
      </c>
      <c r="AC573" s="48" t="n">
        <f aca="false">$O573-$P573</f>
        <v>-613984</v>
      </c>
      <c r="AD573" s="48" t="n">
        <f aca="false">$AC573*$I573</f>
        <v>-2173503360</v>
      </c>
      <c r="AE573" s="49" t="n">
        <f aca="false">IF($Q573&gt;0,$O573*$I573/$Q573/1000000,"")</f>
        <v>225.571849758454</v>
      </c>
      <c r="AF573" s="49" t="n">
        <f aca="false">IF($R573&gt;0,$P573*$I573/$R573/1000000,"")</f>
        <v>204.976400662824</v>
      </c>
      <c r="AG573" s="50" t="n">
        <f aca="false">IF(AND(ISNUMBER($AE573),ISNUMBER($AF573),$AF573&gt;0),$AE573/$AF573,"")</f>
        <v>1.10047717214778</v>
      </c>
      <c r="AH573" s="48" t="n">
        <f aca="false">IF($U573&gt;=5,SUM(INDEX($AD$543:$AD573,32-5):$AD573),"")</f>
        <v>149771696655</v>
      </c>
      <c r="AI573" s="48" t="n">
        <f aca="false">IF($U573&gt;=STRUCT_S,MAX(INDEX($G$423:$G573,152-STRUCT_S):$G573),"")</f>
        <v>3797</v>
      </c>
      <c r="AJ573" s="48" t="n">
        <f aca="false">IF($U573&gt;=STRUCT_S,MIN(INDEX($H$423:$H573,152-STRUCT_S):$H573),"")</f>
        <v>3325</v>
      </c>
      <c r="AK573" s="48" t="str">
        <f aca="false">IF($U573&gt;=STRUCT_L,MAX(INDEX($G$323:$G573,252-STRUCT_L):$G573),"")</f>
        <v/>
      </c>
      <c r="AL573" s="48" t="str">
        <f aca="false">IF($U573&gt;=STRUCT_L,MIN(INDEX($H$323:$H573,252-STRUCT_L):$H573),"")</f>
        <v/>
      </c>
      <c r="AM573" s="46" t="n">
        <f aca="false">IF($A573&lt;&gt;$A574,1,0)</f>
        <v>0</v>
      </c>
      <c r="AN573" s="47" t="str">
        <f aca="false">IF($AM573=1,$A573,"")</f>
        <v/>
      </c>
    </row>
    <row r="574" customFormat="false" ht="15" hidden="false" customHeight="false" outlineLevel="0" collapsed="false">
      <c r="A574" s="43" t="s">
        <v>142</v>
      </c>
      <c r="B574" s="44" t="s">
        <v>144</v>
      </c>
      <c r="C574" s="45" t="n">
        <v>45973</v>
      </c>
      <c r="D574" s="46" t="n">
        <v>20251112</v>
      </c>
      <c r="E574" s="47" t="s">
        <v>337</v>
      </c>
      <c r="F574" s="48" t="n">
        <v>3514</v>
      </c>
      <c r="G574" s="48" t="n">
        <v>3550</v>
      </c>
      <c r="H574" s="48" t="n">
        <v>3506</v>
      </c>
      <c r="I574" s="48" t="n">
        <v>3516</v>
      </c>
      <c r="J574" s="48" t="n">
        <v>3541</v>
      </c>
      <c r="K574" s="48" t="n">
        <v>3540</v>
      </c>
      <c r="L574" s="48" t="n">
        <v>52062513</v>
      </c>
      <c r="M574" s="48" t="n">
        <v>183051795708</v>
      </c>
      <c r="N574" s="48" t="n">
        <v>1277</v>
      </c>
      <c r="O574" s="48" t="n">
        <v>31436095</v>
      </c>
      <c r="P574" s="48" t="n">
        <v>23071140</v>
      </c>
      <c r="Q574" s="48" t="n">
        <v>440</v>
      </c>
      <c r="R574" s="48" t="n">
        <v>424</v>
      </c>
      <c r="S574" s="48" t="n">
        <v>20626418</v>
      </c>
      <c r="T574" s="48" t="n">
        <v>28991373</v>
      </c>
      <c r="U574" s="46" t="n">
        <f aca="false">IF($A574=$A573,$U573+1,1)</f>
        <v>50</v>
      </c>
      <c r="V574" s="48" t="n">
        <f aca="false">IF($U574&gt;=MA_SHORT,AVERAGE(INDEX($I$174:$I574,402-MA_SHORT):$I574),"")</f>
        <v>3503.3</v>
      </c>
      <c r="W574" s="48" t="n">
        <f aca="false">IF($U574&gt;=MA_MED,AVERAGE(INDEX($I$174:$I574,402-MA_MED):$I574),"")</f>
        <v>3462.1</v>
      </c>
      <c r="X574" s="48" t="str">
        <f aca="false">IF($U574&gt;=MA_LONG1,AVERAGE(INDEX($I$174:$I574,402-MA_LONG1):$I574),"")</f>
        <v/>
      </c>
      <c r="Y574" s="48" t="str">
        <f aca="false">IF($U574&gt;=MA_LONG2,AVERAGE(INDEX($I$174:$I574,402-MA_LONG2):$I574),"")</f>
        <v/>
      </c>
      <c r="Z574" s="48" t="n">
        <f aca="false">IF($U574&gt;=MA_SHORT,AVERAGE(INDEX($L$454:$L574,122-MA_SHORT):$L574),"")</f>
        <v>61914358.6</v>
      </c>
      <c r="AA574" s="48" t="n">
        <f aca="false">IF($U574=1,$G574-$H574,MAX($G574-$H574,ABS($G574-$I573),ABS($H574-$I573)))</f>
        <v>44</v>
      </c>
      <c r="AB574" s="48" t="n">
        <f aca="false">IF($U574&gt;=ATR_PER,AVERAGE(INDEX($AA$454:$AA574,122-ATR_PER):$AA574),"")</f>
        <v>126.285714285714</v>
      </c>
      <c r="AC574" s="48" t="n">
        <f aca="false">$O574-$P574</f>
        <v>8364955</v>
      </c>
      <c r="AD574" s="48" t="n">
        <f aca="false">$AC574*$I574</f>
        <v>29411181780</v>
      </c>
      <c r="AE574" s="49" t="n">
        <f aca="false">IF($Q574&gt;0,$O574*$I574/$Q574/1000000,"")</f>
        <v>251.202977318182</v>
      </c>
      <c r="AF574" s="49" t="n">
        <f aca="false">IF($R574&gt;0,$P574*$I574/$R574/1000000,"")</f>
        <v>191.316340188679</v>
      </c>
      <c r="AG574" s="50" t="n">
        <f aca="false">IF(AND(ISNUMBER($AE574),ISNUMBER($AF574),$AF574&gt;0),$AE574/$AF574,"")</f>
        <v>1.31302416233993</v>
      </c>
      <c r="AH574" s="48" t="n">
        <f aca="false">IF($U574&gt;=5,SUM(INDEX($AD$544:$AD574,32-5):$AD574),"")</f>
        <v>156332220906</v>
      </c>
      <c r="AI574" s="48" t="n">
        <f aca="false">IF($U574&gt;=STRUCT_S,MAX(INDEX($G$424:$G574,152-STRUCT_S):$G574),"")</f>
        <v>3797</v>
      </c>
      <c r="AJ574" s="48" t="n">
        <f aca="false">IF($U574&gt;=STRUCT_S,MIN(INDEX($H$424:$H574,152-STRUCT_S):$H574),"")</f>
        <v>3325</v>
      </c>
      <c r="AK574" s="48" t="str">
        <f aca="false">IF($U574&gt;=STRUCT_L,MAX(INDEX($G$324:$G574,252-STRUCT_L):$G574),"")</f>
        <v/>
      </c>
      <c r="AL574" s="48" t="str">
        <f aca="false">IF($U574&gt;=STRUCT_L,MIN(INDEX($H$324:$H574,252-STRUCT_L):$H574),"")</f>
        <v/>
      </c>
      <c r="AM574" s="46" t="n">
        <f aca="false">IF($A574&lt;&gt;$A575,1,0)</f>
        <v>0</v>
      </c>
      <c r="AN574" s="47" t="str">
        <f aca="false">IF($AM574=1,$A574,"")</f>
        <v/>
      </c>
    </row>
    <row r="575" customFormat="false" ht="15" hidden="false" customHeight="false" outlineLevel="0" collapsed="false">
      <c r="A575" s="43" t="s">
        <v>142</v>
      </c>
      <c r="B575" s="44" t="s">
        <v>144</v>
      </c>
      <c r="C575" s="45" t="n">
        <v>45976</v>
      </c>
      <c r="D575" s="46" t="n">
        <v>20251115</v>
      </c>
      <c r="E575" s="47" t="s">
        <v>338</v>
      </c>
      <c r="F575" s="48" t="n">
        <v>3423</v>
      </c>
      <c r="G575" s="48" t="n">
        <v>3584</v>
      </c>
      <c r="H575" s="48" t="n">
        <v>3279</v>
      </c>
      <c r="I575" s="48" t="n">
        <v>3344</v>
      </c>
      <c r="J575" s="48" t="n">
        <v>3531</v>
      </c>
      <c r="K575" s="48" t="n">
        <v>3516</v>
      </c>
      <c r="L575" s="48" t="n">
        <v>81990033</v>
      </c>
      <c r="M575" s="48" t="n">
        <v>274174670352</v>
      </c>
      <c r="N575" s="48" t="n">
        <v>2509</v>
      </c>
      <c r="O575" s="48" t="n">
        <v>28630331</v>
      </c>
      <c r="P575" s="48" t="n">
        <v>54341531</v>
      </c>
      <c r="Q575" s="48" t="n">
        <v>950</v>
      </c>
      <c r="R575" s="48" t="n">
        <v>1259</v>
      </c>
      <c r="S575" s="48" t="n">
        <v>53359702</v>
      </c>
      <c r="T575" s="48" t="n">
        <v>27648502</v>
      </c>
      <c r="U575" s="46" t="n">
        <f aca="false">IF($A575=$A574,$U574+1,1)</f>
        <v>51</v>
      </c>
      <c r="V575" s="48" t="n">
        <f aca="false">IF($U575&gt;=MA_SHORT,AVERAGE(INDEX($I$175:$I575,402-MA_SHORT):$I575),"")</f>
        <v>3494</v>
      </c>
      <c r="W575" s="48" t="n">
        <f aca="false">IF($U575&gt;=MA_MED,AVERAGE(INDEX($I$175:$I575,402-MA_MED):$I575),"")</f>
        <v>3465.38</v>
      </c>
      <c r="X575" s="48" t="str">
        <f aca="false">IF($U575&gt;=MA_LONG1,AVERAGE(INDEX($I$175:$I575,402-MA_LONG1):$I575),"")</f>
        <v/>
      </c>
      <c r="Y575" s="48" t="str">
        <f aca="false">IF($U575&gt;=MA_LONG2,AVERAGE(INDEX($I$175:$I575,402-MA_LONG2):$I575),"")</f>
        <v/>
      </c>
      <c r="Z575" s="48" t="n">
        <f aca="false">IF($U575&gt;=MA_SHORT,AVERAGE(INDEX($L$455:$L575,122-MA_SHORT):$L575),"")</f>
        <v>62975577.75</v>
      </c>
      <c r="AA575" s="48" t="n">
        <f aca="false">IF($U575=1,$G575-$H575,MAX($G575-$H575,ABS($G575-$I574),ABS($H575-$I574)))</f>
        <v>305</v>
      </c>
      <c r="AB575" s="48" t="n">
        <f aca="false">IF($U575&gt;=ATR_PER,AVERAGE(INDEX($AA$455:$AA575,122-ATR_PER):$AA575),"")</f>
        <v>131.357142857143</v>
      </c>
      <c r="AC575" s="48" t="n">
        <f aca="false">$O575-$P575</f>
        <v>-25711200</v>
      </c>
      <c r="AD575" s="48" t="n">
        <f aca="false">$AC575*$I575</f>
        <v>-85978252800</v>
      </c>
      <c r="AE575" s="49" t="n">
        <f aca="false">IF($Q575&gt;0,$O575*$I575/$Q575/1000000,"")</f>
        <v>100.77876512</v>
      </c>
      <c r="AF575" s="49" t="n">
        <f aca="false">IF($R575&gt;0,$P575*$I575/$R575/1000000,"")</f>
        <v>144.335249931692</v>
      </c>
      <c r="AG575" s="50" t="n">
        <f aca="false">IF(AND(ISNUMBER($AE575),ISNUMBER($AF575),$AF575&gt;0),$AE575/$AF575,"")</f>
        <v>0.698226976207784</v>
      </c>
      <c r="AH575" s="48" t="n">
        <f aca="false">IF($U575&gt;=5,SUM(INDEX($AD$545:$AD575,32-5):$AD575),"")</f>
        <v>84582773064</v>
      </c>
      <c r="AI575" s="48" t="n">
        <f aca="false">IF($U575&gt;=STRUCT_S,MAX(INDEX($G$425:$G575,152-STRUCT_S):$G575),"")</f>
        <v>3797</v>
      </c>
      <c r="AJ575" s="48" t="n">
        <f aca="false">IF($U575&gt;=STRUCT_S,MIN(INDEX($H$425:$H575,152-STRUCT_S):$H575),"")</f>
        <v>3279</v>
      </c>
      <c r="AK575" s="48" t="str">
        <f aca="false">IF($U575&gt;=STRUCT_L,MAX(INDEX($G$325:$G575,252-STRUCT_L):$G575),"")</f>
        <v/>
      </c>
      <c r="AL575" s="48" t="str">
        <f aca="false">IF($U575&gt;=STRUCT_L,MIN(INDEX($H$325:$H575,252-STRUCT_L):$H575),"")</f>
        <v/>
      </c>
      <c r="AM575" s="46" t="n">
        <f aca="false">IF($A575&lt;&gt;$A576,1,0)</f>
        <v>0</v>
      </c>
      <c r="AN575" s="47" t="str">
        <f aca="false">IF($AM575=1,$A575,"")</f>
        <v/>
      </c>
    </row>
    <row r="576" customFormat="false" ht="15" hidden="false" customHeight="false" outlineLevel="0" collapsed="false">
      <c r="A576" s="43" t="s">
        <v>142</v>
      </c>
      <c r="B576" s="44" t="s">
        <v>144</v>
      </c>
      <c r="C576" s="45" t="n">
        <v>45977</v>
      </c>
      <c r="D576" s="46" t="n">
        <v>20251116</v>
      </c>
      <c r="E576" s="47" t="s">
        <v>339</v>
      </c>
      <c r="F576" s="48" t="n">
        <v>3388</v>
      </c>
      <c r="G576" s="48" t="n">
        <v>3416</v>
      </c>
      <c r="H576" s="48" t="n">
        <v>3291</v>
      </c>
      <c r="I576" s="48" t="n">
        <v>3363</v>
      </c>
      <c r="J576" s="48" t="n">
        <v>3311</v>
      </c>
      <c r="K576" s="48" t="n">
        <v>3344</v>
      </c>
      <c r="L576" s="48" t="n">
        <v>58865249</v>
      </c>
      <c r="M576" s="48" t="n">
        <v>197963832387</v>
      </c>
      <c r="N576" s="48" t="n">
        <v>5600</v>
      </c>
      <c r="O576" s="48" t="n">
        <v>27719192</v>
      </c>
      <c r="P576" s="48" t="n">
        <v>30512150</v>
      </c>
      <c r="Q576" s="48" t="n">
        <v>2572</v>
      </c>
      <c r="R576" s="48" t="n">
        <v>2480</v>
      </c>
      <c r="S576" s="48" t="n">
        <v>31146057</v>
      </c>
      <c r="T576" s="48" t="n">
        <v>28353099</v>
      </c>
      <c r="U576" s="46" t="n">
        <f aca="false">IF($A576=$A575,$U575+1,1)</f>
        <v>52</v>
      </c>
      <c r="V576" s="48" t="n">
        <f aca="false">IF($U576&gt;=MA_SHORT,AVERAGE(INDEX($I$176:$I576,402-MA_SHORT):$I576),"")</f>
        <v>3485.4</v>
      </c>
      <c r="W576" s="48" t="n">
        <f aca="false">IF($U576&gt;=MA_MED,AVERAGE(INDEX($I$176:$I576,402-MA_MED):$I576),"")</f>
        <v>3468.58</v>
      </c>
      <c r="X576" s="48" t="str">
        <f aca="false">IF($U576&gt;=MA_LONG1,AVERAGE(INDEX($I$176:$I576,402-MA_LONG1):$I576),"")</f>
        <v/>
      </c>
      <c r="Y576" s="48" t="str">
        <f aca="false">IF($U576&gt;=MA_LONG2,AVERAGE(INDEX($I$176:$I576,402-MA_LONG2):$I576),"")</f>
        <v/>
      </c>
      <c r="Z576" s="48" t="n">
        <f aca="false">IF($U576&gt;=MA_SHORT,AVERAGE(INDEX($L$456:$L576,122-MA_SHORT):$L576),"")</f>
        <v>62988083.1</v>
      </c>
      <c r="AA576" s="48" t="n">
        <f aca="false">IF($U576=1,$G576-$H576,MAX($G576-$H576,ABS($G576-$I575),ABS($H576-$I575)))</f>
        <v>125</v>
      </c>
      <c r="AB576" s="48" t="n">
        <f aca="false">IF($U576&gt;=ATR_PER,AVERAGE(INDEX($AA$456:$AA576,122-ATR_PER):$AA576),"")</f>
        <v>130.071428571429</v>
      </c>
      <c r="AC576" s="48" t="n">
        <f aca="false">$O576-$P576</f>
        <v>-2792958</v>
      </c>
      <c r="AD576" s="48" t="n">
        <f aca="false">$AC576*$I576</f>
        <v>-9392717754</v>
      </c>
      <c r="AE576" s="49" t="n">
        <f aca="false">IF($Q576&gt;0,$O576*$I576/$Q576/1000000,"")</f>
        <v>36.2440290419907</v>
      </c>
      <c r="AF576" s="49" t="n">
        <f aca="false">IF($R576&gt;0,$P576*$I576/$R576/1000000,"")</f>
        <v>41.3759517943548</v>
      </c>
      <c r="AG576" s="50" t="n">
        <f aca="false">IF(AND(ISNUMBER($AE576),ISNUMBER($AF576),$AF576&gt;0),$AE576/$AF576,"")</f>
        <v>0.875968466468864</v>
      </c>
      <c r="AH576" s="48" t="n">
        <f aca="false">IF($U576&gt;=5,SUM(INDEX($AD$546:$AD576,32-5):$AD576),"")</f>
        <v>79396907151</v>
      </c>
      <c r="AI576" s="48" t="n">
        <f aca="false">IF($U576&gt;=STRUCT_S,MAX(INDEX($G$426:$G576,152-STRUCT_S):$G576),"")</f>
        <v>3797</v>
      </c>
      <c r="AJ576" s="48" t="n">
        <f aca="false">IF($U576&gt;=STRUCT_S,MIN(INDEX($H$426:$H576,152-STRUCT_S):$H576),"")</f>
        <v>3279</v>
      </c>
      <c r="AK576" s="48" t="str">
        <f aca="false">IF($U576&gt;=STRUCT_L,MAX(INDEX($G$326:$G576,252-STRUCT_L):$G576),"")</f>
        <v/>
      </c>
      <c r="AL576" s="48" t="str">
        <f aca="false">IF($U576&gt;=STRUCT_L,MIN(INDEX($H$326:$H576,252-STRUCT_L):$H576),"")</f>
        <v/>
      </c>
      <c r="AM576" s="46" t="n">
        <f aca="false">IF($A576&lt;&gt;$A577,1,0)</f>
        <v>0</v>
      </c>
      <c r="AN576" s="47" t="str">
        <f aca="false">IF($AM576=1,$A576,"")</f>
        <v/>
      </c>
    </row>
    <row r="577" customFormat="false" ht="15" hidden="false" customHeight="false" outlineLevel="0" collapsed="false">
      <c r="A577" s="43" t="s">
        <v>142</v>
      </c>
      <c r="B577" s="44" t="s">
        <v>144</v>
      </c>
      <c r="C577" s="45" t="n">
        <v>45978</v>
      </c>
      <c r="D577" s="46" t="n">
        <v>20251117</v>
      </c>
      <c r="E577" s="47" t="s">
        <v>340</v>
      </c>
      <c r="F577" s="48" t="n">
        <v>3345</v>
      </c>
      <c r="G577" s="48" t="n">
        <v>3395</v>
      </c>
      <c r="H577" s="48" t="n">
        <v>3322</v>
      </c>
      <c r="I577" s="48" t="n">
        <v>3354</v>
      </c>
      <c r="J577" s="48" t="n">
        <v>3327</v>
      </c>
      <c r="K577" s="48" t="n">
        <v>3363</v>
      </c>
      <c r="L577" s="48" t="n">
        <v>50830793</v>
      </c>
      <c r="M577" s="48" t="n">
        <v>170486479722</v>
      </c>
      <c r="N577" s="48" t="n">
        <v>1680</v>
      </c>
      <c r="O577" s="48" t="n">
        <v>27749744</v>
      </c>
      <c r="P577" s="48" t="n">
        <v>21740808</v>
      </c>
      <c r="Q577" s="48" t="n">
        <v>881</v>
      </c>
      <c r="R577" s="48" t="n">
        <v>785</v>
      </c>
      <c r="S577" s="48" t="n">
        <v>23081049</v>
      </c>
      <c r="T577" s="48" t="n">
        <v>29089985</v>
      </c>
      <c r="U577" s="46" t="n">
        <f aca="false">IF($A577=$A576,$U576+1,1)</f>
        <v>53</v>
      </c>
      <c r="V577" s="48" t="n">
        <f aca="false">IF($U577&gt;=MA_SHORT,AVERAGE(INDEX($I$177:$I577,402-MA_SHORT):$I577),"")</f>
        <v>3477.1</v>
      </c>
      <c r="W577" s="48" t="n">
        <f aca="false">IF($U577&gt;=MA_MED,AVERAGE(INDEX($I$177:$I577,402-MA_MED):$I577),"")</f>
        <v>3470.44</v>
      </c>
      <c r="X577" s="48" t="str">
        <f aca="false">IF($U577&gt;=MA_LONG1,AVERAGE(INDEX($I$177:$I577,402-MA_LONG1):$I577),"")</f>
        <v/>
      </c>
      <c r="Y577" s="48" t="str">
        <f aca="false">IF($U577&gt;=MA_LONG2,AVERAGE(INDEX($I$177:$I577,402-MA_LONG2):$I577),"")</f>
        <v/>
      </c>
      <c r="Z577" s="48" t="n">
        <f aca="false">IF($U577&gt;=MA_SHORT,AVERAGE(INDEX($L$457:$L577,122-MA_SHORT):$L577),"")</f>
        <v>62964563.7</v>
      </c>
      <c r="AA577" s="48" t="n">
        <f aca="false">IF($U577=1,$G577-$H577,MAX($G577-$H577,ABS($G577-$I576),ABS($H577-$I576)))</f>
        <v>73</v>
      </c>
      <c r="AB577" s="48" t="n">
        <f aca="false">IF($U577&gt;=ATR_PER,AVERAGE(INDEX($AA$457:$AA577,122-ATR_PER):$AA577),"")</f>
        <v>122.642857142857</v>
      </c>
      <c r="AC577" s="48" t="n">
        <f aca="false">$O577-$P577</f>
        <v>6008936</v>
      </c>
      <c r="AD577" s="48" t="n">
        <f aca="false">$AC577*$I577</f>
        <v>20153971344</v>
      </c>
      <c r="AE577" s="49" t="n">
        <f aca="false">IF($Q577&gt;0,$O577*$I577/$Q577/1000000,"")</f>
        <v>105.644314842225</v>
      </c>
      <c r="AF577" s="49" t="n">
        <f aca="false">IF($R577&gt;0,$P577*$I577/$R577/1000000,"")</f>
        <v>92.8900255184713</v>
      </c>
      <c r="AG577" s="50" t="n">
        <f aca="false">IF(AND(ISNUMBER($AE577),ISNUMBER($AF577),$AF577&gt;0),$AE577/$AF577,"")</f>
        <v>1.1373052623526</v>
      </c>
      <c r="AH577" s="48" t="n">
        <f aca="false">IF($U577&gt;=5,SUM(INDEX($AD$547:$AD577,32-5):$AD577),"")</f>
        <v>-47979320790</v>
      </c>
      <c r="AI577" s="48" t="n">
        <f aca="false">IF($U577&gt;=STRUCT_S,MAX(INDEX($G$427:$G577,152-STRUCT_S):$G577),"")</f>
        <v>3797</v>
      </c>
      <c r="AJ577" s="48" t="n">
        <f aca="false">IF($U577&gt;=STRUCT_S,MIN(INDEX($H$427:$H577,152-STRUCT_S):$H577),"")</f>
        <v>3279</v>
      </c>
      <c r="AK577" s="48" t="str">
        <f aca="false">IF($U577&gt;=STRUCT_L,MAX(INDEX($G$327:$G577,252-STRUCT_L):$G577),"")</f>
        <v/>
      </c>
      <c r="AL577" s="48" t="str">
        <f aca="false">IF($U577&gt;=STRUCT_L,MIN(INDEX($H$327:$H577,252-STRUCT_L):$H577),"")</f>
        <v/>
      </c>
      <c r="AM577" s="46" t="n">
        <f aca="false">IF($A577&lt;&gt;$A578,1,0)</f>
        <v>0</v>
      </c>
      <c r="AN577" s="47" t="str">
        <f aca="false">IF($AM577=1,$A577,"")</f>
        <v/>
      </c>
    </row>
    <row r="578" customFormat="false" ht="15" hidden="false" customHeight="false" outlineLevel="0" collapsed="false">
      <c r="A578" s="43" t="s">
        <v>142</v>
      </c>
      <c r="B578" s="44" t="s">
        <v>144</v>
      </c>
      <c r="C578" s="45" t="n">
        <v>45979</v>
      </c>
      <c r="D578" s="46" t="n">
        <v>20251118</v>
      </c>
      <c r="E578" s="47" t="s">
        <v>341</v>
      </c>
      <c r="F578" s="48" t="n">
        <v>3380</v>
      </c>
      <c r="G578" s="48" t="n">
        <v>3384</v>
      </c>
      <c r="H578" s="48" t="n">
        <v>3306</v>
      </c>
      <c r="I578" s="48" t="n">
        <v>3336</v>
      </c>
      <c r="J578" s="48" t="n">
        <v>3381</v>
      </c>
      <c r="K578" s="48" t="n">
        <v>3354</v>
      </c>
      <c r="L578" s="48" t="n">
        <v>51638400</v>
      </c>
      <c r="M578" s="48" t="n">
        <v>172265702400</v>
      </c>
      <c r="N578" s="48" t="n">
        <v>4657</v>
      </c>
      <c r="O578" s="48" t="n">
        <v>25783386</v>
      </c>
      <c r="P578" s="48" t="n">
        <v>24754264</v>
      </c>
      <c r="Q578" s="48" t="n">
        <v>2067</v>
      </c>
      <c r="R578" s="48" t="n">
        <v>1481</v>
      </c>
      <c r="S578" s="48" t="n">
        <v>25855014</v>
      </c>
      <c r="T578" s="48" t="n">
        <v>26884136</v>
      </c>
      <c r="U578" s="46" t="n">
        <f aca="false">IF($A578=$A577,$U577+1,1)</f>
        <v>54</v>
      </c>
      <c r="V578" s="48" t="n">
        <f aca="false">IF($U578&gt;=MA_SHORT,AVERAGE(INDEX($I$178:$I578,402-MA_SHORT):$I578),"")</f>
        <v>3460.5</v>
      </c>
      <c r="W578" s="48" t="n">
        <f aca="false">IF($U578&gt;=MA_MED,AVERAGE(INDEX($I$178:$I578,402-MA_MED):$I578),"")</f>
        <v>3471.98</v>
      </c>
      <c r="X578" s="48" t="str">
        <f aca="false">IF($U578&gt;=MA_LONG1,AVERAGE(INDEX($I$178:$I578,402-MA_LONG1):$I578),"")</f>
        <v/>
      </c>
      <c r="Y578" s="48" t="str">
        <f aca="false">IF($U578&gt;=MA_LONG2,AVERAGE(INDEX($I$178:$I578,402-MA_LONG2):$I578),"")</f>
        <v/>
      </c>
      <c r="Z578" s="48" t="n">
        <f aca="false">IF($U578&gt;=MA_SHORT,AVERAGE(INDEX($L$458:$L578,122-MA_SHORT):$L578),"")</f>
        <v>62414080.2</v>
      </c>
      <c r="AA578" s="48" t="n">
        <f aca="false">IF($U578=1,$G578-$H578,MAX($G578-$H578,ABS($G578-$I577),ABS($H578-$I577)))</f>
        <v>78</v>
      </c>
      <c r="AB578" s="48" t="n">
        <f aca="false">IF($U578&gt;=ATR_PER,AVERAGE(INDEX($AA$458:$AA578,122-ATR_PER):$AA578),"")</f>
        <v>123.785714285714</v>
      </c>
      <c r="AC578" s="48" t="n">
        <f aca="false">$O578-$P578</f>
        <v>1029122</v>
      </c>
      <c r="AD578" s="48" t="n">
        <f aca="false">$AC578*$I578</f>
        <v>3433150992</v>
      </c>
      <c r="AE578" s="49" t="n">
        <f aca="false">IF($Q578&gt;0,$O578*$I578/$Q578/1000000,"")</f>
        <v>41.612663616836</v>
      </c>
      <c r="AF578" s="49" t="n">
        <f aca="false">IF($R578&gt;0,$P578*$I578/$R578/1000000,"")</f>
        <v>55.7597736016205</v>
      </c>
      <c r="AG578" s="50" t="n">
        <f aca="false">IF(AND(ISNUMBER($AE578),ISNUMBER($AF578),$AF578&gt;0),$AE578/$AF578,"")</f>
        <v>0.746284658796151</v>
      </c>
      <c r="AH578" s="48" t="n">
        <f aca="false">IF($U578&gt;=5,SUM(INDEX($AD$548:$AD578,32-5):$AD578),"")</f>
        <v>-42372666438</v>
      </c>
      <c r="AI578" s="48" t="n">
        <f aca="false">IF($U578&gt;=STRUCT_S,MAX(INDEX($G$428:$G578,152-STRUCT_S):$G578),"")</f>
        <v>3797</v>
      </c>
      <c r="AJ578" s="48" t="n">
        <f aca="false">IF($U578&gt;=STRUCT_S,MIN(INDEX($H$428:$H578,152-STRUCT_S):$H578),"")</f>
        <v>3279</v>
      </c>
      <c r="AK578" s="48" t="str">
        <f aca="false">IF($U578&gt;=STRUCT_L,MAX(INDEX($G$328:$G578,252-STRUCT_L):$G578),"")</f>
        <v/>
      </c>
      <c r="AL578" s="48" t="str">
        <f aca="false">IF($U578&gt;=STRUCT_L,MIN(INDEX($H$328:$H578,252-STRUCT_L):$H578),"")</f>
        <v/>
      </c>
      <c r="AM578" s="46" t="n">
        <f aca="false">IF($A578&lt;&gt;$A579,1,0)</f>
        <v>0</v>
      </c>
      <c r="AN578" s="47" t="str">
        <f aca="false">IF($AM578=1,$A578,"")</f>
        <v/>
      </c>
    </row>
    <row r="579" customFormat="false" ht="15" hidden="false" customHeight="false" outlineLevel="0" collapsed="false">
      <c r="A579" s="43" t="s">
        <v>142</v>
      </c>
      <c r="B579" s="44" t="s">
        <v>144</v>
      </c>
      <c r="C579" s="45" t="n">
        <v>45980</v>
      </c>
      <c r="D579" s="46" t="n">
        <v>20251119</v>
      </c>
      <c r="E579" s="47" t="s">
        <v>342</v>
      </c>
      <c r="F579" s="48" t="n">
        <v>3263</v>
      </c>
      <c r="G579" s="48" t="n">
        <v>3392</v>
      </c>
      <c r="H579" s="48" t="n">
        <v>3240</v>
      </c>
      <c r="I579" s="48" t="n">
        <v>3295</v>
      </c>
      <c r="J579" s="48" t="n">
        <v>3330</v>
      </c>
      <c r="K579" s="48" t="n">
        <v>3336</v>
      </c>
      <c r="L579" s="48" t="n">
        <v>75521451</v>
      </c>
      <c r="M579" s="48" t="n">
        <v>248843181045</v>
      </c>
      <c r="N579" s="48" t="n">
        <v>1690</v>
      </c>
      <c r="O579" s="48" t="n">
        <v>31917746</v>
      </c>
      <c r="P579" s="48" t="n">
        <v>44028439</v>
      </c>
      <c r="Q579" s="48" t="n">
        <v>601</v>
      </c>
      <c r="R579" s="48" t="n">
        <v>504</v>
      </c>
      <c r="S579" s="48" t="n">
        <v>43603705</v>
      </c>
      <c r="T579" s="48" t="n">
        <v>31493012</v>
      </c>
      <c r="U579" s="46" t="n">
        <f aca="false">IF($A579=$A578,$U578+1,1)</f>
        <v>55</v>
      </c>
      <c r="V579" s="48" t="n">
        <f aca="false">IF($U579&gt;=MA_SHORT,AVERAGE(INDEX($I$179:$I579,402-MA_SHORT):$I579),"")</f>
        <v>3437.2</v>
      </c>
      <c r="W579" s="48" t="n">
        <f aca="false">IF($U579&gt;=MA_MED,AVERAGE(INDEX($I$179:$I579,402-MA_MED):$I579),"")</f>
        <v>3472.04</v>
      </c>
      <c r="X579" s="48" t="str">
        <f aca="false">IF($U579&gt;=MA_LONG1,AVERAGE(INDEX($I$179:$I579,402-MA_LONG1):$I579),"")</f>
        <v/>
      </c>
      <c r="Y579" s="48" t="str">
        <f aca="false">IF($U579&gt;=MA_LONG2,AVERAGE(INDEX($I$179:$I579,402-MA_LONG2):$I579),"")</f>
        <v/>
      </c>
      <c r="Z579" s="48" t="n">
        <f aca="false">IF($U579&gt;=MA_SHORT,AVERAGE(INDEX($L$459:$L579,122-MA_SHORT):$L579),"")</f>
        <v>62932778.1</v>
      </c>
      <c r="AA579" s="48" t="n">
        <f aca="false">IF($U579=1,$G579-$H579,MAX($G579-$H579,ABS($G579-$I578),ABS($H579-$I578)))</f>
        <v>152</v>
      </c>
      <c r="AB579" s="48" t="n">
        <f aca="false">IF($U579&gt;=ATR_PER,AVERAGE(INDEX($AA$459:$AA579,122-ATR_PER):$AA579),"")</f>
        <v>126.857142857143</v>
      </c>
      <c r="AC579" s="48" t="n">
        <f aca="false">$O579-$P579</f>
        <v>-12110693</v>
      </c>
      <c r="AD579" s="48" t="n">
        <f aca="false">$AC579*$I579</f>
        <v>-39904733435</v>
      </c>
      <c r="AE579" s="49" t="n">
        <f aca="false">IF($Q579&gt;0,$O579*$I579/$Q579/1000000,"")</f>
        <v>174.989971830283</v>
      </c>
      <c r="AF579" s="49" t="n">
        <f aca="false">IF($R579&gt;0,$P579*$I579/$R579/1000000,"")</f>
        <v>287.844655763889</v>
      </c>
      <c r="AG579" s="50" t="n">
        <f aca="false">IF(AND(ISNUMBER($AE579),ISNUMBER($AF579),$AF579&gt;0),$AE579/$AF579,"")</f>
        <v>0.60793198110936</v>
      </c>
      <c r="AH579" s="48" t="n">
        <f aca="false">IF($U579&gt;=5,SUM(INDEX($AD$549:$AD579,32-5):$AD579),"")</f>
        <v>-111688581653</v>
      </c>
      <c r="AI579" s="48" t="n">
        <f aca="false">IF($U579&gt;=STRUCT_S,MAX(INDEX($G$429:$G579,152-STRUCT_S):$G579),"")</f>
        <v>3797</v>
      </c>
      <c r="AJ579" s="48" t="n">
        <f aca="false">IF($U579&gt;=STRUCT_S,MIN(INDEX($H$429:$H579,152-STRUCT_S):$H579),"")</f>
        <v>3240</v>
      </c>
      <c r="AK579" s="48" t="str">
        <f aca="false">IF($U579&gt;=STRUCT_L,MAX(INDEX($G$329:$G579,252-STRUCT_L):$G579),"")</f>
        <v/>
      </c>
      <c r="AL579" s="48" t="str">
        <f aca="false">IF($U579&gt;=STRUCT_L,MIN(INDEX($H$329:$H579,252-STRUCT_L):$H579),"")</f>
        <v/>
      </c>
      <c r="AM579" s="46" t="n">
        <f aca="false">IF($A579&lt;&gt;$A580,1,0)</f>
        <v>0</v>
      </c>
      <c r="AN579" s="47" t="str">
        <f aca="false">IF($AM579=1,$A579,"")</f>
        <v/>
      </c>
    </row>
    <row r="580" customFormat="false" ht="15" hidden="false" customHeight="false" outlineLevel="0" collapsed="false">
      <c r="A580" s="43" t="s">
        <v>142</v>
      </c>
      <c r="B580" s="44" t="s">
        <v>144</v>
      </c>
      <c r="C580" s="45" t="n">
        <v>45983</v>
      </c>
      <c r="D580" s="46" t="n">
        <v>20251122</v>
      </c>
      <c r="E580" s="47" t="s">
        <v>343</v>
      </c>
      <c r="F580" s="48" t="n">
        <v>3333</v>
      </c>
      <c r="G580" s="48" t="n">
        <v>3344</v>
      </c>
      <c r="H580" s="48" t="n">
        <v>3274</v>
      </c>
      <c r="I580" s="48" t="n">
        <v>3323</v>
      </c>
      <c r="J580" s="48" t="n">
        <v>3279</v>
      </c>
      <c r="K580" s="48" t="n">
        <v>3295</v>
      </c>
      <c r="L580" s="48" t="n">
        <v>83508719</v>
      </c>
      <c r="M580" s="48" t="n">
        <v>277499473237</v>
      </c>
      <c r="N580" s="48" t="n">
        <v>5594</v>
      </c>
      <c r="O580" s="48" t="n">
        <v>50706370</v>
      </c>
      <c r="P580" s="48" t="n">
        <v>35042869</v>
      </c>
      <c r="Q580" s="48" t="n">
        <v>2733</v>
      </c>
      <c r="R580" s="48" t="n">
        <v>3022</v>
      </c>
      <c r="S580" s="48" t="n">
        <v>32802349</v>
      </c>
      <c r="T580" s="48" t="n">
        <v>48465850</v>
      </c>
      <c r="U580" s="46" t="n">
        <f aca="false">IF($A580=$A579,$U579+1,1)</f>
        <v>56</v>
      </c>
      <c r="V580" s="48" t="n">
        <f aca="false">IF($U580&gt;=MA_SHORT,AVERAGE(INDEX($I$180:$I580,402-MA_SHORT):$I580),"")</f>
        <v>3419.4</v>
      </c>
      <c r="W580" s="48" t="n">
        <f aca="false">IF($U580&gt;=MA_MED,AVERAGE(INDEX($I$180:$I580,402-MA_MED):$I580),"")</f>
        <v>3472.62</v>
      </c>
      <c r="X580" s="48" t="str">
        <f aca="false">IF($U580&gt;=MA_LONG1,AVERAGE(INDEX($I$180:$I580,402-MA_LONG1):$I580),"")</f>
        <v/>
      </c>
      <c r="Y580" s="48" t="str">
        <f aca="false">IF($U580&gt;=MA_LONG2,AVERAGE(INDEX($I$180:$I580,402-MA_LONG2):$I580),"")</f>
        <v/>
      </c>
      <c r="Z580" s="48" t="n">
        <f aca="false">IF($U580&gt;=MA_SHORT,AVERAGE(INDEX($L$460:$L580,122-MA_SHORT):$L580),"")</f>
        <v>64279618.7</v>
      </c>
      <c r="AA580" s="48" t="n">
        <f aca="false">IF($U580=1,$G580-$H580,MAX($G580-$H580,ABS($G580-$I579),ABS($H580-$I579)))</f>
        <v>70</v>
      </c>
      <c r="AB580" s="48" t="n">
        <f aca="false">IF($U580&gt;=ATR_PER,AVERAGE(INDEX($AA$460:$AA580,122-ATR_PER):$AA580),"")</f>
        <v>119</v>
      </c>
      <c r="AC580" s="48" t="n">
        <f aca="false">$O580-$P580</f>
        <v>15663501</v>
      </c>
      <c r="AD580" s="48" t="n">
        <f aca="false">$AC580*$I580</f>
        <v>52049813823</v>
      </c>
      <c r="AE580" s="49" t="n">
        <f aca="false">IF($Q580&gt;0,$O580*$I580/$Q580/1000000,"")</f>
        <v>61.6528604134651</v>
      </c>
      <c r="AF580" s="49" t="n">
        <f aca="false">IF($R580&gt;0,$P580*$I580/$R580/1000000,"")</f>
        <v>38.5332407964924</v>
      </c>
      <c r="AG580" s="50" t="n">
        <f aca="false">IF(AND(ISNUMBER($AE580),ISNUMBER($AF580),$AF580&gt;0),$AE580/$AF580,"")</f>
        <v>1.59999156933297</v>
      </c>
      <c r="AH580" s="48" t="n">
        <f aca="false">IF($U580&gt;=5,SUM(INDEX($AD$550:$AD580,32-5):$AD580),"")</f>
        <v>26339484970</v>
      </c>
      <c r="AI580" s="48" t="n">
        <f aca="false">IF($U580&gt;=STRUCT_S,MAX(INDEX($G$430:$G580,152-STRUCT_S):$G580),"")</f>
        <v>3724</v>
      </c>
      <c r="AJ580" s="48" t="n">
        <f aca="false">IF($U580&gt;=STRUCT_S,MIN(INDEX($H$430:$H580,152-STRUCT_S):$H580),"")</f>
        <v>3240</v>
      </c>
      <c r="AK580" s="48" t="str">
        <f aca="false">IF($U580&gt;=STRUCT_L,MAX(INDEX($G$330:$G580,252-STRUCT_L):$G580),"")</f>
        <v/>
      </c>
      <c r="AL580" s="48" t="str">
        <f aca="false">IF($U580&gt;=STRUCT_L,MIN(INDEX($H$330:$H580,252-STRUCT_L):$H580),"")</f>
        <v/>
      </c>
      <c r="AM580" s="46" t="n">
        <f aca="false">IF($A580&lt;&gt;$A581,1,0)</f>
        <v>0</v>
      </c>
      <c r="AN580" s="47" t="str">
        <f aca="false">IF($AM580=1,$A580,"")</f>
        <v/>
      </c>
    </row>
    <row r="581" customFormat="false" ht="15" hidden="false" customHeight="false" outlineLevel="0" collapsed="false">
      <c r="A581" s="43" t="s">
        <v>142</v>
      </c>
      <c r="B581" s="44" t="s">
        <v>144</v>
      </c>
      <c r="C581" s="45" t="n">
        <v>45984</v>
      </c>
      <c r="D581" s="46" t="n">
        <v>20251123</v>
      </c>
      <c r="E581" s="47" t="s">
        <v>344</v>
      </c>
      <c r="F581" s="48" t="n">
        <v>3383</v>
      </c>
      <c r="G581" s="48" t="n">
        <v>3384</v>
      </c>
      <c r="H581" s="48" t="n">
        <v>3287</v>
      </c>
      <c r="I581" s="48" t="n">
        <v>3348</v>
      </c>
      <c r="J581" s="48" t="n">
        <v>3308</v>
      </c>
      <c r="K581" s="48" t="n">
        <v>3323</v>
      </c>
      <c r="L581" s="48" t="n">
        <v>52285735</v>
      </c>
      <c r="M581" s="48" t="n">
        <v>175052640780</v>
      </c>
      <c r="N581" s="48" t="n">
        <v>1217</v>
      </c>
      <c r="O581" s="48" t="n">
        <v>24265346</v>
      </c>
      <c r="P581" s="48" t="n">
        <v>28128369</v>
      </c>
      <c r="Q581" s="48" t="n">
        <v>590</v>
      </c>
      <c r="R581" s="48" t="n">
        <v>644</v>
      </c>
      <c r="S581" s="48" t="n">
        <v>28020389</v>
      </c>
      <c r="T581" s="48" t="n">
        <v>24157366</v>
      </c>
      <c r="U581" s="46" t="n">
        <f aca="false">IF($A581=$A580,$U580+1,1)</f>
        <v>57</v>
      </c>
      <c r="V581" s="48" t="n">
        <f aca="false">IF($U581&gt;=MA_SHORT,AVERAGE(INDEX($I$181:$I581,402-MA_SHORT):$I581),"")</f>
        <v>3410.15</v>
      </c>
      <c r="W581" s="48" t="n">
        <f aca="false">IF($U581&gt;=MA_MED,AVERAGE(INDEX($I$181:$I581,402-MA_MED):$I581),"")</f>
        <v>3472.5</v>
      </c>
      <c r="X581" s="48" t="str">
        <f aca="false">IF($U581&gt;=MA_LONG1,AVERAGE(INDEX($I$181:$I581,402-MA_LONG1):$I581),"")</f>
        <v/>
      </c>
      <c r="Y581" s="48" t="str">
        <f aca="false">IF($U581&gt;=MA_LONG2,AVERAGE(INDEX($I$181:$I581,402-MA_LONG2):$I581),"")</f>
        <v/>
      </c>
      <c r="Z581" s="48" t="n">
        <f aca="false">IF($U581&gt;=MA_SHORT,AVERAGE(INDEX($L$461:$L581,122-MA_SHORT):$L581),"")</f>
        <v>62188538.9</v>
      </c>
      <c r="AA581" s="48" t="n">
        <f aca="false">IF($U581=1,$G581-$H581,MAX($G581-$H581,ABS($G581-$I580),ABS($H581-$I580)))</f>
        <v>97</v>
      </c>
      <c r="AB581" s="48" t="n">
        <f aca="false">IF($U581&gt;=ATR_PER,AVERAGE(INDEX($AA$461:$AA581,122-ATR_PER):$AA581),"")</f>
        <v>123.285714285714</v>
      </c>
      <c r="AC581" s="48" t="n">
        <f aca="false">$O581-$P581</f>
        <v>-3863023</v>
      </c>
      <c r="AD581" s="48" t="n">
        <f aca="false">$AC581*$I581</f>
        <v>-12933401004</v>
      </c>
      <c r="AE581" s="49" t="n">
        <f aca="false">IF($Q581&gt;0,$O581*$I581/$Q581/1000000,"")</f>
        <v>137.695556623729</v>
      </c>
      <c r="AF581" s="49" t="n">
        <f aca="false">IF($R581&gt;0,$P581*$I581/$R581/1000000,"")</f>
        <v>146.232576726708</v>
      </c>
      <c r="AG581" s="50" t="n">
        <f aca="false">IF(AND(ISNUMBER($AE581),ISNUMBER($AF581),$AF581&gt;0),$AE581/$AF581,"")</f>
        <v>0.941620257988519</v>
      </c>
      <c r="AH581" s="48" t="n">
        <f aca="false">IF($U581&gt;=5,SUM(INDEX($AD$551:$AD581,32-5):$AD581),"")</f>
        <v>22798801720</v>
      </c>
      <c r="AI581" s="48" t="n">
        <f aca="false">IF($U581&gt;=STRUCT_S,MAX(INDEX($G$431:$G581,152-STRUCT_S):$G581),"")</f>
        <v>3584</v>
      </c>
      <c r="AJ581" s="48" t="n">
        <f aca="false">IF($U581&gt;=STRUCT_S,MIN(INDEX($H$431:$H581,152-STRUCT_S):$H581),"")</f>
        <v>3240</v>
      </c>
      <c r="AK581" s="48" t="str">
        <f aca="false">IF($U581&gt;=STRUCT_L,MAX(INDEX($G$331:$G581,252-STRUCT_L):$G581),"")</f>
        <v/>
      </c>
      <c r="AL581" s="48" t="str">
        <f aca="false">IF($U581&gt;=STRUCT_L,MIN(INDEX($H$331:$H581,252-STRUCT_L):$H581),"")</f>
        <v/>
      </c>
      <c r="AM581" s="46" t="n">
        <f aca="false">IF($A581&lt;&gt;$A582,1,0)</f>
        <v>0</v>
      </c>
      <c r="AN581" s="47" t="str">
        <f aca="false">IF($AM581=1,$A581,"")</f>
        <v/>
      </c>
    </row>
    <row r="582" customFormat="false" ht="15" hidden="false" customHeight="false" outlineLevel="0" collapsed="false">
      <c r="A582" s="43" t="s">
        <v>142</v>
      </c>
      <c r="B582" s="44" t="s">
        <v>144</v>
      </c>
      <c r="C582" s="45" t="n">
        <v>45985</v>
      </c>
      <c r="D582" s="46" t="n">
        <v>20251124</v>
      </c>
      <c r="E582" s="47" t="s">
        <v>345</v>
      </c>
      <c r="F582" s="48" t="n">
        <v>3344</v>
      </c>
      <c r="G582" s="48" t="n">
        <v>3403</v>
      </c>
      <c r="H582" s="48" t="n">
        <v>3317</v>
      </c>
      <c r="I582" s="48" t="n">
        <v>3372</v>
      </c>
      <c r="J582" s="48" t="n">
        <v>3377</v>
      </c>
      <c r="K582" s="48" t="n">
        <v>3348</v>
      </c>
      <c r="L582" s="48" t="n">
        <v>52179217</v>
      </c>
      <c r="M582" s="48" t="n">
        <v>175948319724</v>
      </c>
      <c r="N582" s="48" t="n">
        <v>2592</v>
      </c>
      <c r="O582" s="48" t="n">
        <v>31971771</v>
      </c>
      <c r="P582" s="48" t="n">
        <v>23273896</v>
      </c>
      <c r="Q582" s="48" t="n">
        <v>983</v>
      </c>
      <c r="R582" s="48" t="n">
        <v>1374</v>
      </c>
      <c r="S582" s="48" t="n">
        <v>20207446</v>
      </c>
      <c r="T582" s="48" t="n">
        <v>28905321</v>
      </c>
      <c r="U582" s="46" t="n">
        <f aca="false">IF($A582=$A581,$U581+1,1)</f>
        <v>58</v>
      </c>
      <c r="V582" s="48" t="n">
        <f aca="false">IF($U582&gt;=MA_SHORT,AVERAGE(INDEX($I$182:$I582,402-MA_SHORT):$I582),"")</f>
        <v>3406.05</v>
      </c>
      <c r="W582" s="48" t="n">
        <f aca="false">IF($U582&gt;=MA_MED,AVERAGE(INDEX($I$182:$I582,402-MA_MED):$I582),"")</f>
        <v>3470.18</v>
      </c>
      <c r="X582" s="48" t="str">
        <f aca="false">IF($U582&gt;=MA_LONG1,AVERAGE(INDEX($I$182:$I582,402-MA_LONG1):$I582),"")</f>
        <v/>
      </c>
      <c r="Y582" s="48" t="str">
        <f aca="false">IF($U582&gt;=MA_LONG2,AVERAGE(INDEX($I$182:$I582,402-MA_LONG2):$I582),"")</f>
        <v/>
      </c>
      <c r="Z582" s="48" t="n">
        <f aca="false">IF($U582&gt;=MA_SHORT,AVERAGE(INDEX($L$462:$L582,122-MA_SHORT):$L582),"")</f>
        <v>60739826.95</v>
      </c>
      <c r="AA582" s="48" t="n">
        <f aca="false">IF($U582=1,$G582-$H582,MAX($G582-$H582,ABS($G582-$I581),ABS($H582-$I581)))</f>
        <v>86</v>
      </c>
      <c r="AB582" s="48" t="n">
        <f aca="false">IF($U582&gt;=ATR_PER,AVERAGE(INDEX($AA$462:$AA582,122-ATR_PER):$AA582),"")</f>
        <v>123.857142857143</v>
      </c>
      <c r="AC582" s="48" t="n">
        <f aca="false">$O582-$P582</f>
        <v>8697875</v>
      </c>
      <c r="AD582" s="48" t="n">
        <f aca="false">$AC582*$I582</f>
        <v>29329234500</v>
      </c>
      <c r="AE582" s="49" t="n">
        <f aca="false">IF($Q582&gt;0,$O582*$I582/$Q582/1000000,"")</f>
        <v>109.67325718413</v>
      </c>
      <c r="AF582" s="49" t="n">
        <f aca="false">IF($R582&gt;0,$P582*$I582/$R582/1000000,"")</f>
        <v>57.1175962969432</v>
      </c>
      <c r="AG582" s="50" t="n">
        <f aca="false">IF(AND(ISNUMBER($AE582),ISNUMBER($AF582),$AF582&gt;0),$AE582/$AF582,"")</f>
        <v>1.92013082297722</v>
      </c>
      <c r="AH582" s="48" t="n">
        <f aca="false">IF($U582&gt;=5,SUM(INDEX($AD$552:$AD582,32-5):$AD582),"")</f>
        <v>31974064876</v>
      </c>
      <c r="AI582" s="48" t="n">
        <f aca="false">IF($U582&gt;=STRUCT_S,MAX(INDEX($G$432:$G582,152-STRUCT_S):$G582),"")</f>
        <v>3584</v>
      </c>
      <c r="AJ582" s="48" t="n">
        <f aca="false">IF($U582&gt;=STRUCT_S,MIN(INDEX($H$432:$H582,152-STRUCT_S):$H582),"")</f>
        <v>3240</v>
      </c>
      <c r="AK582" s="48" t="str">
        <f aca="false">IF($U582&gt;=STRUCT_L,MAX(INDEX($G$332:$G582,252-STRUCT_L):$G582),"")</f>
        <v/>
      </c>
      <c r="AL582" s="48" t="str">
        <f aca="false">IF($U582&gt;=STRUCT_L,MIN(INDEX($H$332:$H582,252-STRUCT_L):$H582),"")</f>
        <v/>
      </c>
      <c r="AM582" s="46" t="n">
        <f aca="false">IF($A582&lt;&gt;$A583,1,0)</f>
        <v>0</v>
      </c>
      <c r="AN582" s="47" t="str">
        <f aca="false">IF($AM582=1,$A582,"")</f>
        <v/>
      </c>
    </row>
    <row r="583" customFormat="false" ht="15" hidden="false" customHeight="false" outlineLevel="0" collapsed="false">
      <c r="A583" s="43" t="s">
        <v>142</v>
      </c>
      <c r="B583" s="44" t="s">
        <v>144</v>
      </c>
      <c r="C583" s="45" t="n">
        <v>45986</v>
      </c>
      <c r="D583" s="46" t="n">
        <v>20251125</v>
      </c>
      <c r="E583" s="47" t="s">
        <v>346</v>
      </c>
      <c r="F583" s="48" t="n">
        <v>3368</v>
      </c>
      <c r="G583" s="48" t="n">
        <v>3458</v>
      </c>
      <c r="H583" s="48" t="n">
        <v>3170</v>
      </c>
      <c r="I583" s="48" t="n">
        <v>3253</v>
      </c>
      <c r="J583" s="48" t="n">
        <v>3234</v>
      </c>
      <c r="K583" s="48" t="n">
        <v>3372</v>
      </c>
      <c r="L583" s="48" t="n">
        <v>66785610</v>
      </c>
      <c r="M583" s="48" t="n">
        <v>217253589330</v>
      </c>
      <c r="N583" s="48" t="n">
        <v>3659</v>
      </c>
      <c r="O583" s="48" t="n">
        <v>23103721</v>
      </c>
      <c r="P583" s="48" t="n">
        <v>44175063</v>
      </c>
      <c r="Q583" s="48" t="n">
        <v>1864</v>
      </c>
      <c r="R583" s="48" t="n">
        <v>1514</v>
      </c>
      <c r="S583" s="48" t="n">
        <v>43681889</v>
      </c>
      <c r="T583" s="48" t="n">
        <v>22610547</v>
      </c>
      <c r="U583" s="46" t="n">
        <f aca="false">IF($A583=$A582,$U582+1,1)</f>
        <v>59</v>
      </c>
      <c r="V583" s="48" t="n">
        <f aca="false">IF($U583&gt;=MA_SHORT,AVERAGE(INDEX($I$183:$I583,402-MA_SHORT):$I583),"")</f>
        <v>3395.55</v>
      </c>
      <c r="W583" s="48" t="n">
        <f aca="false">IF($U583&gt;=MA_MED,AVERAGE(INDEX($I$183:$I583,402-MA_MED):$I583),"")</f>
        <v>3463.78</v>
      </c>
      <c r="X583" s="48" t="str">
        <f aca="false">IF($U583&gt;=MA_LONG1,AVERAGE(INDEX($I$183:$I583,402-MA_LONG1):$I583),"")</f>
        <v/>
      </c>
      <c r="Y583" s="48" t="str">
        <f aca="false">IF($U583&gt;=MA_LONG2,AVERAGE(INDEX($I$183:$I583,402-MA_LONG2):$I583),"")</f>
        <v/>
      </c>
      <c r="Z583" s="48" t="n">
        <f aca="false">IF($U583&gt;=MA_SHORT,AVERAGE(INDEX($L$463:$L583,122-MA_SHORT):$L583),"")</f>
        <v>61341105.4</v>
      </c>
      <c r="AA583" s="48" t="n">
        <f aca="false">IF($U583=1,$G583-$H583,MAX($G583-$H583,ABS($G583-$I582),ABS($H583-$I582)))</f>
        <v>288</v>
      </c>
      <c r="AB583" s="48" t="n">
        <f aca="false">IF($U583&gt;=ATR_PER,AVERAGE(INDEX($AA$463:$AA583,122-ATR_PER):$AA583),"")</f>
        <v>135.071428571429</v>
      </c>
      <c r="AC583" s="48" t="n">
        <f aca="false">$O583-$P583</f>
        <v>-21071342</v>
      </c>
      <c r="AD583" s="48" t="n">
        <f aca="false">$AC583*$I583</f>
        <v>-68545075526</v>
      </c>
      <c r="AE583" s="49" t="n">
        <f aca="false">IF($Q583&gt;0,$O583*$I583/$Q583/1000000,"")</f>
        <v>40.3199594490343</v>
      </c>
      <c r="AF583" s="49" t="n">
        <f aca="false">IF($R583&gt;0,$P583*$I583/$R583/1000000,"")</f>
        <v>94.9151122450462</v>
      </c>
      <c r="AG583" s="50" t="n">
        <f aca="false">IF(AND(ISNUMBER($AE583),ISNUMBER($AF583),$AF583&gt;0),$AE583/$AF583,"")</f>
        <v>0.424800208263344</v>
      </c>
      <c r="AH583" s="48" t="n">
        <f aca="false">IF($U583&gt;=5,SUM(INDEX($AD$553:$AD583,32-5):$AD583),"")</f>
        <v>-40004161642</v>
      </c>
      <c r="AI583" s="48" t="n">
        <f aca="false">IF($U583&gt;=STRUCT_S,MAX(INDEX($G$433:$G583,152-STRUCT_S):$G583),"")</f>
        <v>3584</v>
      </c>
      <c r="AJ583" s="48" t="n">
        <f aca="false">IF($U583&gt;=STRUCT_S,MIN(INDEX($H$433:$H583,152-STRUCT_S):$H583),"")</f>
        <v>3170</v>
      </c>
      <c r="AK583" s="48" t="str">
        <f aca="false">IF($U583&gt;=STRUCT_L,MAX(INDEX($G$333:$G583,252-STRUCT_L):$G583),"")</f>
        <v/>
      </c>
      <c r="AL583" s="48" t="str">
        <f aca="false">IF($U583&gt;=STRUCT_L,MIN(INDEX($H$333:$H583,252-STRUCT_L):$H583),"")</f>
        <v/>
      </c>
      <c r="AM583" s="46" t="n">
        <f aca="false">IF($A583&lt;&gt;$A584,1,0)</f>
        <v>0</v>
      </c>
      <c r="AN583" s="47" t="str">
        <f aca="false">IF($AM583=1,$A583,"")</f>
        <v/>
      </c>
    </row>
    <row r="584" customFormat="false" ht="15" hidden="false" customHeight="false" outlineLevel="0" collapsed="false">
      <c r="A584" s="43" t="s">
        <v>142</v>
      </c>
      <c r="B584" s="44" t="s">
        <v>144</v>
      </c>
      <c r="C584" s="45" t="n">
        <v>45987</v>
      </c>
      <c r="D584" s="46" t="n">
        <v>20251126</v>
      </c>
      <c r="E584" s="47" t="s">
        <v>347</v>
      </c>
      <c r="F584" s="48" t="n">
        <v>3298</v>
      </c>
      <c r="G584" s="48" t="n">
        <v>3411</v>
      </c>
      <c r="H584" s="48" t="n">
        <v>3236</v>
      </c>
      <c r="I584" s="48" t="n">
        <v>3393</v>
      </c>
      <c r="J584" s="48" t="n">
        <v>3280</v>
      </c>
      <c r="K584" s="48" t="n">
        <v>3253</v>
      </c>
      <c r="L584" s="48" t="n">
        <v>62945756</v>
      </c>
      <c r="M584" s="48" t="n">
        <v>213574950108</v>
      </c>
      <c r="N584" s="48" t="n">
        <v>2049</v>
      </c>
      <c r="O584" s="48" t="n">
        <v>47985229</v>
      </c>
      <c r="P584" s="48" t="n">
        <v>15999580</v>
      </c>
      <c r="Q584" s="48" t="n">
        <v>591</v>
      </c>
      <c r="R584" s="48" t="n">
        <v>763</v>
      </c>
      <c r="S584" s="48" t="n">
        <v>14960527</v>
      </c>
      <c r="T584" s="48" t="n">
        <v>46946176</v>
      </c>
      <c r="U584" s="46" t="n">
        <f aca="false">IF($A584=$A583,$U583+1,1)</f>
        <v>60</v>
      </c>
      <c r="V584" s="48" t="n">
        <f aca="false">IF($U584&gt;=MA_SHORT,AVERAGE(INDEX($I$184:$I584,402-MA_SHORT):$I584),"")</f>
        <v>3391.75</v>
      </c>
      <c r="W584" s="48" t="n">
        <f aca="false">IF($U584&gt;=MA_MED,AVERAGE(INDEX($I$184:$I584,402-MA_MED):$I584),"")</f>
        <v>3458.18</v>
      </c>
      <c r="X584" s="48" t="str">
        <f aca="false">IF($U584&gt;=MA_LONG1,AVERAGE(INDEX($I$184:$I584,402-MA_LONG1):$I584),"")</f>
        <v/>
      </c>
      <c r="Y584" s="48" t="str">
        <f aca="false">IF($U584&gt;=MA_LONG2,AVERAGE(INDEX($I$184:$I584,402-MA_LONG2):$I584),"")</f>
        <v/>
      </c>
      <c r="Z584" s="48" t="n">
        <f aca="false">IF($U584&gt;=MA_SHORT,AVERAGE(INDEX($L$464:$L584,122-MA_SHORT):$L584),"")</f>
        <v>61756613.5</v>
      </c>
      <c r="AA584" s="48" t="n">
        <f aca="false">IF($U584=1,$G584-$H584,MAX($G584-$H584,ABS($G584-$I583),ABS($H584-$I583)))</f>
        <v>175</v>
      </c>
      <c r="AB584" s="48" t="n">
        <f aca="false">IF($U584&gt;=ATR_PER,AVERAGE(INDEX($AA$464:$AA584,122-ATR_PER):$AA584),"")</f>
        <v>141.071428571429</v>
      </c>
      <c r="AC584" s="48" t="n">
        <f aca="false">$O584-$P584</f>
        <v>31985649</v>
      </c>
      <c r="AD584" s="48" t="n">
        <f aca="false">$AC584*$I584</f>
        <v>108527307057</v>
      </c>
      <c r="AE584" s="49" t="n">
        <f aca="false">IF($Q584&gt;0,$O584*$I584/$Q584/1000000,"")</f>
        <v>275.488802025381</v>
      </c>
      <c r="AF584" s="49" t="n">
        <f aca="false">IF($R584&gt;0,$P584*$I584/$R584/1000000,"")</f>
        <v>71.1488531323722</v>
      </c>
      <c r="AG584" s="50" t="n">
        <f aca="false">IF(AND(ISNUMBER($AE584),ISNUMBER($AF584),$AF584&gt;0),$AE584/$AF584,"")</f>
        <v>3.87200622212188</v>
      </c>
      <c r="AH584" s="48" t="n">
        <f aca="false">IF($U584&gt;=5,SUM(INDEX($AD$554:$AD584,32-5):$AD584),"")</f>
        <v>108427878850</v>
      </c>
      <c r="AI584" s="48" t="n">
        <f aca="false">IF($U584&gt;=STRUCT_S,MAX(INDEX($G$434:$G584,152-STRUCT_S):$G584),"")</f>
        <v>3584</v>
      </c>
      <c r="AJ584" s="48" t="n">
        <f aca="false">IF($U584&gt;=STRUCT_S,MIN(INDEX($H$434:$H584,152-STRUCT_S):$H584),"")</f>
        <v>3170</v>
      </c>
      <c r="AK584" s="48" t="n">
        <f aca="false">IF($U584&gt;=STRUCT_L,MAX(INDEX($G$334:$G584,252-STRUCT_L):$G584),"")</f>
        <v>3797</v>
      </c>
      <c r="AL584" s="48" t="n">
        <f aca="false">IF($U584&gt;=STRUCT_L,MIN(INDEX($H$334:$H584,252-STRUCT_L):$H584),"")</f>
        <v>3131</v>
      </c>
      <c r="AM584" s="46" t="n">
        <f aca="false">IF($A584&lt;&gt;$A585,1,0)</f>
        <v>0</v>
      </c>
      <c r="AN584" s="47" t="str">
        <f aca="false">IF($AM584=1,$A584,"")</f>
        <v/>
      </c>
    </row>
    <row r="585" customFormat="false" ht="15" hidden="false" customHeight="false" outlineLevel="0" collapsed="false">
      <c r="A585" s="43" t="s">
        <v>142</v>
      </c>
      <c r="B585" s="44" t="s">
        <v>144</v>
      </c>
      <c r="C585" s="45" t="n">
        <v>45990</v>
      </c>
      <c r="D585" s="46" t="n">
        <v>20251129</v>
      </c>
      <c r="E585" s="47" t="s">
        <v>348</v>
      </c>
      <c r="F585" s="48" t="n">
        <v>3480</v>
      </c>
      <c r="G585" s="48" t="n">
        <v>3582</v>
      </c>
      <c r="H585" s="48" t="n">
        <v>3324</v>
      </c>
      <c r="I585" s="48" t="n">
        <v>3511</v>
      </c>
      <c r="J585" s="48" t="n">
        <v>3357</v>
      </c>
      <c r="K585" s="48" t="n">
        <v>3393</v>
      </c>
      <c r="L585" s="48" t="n">
        <v>60466479</v>
      </c>
      <c r="M585" s="48" t="n">
        <v>212297807769</v>
      </c>
      <c r="N585" s="48" t="n">
        <v>2216</v>
      </c>
      <c r="O585" s="48" t="n">
        <v>41642354</v>
      </c>
      <c r="P585" s="48" t="n">
        <v>17646158</v>
      </c>
      <c r="Q585" s="48" t="n">
        <v>923</v>
      </c>
      <c r="R585" s="48" t="n">
        <v>1304</v>
      </c>
      <c r="S585" s="48" t="n">
        <v>18824125</v>
      </c>
      <c r="T585" s="48" t="n">
        <v>42820321</v>
      </c>
      <c r="U585" s="46" t="n">
        <f aca="false">IF($A585=$A584,$U584+1,1)</f>
        <v>61</v>
      </c>
      <c r="V585" s="48" t="n">
        <f aca="false">IF($U585&gt;=MA_SHORT,AVERAGE(INDEX($I$185:$I585,402-MA_SHORT):$I585),"")</f>
        <v>3392.1</v>
      </c>
      <c r="W585" s="48" t="n">
        <f aca="false">IF($U585&gt;=MA_MED,AVERAGE(INDEX($I$185:$I585,402-MA_MED):$I585),"")</f>
        <v>3455.6</v>
      </c>
      <c r="X585" s="48" t="str">
        <f aca="false">IF($U585&gt;=MA_LONG1,AVERAGE(INDEX($I$185:$I585,402-MA_LONG1):$I585),"")</f>
        <v/>
      </c>
      <c r="Y585" s="48" t="str">
        <f aca="false">IF($U585&gt;=MA_LONG2,AVERAGE(INDEX($I$185:$I585,402-MA_LONG2):$I585),"")</f>
        <v/>
      </c>
      <c r="Z585" s="48" t="n">
        <f aca="false">IF($U585&gt;=MA_SHORT,AVERAGE(INDEX($L$465:$L585,122-MA_SHORT):$L585),"")</f>
        <v>62008873.75</v>
      </c>
      <c r="AA585" s="48" t="n">
        <f aca="false">IF($U585=1,$G585-$H585,MAX($G585-$H585,ABS($G585-$I584),ABS($H585-$I584)))</f>
        <v>258</v>
      </c>
      <c r="AB585" s="48" t="n">
        <f aca="false">IF($U585&gt;=ATR_PER,AVERAGE(INDEX($AA$465:$AA585,122-ATR_PER):$AA585),"")</f>
        <v>148.071428571429</v>
      </c>
      <c r="AC585" s="48" t="n">
        <f aca="false">$O585-$P585</f>
        <v>23996196</v>
      </c>
      <c r="AD585" s="48" t="n">
        <f aca="false">$AC585*$I585</f>
        <v>84250644156</v>
      </c>
      <c r="AE585" s="49" t="n">
        <f aca="false">IF($Q585&gt;0,$O585*$I585/$Q585/1000000,"")</f>
        <v>158.403363915493</v>
      </c>
      <c r="AF585" s="49" t="n">
        <f aca="false">IF($R585&gt;0,$P585*$I585/$R585/1000000,"")</f>
        <v>47.5120097684049</v>
      </c>
      <c r="AG585" s="50" t="n">
        <f aca="false">IF(AND(ISNUMBER($AE585),ISNUMBER($AF585),$AF585&gt;0),$AE585/$AF585,"")</f>
        <v>3.33396471097777</v>
      </c>
      <c r="AH585" s="48" t="n">
        <f aca="false">IF($U585&gt;=5,SUM(INDEX($AD$555:$AD585,32-5):$AD585),"")</f>
        <v>140628709183</v>
      </c>
      <c r="AI585" s="48" t="n">
        <f aca="false">IF($U585&gt;=STRUCT_S,MAX(INDEX($G$435:$G585,152-STRUCT_S):$G585),"")</f>
        <v>3584</v>
      </c>
      <c r="AJ585" s="48" t="n">
        <f aca="false">IF($U585&gt;=STRUCT_S,MIN(INDEX($H$435:$H585,152-STRUCT_S):$H585),"")</f>
        <v>3170</v>
      </c>
      <c r="AK585" s="48" t="n">
        <f aca="false">IF($U585&gt;=STRUCT_L,MAX(INDEX($G$335:$G585,252-STRUCT_L):$G585),"")</f>
        <v>3797</v>
      </c>
      <c r="AL585" s="48" t="n">
        <f aca="false">IF($U585&gt;=STRUCT_L,MIN(INDEX($H$335:$H585,252-STRUCT_L):$H585),"")</f>
        <v>3145</v>
      </c>
      <c r="AM585" s="46" t="n">
        <f aca="false">IF($A585&lt;&gt;$A586,1,0)</f>
        <v>0</v>
      </c>
      <c r="AN585" s="47" t="str">
        <f aca="false">IF($AM585=1,$A585,"")</f>
        <v/>
      </c>
    </row>
    <row r="586" customFormat="false" ht="15" hidden="false" customHeight="false" outlineLevel="0" collapsed="false">
      <c r="A586" s="43" t="s">
        <v>142</v>
      </c>
      <c r="B586" s="44" t="s">
        <v>144</v>
      </c>
      <c r="C586" s="45" t="n">
        <v>45991</v>
      </c>
      <c r="D586" s="46" t="n">
        <v>20251130</v>
      </c>
      <c r="E586" s="47" t="s">
        <v>349</v>
      </c>
      <c r="F586" s="48" t="n">
        <v>3490</v>
      </c>
      <c r="G586" s="48" t="n">
        <v>3524</v>
      </c>
      <c r="H586" s="48" t="n">
        <v>3436</v>
      </c>
      <c r="I586" s="48" t="n">
        <v>3449</v>
      </c>
      <c r="J586" s="48" t="n">
        <v>3467</v>
      </c>
      <c r="K586" s="48" t="n">
        <v>3511</v>
      </c>
      <c r="L586" s="48" t="n">
        <v>55328046</v>
      </c>
      <c r="M586" s="48" t="n">
        <v>190826430654</v>
      </c>
      <c r="N586" s="48" t="n">
        <v>1305</v>
      </c>
      <c r="O586" s="48" t="n">
        <v>29066631</v>
      </c>
      <c r="P586" s="48" t="n">
        <v>23420743</v>
      </c>
      <c r="Q586" s="48" t="n">
        <v>686</v>
      </c>
      <c r="R586" s="48" t="n">
        <v>444</v>
      </c>
      <c r="S586" s="48" t="n">
        <v>26261415</v>
      </c>
      <c r="T586" s="48" t="n">
        <v>31907303</v>
      </c>
      <c r="U586" s="46" t="n">
        <f aca="false">IF($A586=$A585,$U585+1,1)</f>
        <v>62</v>
      </c>
      <c r="V586" s="48" t="n">
        <f aca="false">IF($U586&gt;=MA_SHORT,AVERAGE(INDEX($I$186:$I586,402-MA_SHORT):$I586),"")</f>
        <v>3395.9</v>
      </c>
      <c r="W586" s="48" t="n">
        <f aca="false">IF($U586&gt;=MA_MED,AVERAGE(INDEX($I$186:$I586,402-MA_MED):$I586),"")</f>
        <v>3452.82</v>
      </c>
      <c r="X586" s="48" t="str">
        <f aca="false">IF($U586&gt;=MA_LONG1,AVERAGE(INDEX($I$186:$I586,402-MA_LONG1):$I586),"")</f>
        <v/>
      </c>
      <c r="Y586" s="48" t="str">
        <f aca="false">IF($U586&gt;=MA_LONG2,AVERAGE(INDEX($I$186:$I586,402-MA_LONG2):$I586),"")</f>
        <v/>
      </c>
      <c r="Z586" s="48" t="n">
        <f aca="false">IF($U586&gt;=MA_SHORT,AVERAGE(INDEX($L$466:$L586,122-MA_SHORT):$L586),"")</f>
        <v>61712805.15</v>
      </c>
      <c r="AA586" s="48" t="n">
        <f aca="false">IF($U586=1,$G586-$H586,MAX($G586-$H586,ABS($G586-$I585),ABS($H586-$I585)))</f>
        <v>88</v>
      </c>
      <c r="AB586" s="48" t="n">
        <f aca="false">IF($U586&gt;=ATR_PER,AVERAGE(INDEX($AA$466:$AA586,122-ATR_PER):$AA586),"")</f>
        <v>136.285714285714</v>
      </c>
      <c r="AC586" s="48" t="n">
        <f aca="false">$O586-$P586</f>
        <v>5645888</v>
      </c>
      <c r="AD586" s="48" t="n">
        <f aca="false">$AC586*$I586</f>
        <v>19472667712</v>
      </c>
      <c r="AE586" s="49" t="n">
        <f aca="false">IF($Q586&gt;0,$O586*$I586/$Q586/1000000,"")</f>
        <v>146.138207462099</v>
      </c>
      <c r="AF586" s="49" t="n">
        <f aca="false">IF($R586&gt;0,$P586*$I586/$R586/1000000,"")</f>
        <v>181.932753619369</v>
      </c>
      <c r="AG586" s="50" t="n">
        <f aca="false">IF(AND(ISNUMBER($AE586),ISNUMBER($AF586),$AF586&gt;0),$AE586/$AF586,"")</f>
        <v>0.803253974640774</v>
      </c>
      <c r="AH586" s="48" t="n">
        <f aca="false">IF($U586&gt;=5,SUM(INDEX($AD$556:$AD586,32-5):$AD586),"")</f>
        <v>173034777899</v>
      </c>
      <c r="AI586" s="48" t="n">
        <f aca="false">IF($U586&gt;=STRUCT_S,MAX(INDEX($G$436:$G586,152-STRUCT_S):$G586),"")</f>
        <v>3584</v>
      </c>
      <c r="AJ586" s="48" t="n">
        <f aca="false">IF($U586&gt;=STRUCT_S,MIN(INDEX($H$436:$H586,152-STRUCT_S):$H586),"")</f>
        <v>3170</v>
      </c>
      <c r="AK586" s="48" t="n">
        <f aca="false">IF($U586&gt;=STRUCT_L,MAX(INDEX($G$336:$G586,252-STRUCT_L):$G586),"")</f>
        <v>3797</v>
      </c>
      <c r="AL586" s="48" t="n">
        <f aca="false">IF($U586&gt;=STRUCT_L,MIN(INDEX($H$336:$H586,252-STRUCT_L):$H586),"")</f>
        <v>3170</v>
      </c>
      <c r="AM586" s="46" t="n">
        <f aca="false">IF($A586&lt;&gt;$A587,1,0)</f>
        <v>0</v>
      </c>
      <c r="AN586" s="47" t="str">
        <f aca="false">IF($AM586=1,$A586,"")</f>
        <v/>
      </c>
    </row>
    <row r="587" customFormat="false" ht="15" hidden="false" customHeight="false" outlineLevel="0" collapsed="false">
      <c r="A587" s="43" t="s">
        <v>142</v>
      </c>
      <c r="B587" s="44" t="s">
        <v>144</v>
      </c>
      <c r="C587" s="45" t="n">
        <v>45992</v>
      </c>
      <c r="D587" s="46" t="n">
        <v>20251201</v>
      </c>
      <c r="E587" s="47" t="s">
        <v>350</v>
      </c>
      <c r="F587" s="48" t="n">
        <v>3420</v>
      </c>
      <c r="G587" s="48" t="n">
        <v>3488</v>
      </c>
      <c r="H587" s="48" t="n">
        <v>3277</v>
      </c>
      <c r="I587" s="48" t="n">
        <v>3314</v>
      </c>
      <c r="J587" s="48" t="n">
        <v>3453</v>
      </c>
      <c r="K587" s="48" t="n">
        <v>3449</v>
      </c>
      <c r="L587" s="48" t="n">
        <v>76065386</v>
      </c>
      <c r="M587" s="48" t="n">
        <v>252080689204</v>
      </c>
      <c r="N587" s="48" t="n">
        <v>3174</v>
      </c>
      <c r="O587" s="48" t="n">
        <v>23916514</v>
      </c>
      <c r="P587" s="48" t="n">
        <v>52142788</v>
      </c>
      <c r="Q587" s="48" t="n">
        <v>1616</v>
      </c>
      <c r="R587" s="48" t="n">
        <v>957</v>
      </c>
      <c r="S587" s="48" t="n">
        <v>52148872</v>
      </c>
      <c r="T587" s="48" t="n">
        <v>23922598</v>
      </c>
      <c r="U587" s="46" t="n">
        <f aca="false">IF($A587=$A586,$U586+1,1)</f>
        <v>63</v>
      </c>
      <c r="V587" s="48" t="n">
        <f aca="false">IF($U587&gt;=MA_SHORT,AVERAGE(INDEX($I$187:$I587,402-MA_SHORT):$I587),"")</f>
        <v>3392.3</v>
      </c>
      <c r="W587" s="48" t="n">
        <f aca="false">IF($U587&gt;=MA_MED,AVERAGE(INDEX($I$187:$I587,402-MA_MED):$I587),"")</f>
        <v>3449.36</v>
      </c>
      <c r="X587" s="48" t="str">
        <f aca="false">IF($U587&gt;=MA_LONG1,AVERAGE(INDEX($I$187:$I587,402-MA_LONG1):$I587),"")</f>
        <v/>
      </c>
      <c r="Y587" s="48" t="str">
        <f aca="false">IF($U587&gt;=MA_LONG2,AVERAGE(INDEX($I$187:$I587,402-MA_LONG2):$I587),"")</f>
        <v/>
      </c>
      <c r="Z587" s="48" t="n">
        <f aca="false">IF($U587&gt;=MA_SHORT,AVERAGE(INDEX($L$467:$L587,122-MA_SHORT):$L587),"")</f>
        <v>62623421.5</v>
      </c>
      <c r="AA587" s="48" t="n">
        <f aca="false">IF($U587=1,$G587-$H587,MAX($G587-$H587,ABS($G587-$I586),ABS($H587-$I586)))</f>
        <v>211</v>
      </c>
      <c r="AB587" s="48" t="n">
        <f aca="false">IF($U587&gt;=ATR_PER,AVERAGE(INDEX($AA$467:$AA587,122-ATR_PER):$AA587),"")</f>
        <v>146.428571428571</v>
      </c>
      <c r="AC587" s="48" t="n">
        <f aca="false">$O587-$P587</f>
        <v>-28226274</v>
      </c>
      <c r="AD587" s="48" t="n">
        <f aca="false">$AC587*$I587</f>
        <v>-93541872036</v>
      </c>
      <c r="AE587" s="49" t="n">
        <f aca="false">IF($Q587&gt;0,$O587*$I587/$Q587/1000000,"")</f>
        <v>49.0466134876238</v>
      </c>
      <c r="AF587" s="49" t="n">
        <f aca="false">IF($R587&gt;0,$P587*$I587/$R587/1000000,"")</f>
        <v>180.565516647858</v>
      </c>
      <c r="AG587" s="50" t="n">
        <f aca="false">IF(AND(ISNUMBER($AE587),ISNUMBER($AF587),$AF587&gt;0),$AE587/$AF587,"")</f>
        <v>0.271627796924677</v>
      </c>
      <c r="AH587" s="48" t="n">
        <f aca="false">IF($U587&gt;=5,SUM(INDEX($AD$557:$AD587,32-5):$AD587),"")</f>
        <v>50163671363</v>
      </c>
      <c r="AI587" s="48" t="n">
        <f aca="false">IF($U587&gt;=STRUCT_S,MAX(INDEX($G$437:$G587,152-STRUCT_S):$G587),"")</f>
        <v>3584</v>
      </c>
      <c r="AJ587" s="48" t="n">
        <f aca="false">IF($U587&gt;=STRUCT_S,MIN(INDEX($H$437:$H587,152-STRUCT_S):$H587),"")</f>
        <v>3170</v>
      </c>
      <c r="AK587" s="48" t="n">
        <f aca="false">IF($U587&gt;=STRUCT_L,MAX(INDEX($G$337:$G587,252-STRUCT_L):$G587),"")</f>
        <v>3797</v>
      </c>
      <c r="AL587" s="48" t="n">
        <f aca="false">IF($U587&gt;=STRUCT_L,MIN(INDEX($H$337:$H587,252-STRUCT_L):$H587),"")</f>
        <v>3170</v>
      </c>
      <c r="AM587" s="46" t="n">
        <f aca="false">IF($A587&lt;&gt;$A588,1,0)</f>
        <v>0</v>
      </c>
      <c r="AN587" s="47" t="str">
        <f aca="false">IF($AM587=1,$A587,"")</f>
        <v/>
      </c>
    </row>
    <row r="588" customFormat="false" ht="15" hidden="false" customHeight="false" outlineLevel="0" collapsed="false">
      <c r="A588" s="43" t="s">
        <v>142</v>
      </c>
      <c r="B588" s="44" t="s">
        <v>144</v>
      </c>
      <c r="C588" s="45" t="n">
        <v>45993</v>
      </c>
      <c r="D588" s="46" t="n">
        <v>20251202</v>
      </c>
      <c r="E588" s="47" t="s">
        <v>351</v>
      </c>
      <c r="F588" s="48" t="n">
        <v>3263</v>
      </c>
      <c r="G588" s="48" t="n">
        <v>3451</v>
      </c>
      <c r="H588" s="48" t="n">
        <v>3238</v>
      </c>
      <c r="I588" s="48" t="n">
        <v>3374</v>
      </c>
      <c r="J588" s="48" t="n">
        <v>3446</v>
      </c>
      <c r="K588" s="48" t="n">
        <v>3314</v>
      </c>
      <c r="L588" s="48" t="n">
        <v>55461986</v>
      </c>
      <c r="M588" s="48" t="n">
        <v>187128740764</v>
      </c>
      <c r="N588" s="48" t="n">
        <v>1567</v>
      </c>
      <c r="O588" s="48" t="n">
        <v>36579670</v>
      </c>
      <c r="P588" s="48" t="n">
        <v>20755660</v>
      </c>
      <c r="Q588" s="48" t="n">
        <v>704</v>
      </c>
      <c r="R588" s="48" t="n">
        <v>716</v>
      </c>
      <c r="S588" s="48" t="n">
        <v>18882316</v>
      </c>
      <c r="T588" s="48" t="n">
        <v>34706326</v>
      </c>
      <c r="U588" s="46" t="n">
        <f aca="false">IF($A588=$A587,$U587+1,1)</f>
        <v>64</v>
      </c>
      <c r="V588" s="48" t="n">
        <f aca="false">IF($U588&gt;=MA_SHORT,AVERAGE(INDEX($I$188:$I588,402-MA_SHORT):$I588),"")</f>
        <v>3391.9</v>
      </c>
      <c r="W588" s="48" t="n">
        <f aca="false">IF($U588&gt;=MA_MED,AVERAGE(INDEX($I$188:$I588,402-MA_MED):$I588),"")</f>
        <v>3447.66</v>
      </c>
      <c r="X588" s="48" t="str">
        <f aca="false">IF($U588&gt;=MA_LONG1,AVERAGE(INDEX($I$188:$I588,402-MA_LONG1):$I588),"")</f>
        <v/>
      </c>
      <c r="Y588" s="48" t="str">
        <f aca="false">IF($U588&gt;=MA_LONG2,AVERAGE(INDEX($I$188:$I588,402-MA_LONG2):$I588),"")</f>
        <v/>
      </c>
      <c r="Z588" s="48" t="n">
        <f aca="false">IF($U588&gt;=MA_SHORT,AVERAGE(INDEX($L$468:$L588,122-MA_SHORT):$L588),"")</f>
        <v>62877416.2</v>
      </c>
      <c r="AA588" s="48" t="n">
        <f aca="false">IF($U588=1,$G588-$H588,MAX($G588-$H588,ABS($G588-$I587),ABS($H588-$I587)))</f>
        <v>213</v>
      </c>
      <c r="AB588" s="48" t="n">
        <f aca="false">IF($U588&gt;=ATR_PER,AVERAGE(INDEX($AA$468:$AA588,122-ATR_PER):$AA588),"")</f>
        <v>158.5</v>
      </c>
      <c r="AC588" s="48" t="n">
        <f aca="false">$O588-$P588</f>
        <v>15824010</v>
      </c>
      <c r="AD588" s="48" t="n">
        <f aca="false">$AC588*$I588</f>
        <v>53390209740</v>
      </c>
      <c r="AE588" s="49" t="n">
        <f aca="false">IF($Q588&gt;0,$O588*$I588/$Q588/1000000,"")</f>
        <v>175.312225255682</v>
      </c>
      <c r="AF588" s="49" t="n">
        <f aca="false">IF($R588&gt;0,$P588*$I588/$R588/1000000,"")</f>
        <v>97.8066994972067</v>
      </c>
      <c r="AG588" s="50" t="n">
        <f aca="false">IF(AND(ISNUMBER($AE588),ISNUMBER($AF588),$AF588&gt;0),$AE588/$AF588,"")</f>
        <v>1.79243575498311</v>
      </c>
      <c r="AH588" s="48" t="n">
        <f aca="false">IF($U588&gt;=5,SUM(INDEX($AD$558:$AD588,32-5):$AD588),"")</f>
        <v>172098956629</v>
      </c>
      <c r="AI588" s="48" t="n">
        <f aca="false">IF($U588&gt;=STRUCT_S,MAX(INDEX($G$438:$G588,152-STRUCT_S):$G588),"")</f>
        <v>3584</v>
      </c>
      <c r="AJ588" s="48" t="n">
        <f aca="false">IF($U588&gt;=STRUCT_S,MIN(INDEX($H$438:$H588,152-STRUCT_S):$H588),"")</f>
        <v>3170</v>
      </c>
      <c r="AK588" s="48" t="n">
        <f aca="false">IF($U588&gt;=STRUCT_L,MAX(INDEX($G$338:$G588,252-STRUCT_L):$G588),"")</f>
        <v>3797</v>
      </c>
      <c r="AL588" s="48" t="n">
        <f aca="false">IF($U588&gt;=STRUCT_L,MIN(INDEX($H$338:$H588,252-STRUCT_L):$H588),"")</f>
        <v>3170</v>
      </c>
      <c r="AM588" s="46" t="n">
        <f aca="false">IF($A588&lt;&gt;$A589,1,0)</f>
        <v>0</v>
      </c>
      <c r="AN588" s="47" t="str">
        <f aca="false">IF($AM588=1,$A588,"")</f>
        <v/>
      </c>
    </row>
    <row r="589" customFormat="false" ht="15" hidden="false" customHeight="false" outlineLevel="0" collapsed="false">
      <c r="A589" s="43" t="s">
        <v>142</v>
      </c>
      <c r="B589" s="44" t="s">
        <v>144</v>
      </c>
      <c r="C589" s="45" t="n">
        <v>45994</v>
      </c>
      <c r="D589" s="46" t="n">
        <v>20251203</v>
      </c>
      <c r="E589" s="47" t="s">
        <v>352</v>
      </c>
      <c r="F589" s="48" t="n">
        <v>3394</v>
      </c>
      <c r="G589" s="48" t="n">
        <v>3461</v>
      </c>
      <c r="H589" s="48" t="n">
        <v>3348</v>
      </c>
      <c r="I589" s="48" t="n">
        <v>3435</v>
      </c>
      <c r="J589" s="48" t="n">
        <v>3402</v>
      </c>
      <c r="K589" s="48" t="n">
        <v>3374</v>
      </c>
      <c r="L589" s="48" t="n">
        <v>55454309</v>
      </c>
      <c r="M589" s="48" t="n">
        <v>190485551415</v>
      </c>
      <c r="N589" s="48" t="n">
        <v>1359</v>
      </c>
      <c r="O589" s="48" t="n">
        <v>34084374</v>
      </c>
      <c r="P589" s="48" t="n">
        <v>19874870</v>
      </c>
      <c r="Q589" s="48" t="n">
        <v>382</v>
      </c>
      <c r="R589" s="48" t="n">
        <v>758</v>
      </c>
      <c r="S589" s="48" t="n">
        <v>21369935</v>
      </c>
      <c r="T589" s="48" t="n">
        <v>35579439</v>
      </c>
      <c r="U589" s="46" t="n">
        <f aca="false">IF($A589=$A588,$U588+1,1)</f>
        <v>65</v>
      </c>
      <c r="V589" s="48" t="n">
        <f aca="false">IF($U589&gt;=MA_SHORT,AVERAGE(INDEX($I$189:$I589,402-MA_SHORT):$I589),"")</f>
        <v>3392.5</v>
      </c>
      <c r="W589" s="48" t="n">
        <f aca="false">IF($U589&gt;=MA_MED,AVERAGE(INDEX($I$189:$I589,402-MA_MED):$I589),"")</f>
        <v>3447.52</v>
      </c>
      <c r="X589" s="48" t="str">
        <f aca="false">IF($U589&gt;=MA_LONG1,AVERAGE(INDEX($I$189:$I589,402-MA_LONG1):$I589),"")</f>
        <v/>
      </c>
      <c r="Y589" s="48" t="str">
        <f aca="false">IF($U589&gt;=MA_LONG2,AVERAGE(INDEX($I$189:$I589,402-MA_LONG2):$I589),"")</f>
        <v/>
      </c>
      <c r="Z589" s="48" t="n">
        <f aca="false">IF($U589&gt;=MA_SHORT,AVERAGE(INDEX($L$469:$L589,122-MA_SHORT):$L589),"")</f>
        <v>62092289.25</v>
      </c>
      <c r="AA589" s="48" t="n">
        <f aca="false">IF($U589=1,$G589-$H589,MAX($G589-$H589,ABS($G589-$I588),ABS($H589-$I588)))</f>
        <v>113</v>
      </c>
      <c r="AB589" s="48" t="n">
        <f aca="false">IF($U589&gt;=ATR_PER,AVERAGE(INDEX($AA$469:$AA589,122-ATR_PER):$AA589),"")</f>
        <v>144.785714285714</v>
      </c>
      <c r="AC589" s="48" t="n">
        <f aca="false">$O589-$P589</f>
        <v>14209504</v>
      </c>
      <c r="AD589" s="48" t="n">
        <f aca="false">$AC589*$I589</f>
        <v>48809646240</v>
      </c>
      <c r="AE589" s="49" t="n">
        <f aca="false">IF($Q589&gt;0,$O589*$I589/$Q589/1000000,"")</f>
        <v>306.491687670157</v>
      </c>
      <c r="AF589" s="49" t="n">
        <f aca="false">IF($R589&gt;0,$P589*$I589/$R589/1000000,"")</f>
        <v>90.0661984828496</v>
      </c>
      <c r="AG589" s="50" t="n">
        <f aca="false">IF(AND(ISNUMBER($AE589),ISNUMBER($AF589),$AF589&gt;0),$AE589/$AF589,"")</f>
        <v>3.40296018742835</v>
      </c>
      <c r="AH589" s="48" t="n">
        <f aca="false">IF($U589&gt;=5,SUM(INDEX($AD$559:$AD589,32-5):$AD589),"")</f>
        <v>112381295812</v>
      </c>
      <c r="AI589" s="48" t="n">
        <f aca="false">IF($U589&gt;=STRUCT_S,MAX(INDEX($G$439:$G589,152-STRUCT_S):$G589),"")</f>
        <v>3584</v>
      </c>
      <c r="AJ589" s="48" t="n">
        <f aca="false">IF($U589&gt;=STRUCT_S,MIN(INDEX($H$439:$H589,152-STRUCT_S):$H589),"")</f>
        <v>3170</v>
      </c>
      <c r="AK589" s="48" t="n">
        <f aca="false">IF($U589&gt;=STRUCT_L,MAX(INDEX($G$339:$G589,252-STRUCT_L):$G589),"")</f>
        <v>3797</v>
      </c>
      <c r="AL589" s="48" t="n">
        <f aca="false">IF($U589&gt;=STRUCT_L,MIN(INDEX($H$339:$H589,252-STRUCT_L):$H589),"")</f>
        <v>3170</v>
      </c>
      <c r="AM589" s="46" t="n">
        <f aca="false">IF($A589&lt;&gt;$A590,1,0)</f>
        <v>0</v>
      </c>
      <c r="AN589" s="47" t="str">
        <f aca="false">IF($AM589=1,$A589,"")</f>
        <v/>
      </c>
    </row>
    <row r="590" customFormat="false" ht="15" hidden="false" customHeight="false" outlineLevel="0" collapsed="false">
      <c r="A590" s="43" t="s">
        <v>142</v>
      </c>
      <c r="B590" s="44" t="s">
        <v>144</v>
      </c>
      <c r="C590" s="45" t="n">
        <v>45997</v>
      </c>
      <c r="D590" s="46" t="n">
        <v>20251206</v>
      </c>
      <c r="E590" s="47" t="s">
        <v>353</v>
      </c>
      <c r="F590" s="48" t="n">
        <v>3436</v>
      </c>
      <c r="G590" s="48" t="n">
        <v>3548</v>
      </c>
      <c r="H590" s="48" t="n">
        <v>3387</v>
      </c>
      <c r="I590" s="48" t="n">
        <v>3499</v>
      </c>
      <c r="J590" s="48" t="n">
        <v>3421</v>
      </c>
      <c r="K590" s="48" t="n">
        <v>3435</v>
      </c>
      <c r="L590" s="48" t="n">
        <v>55620090</v>
      </c>
      <c r="M590" s="48" t="n">
        <v>194614694910</v>
      </c>
      <c r="N590" s="48" t="n">
        <v>1303</v>
      </c>
      <c r="O590" s="48" t="n">
        <v>33748094</v>
      </c>
      <c r="P590" s="48" t="n">
        <v>22521723</v>
      </c>
      <c r="Q590" s="48" t="n">
        <v>439</v>
      </c>
      <c r="R590" s="48" t="n">
        <v>736</v>
      </c>
      <c r="S590" s="48" t="n">
        <v>21871996</v>
      </c>
      <c r="T590" s="48" t="n">
        <v>33098367</v>
      </c>
      <c r="U590" s="46" t="n">
        <f aca="false">IF($A590=$A589,$U589+1,1)</f>
        <v>66</v>
      </c>
      <c r="V590" s="48" t="n">
        <f aca="false">IF($U590&gt;=MA_SHORT,AVERAGE(INDEX($I$190:$I590,402-MA_SHORT):$I590),"")</f>
        <v>3396.15</v>
      </c>
      <c r="W590" s="48" t="n">
        <f aca="false">IF($U590&gt;=MA_MED,AVERAGE(INDEX($I$190:$I590,402-MA_MED):$I590),"")</f>
        <v>3447.1</v>
      </c>
      <c r="X590" s="48" t="str">
        <f aca="false">IF($U590&gt;=MA_LONG1,AVERAGE(INDEX($I$190:$I590,402-MA_LONG1):$I590),"")</f>
        <v/>
      </c>
      <c r="Y590" s="48" t="str">
        <f aca="false">IF($U590&gt;=MA_LONG2,AVERAGE(INDEX($I$190:$I590,402-MA_LONG2):$I590),"")</f>
        <v/>
      </c>
      <c r="Z590" s="48" t="n">
        <f aca="false">IF($U590&gt;=MA_SHORT,AVERAGE(INDEX($L$470:$L590,122-MA_SHORT):$L590),"")</f>
        <v>62358765.35</v>
      </c>
      <c r="AA590" s="48" t="n">
        <f aca="false">IF($U590=1,$G590-$H590,MAX($G590-$H590,ABS($G590-$I589),ABS($H590-$I589)))</f>
        <v>161</v>
      </c>
      <c r="AB590" s="48" t="n">
        <f aca="false">IF($U590&gt;=ATR_PER,AVERAGE(INDEX($AA$470:$AA590,122-ATR_PER):$AA590),"")</f>
        <v>147.357142857143</v>
      </c>
      <c r="AC590" s="48" t="n">
        <f aca="false">$O590-$P590</f>
        <v>11226371</v>
      </c>
      <c r="AD590" s="48" t="n">
        <f aca="false">$AC590*$I590</f>
        <v>39281072129</v>
      </c>
      <c r="AE590" s="49" t="n">
        <f aca="false">IF($Q590&gt;0,$O590*$I590/$Q590/1000000,"")</f>
        <v>268.985377917995</v>
      </c>
      <c r="AF590" s="49" t="n">
        <f aca="false">IF($R590&gt;0,$P590*$I590/$R590/1000000,"")</f>
        <v>107.069984751359</v>
      </c>
      <c r="AG590" s="50" t="n">
        <f aca="false">IF(AND(ISNUMBER($AE590),ISNUMBER($AF590),$AF590&gt;0),$AE590/$AF590,"")</f>
        <v>2.512238873879</v>
      </c>
      <c r="AH590" s="48" t="n">
        <f aca="false">IF($U590&gt;=5,SUM(INDEX($AD$560:$AD590,32-5):$AD590),"")</f>
        <v>67411723785</v>
      </c>
      <c r="AI590" s="48" t="n">
        <f aca="false">IF($U590&gt;=STRUCT_S,MAX(INDEX($G$440:$G590,152-STRUCT_S):$G590),"")</f>
        <v>3584</v>
      </c>
      <c r="AJ590" s="48" t="n">
        <f aca="false">IF($U590&gt;=STRUCT_S,MIN(INDEX($H$440:$H590,152-STRUCT_S):$H590),"")</f>
        <v>3170</v>
      </c>
      <c r="AK590" s="48" t="n">
        <f aca="false">IF($U590&gt;=STRUCT_L,MAX(INDEX($G$340:$G590,252-STRUCT_L):$G590),"")</f>
        <v>3797</v>
      </c>
      <c r="AL590" s="48" t="n">
        <f aca="false">IF($U590&gt;=STRUCT_L,MIN(INDEX($H$340:$H590,252-STRUCT_L):$H590),"")</f>
        <v>3170</v>
      </c>
      <c r="AM590" s="46" t="n">
        <f aca="false">IF($A590&lt;&gt;$A591,1,0)</f>
        <v>0</v>
      </c>
      <c r="AN590" s="47" t="str">
        <f aca="false">IF($AM590=1,$A590,"")</f>
        <v/>
      </c>
    </row>
    <row r="591" customFormat="false" ht="15" hidden="false" customHeight="false" outlineLevel="0" collapsed="false">
      <c r="A591" s="43" t="s">
        <v>142</v>
      </c>
      <c r="B591" s="44" t="s">
        <v>144</v>
      </c>
      <c r="C591" s="45" t="n">
        <v>45998</v>
      </c>
      <c r="D591" s="46" t="n">
        <v>20251207</v>
      </c>
      <c r="E591" s="47" t="s">
        <v>354</v>
      </c>
      <c r="F591" s="48" t="n">
        <v>3607</v>
      </c>
      <c r="G591" s="48" t="n">
        <v>3682</v>
      </c>
      <c r="H591" s="48" t="n">
        <v>3413</v>
      </c>
      <c r="I591" s="48" t="n">
        <v>3594</v>
      </c>
      <c r="J591" s="48" t="n">
        <v>3585</v>
      </c>
      <c r="K591" s="48" t="n">
        <v>3499</v>
      </c>
      <c r="L591" s="48" t="n">
        <v>58177160</v>
      </c>
      <c r="M591" s="48" t="n">
        <v>209088713040</v>
      </c>
      <c r="N591" s="48" t="n">
        <v>3655</v>
      </c>
      <c r="O591" s="48" t="n">
        <v>34546698</v>
      </c>
      <c r="P591" s="48" t="n">
        <v>25227993</v>
      </c>
      <c r="Q591" s="48" t="n">
        <v>1544</v>
      </c>
      <c r="R591" s="48" t="n">
        <v>1378</v>
      </c>
      <c r="S591" s="48" t="n">
        <v>23630462</v>
      </c>
      <c r="T591" s="48" t="n">
        <v>32949167</v>
      </c>
      <c r="U591" s="46" t="n">
        <f aca="false">IF($A591=$A590,$U590+1,1)</f>
        <v>67</v>
      </c>
      <c r="V591" s="48" t="n">
        <f aca="false">IF($U591&gt;=MA_SHORT,AVERAGE(INDEX($I$191:$I591,402-MA_SHORT):$I591),"")</f>
        <v>3406.7</v>
      </c>
      <c r="W591" s="48" t="n">
        <f aca="false">IF($U591&gt;=MA_MED,AVERAGE(INDEX($I$191:$I591,402-MA_MED):$I591),"")</f>
        <v>3450.6</v>
      </c>
      <c r="X591" s="48" t="str">
        <f aca="false">IF($U591&gt;=MA_LONG1,AVERAGE(INDEX($I$191:$I591,402-MA_LONG1):$I591),"")</f>
        <v/>
      </c>
      <c r="Y591" s="48" t="str">
        <f aca="false">IF($U591&gt;=MA_LONG2,AVERAGE(INDEX($I$191:$I591,402-MA_LONG2):$I591),"")</f>
        <v/>
      </c>
      <c r="Z591" s="48" t="n">
        <f aca="false">IF($U591&gt;=MA_SHORT,AVERAGE(INDEX($L$471:$L591,122-MA_SHORT):$L591),"")</f>
        <v>62577878.8</v>
      </c>
      <c r="AA591" s="48" t="n">
        <f aca="false">IF($U591=1,$G591-$H591,MAX($G591-$H591,ABS($G591-$I590),ABS($H591-$I590)))</f>
        <v>269</v>
      </c>
      <c r="AB591" s="48" t="n">
        <f aca="false">IF($U591&gt;=ATR_PER,AVERAGE(INDEX($AA$471:$AA591,122-ATR_PER):$AA591),"")</f>
        <v>161.357142857143</v>
      </c>
      <c r="AC591" s="48" t="n">
        <f aca="false">$O591-$P591</f>
        <v>9318705</v>
      </c>
      <c r="AD591" s="48" t="n">
        <f aca="false">$AC591*$I591</f>
        <v>33491425770</v>
      </c>
      <c r="AE591" s="49" t="n">
        <f aca="false">IF($Q591&gt;0,$O591*$I591/$Q591/1000000,"")</f>
        <v>80.4150470284974</v>
      </c>
      <c r="AF591" s="49" t="n">
        <f aca="false">IF($R591&gt;0,$P591*$I591/$R591/1000000,"")</f>
        <v>65.7978278969521</v>
      </c>
      <c r="AG591" s="50" t="n">
        <f aca="false">IF(AND(ISNUMBER($AE591),ISNUMBER($AF591),$AF591&gt;0),$AE591/$AF591,"")</f>
        <v>1.22215352084932</v>
      </c>
      <c r="AH591" s="48" t="n">
        <f aca="false">IF($U591&gt;=5,SUM(INDEX($AD$561:$AD591,32-5):$AD591),"")</f>
        <v>81430481843</v>
      </c>
      <c r="AI591" s="48" t="n">
        <f aca="false">IF($U591&gt;=STRUCT_S,MAX(INDEX($G$441:$G591,152-STRUCT_S):$G591),"")</f>
        <v>3682</v>
      </c>
      <c r="AJ591" s="48" t="n">
        <f aca="false">IF($U591&gt;=STRUCT_S,MIN(INDEX($H$441:$H591,152-STRUCT_S):$H591),"")</f>
        <v>3170</v>
      </c>
      <c r="AK591" s="48" t="n">
        <f aca="false">IF($U591&gt;=STRUCT_L,MAX(INDEX($G$341:$G591,252-STRUCT_L):$G591),"")</f>
        <v>3797</v>
      </c>
      <c r="AL591" s="48" t="n">
        <f aca="false">IF($U591&gt;=STRUCT_L,MIN(INDEX($H$341:$H591,252-STRUCT_L):$H591),"")</f>
        <v>3170</v>
      </c>
      <c r="AM591" s="46" t="n">
        <f aca="false">IF($A591&lt;&gt;$A592,1,0)</f>
        <v>0</v>
      </c>
      <c r="AN591" s="47" t="str">
        <f aca="false">IF($AM591=1,$A591,"")</f>
        <v/>
      </c>
    </row>
    <row r="592" customFormat="false" ht="15" hidden="false" customHeight="false" outlineLevel="0" collapsed="false">
      <c r="A592" s="43" t="s">
        <v>142</v>
      </c>
      <c r="B592" s="44" t="s">
        <v>144</v>
      </c>
      <c r="C592" s="45" t="n">
        <v>45999</v>
      </c>
      <c r="D592" s="46" t="n">
        <v>20251208</v>
      </c>
      <c r="E592" s="47" t="s">
        <v>355</v>
      </c>
      <c r="F592" s="48" t="n">
        <v>3502</v>
      </c>
      <c r="G592" s="48" t="n">
        <v>3625</v>
      </c>
      <c r="H592" s="48" t="n">
        <v>3488</v>
      </c>
      <c r="I592" s="48" t="n">
        <v>3518</v>
      </c>
      <c r="J592" s="48" t="n">
        <v>3606</v>
      </c>
      <c r="K592" s="48" t="n">
        <v>3594</v>
      </c>
      <c r="L592" s="48" t="n">
        <v>56374892</v>
      </c>
      <c r="M592" s="48" t="n">
        <v>198326870056</v>
      </c>
      <c r="N592" s="48" t="n">
        <v>2184</v>
      </c>
      <c r="O592" s="48" t="n">
        <v>28820434</v>
      </c>
      <c r="P592" s="48" t="n">
        <v>26146739</v>
      </c>
      <c r="Q592" s="48" t="n">
        <v>1169</v>
      </c>
      <c r="R592" s="48" t="n">
        <v>931</v>
      </c>
      <c r="S592" s="48" t="n">
        <v>27554458</v>
      </c>
      <c r="T592" s="48" t="n">
        <v>30228153</v>
      </c>
      <c r="U592" s="46" t="n">
        <f aca="false">IF($A592=$A591,$U591+1,1)</f>
        <v>68</v>
      </c>
      <c r="V592" s="48" t="n">
        <f aca="false">IF($U592&gt;=MA_SHORT,AVERAGE(INDEX($I$192:$I592,402-MA_SHORT):$I592),"")</f>
        <v>3406.55</v>
      </c>
      <c r="W592" s="48" t="n">
        <f aca="false">IF($U592&gt;=MA_MED,AVERAGE(INDEX($I$192:$I592,402-MA_MED):$I592),"")</f>
        <v>3453.78</v>
      </c>
      <c r="X592" s="48" t="str">
        <f aca="false">IF($U592&gt;=MA_LONG1,AVERAGE(INDEX($I$192:$I592,402-MA_LONG1):$I592),"")</f>
        <v/>
      </c>
      <c r="Y592" s="48" t="str">
        <f aca="false">IF($U592&gt;=MA_LONG2,AVERAGE(INDEX($I$192:$I592,402-MA_LONG2):$I592),"")</f>
        <v/>
      </c>
      <c r="Z592" s="48" t="n">
        <f aca="false">IF($U592&gt;=MA_SHORT,AVERAGE(INDEX($L$472:$L592,122-MA_SHORT):$L592),"")</f>
        <v>61904949.65</v>
      </c>
      <c r="AA592" s="48" t="n">
        <f aca="false">IF($U592=1,$G592-$H592,MAX($G592-$H592,ABS($G592-$I591),ABS($H592-$I591)))</f>
        <v>137</v>
      </c>
      <c r="AB592" s="48" t="n">
        <f aca="false">IF($U592&gt;=ATR_PER,AVERAGE(INDEX($AA$472:$AA592,122-ATR_PER):$AA592),"")</f>
        <v>165.571428571429</v>
      </c>
      <c r="AC592" s="48" t="n">
        <f aca="false">$O592-$P592</f>
        <v>2673695</v>
      </c>
      <c r="AD592" s="48" t="n">
        <f aca="false">$AC592*$I592</f>
        <v>9406059010</v>
      </c>
      <c r="AE592" s="49" t="n">
        <f aca="false">IF($Q592&gt;0,$O592*$I592/$Q592/1000000,"")</f>
        <v>86.7324951343028</v>
      </c>
      <c r="AF592" s="49" t="n">
        <f aca="false">IF($R592&gt;0,$P592*$I592/$R592/1000000,"")</f>
        <v>98.8015336219119</v>
      </c>
      <c r="AG592" s="50" t="n">
        <f aca="false">IF(AND(ISNUMBER($AE592),ISNUMBER($AF592),$AF592&gt;0),$AE592/$AF592,"")</f>
        <v>0.877845636143724</v>
      </c>
      <c r="AH592" s="48" t="n">
        <f aca="false">IF($U592&gt;=5,SUM(INDEX($AD$562:$AD592,32-5):$AD592),"")</f>
        <v>184378412889</v>
      </c>
      <c r="AI592" s="48" t="n">
        <f aca="false">IF($U592&gt;=STRUCT_S,MAX(INDEX($G$442:$G592,152-STRUCT_S):$G592),"")</f>
        <v>3682</v>
      </c>
      <c r="AJ592" s="48" t="n">
        <f aca="false">IF($U592&gt;=STRUCT_S,MIN(INDEX($H$442:$H592,152-STRUCT_S):$H592),"")</f>
        <v>3170</v>
      </c>
      <c r="AK592" s="48" t="n">
        <f aca="false">IF($U592&gt;=STRUCT_L,MAX(INDEX($G$342:$G592,252-STRUCT_L):$G592),"")</f>
        <v>3797</v>
      </c>
      <c r="AL592" s="48" t="n">
        <f aca="false">IF($U592&gt;=STRUCT_L,MIN(INDEX($H$342:$H592,252-STRUCT_L):$H592),"")</f>
        <v>3170</v>
      </c>
      <c r="AM592" s="46" t="n">
        <f aca="false">IF($A592&lt;&gt;$A593,1,0)</f>
        <v>0</v>
      </c>
      <c r="AN592" s="47" t="str">
        <f aca="false">IF($AM592=1,$A592,"")</f>
        <v/>
      </c>
    </row>
    <row r="593" customFormat="false" ht="15" hidden="false" customHeight="false" outlineLevel="0" collapsed="false">
      <c r="A593" s="43" t="s">
        <v>142</v>
      </c>
      <c r="B593" s="44" t="s">
        <v>144</v>
      </c>
      <c r="C593" s="45" t="n">
        <v>46000</v>
      </c>
      <c r="D593" s="46" t="n">
        <v>20251209</v>
      </c>
      <c r="E593" s="47" t="s">
        <v>356</v>
      </c>
      <c r="F593" s="48" t="n">
        <v>3552</v>
      </c>
      <c r="G593" s="48" t="n">
        <v>3553</v>
      </c>
      <c r="H593" s="48" t="n">
        <v>3497</v>
      </c>
      <c r="I593" s="48" t="n">
        <v>3532</v>
      </c>
      <c r="J593" s="48" t="n">
        <v>3524</v>
      </c>
      <c r="K593" s="48" t="n">
        <v>3518</v>
      </c>
      <c r="L593" s="48" t="n">
        <v>62129263</v>
      </c>
      <c r="M593" s="48" t="n">
        <v>219440556916</v>
      </c>
      <c r="N593" s="48" t="n">
        <v>3533</v>
      </c>
      <c r="O593" s="48" t="n">
        <v>34285359</v>
      </c>
      <c r="P593" s="48" t="n">
        <v>22662730</v>
      </c>
      <c r="Q593" s="48" t="n">
        <v>1451</v>
      </c>
      <c r="R593" s="48" t="n">
        <v>1583</v>
      </c>
      <c r="S593" s="48" t="n">
        <v>27843904</v>
      </c>
      <c r="T593" s="48" t="n">
        <v>39466533</v>
      </c>
      <c r="U593" s="46" t="n">
        <f aca="false">IF($A593=$A592,$U592+1,1)</f>
        <v>69</v>
      </c>
      <c r="V593" s="48" t="n">
        <f aca="false">IF($U593&gt;=MA_SHORT,AVERAGE(INDEX($I$193:$I593,402-MA_SHORT):$I593),"")</f>
        <v>3406.15</v>
      </c>
      <c r="W593" s="48" t="n">
        <f aca="false">IF($U593&gt;=MA_MED,AVERAGE(INDEX($I$193:$I593,402-MA_MED):$I593),"")</f>
        <v>3456.62</v>
      </c>
      <c r="X593" s="48" t="str">
        <f aca="false">IF($U593&gt;=MA_LONG1,AVERAGE(INDEX($I$193:$I593,402-MA_LONG1):$I593),"")</f>
        <v/>
      </c>
      <c r="Y593" s="48" t="str">
        <f aca="false">IF($U593&gt;=MA_LONG2,AVERAGE(INDEX($I$193:$I593,402-MA_LONG2):$I593),"")</f>
        <v/>
      </c>
      <c r="Z593" s="48" t="n">
        <f aca="false">IF($U593&gt;=MA_SHORT,AVERAGE(INDEX($L$473:$L593,122-MA_SHORT):$L593),"")</f>
        <v>61184554.35</v>
      </c>
      <c r="AA593" s="48" t="n">
        <f aca="false">IF($U593=1,$G593-$H593,MAX($G593-$H593,ABS($G593-$I592),ABS($H593-$I592)))</f>
        <v>56</v>
      </c>
      <c r="AB593" s="48" t="n">
        <f aca="false">IF($U593&gt;=ATR_PER,AVERAGE(INDEX($AA$473:$AA593,122-ATR_PER):$AA593),"")</f>
        <v>158.714285714286</v>
      </c>
      <c r="AC593" s="48" t="n">
        <f aca="false">$O593-$P593</f>
        <v>11622629</v>
      </c>
      <c r="AD593" s="48" t="n">
        <f aca="false">$AC593*$I593</f>
        <v>41051125628</v>
      </c>
      <c r="AE593" s="49" t="n">
        <f aca="false">IF($Q593&gt;0,$O593*$I593/$Q593/1000000,"")</f>
        <v>83.456849061337</v>
      </c>
      <c r="AF593" s="49" t="n">
        <f aca="false">IF($R593&gt;0,$P593*$I593/$R593/1000000,"")</f>
        <v>50.565232065698</v>
      </c>
      <c r="AG593" s="50" t="n">
        <f aca="false">IF(AND(ISNUMBER($AE593),ISNUMBER($AF593),$AF593&gt;0),$AE593/$AF593,"")</f>
        <v>1.6504789091624</v>
      </c>
      <c r="AH593" s="48" t="n">
        <f aca="false">IF($U593&gt;=5,SUM(INDEX($AD$563:$AD593,32-5):$AD593),"")</f>
        <v>172039328777</v>
      </c>
      <c r="AI593" s="48" t="n">
        <f aca="false">IF($U593&gt;=STRUCT_S,MAX(INDEX($G$443:$G593,152-STRUCT_S):$G593),"")</f>
        <v>3682</v>
      </c>
      <c r="AJ593" s="48" t="n">
        <f aca="false">IF($U593&gt;=STRUCT_S,MIN(INDEX($H$443:$H593,152-STRUCT_S):$H593),"")</f>
        <v>3170</v>
      </c>
      <c r="AK593" s="48" t="n">
        <f aca="false">IF($U593&gt;=STRUCT_L,MAX(INDEX($G$343:$G593,252-STRUCT_L):$G593),"")</f>
        <v>3797</v>
      </c>
      <c r="AL593" s="48" t="n">
        <f aca="false">IF($U593&gt;=STRUCT_L,MIN(INDEX($H$343:$H593,252-STRUCT_L):$H593),"")</f>
        <v>3170</v>
      </c>
      <c r="AM593" s="46" t="n">
        <f aca="false">IF($A593&lt;&gt;$A594,1,0)</f>
        <v>0</v>
      </c>
      <c r="AN593" s="47" t="str">
        <f aca="false">IF($AM593=1,$A593,"")</f>
        <v/>
      </c>
    </row>
    <row r="594" customFormat="false" ht="15" hidden="false" customHeight="false" outlineLevel="0" collapsed="false">
      <c r="A594" s="43" t="s">
        <v>142</v>
      </c>
      <c r="B594" s="44" t="s">
        <v>144</v>
      </c>
      <c r="C594" s="45" t="n">
        <v>46001</v>
      </c>
      <c r="D594" s="46" t="n">
        <v>20251210</v>
      </c>
      <c r="E594" s="47" t="s">
        <v>357</v>
      </c>
      <c r="F594" s="48" t="n">
        <v>3577</v>
      </c>
      <c r="G594" s="48" t="n">
        <v>3659</v>
      </c>
      <c r="H594" s="48" t="n">
        <v>3521</v>
      </c>
      <c r="I594" s="48" t="n">
        <v>3647</v>
      </c>
      <c r="J594" s="48" t="n">
        <v>3580</v>
      </c>
      <c r="K594" s="48" t="n">
        <v>3532</v>
      </c>
      <c r="L594" s="48" t="n">
        <v>59800705</v>
      </c>
      <c r="M594" s="48" t="n">
        <v>218093171135</v>
      </c>
      <c r="N594" s="48" t="n">
        <v>4362</v>
      </c>
      <c r="O594" s="48" t="n">
        <v>35730708</v>
      </c>
      <c r="P594" s="48" t="n">
        <v>28387685</v>
      </c>
      <c r="Q594" s="48" t="n">
        <v>1722</v>
      </c>
      <c r="R594" s="48" t="n">
        <v>2617</v>
      </c>
      <c r="S594" s="48" t="n">
        <v>24069997</v>
      </c>
      <c r="T594" s="48" t="n">
        <v>31413020</v>
      </c>
      <c r="U594" s="46" t="n">
        <f aca="false">IF($A594=$A593,$U593+1,1)</f>
        <v>70</v>
      </c>
      <c r="V594" s="48" t="n">
        <f aca="false">IF($U594&gt;=MA_SHORT,AVERAGE(INDEX($I$194:$I594,402-MA_SHORT):$I594),"")</f>
        <v>3412.7</v>
      </c>
      <c r="W594" s="48" t="n">
        <f aca="false">IF($U594&gt;=MA_MED,AVERAGE(INDEX($I$194:$I594,402-MA_MED):$I594),"")</f>
        <v>3461.58</v>
      </c>
      <c r="X594" s="48" t="str">
        <f aca="false">IF($U594&gt;=MA_LONG1,AVERAGE(INDEX($I$194:$I594,402-MA_LONG1):$I594),"")</f>
        <v/>
      </c>
      <c r="Y594" s="48" t="str">
        <f aca="false">IF($U594&gt;=MA_LONG2,AVERAGE(INDEX($I$194:$I594,402-MA_LONG2):$I594),"")</f>
        <v/>
      </c>
      <c r="Z594" s="48" t="n">
        <f aca="false">IF($U594&gt;=MA_SHORT,AVERAGE(INDEX($L$474:$L594,122-MA_SHORT):$L594),"")</f>
        <v>61571463.95</v>
      </c>
      <c r="AA594" s="48" t="n">
        <f aca="false">IF($U594=1,$G594-$H594,MAX($G594-$H594,ABS($G594-$I593),ABS($H594-$I593)))</f>
        <v>138</v>
      </c>
      <c r="AB594" s="48" t="n">
        <f aca="false">IF($U594&gt;=ATR_PER,AVERAGE(INDEX($AA$474:$AA594,122-ATR_PER):$AA594),"")</f>
        <v>163.571428571429</v>
      </c>
      <c r="AC594" s="48" t="n">
        <f aca="false">$O594-$P594</f>
        <v>7343023</v>
      </c>
      <c r="AD594" s="48" t="n">
        <f aca="false">$AC594*$I594</f>
        <v>26780004881</v>
      </c>
      <c r="AE594" s="49" t="n">
        <f aca="false">IF($Q594&gt;0,$O594*$I594/$Q594/1000000,"")</f>
        <v>75.6735726341464</v>
      </c>
      <c r="AF594" s="49" t="n">
        <f aca="false">IF($R594&gt;0,$P594*$I594/$R594/1000000,"")</f>
        <v>39.5605224283531</v>
      </c>
      <c r="AG594" s="50" t="n">
        <f aca="false">IF(AND(ISNUMBER($AE594),ISNUMBER($AF594),$AF594&gt;0),$AE594/$AF594,"")</f>
        <v>1.9128557458056</v>
      </c>
      <c r="AH594" s="48" t="n">
        <f aca="false">IF($U594&gt;=5,SUM(INDEX($AD$564:$AD594,32-5):$AD594),"")</f>
        <v>150009687418</v>
      </c>
      <c r="AI594" s="48" t="n">
        <f aca="false">IF($U594&gt;=STRUCT_S,MAX(INDEX($G$444:$G594,152-STRUCT_S):$G594),"")</f>
        <v>3682</v>
      </c>
      <c r="AJ594" s="48" t="n">
        <f aca="false">IF($U594&gt;=STRUCT_S,MIN(INDEX($H$444:$H594,152-STRUCT_S):$H594),"")</f>
        <v>3170</v>
      </c>
      <c r="AK594" s="48" t="n">
        <f aca="false">IF($U594&gt;=STRUCT_L,MAX(INDEX($G$344:$G594,252-STRUCT_L):$G594),"")</f>
        <v>3797</v>
      </c>
      <c r="AL594" s="48" t="n">
        <f aca="false">IF($U594&gt;=STRUCT_L,MIN(INDEX($H$344:$H594,252-STRUCT_L):$H594),"")</f>
        <v>3170</v>
      </c>
      <c r="AM594" s="46" t="n">
        <f aca="false">IF($A594&lt;&gt;$A595,1,0)</f>
        <v>0</v>
      </c>
      <c r="AN594" s="47" t="str">
        <f aca="false">IF($AM594=1,$A594,"")</f>
        <v/>
      </c>
    </row>
    <row r="595" customFormat="false" ht="15" hidden="false" customHeight="false" outlineLevel="0" collapsed="false">
      <c r="A595" s="43" t="s">
        <v>142</v>
      </c>
      <c r="B595" s="44" t="s">
        <v>144</v>
      </c>
      <c r="C595" s="45" t="n">
        <v>46004</v>
      </c>
      <c r="D595" s="46" t="n">
        <v>20251213</v>
      </c>
      <c r="E595" s="47" t="s">
        <v>358</v>
      </c>
      <c r="F595" s="48" t="n">
        <v>3449</v>
      </c>
      <c r="G595" s="48" t="n">
        <v>3714</v>
      </c>
      <c r="H595" s="48" t="n">
        <v>3404</v>
      </c>
      <c r="I595" s="48" t="n">
        <v>3468</v>
      </c>
      <c r="J595" s="48" t="n">
        <v>3416</v>
      </c>
      <c r="K595" s="48" t="n">
        <v>3647</v>
      </c>
      <c r="L595" s="48" t="n">
        <v>82793206</v>
      </c>
      <c r="M595" s="48" t="n">
        <v>287126838408</v>
      </c>
      <c r="N595" s="48" t="n">
        <v>6195</v>
      </c>
      <c r="O595" s="48" t="n">
        <v>20787675</v>
      </c>
      <c r="P595" s="48" t="n">
        <v>64351476</v>
      </c>
      <c r="Q595" s="48" t="n">
        <v>2360</v>
      </c>
      <c r="R595" s="48" t="n">
        <v>2878</v>
      </c>
      <c r="S595" s="48" t="n">
        <v>62005531</v>
      </c>
      <c r="T595" s="48" t="n">
        <v>18441730</v>
      </c>
      <c r="U595" s="46" t="n">
        <f aca="false">IF($A595=$A594,$U594+1,1)</f>
        <v>71</v>
      </c>
      <c r="V595" s="48" t="n">
        <f aca="false">IF($U595&gt;=MA_SHORT,AVERAGE(INDEX($I$195:$I595,402-MA_SHORT):$I595),"")</f>
        <v>3418.9</v>
      </c>
      <c r="W595" s="48" t="n">
        <f aca="false">IF($U595&gt;=MA_MED,AVERAGE(INDEX($I$195:$I595,402-MA_MED):$I595),"")</f>
        <v>3461.94</v>
      </c>
      <c r="X595" s="48" t="str">
        <f aca="false">IF($U595&gt;=MA_LONG1,AVERAGE(INDEX($I$195:$I595,402-MA_LONG1):$I595),"")</f>
        <v/>
      </c>
      <c r="Y595" s="48" t="str">
        <f aca="false">IF($U595&gt;=MA_LONG2,AVERAGE(INDEX($I$195:$I595,402-MA_LONG2):$I595),"")</f>
        <v/>
      </c>
      <c r="Z595" s="48" t="n">
        <f aca="false">IF($U595&gt;=MA_SHORT,AVERAGE(INDEX($L$475:$L595,122-MA_SHORT):$L595),"")</f>
        <v>61611622.6</v>
      </c>
      <c r="AA595" s="48" t="n">
        <f aca="false">IF($U595=1,$G595-$H595,MAX($G595-$H595,ABS($G595-$I594),ABS($H595-$I594)))</f>
        <v>310</v>
      </c>
      <c r="AB595" s="48" t="n">
        <f aca="false">IF($U595&gt;=ATR_PER,AVERAGE(INDEX($AA$475:$AA595,122-ATR_PER):$AA595),"")</f>
        <v>178.785714285714</v>
      </c>
      <c r="AC595" s="48" t="n">
        <f aca="false">$O595-$P595</f>
        <v>-43563801</v>
      </c>
      <c r="AD595" s="48" t="n">
        <f aca="false">$AC595*$I595</f>
        <v>-151079261868</v>
      </c>
      <c r="AE595" s="49" t="n">
        <f aca="false">IF($Q595&gt;0,$O595*$I595/$Q595/1000000,"")</f>
        <v>30.5473122457627</v>
      </c>
      <c r="AF595" s="49" t="n">
        <f aca="false">IF($R595&gt;0,$P595*$I595/$R595/1000000,"")</f>
        <v>77.5437521779013</v>
      </c>
      <c r="AG595" s="50" t="n">
        <f aca="false">IF(AND(ISNUMBER($AE595),ISNUMBER($AF595),$AF595&gt;0),$AE595/$AF595,"")</f>
        <v>0.393936473123984</v>
      </c>
      <c r="AH595" s="48" t="n">
        <f aca="false">IF($U595&gt;=5,SUM(INDEX($AD$565:$AD595,32-5):$AD595),"")</f>
        <v>-40350646579</v>
      </c>
      <c r="AI595" s="48" t="n">
        <f aca="false">IF($U595&gt;=STRUCT_S,MAX(INDEX($G$445:$G595,152-STRUCT_S):$G595),"")</f>
        <v>3714</v>
      </c>
      <c r="AJ595" s="48" t="n">
        <f aca="false">IF($U595&gt;=STRUCT_S,MIN(INDEX($H$445:$H595,152-STRUCT_S):$H595),"")</f>
        <v>3170</v>
      </c>
      <c r="AK595" s="48" t="n">
        <f aca="false">IF($U595&gt;=STRUCT_L,MAX(INDEX($G$345:$G595,252-STRUCT_L):$G595),"")</f>
        <v>3797</v>
      </c>
      <c r="AL595" s="48" t="n">
        <f aca="false">IF($U595&gt;=STRUCT_L,MIN(INDEX($H$345:$H595,252-STRUCT_L):$H595),"")</f>
        <v>3170</v>
      </c>
      <c r="AM595" s="46" t="n">
        <f aca="false">IF($A595&lt;&gt;$A596,1,0)</f>
        <v>0</v>
      </c>
      <c r="AN595" s="47" t="str">
        <f aca="false">IF($AM595=1,$A595,"")</f>
        <v/>
      </c>
    </row>
    <row r="596" customFormat="false" ht="15" hidden="false" customHeight="false" outlineLevel="0" collapsed="false">
      <c r="A596" s="43" t="s">
        <v>142</v>
      </c>
      <c r="B596" s="44" t="s">
        <v>144</v>
      </c>
      <c r="C596" s="45" t="n">
        <v>46005</v>
      </c>
      <c r="D596" s="46" t="n">
        <v>20251214</v>
      </c>
      <c r="E596" s="47" t="s">
        <v>359</v>
      </c>
      <c r="F596" s="48" t="n">
        <v>3435</v>
      </c>
      <c r="G596" s="48" t="n">
        <v>3490</v>
      </c>
      <c r="H596" s="48" t="n">
        <v>3435</v>
      </c>
      <c r="I596" s="48" t="n">
        <v>3457</v>
      </c>
      <c r="J596" s="48" t="n">
        <v>3480</v>
      </c>
      <c r="K596" s="48" t="n">
        <v>3468</v>
      </c>
      <c r="L596" s="48" t="n">
        <v>50979577</v>
      </c>
      <c r="M596" s="48" t="n">
        <v>176236397689</v>
      </c>
      <c r="N596" s="48" t="n">
        <v>2798</v>
      </c>
      <c r="O596" s="48" t="n">
        <v>22623265</v>
      </c>
      <c r="P596" s="48" t="n">
        <v>26076405</v>
      </c>
      <c r="Q596" s="48" t="n">
        <v>1400</v>
      </c>
      <c r="R596" s="48" t="n">
        <v>1161</v>
      </c>
      <c r="S596" s="48" t="n">
        <v>28356312</v>
      </c>
      <c r="T596" s="48" t="n">
        <v>24903172</v>
      </c>
      <c r="U596" s="46" t="n">
        <f aca="false">IF($A596=$A595,$U595+1,1)</f>
        <v>72</v>
      </c>
      <c r="V596" s="48" t="n">
        <f aca="false">IF($U596&gt;=MA_SHORT,AVERAGE(INDEX($I$196:$I596,402-MA_SHORT):$I596),"")</f>
        <v>3423.6</v>
      </c>
      <c r="W596" s="48" t="n">
        <f aca="false">IF($U596&gt;=MA_MED,AVERAGE(INDEX($I$196:$I596,402-MA_MED):$I596),"")</f>
        <v>3462.44</v>
      </c>
      <c r="X596" s="48" t="str">
        <f aca="false">IF($U596&gt;=MA_LONG1,AVERAGE(INDEX($I$196:$I596,402-MA_LONG1):$I596),"")</f>
        <v/>
      </c>
      <c r="Y596" s="48" t="str">
        <f aca="false">IF($U596&gt;=MA_LONG2,AVERAGE(INDEX($I$196:$I596,402-MA_LONG2):$I596),"")</f>
        <v/>
      </c>
      <c r="Z596" s="48" t="n">
        <f aca="false">IF($U596&gt;=MA_SHORT,AVERAGE(INDEX($L$476:$L596,122-MA_SHORT):$L596),"")</f>
        <v>61217339</v>
      </c>
      <c r="AA596" s="48" t="n">
        <f aca="false">IF($U596=1,$G596-$H596,MAX($G596-$H596,ABS($G596-$I595),ABS($H596-$I595)))</f>
        <v>55</v>
      </c>
      <c r="AB596" s="48" t="n">
        <f aca="false">IF($U596&gt;=ATR_PER,AVERAGE(INDEX($AA$476:$AA596,122-ATR_PER):$AA596),"")</f>
        <v>176.571428571429</v>
      </c>
      <c r="AC596" s="48" t="n">
        <f aca="false">$O596-$P596</f>
        <v>-3453140</v>
      </c>
      <c r="AD596" s="48" t="n">
        <f aca="false">$AC596*$I596</f>
        <v>-11937504980</v>
      </c>
      <c r="AE596" s="49" t="n">
        <f aca="false">IF($Q596&gt;0,$O596*$I596/$Q596/1000000,"")</f>
        <v>55.863305075</v>
      </c>
      <c r="AF596" s="49" t="n">
        <f aca="false">IF($R596&gt;0,$P596*$I596/$R596/1000000,"")</f>
        <v>77.6452472739018</v>
      </c>
      <c r="AG596" s="50" t="n">
        <f aca="false">IF(AND(ISNUMBER($AE596),ISNUMBER($AF596),$AF596&gt;0),$AE596/$AF596,"")</f>
        <v>0.719468441873027</v>
      </c>
      <c r="AH596" s="48" t="n">
        <f aca="false">IF($U596&gt;=5,SUM(INDEX($AD$566:$AD596,32-5):$AD596),"")</f>
        <v>-85779577329</v>
      </c>
      <c r="AI596" s="48" t="n">
        <f aca="false">IF($U596&gt;=STRUCT_S,MAX(INDEX($G$446:$G596,152-STRUCT_S):$G596),"")</f>
        <v>3714</v>
      </c>
      <c r="AJ596" s="48" t="n">
        <f aca="false">IF($U596&gt;=STRUCT_S,MIN(INDEX($H$446:$H596,152-STRUCT_S):$H596),"")</f>
        <v>3170</v>
      </c>
      <c r="AK596" s="48" t="n">
        <f aca="false">IF($U596&gt;=STRUCT_L,MAX(INDEX($G$346:$G596,252-STRUCT_L):$G596),"")</f>
        <v>3797</v>
      </c>
      <c r="AL596" s="48" t="n">
        <f aca="false">IF($U596&gt;=STRUCT_L,MIN(INDEX($H$346:$H596,252-STRUCT_L):$H596),"")</f>
        <v>3170</v>
      </c>
      <c r="AM596" s="46" t="n">
        <f aca="false">IF($A596&lt;&gt;$A597,1,0)</f>
        <v>0</v>
      </c>
      <c r="AN596" s="47" t="str">
        <f aca="false">IF($AM596=1,$A596,"")</f>
        <v/>
      </c>
    </row>
    <row r="597" customFormat="false" ht="15" hidden="false" customHeight="false" outlineLevel="0" collapsed="false">
      <c r="A597" s="43" t="s">
        <v>142</v>
      </c>
      <c r="B597" s="44" t="s">
        <v>144</v>
      </c>
      <c r="C597" s="45" t="n">
        <v>46006</v>
      </c>
      <c r="D597" s="46" t="n">
        <v>20251215</v>
      </c>
      <c r="E597" s="47" t="s">
        <v>360</v>
      </c>
      <c r="F597" s="48" t="n">
        <v>3487</v>
      </c>
      <c r="G597" s="48" t="n">
        <v>3526</v>
      </c>
      <c r="H597" s="48" t="n">
        <v>3280</v>
      </c>
      <c r="I597" s="48" t="n">
        <v>3346</v>
      </c>
      <c r="J597" s="48" t="n">
        <v>3399</v>
      </c>
      <c r="K597" s="48" t="n">
        <v>3457</v>
      </c>
      <c r="L597" s="48" t="n">
        <v>60008842</v>
      </c>
      <c r="M597" s="48" t="n">
        <v>200789585332</v>
      </c>
      <c r="N597" s="48" t="n">
        <v>1374</v>
      </c>
      <c r="O597" s="48" t="n">
        <v>20367048</v>
      </c>
      <c r="P597" s="48" t="n">
        <v>41053793</v>
      </c>
      <c r="Q597" s="48" t="n">
        <v>513</v>
      </c>
      <c r="R597" s="48" t="n">
        <v>619</v>
      </c>
      <c r="S597" s="48" t="n">
        <v>39641794</v>
      </c>
      <c r="T597" s="48" t="n">
        <v>18955049</v>
      </c>
      <c r="U597" s="46" t="n">
        <f aca="false">IF($A597=$A596,$U596+1,1)</f>
        <v>73</v>
      </c>
      <c r="V597" s="48" t="n">
        <f aca="false">IF($U597&gt;=MA_SHORT,AVERAGE(INDEX($I$197:$I597,402-MA_SHORT):$I597),"")</f>
        <v>3423.2</v>
      </c>
      <c r="W597" s="48" t="n">
        <f aca="false">IF($U597&gt;=MA_MED,AVERAGE(INDEX($I$197:$I597,402-MA_MED):$I597),"")</f>
        <v>3460.88</v>
      </c>
      <c r="X597" s="48" t="str">
        <f aca="false">IF($U597&gt;=MA_LONG1,AVERAGE(INDEX($I$197:$I597,402-MA_LONG1):$I597),"")</f>
        <v/>
      </c>
      <c r="Y597" s="48" t="str">
        <f aca="false">IF($U597&gt;=MA_LONG2,AVERAGE(INDEX($I$197:$I597,402-MA_LONG2):$I597),"")</f>
        <v/>
      </c>
      <c r="Z597" s="48" t="n">
        <f aca="false">IF($U597&gt;=MA_SHORT,AVERAGE(INDEX($L$477:$L597,122-MA_SHORT):$L597),"")</f>
        <v>61676241.45</v>
      </c>
      <c r="AA597" s="48" t="n">
        <f aca="false">IF($U597=1,$G597-$H597,MAX($G597-$H597,ABS($G597-$I596),ABS($H597-$I596)))</f>
        <v>246</v>
      </c>
      <c r="AB597" s="48" t="n">
        <f aca="false">IF($U597&gt;=ATR_PER,AVERAGE(INDEX($AA$477:$AA597,122-ATR_PER):$AA597),"")</f>
        <v>173.571428571429</v>
      </c>
      <c r="AC597" s="48" t="n">
        <f aca="false">$O597-$P597</f>
        <v>-20686745</v>
      </c>
      <c r="AD597" s="48" t="n">
        <f aca="false">$AC597*$I597</f>
        <v>-69217848770</v>
      </c>
      <c r="AE597" s="49" t="n">
        <f aca="false">IF($Q597&gt;0,$O597*$I597/$Q597/1000000,"")</f>
        <v>132.842383251462</v>
      </c>
      <c r="AF597" s="49" t="n">
        <f aca="false">IF($R597&gt;0,$P597*$I597/$R597/1000000,"")</f>
        <v>221.915979609047</v>
      </c>
      <c r="AG597" s="50" t="n">
        <f aca="false">IF(AND(ISNUMBER($AE597),ISNUMBER($AF597),$AF597&gt;0),$AE597/$AF597,"")</f>
        <v>0.598615671956083</v>
      </c>
      <c r="AH597" s="48" t="n">
        <f aca="false">IF($U597&gt;=5,SUM(INDEX($AD$567:$AD597,32-5):$AD597),"")</f>
        <v>-164403485109</v>
      </c>
      <c r="AI597" s="48" t="n">
        <f aca="false">IF($U597&gt;=STRUCT_S,MAX(INDEX($G$447:$G597,152-STRUCT_S):$G597),"")</f>
        <v>3714</v>
      </c>
      <c r="AJ597" s="48" t="n">
        <f aca="false">IF($U597&gt;=STRUCT_S,MIN(INDEX($H$447:$H597,152-STRUCT_S):$H597),"")</f>
        <v>3170</v>
      </c>
      <c r="AK597" s="48" t="n">
        <f aca="false">IF($U597&gt;=STRUCT_L,MAX(INDEX($G$347:$G597,252-STRUCT_L):$G597),"")</f>
        <v>3797</v>
      </c>
      <c r="AL597" s="48" t="n">
        <f aca="false">IF($U597&gt;=STRUCT_L,MIN(INDEX($H$347:$H597,252-STRUCT_L):$H597),"")</f>
        <v>3170</v>
      </c>
      <c r="AM597" s="46" t="n">
        <f aca="false">IF($A597&lt;&gt;$A598,1,0)</f>
        <v>0</v>
      </c>
      <c r="AN597" s="47" t="str">
        <f aca="false">IF($AM597=1,$A597,"")</f>
        <v/>
      </c>
    </row>
    <row r="598" customFormat="false" ht="15" hidden="false" customHeight="false" outlineLevel="0" collapsed="false">
      <c r="A598" s="43" t="s">
        <v>142</v>
      </c>
      <c r="B598" s="44" t="s">
        <v>144</v>
      </c>
      <c r="C598" s="45" t="n">
        <v>46007</v>
      </c>
      <c r="D598" s="46" t="n">
        <v>20251216</v>
      </c>
      <c r="E598" s="47" t="s">
        <v>361</v>
      </c>
      <c r="F598" s="48" t="n">
        <v>3370</v>
      </c>
      <c r="G598" s="48" t="n">
        <v>3448</v>
      </c>
      <c r="H598" s="48" t="n">
        <v>3310</v>
      </c>
      <c r="I598" s="48" t="n">
        <v>3412</v>
      </c>
      <c r="J598" s="48" t="n">
        <v>3381</v>
      </c>
      <c r="K598" s="48" t="n">
        <v>3346</v>
      </c>
      <c r="L598" s="48" t="n">
        <v>55948264</v>
      </c>
      <c r="M598" s="48" t="n">
        <v>190895476768</v>
      </c>
      <c r="N598" s="48" t="n">
        <v>1262</v>
      </c>
      <c r="O598" s="48" t="n">
        <v>31519049</v>
      </c>
      <c r="P598" s="48" t="n">
        <v>23770373</v>
      </c>
      <c r="Q598" s="48" t="n">
        <v>497</v>
      </c>
      <c r="R598" s="48" t="n">
        <v>634</v>
      </c>
      <c r="S598" s="48" t="n">
        <v>24429215</v>
      </c>
      <c r="T598" s="48" t="n">
        <v>32177891</v>
      </c>
      <c r="U598" s="46" t="n">
        <f aca="false">IF($A598=$A597,$U597+1,1)</f>
        <v>74</v>
      </c>
      <c r="V598" s="48" t="n">
        <f aca="false">IF($U598&gt;=MA_SHORT,AVERAGE(INDEX($I$198:$I598,402-MA_SHORT):$I598),"")</f>
        <v>3427</v>
      </c>
      <c r="W598" s="48" t="n">
        <f aca="false">IF($U598&gt;=MA_MED,AVERAGE(INDEX($I$198:$I598,402-MA_MED):$I598),"")</f>
        <v>3461.48</v>
      </c>
      <c r="X598" s="48" t="str">
        <f aca="false">IF($U598&gt;=MA_LONG1,AVERAGE(INDEX($I$198:$I598,402-MA_LONG1):$I598),"")</f>
        <v/>
      </c>
      <c r="Y598" s="48" t="str">
        <f aca="false">IF($U598&gt;=MA_LONG2,AVERAGE(INDEX($I$198:$I598,402-MA_LONG2):$I598),"")</f>
        <v/>
      </c>
      <c r="Z598" s="48" t="n">
        <f aca="false">IF($U598&gt;=MA_SHORT,AVERAGE(INDEX($L$478:$L598,122-MA_SHORT):$L598),"")</f>
        <v>61891734.65</v>
      </c>
      <c r="AA598" s="48" t="n">
        <f aca="false">IF($U598=1,$G598-$H598,MAX($G598-$H598,ABS($G598-$I597),ABS($H598-$I597)))</f>
        <v>138</v>
      </c>
      <c r="AB598" s="48" t="n">
        <f aca="false">IF($U598&gt;=ATR_PER,AVERAGE(INDEX($AA$478:$AA598,122-ATR_PER):$AA598),"")</f>
        <v>170.928571428571</v>
      </c>
      <c r="AC598" s="48" t="n">
        <f aca="false">$O598-$P598</f>
        <v>7748676</v>
      </c>
      <c r="AD598" s="48" t="n">
        <f aca="false">$AC598*$I598</f>
        <v>26438482512</v>
      </c>
      <c r="AE598" s="49" t="n">
        <f aca="false">IF($Q598&gt;0,$O598*$I598/$Q598/1000000,"")</f>
        <v>216.384296152918</v>
      </c>
      <c r="AF598" s="49" t="n">
        <f aca="false">IF($R598&gt;0,$P598*$I598/$R598/1000000,"")</f>
        <v>127.925098858044</v>
      </c>
      <c r="AG598" s="50" t="n">
        <f aca="false">IF(AND(ISNUMBER($AE598),ISNUMBER($AF598),$AF598&gt;0),$AE598/$AF598,"")</f>
        <v>1.69149211596885</v>
      </c>
      <c r="AH598" s="48" t="n">
        <f aca="false">IF($U598&gt;=5,SUM(INDEX($AD$568:$AD598,32-5):$AD598),"")</f>
        <v>-179016128225</v>
      </c>
      <c r="AI598" s="48" t="n">
        <f aca="false">IF($U598&gt;=STRUCT_S,MAX(INDEX($G$448:$G598,152-STRUCT_S):$G598),"")</f>
        <v>3714</v>
      </c>
      <c r="AJ598" s="48" t="n">
        <f aca="false">IF($U598&gt;=STRUCT_S,MIN(INDEX($H$448:$H598,152-STRUCT_S):$H598),"")</f>
        <v>3170</v>
      </c>
      <c r="AK598" s="48" t="n">
        <f aca="false">IF($U598&gt;=STRUCT_L,MAX(INDEX($G$348:$G598,252-STRUCT_L):$G598),"")</f>
        <v>3797</v>
      </c>
      <c r="AL598" s="48" t="n">
        <f aca="false">IF($U598&gt;=STRUCT_L,MIN(INDEX($H$348:$H598,252-STRUCT_L):$H598),"")</f>
        <v>3170</v>
      </c>
      <c r="AM598" s="46" t="n">
        <f aca="false">IF($A598&lt;&gt;$A599,1,0)</f>
        <v>0</v>
      </c>
      <c r="AN598" s="47" t="str">
        <f aca="false">IF($AM598=1,$A598,"")</f>
        <v/>
      </c>
    </row>
    <row r="599" customFormat="false" ht="15" hidden="false" customHeight="false" outlineLevel="0" collapsed="false">
      <c r="A599" s="43" t="s">
        <v>142</v>
      </c>
      <c r="B599" s="44" t="s">
        <v>144</v>
      </c>
      <c r="C599" s="45" t="n">
        <v>46008</v>
      </c>
      <c r="D599" s="46" t="n">
        <v>20251217</v>
      </c>
      <c r="E599" s="47" t="s">
        <v>362</v>
      </c>
      <c r="F599" s="48" t="n">
        <v>3454</v>
      </c>
      <c r="G599" s="48" t="n">
        <v>3476</v>
      </c>
      <c r="H599" s="48" t="n">
        <v>3318</v>
      </c>
      <c r="I599" s="48" t="n">
        <v>3381</v>
      </c>
      <c r="J599" s="48" t="n">
        <v>3466</v>
      </c>
      <c r="K599" s="48" t="n">
        <v>3412</v>
      </c>
      <c r="L599" s="48" t="n">
        <v>52754670</v>
      </c>
      <c r="M599" s="48" t="n">
        <v>178363539270</v>
      </c>
      <c r="N599" s="48" t="n">
        <v>1617</v>
      </c>
      <c r="O599" s="48" t="n">
        <v>24657139</v>
      </c>
      <c r="P599" s="48" t="n">
        <v>29050672</v>
      </c>
      <c r="Q599" s="48" t="n">
        <v>592</v>
      </c>
      <c r="R599" s="48" t="n">
        <v>529</v>
      </c>
      <c r="S599" s="48" t="n">
        <v>28097531</v>
      </c>
      <c r="T599" s="48" t="n">
        <v>23703998</v>
      </c>
      <c r="U599" s="46" t="n">
        <f aca="false">IF($A599=$A598,$U598+1,1)</f>
        <v>75</v>
      </c>
      <c r="V599" s="48" t="n">
        <f aca="false">IF($U599&gt;=MA_SHORT,AVERAGE(INDEX($I$199:$I599,402-MA_SHORT):$I599),"")</f>
        <v>3431.3</v>
      </c>
      <c r="W599" s="48" t="n">
        <f aca="false">IF($U599&gt;=MA_MED,AVERAGE(INDEX($I$199:$I599,402-MA_MED):$I599),"")</f>
        <v>3460.34</v>
      </c>
      <c r="X599" s="48" t="str">
        <f aca="false">IF($U599&gt;=MA_LONG1,AVERAGE(INDEX($I$199:$I599,402-MA_LONG1):$I599),"")</f>
        <v/>
      </c>
      <c r="Y599" s="48" t="str">
        <f aca="false">IF($U599&gt;=MA_LONG2,AVERAGE(INDEX($I$199:$I599,402-MA_LONG2):$I599),"")</f>
        <v/>
      </c>
      <c r="Z599" s="48" t="n">
        <f aca="false">IF($U599&gt;=MA_SHORT,AVERAGE(INDEX($L$479:$L599,122-MA_SHORT):$L599),"")</f>
        <v>60753395.6</v>
      </c>
      <c r="AA599" s="48" t="n">
        <f aca="false">IF($U599=1,$G599-$H599,MAX($G599-$H599,ABS($G599-$I598),ABS($H599-$I598)))</f>
        <v>158</v>
      </c>
      <c r="AB599" s="48" t="n">
        <f aca="false">IF($U599&gt;=ATR_PER,AVERAGE(INDEX($AA$479:$AA599,122-ATR_PER):$AA599),"")</f>
        <v>163.785714285714</v>
      </c>
      <c r="AC599" s="48" t="n">
        <f aca="false">$O599-$P599</f>
        <v>-4393533</v>
      </c>
      <c r="AD599" s="48" t="n">
        <f aca="false">$AC599*$I599</f>
        <v>-14854535073</v>
      </c>
      <c r="AE599" s="49" t="n">
        <f aca="false">IF($Q599&gt;0,$O599*$I599/$Q599/1000000,"")</f>
        <v>140.820586079392</v>
      </c>
      <c r="AF599" s="49" t="n">
        <f aca="false">IF($R599&gt;0,$P599*$I599/$R599/1000000,"")</f>
        <v>185.67168626087</v>
      </c>
      <c r="AG599" s="50" t="n">
        <f aca="false">IF(AND(ISNUMBER($AE599),ISNUMBER($AF599),$AF599&gt;0),$AE599/$AF599,"")</f>
        <v>0.758438666203194</v>
      </c>
      <c r="AH599" s="48" t="n">
        <f aca="false">IF($U599&gt;=5,SUM(INDEX($AD$569:$AD599,32-5):$AD599),"")</f>
        <v>-220650668179</v>
      </c>
      <c r="AI599" s="48" t="n">
        <f aca="false">IF($U599&gt;=STRUCT_S,MAX(INDEX($G$449:$G599,152-STRUCT_S):$G599),"")</f>
        <v>3714</v>
      </c>
      <c r="AJ599" s="48" t="n">
        <f aca="false">IF($U599&gt;=STRUCT_S,MIN(INDEX($H$449:$H599,152-STRUCT_S):$H599),"")</f>
        <v>3170</v>
      </c>
      <c r="AK599" s="48" t="n">
        <f aca="false">IF($U599&gt;=STRUCT_L,MAX(INDEX($G$349:$G599,252-STRUCT_L):$G599),"")</f>
        <v>3797</v>
      </c>
      <c r="AL599" s="48" t="n">
        <f aca="false">IF($U599&gt;=STRUCT_L,MIN(INDEX($H$349:$H599,252-STRUCT_L):$H599),"")</f>
        <v>3170</v>
      </c>
      <c r="AM599" s="46" t="n">
        <f aca="false">IF($A599&lt;&gt;$A600,1,0)</f>
        <v>0</v>
      </c>
      <c r="AN599" s="47" t="str">
        <f aca="false">IF($AM599=1,$A599,"")</f>
        <v/>
      </c>
    </row>
    <row r="600" customFormat="false" ht="15" hidden="false" customHeight="false" outlineLevel="0" collapsed="false">
      <c r="A600" s="43" t="s">
        <v>142</v>
      </c>
      <c r="B600" s="44" t="s">
        <v>144</v>
      </c>
      <c r="C600" s="45" t="n">
        <v>46011</v>
      </c>
      <c r="D600" s="46" t="n">
        <v>20251220</v>
      </c>
      <c r="E600" s="47" t="s">
        <v>363</v>
      </c>
      <c r="F600" s="48" t="n">
        <v>3400</v>
      </c>
      <c r="G600" s="48" t="n">
        <v>3459</v>
      </c>
      <c r="H600" s="48" t="n">
        <v>3305</v>
      </c>
      <c r="I600" s="48" t="n">
        <v>3383</v>
      </c>
      <c r="J600" s="48" t="n">
        <v>3322</v>
      </c>
      <c r="K600" s="48" t="n">
        <v>3381</v>
      </c>
      <c r="L600" s="48" t="n">
        <v>55327250</v>
      </c>
      <c r="M600" s="48" t="n">
        <v>187172086750</v>
      </c>
      <c r="N600" s="48" t="n">
        <v>1615</v>
      </c>
      <c r="O600" s="48" t="n">
        <v>32344304</v>
      </c>
      <c r="P600" s="48" t="n">
        <v>19898526</v>
      </c>
      <c r="Q600" s="48" t="n">
        <v>486</v>
      </c>
      <c r="R600" s="48" t="n">
        <v>637</v>
      </c>
      <c r="S600" s="48" t="n">
        <v>22982946</v>
      </c>
      <c r="T600" s="48" t="n">
        <v>35428724</v>
      </c>
      <c r="U600" s="46" t="n">
        <f aca="false">IF($A600=$A599,$U599+1,1)</f>
        <v>76</v>
      </c>
      <c r="V600" s="48" t="n">
        <f aca="false">IF($U600&gt;=MA_SHORT,AVERAGE(INDEX($I$200:$I600,402-MA_SHORT):$I600),"")</f>
        <v>3434.3</v>
      </c>
      <c r="W600" s="48" t="n">
        <f aca="false">IF($U600&gt;=MA_MED,AVERAGE(INDEX($I$200:$I600,402-MA_MED):$I600),"")</f>
        <v>3458.84</v>
      </c>
      <c r="X600" s="48" t="str">
        <f aca="false">IF($U600&gt;=MA_LONG1,AVERAGE(INDEX($I$200:$I600,402-MA_LONG1):$I600),"")</f>
        <v/>
      </c>
      <c r="Y600" s="48" t="str">
        <f aca="false">IF($U600&gt;=MA_LONG2,AVERAGE(INDEX($I$200:$I600,402-MA_LONG2):$I600),"")</f>
        <v/>
      </c>
      <c r="Z600" s="48" t="n">
        <f aca="false">IF($U600&gt;=MA_SHORT,AVERAGE(INDEX($L$480:$L600,122-MA_SHORT):$L600),"")</f>
        <v>59344322.15</v>
      </c>
      <c r="AA600" s="48" t="n">
        <f aca="false">IF($U600=1,$G600-$H600,MAX($G600-$H600,ABS($G600-$I599),ABS($H600-$I599)))</f>
        <v>154</v>
      </c>
      <c r="AB600" s="48" t="n">
        <f aca="false">IF($U600&gt;=ATR_PER,AVERAGE(INDEX($AA$480:$AA600,122-ATR_PER):$AA600),"")</f>
        <v>168.5</v>
      </c>
      <c r="AC600" s="48" t="n">
        <f aca="false">$O600-$P600</f>
        <v>12445778</v>
      </c>
      <c r="AD600" s="48" t="n">
        <f aca="false">$AC600*$I600</f>
        <v>42104066974</v>
      </c>
      <c r="AE600" s="49" t="n">
        <f aca="false">IF($Q600&gt;0,$O600*$I600/$Q600/1000000,"")</f>
        <v>225.145638748971</v>
      </c>
      <c r="AF600" s="49" t="n">
        <f aca="false">IF($R600&gt;0,$P600*$I600/$R600/1000000,"")</f>
        <v>105.677729133438</v>
      </c>
      <c r="AG600" s="50" t="n">
        <f aca="false">IF(AND(ISNUMBER($AE600),ISNUMBER($AF600),$AF600&gt;0),$AE600/$AF600,"")</f>
        <v>2.13049277832875</v>
      </c>
      <c r="AH600" s="48" t="n">
        <f aca="false">IF($U600&gt;=5,SUM(INDEX($AD$570:$AD600,32-5):$AD600),"")</f>
        <v>-27467339337</v>
      </c>
      <c r="AI600" s="48" t="n">
        <f aca="false">IF($U600&gt;=STRUCT_S,MAX(INDEX($G$450:$G600,152-STRUCT_S):$G600),"")</f>
        <v>3714</v>
      </c>
      <c r="AJ600" s="48" t="n">
        <f aca="false">IF($U600&gt;=STRUCT_S,MIN(INDEX($H$450:$H600,152-STRUCT_S):$H600),"")</f>
        <v>3170</v>
      </c>
      <c r="AK600" s="48" t="n">
        <f aca="false">IF($U600&gt;=STRUCT_L,MAX(INDEX($G$350:$G600,252-STRUCT_L):$G600),"")</f>
        <v>3797</v>
      </c>
      <c r="AL600" s="48" t="n">
        <f aca="false">IF($U600&gt;=STRUCT_L,MIN(INDEX($H$350:$H600,252-STRUCT_L):$H600),"")</f>
        <v>3170</v>
      </c>
      <c r="AM600" s="46" t="n">
        <f aca="false">IF($A600&lt;&gt;$A601,1,0)</f>
        <v>0</v>
      </c>
      <c r="AN600" s="47" t="str">
        <f aca="false">IF($AM600=1,$A600,"")</f>
        <v/>
      </c>
    </row>
    <row r="601" customFormat="false" ht="15" hidden="false" customHeight="false" outlineLevel="0" collapsed="false">
      <c r="A601" s="43" t="s">
        <v>142</v>
      </c>
      <c r="B601" s="44" t="s">
        <v>144</v>
      </c>
      <c r="C601" s="45" t="n">
        <v>46012</v>
      </c>
      <c r="D601" s="46" t="n">
        <v>20251221</v>
      </c>
      <c r="E601" s="47" t="s">
        <v>364</v>
      </c>
      <c r="F601" s="48" t="n">
        <v>3357</v>
      </c>
      <c r="G601" s="48" t="n">
        <v>3567</v>
      </c>
      <c r="H601" s="48" t="n">
        <v>3305</v>
      </c>
      <c r="I601" s="48" t="n">
        <v>3487</v>
      </c>
      <c r="J601" s="48" t="n">
        <v>3553</v>
      </c>
      <c r="K601" s="48" t="n">
        <v>3383</v>
      </c>
      <c r="L601" s="48" t="n">
        <v>80269494</v>
      </c>
      <c r="M601" s="48" t="n">
        <v>279899725578</v>
      </c>
      <c r="N601" s="48" t="n">
        <v>2058</v>
      </c>
      <c r="O601" s="48" t="n">
        <v>59127603</v>
      </c>
      <c r="P601" s="48" t="n">
        <v>23493283</v>
      </c>
      <c r="Q601" s="48" t="n">
        <v>940</v>
      </c>
      <c r="R601" s="48" t="n">
        <v>824</v>
      </c>
      <c r="S601" s="48" t="n">
        <v>21141891</v>
      </c>
      <c r="T601" s="48" t="n">
        <v>56776211</v>
      </c>
      <c r="U601" s="46" t="n">
        <f aca="false">IF($A601=$A600,$U600+1,1)</f>
        <v>77</v>
      </c>
      <c r="V601" s="48" t="n">
        <f aca="false">IF($U601&gt;=MA_SHORT,AVERAGE(INDEX($I$201:$I601,402-MA_SHORT):$I601),"")</f>
        <v>3441.25</v>
      </c>
      <c r="W601" s="48" t="n">
        <f aca="false">IF($U601&gt;=MA_MED,AVERAGE(INDEX($I$201:$I601,402-MA_MED):$I601),"")</f>
        <v>3458.56</v>
      </c>
      <c r="X601" s="48" t="str">
        <f aca="false">IF($U601&gt;=MA_LONG1,AVERAGE(INDEX($I$201:$I601,402-MA_LONG1):$I601),"")</f>
        <v/>
      </c>
      <c r="Y601" s="48" t="str">
        <f aca="false">IF($U601&gt;=MA_LONG2,AVERAGE(INDEX($I$201:$I601,402-MA_LONG2):$I601),"")</f>
        <v/>
      </c>
      <c r="Z601" s="48" t="n">
        <f aca="false">IF($U601&gt;=MA_SHORT,AVERAGE(INDEX($L$481:$L601,122-MA_SHORT):$L601),"")</f>
        <v>60743510.1</v>
      </c>
      <c r="AA601" s="48" t="n">
        <f aca="false">IF($U601=1,$G601-$H601,MAX($G601-$H601,ABS($G601-$I600),ABS($H601-$I600)))</f>
        <v>262</v>
      </c>
      <c r="AB601" s="48" t="n">
        <f aca="false">IF($U601&gt;=ATR_PER,AVERAGE(INDEX($AA$481:$AA601,122-ATR_PER):$AA601),"")</f>
        <v>172.142857142857</v>
      </c>
      <c r="AC601" s="48" t="n">
        <f aca="false">$O601-$P601</f>
        <v>35634320</v>
      </c>
      <c r="AD601" s="48" t="n">
        <f aca="false">$AC601*$I601</f>
        <v>124256873840</v>
      </c>
      <c r="AE601" s="49" t="n">
        <f aca="false">IF($Q601&gt;0,$O601*$I601/$Q601/1000000,"")</f>
        <v>219.338246447872</v>
      </c>
      <c r="AF601" s="49" t="n">
        <f aca="false">IF($R601&gt;0,$P601*$I601/$R601/1000000,"")</f>
        <v>99.4187837633495</v>
      </c>
      <c r="AG601" s="50" t="n">
        <f aca="false">IF(AND(ISNUMBER($AE601),ISNUMBER($AF601),$AF601&gt;0),$AE601/$AF601,"")</f>
        <v>2.20620528782541</v>
      </c>
      <c r="AH601" s="48" t="n">
        <f aca="false">IF($U601&gt;=5,SUM(INDEX($AD$571:$AD601,32-5):$AD601),"")</f>
        <v>108727039483</v>
      </c>
      <c r="AI601" s="48" t="n">
        <f aca="false">IF($U601&gt;=STRUCT_S,MAX(INDEX($G$451:$G601,152-STRUCT_S):$G601),"")</f>
        <v>3714</v>
      </c>
      <c r="AJ601" s="48" t="n">
        <f aca="false">IF($U601&gt;=STRUCT_S,MIN(INDEX($H$451:$H601,152-STRUCT_S):$H601),"")</f>
        <v>3170</v>
      </c>
      <c r="AK601" s="48" t="n">
        <f aca="false">IF($U601&gt;=STRUCT_L,MAX(INDEX($G$351:$G601,252-STRUCT_L):$G601),"")</f>
        <v>3797</v>
      </c>
      <c r="AL601" s="48" t="n">
        <f aca="false">IF($U601&gt;=STRUCT_L,MIN(INDEX($H$351:$H601,252-STRUCT_L):$H601),"")</f>
        <v>3170</v>
      </c>
      <c r="AM601" s="46" t="n">
        <f aca="false">IF($A601&lt;&gt;$A602,1,0)</f>
        <v>0</v>
      </c>
      <c r="AN601" s="47" t="str">
        <f aca="false">IF($AM601=1,$A601,"")</f>
        <v/>
      </c>
    </row>
    <row r="602" customFormat="false" ht="15" hidden="false" customHeight="false" outlineLevel="0" collapsed="false">
      <c r="A602" s="43" t="s">
        <v>142</v>
      </c>
      <c r="B602" s="44" t="s">
        <v>144</v>
      </c>
      <c r="C602" s="45" t="n">
        <v>46013</v>
      </c>
      <c r="D602" s="46" t="n">
        <v>20251222</v>
      </c>
      <c r="E602" s="47" t="s">
        <v>365</v>
      </c>
      <c r="F602" s="48" t="n">
        <v>3487</v>
      </c>
      <c r="G602" s="48" t="n">
        <v>3517</v>
      </c>
      <c r="H602" s="48" t="n">
        <v>3435</v>
      </c>
      <c r="I602" s="48" t="n">
        <v>3464</v>
      </c>
      <c r="J602" s="48" t="n">
        <v>3494</v>
      </c>
      <c r="K602" s="48" t="n">
        <v>3487</v>
      </c>
      <c r="L602" s="48" t="n">
        <v>59605448</v>
      </c>
      <c r="M602" s="48" t="n">
        <v>206473271872</v>
      </c>
      <c r="N602" s="48" t="n">
        <v>2003</v>
      </c>
      <c r="O602" s="48" t="n">
        <v>31430945</v>
      </c>
      <c r="P602" s="48" t="n">
        <v>24785905</v>
      </c>
      <c r="Q602" s="48" t="n">
        <v>1063</v>
      </c>
      <c r="R602" s="48" t="n">
        <v>769</v>
      </c>
      <c r="S602" s="48" t="n">
        <v>28174503</v>
      </c>
      <c r="T602" s="48" t="n">
        <v>34819543</v>
      </c>
      <c r="U602" s="46" t="n">
        <f aca="false">IF($A602=$A601,$U601+1,1)</f>
        <v>78</v>
      </c>
      <c r="V602" s="48" t="n">
        <f aca="false">IF($U602&gt;=MA_SHORT,AVERAGE(INDEX($I$202:$I602,402-MA_SHORT):$I602),"")</f>
        <v>3445.85</v>
      </c>
      <c r="W602" s="48" t="n">
        <f aca="false">IF($U602&gt;=MA_MED,AVERAGE(INDEX($I$202:$I602,402-MA_MED):$I602),"")</f>
        <v>3456.72</v>
      </c>
      <c r="X602" s="48" t="str">
        <f aca="false">IF($U602&gt;=MA_LONG1,AVERAGE(INDEX($I$202:$I602,402-MA_LONG1):$I602),"")</f>
        <v/>
      </c>
      <c r="Y602" s="48" t="str">
        <f aca="false">IF($U602&gt;=MA_LONG2,AVERAGE(INDEX($I$202:$I602,402-MA_LONG2):$I602),"")</f>
        <v/>
      </c>
      <c r="Z602" s="48" t="n">
        <f aca="false">IF($U602&gt;=MA_SHORT,AVERAGE(INDEX($L$482:$L602,122-MA_SHORT):$L602),"")</f>
        <v>61114821.65</v>
      </c>
      <c r="AA602" s="48" t="n">
        <f aca="false">IF($U602=1,$G602-$H602,MAX($G602-$H602,ABS($G602-$I601),ABS($H602-$I601)))</f>
        <v>82</v>
      </c>
      <c r="AB602" s="48" t="n">
        <f aca="false">IF($U602&gt;=ATR_PER,AVERAGE(INDEX($AA$482:$AA602,122-ATR_PER):$AA602),"")</f>
        <v>162.785714285714</v>
      </c>
      <c r="AC602" s="48" t="n">
        <f aca="false">$O602-$P602</f>
        <v>6645040</v>
      </c>
      <c r="AD602" s="48" t="n">
        <f aca="false">$AC602*$I602</f>
        <v>23018418560</v>
      </c>
      <c r="AE602" s="49" t="n">
        <f aca="false">IF($Q602&gt;0,$O602*$I602/$Q602/1000000,"")</f>
        <v>102.424076650988</v>
      </c>
      <c r="AF602" s="49" t="n">
        <f aca="false">IF($R602&gt;0,$P602*$I602/$R602/1000000,"")</f>
        <v>111.649382210663</v>
      </c>
      <c r="AG602" s="50" t="n">
        <f aca="false">IF(AND(ISNUMBER($AE602),ISNUMBER($AF602),$AF602&gt;0),$AE602/$AF602,"")</f>
        <v>0.917372533756892</v>
      </c>
      <c r="AH602" s="48" t="n">
        <f aca="false">IF($U602&gt;=5,SUM(INDEX($AD$572:$AD602,32-5):$AD602),"")</f>
        <v>200963306813</v>
      </c>
      <c r="AI602" s="48" t="n">
        <f aca="false">IF($U602&gt;=STRUCT_S,MAX(INDEX($G$452:$G602,152-STRUCT_S):$G602),"")</f>
        <v>3714</v>
      </c>
      <c r="AJ602" s="48" t="n">
        <f aca="false">IF($U602&gt;=STRUCT_S,MIN(INDEX($H$452:$H602,152-STRUCT_S):$H602),"")</f>
        <v>3170</v>
      </c>
      <c r="AK602" s="48" t="n">
        <f aca="false">IF($U602&gt;=STRUCT_L,MAX(INDEX($G$352:$G602,252-STRUCT_L):$G602),"")</f>
        <v>3797</v>
      </c>
      <c r="AL602" s="48" t="n">
        <f aca="false">IF($U602&gt;=STRUCT_L,MIN(INDEX($H$352:$H602,252-STRUCT_L):$H602),"")</f>
        <v>3170</v>
      </c>
      <c r="AM602" s="46" t="n">
        <f aca="false">IF($A602&lt;&gt;$A603,1,0)</f>
        <v>0</v>
      </c>
      <c r="AN602" s="47" t="str">
        <f aca="false">IF($AM602=1,$A602,"")</f>
        <v/>
      </c>
    </row>
    <row r="603" customFormat="false" ht="15" hidden="false" customHeight="false" outlineLevel="0" collapsed="false">
      <c r="A603" s="43" t="s">
        <v>142</v>
      </c>
      <c r="B603" s="44" t="s">
        <v>144</v>
      </c>
      <c r="C603" s="45" t="n">
        <v>46014</v>
      </c>
      <c r="D603" s="46" t="n">
        <v>20251223</v>
      </c>
      <c r="E603" s="47" t="s">
        <v>366</v>
      </c>
      <c r="F603" s="48" t="n">
        <v>3496</v>
      </c>
      <c r="G603" s="48" t="n">
        <v>3548</v>
      </c>
      <c r="H603" s="48" t="n">
        <v>3428</v>
      </c>
      <c r="I603" s="48" t="n">
        <v>3511</v>
      </c>
      <c r="J603" s="48" t="n">
        <v>3450</v>
      </c>
      <c r="K603" s="48" t="n">
        <v>3464</v>
      </c>
      <c r="L603" s="48" t="n">
        <v>54100174</v>
      </c>
      <c r="M603" s="48" t="n">
        <v>189945710914</v>
      </c>
      <c r="N603" s="48" t="n">
        <v>3706</v>
      </c>
      <c r="O603" s="48" t="n">
        <v>32921091</v>
      </c>
      <c r="P603" s="48" t="n">
        <v>19682023</v>
      </c>
      <c r="Q603" s="48" t="n">
        <v>1490</v>
      </c>
      <c r="R603" s="48" t="n">
        <v>1328</v>
      </c>
      <c r="S603" s="48" t="n">
        <v>21179083</v>
      </c>
      <c r="T603" s="48" t="n">
        <v>34418151</v>
      </c>
      <c r="U603" s="46" t="n">
        <f aca="false">IF($A603=$A602,$U602+1,1)</f>
        <v>79</v>
      </c>
      <c r="V603" s="48" t="n">
        <f aca="false">IF($U603&gt;=MA_SHORT,AVERAGE(INDEX($I$203:$I603,402-MA_SHORT):$I603),"")</f>
        <v>3458.75</v>
      </c>
      <c r="W603" s="48" t="n">
        <f aca="false">IF($U603&gt;=MA_MED,AVERAGE(INDEX($I$203:$I603,402-MA_MED):$I603),"")</f>
        <v>3455.98</v>
      </c>
      <c r="X603" s="48" t="str">
        <f aca="false">IF($U603&gt;=MA_LONG1,AVERAGE(INDEX($I$203:$I603,402-MA_LONG1):$I603),"")</f>
        <v/>
      </c>
      <c r="Y603" s="48" t="str">
        <f aca="false">IF($U603&gt;=MA_LONG2,AVERAGE(INDEX($I$203:$I603,402-MA_LONG2):$I603),"")</f>
        <v/>
      </c>
      <c r="Z603" s="48" t="n">
        <f aca="false">IF($U603&gt;=MA_SHORT,AVERAGE(INDEX($L$483:$L603,122-MA_SHORT):$L603),"")</f>
        <v>60480549.85</v>
      </c>
      <c r="AA603" s="48" t="n">
        <f aca="false">IF($U603=1,$G603-$H603,MAX($G603-$H603,ABS($G603-$I602),ABS($H603-$I602)))</f>
        <v>120</v>
      </c>
      <c r="AB603" s="48" t="n">
        <f aca="false">IF($U603&gt;=ATR_PER,AVERAGE(INDEX($AA$483:$AA603,122-ATR_PER):$AA603),"")</f>
        <v>163.285714285714</v>
      </c>
      <c r="AC603" s="48" t="n">
        <f aca="false">$O603-$P603</f>
        <v>13239068</v>
      </c>
      <c r="AD603" s="48" t="n">
        <f aca="false">$AC603*$I603</f>
        <v>46482367748</v>
      </c>
      <c r="AE603" s="49" t="n">
        <f aca="false">IF($Q603&gt;0,$O603*$I603/$Q603/1000000,"")</f>
        <v>77.5744634234899</v>
      </c>
      <c r="AF603" s="49" t="n">
        <f aca="false">IF($R603&gt;0,$P603*$I603/$R603/1000000,"")</f>
        <v>52.0358303862952</v>
      </c>
      <c r="AG603" s="50" t="n">
        <f aca="false">IF(AND(ISNUMBER($AE603),ISNUMBER($AF603),$AF603&gt;0),$AE603/$AF603,"")</f>
        <v>1.49078938200092</v>
      </c>
      <c r="AH603" s="48" t="n">
        <f aca="false">IF($U603&gt;=5,SUM(INDEX($AD$573:$AD603,32-5):$AD603),"")</f>
        <v>221007192049</v>
      </c>
      <c r="AI603" s="48" t="n">
        <f aca="false">IF($U603&gt;=STRUCT_S,MAX(INDEX($G$453:$G603,152-STRUCT_S):$G603),"")</f>
        <v>3714</v>
      </c>
      <c r="AJ603" s="48" t="n">
        <f aca="false">IF($U603&gt;=STRUCT_S,MIN(INDEX($H$453:$H603,152-STRUCT_S):$H603),"")</f>
        <v>3236</v>
      </c>
      <c r="AK603" s="48" t="n">
        <f aca="false">IF($U603&gt;=STRUCT_L,MAX(INDEX($G$353:$G603,252-STRUCT_L):$G603),"")</f>
        <v>3797</v>
      </c>
      <c r="AL603" s="48" t="n">
        <f aca="false">IF($U603&gt;=STRUCT_L,MIN(INDEX($H$353:$H603,252-STRUCT_L):$H603),"")</f>
        <v>3170</v>
      </c>
      <c r="AM603" s="46" t="n">
        <f aca="false">IF($A603&lt;&gt;$A604,1,0)</f>
        <v>0</v>
      </c>
      <c r="AN603" s="47" t="str">
        <f aca="false">IF($AM603=1,$A603,"")</f>
        <v/>
      </c>
    </row>
    <row r="604" customFormat="false" ht="15" hidden="false" customHeight="false" outlineLevel="0" collapsed="false">
      <c r="A604" s="43" t="s">
        <v>142</v>
      </c>
      <c r="B604" s="44" t="s">
        <v>144</v>
      </c>
      <c r="C604" s="45" t="n">
        <v>46015</v>
      </c>
      <c r="D604" s="46" t="n">
        <v>20251224</v>
      </c>
      <c r="E604" s="47" t="s">
        <v>367</v>
      </c>
      <c r="F604" s="48" t="n">
        <v>3497</v>
      </c>
      <c r="G604" s="48" t="n">
        <v>3538</v>
      </c>
      <c r="H604" s="48" t="n">
        <v>3467</v>
      </c>
      <c r="I604" s="48" t="n">
        <v>3494</v>
      </c>
      <c r="J604" s="48" t="n">
        <v>3502</v>
      </c>
      <c r="K604" s="48" t="n">
        <v>3511</v>
      </c>
      <c r="L604" s="48" t="n">
        <v>51480873</v>
      </c>
      <c r="M604" s="48" t="n">
        <v>179874170262</v>
      </c>
      <c r="N604" s="48" t="n">
        <v>1639</v>
      </c>
      <c r="O604" s="48" t="n">
        <v>28039235</v>
      </c>
      <c r="P604" s="48" t="n">
        <v>24299495</v>
      </c>
      <c r="Q604" s="48" t="n">
        <v>553</v>
      </c>
      <c r="R604" s="48" t="n">
        <v>678</v>
      </c>
      <c r="S604" s="48" t="n">
        <v>23441638</v>
      </c>
      <c r="T604" s="48" t="n">
        <v>27181378</v>
      </c>
      <c r="U604" s="46" t="n">
        <f aca="false">IF($A604=$A603,$U603+1,1)</f>
        <v>80</v>
      </c>
      <c r="V604" s="48" t="n">
        <f aca="false">IF($U604&gt;=MA_SHORT,AVERAGE(INDEX($I$204:$I604,402-MA_SHORT):$I604),"")</f>
        <v>3463.8</v>
      </c>
      <c r="W604" s="48" t="n">
        <f aca="false">IF($U604&gt;=MA_MED,AVERAGE(INDEX($I$204:$I604,402-MA_MED):$I604),"")</f>
        <v>3454.46</v>
      </c>
      <c r="X604" s="48" t="str">
        <f aca="false">IF($U604&gt;=MA_LONG1,AVERAGE(INDEX($I$204:$I604,402-MA_LONG1):$I604),"")</f>
        <v/>
      </c>
      <c r="Y604" s="48" t="str">
        <f aca="false">IF($U604&gt;=MA_LONG2,AVERAGE(INDEX($I$204:$I604,402-MA_LONG2):$I604),"")</f>
        <v/>
      </c>
      <c r="Z604" s="48" t="n">
        <f aca="false">IF($U604&gt;=MA_SHORT,AVERAGE(INDEX($L$484:$L604,122-MA_SHORT):$L604),"")</f>
        <v>59907305.7</v>
      </c>
      <c r="AA604" s="48" t="n">
        <f aca="false">IF($U604=1,$G604-$H604,MAX($G604-$H604,ABS($G604-$I603),ABS($H604-$I603)))</f>
        <v>71</v>
      </c>
      <c r="AB604" s="48" t="n">
        <f aca="false">IF($U604&gt;=ATR_PER,AVERAGE(INDEX($AA$484:$AA604,122-ATR_PER):$AA604),"")</f>
        <v>156.857142857143</v>
      </c>
      <c r="AC604" s="48" t="n">
        <f aca="false">$O604-$P604</f>
        <v>3739740</v>
      </c>
      <c r="AD604" s="48" t="n">
        <f aca="false">$AC604*$I604</f>
        <v>13066651560</v>
      </c>
      <c r="AE604" s="49" t="n">
        <f aca="false">IF($Q604&gt;0,$O604*$I604/$Q604/1000000,"")</f>
        <v>177.159289493671</v>
      </c>
      <c r="AF604" s="49" t="n">
        <f aca="false">IF($R604&gt;0,$P604*$I604/$R604/1000000,"")</f>
        <v>125.224831165192</v>
      </c>
      <c r="AG604" s="50" t="n">
        <f aca="false">IF(AND(ISNUMBER($AE604),ISNUMBER($AF604),$AF604&gt;0),$AE604/$AF604,"")</f>
        <v>1.41472971331037</v>
      </c>
      <c r="AH604" s="48" t="n">
        <f aca="false">IF($U604&gt;=5,SUM(INDEX($AD$574:$AD604,32-5):$AD604),"")</f>
        <v>248928378682</v>
      </c>
      <c r="AI604" s="48" t="n">
        <f aca="false">IF($U604&gt;=STRUCT_S,MAX(INDEX($G$454:$G604,152-STRUCT_S):$G604),"")</f>
        <v>3714</v>
      </c>
      <c r="AJ604" s="48" t="n">
        <f aca="false">IF($U604&gt;=STRUCT_S,MIN(INDEX($H$454:$H604,152-STRUCT_S):$H604),"")</f>
        <v>3238</v>
      </c>
      <c r="AK604" s="48" t="n">
        <f aca="false">IF($U604&gt;=STRUCT_L,MAX(INDEX($G$354:$G604,252-STRUCT_L):$G604),"")</f>
        <v>3797</v>
      </c>
      <c r="AL604" s="48" t="n">
        <f aca="false">IF($U604&gt;=STRUCT_L,MIN(INDEX($H$354:$H604,252-STRUCT_L):$H604),"")</f>
        <v>3170</v>
      </c>
      <c r="AM604" s="46" t="n">
        <f aca="false">IF($A604&lt;&gt;$A605,1,0)</f>
        <v>0</v>
      </c>
      <c r="AN604" s="47" t="str">
        <f aca="false">IF($AM604=1,$A604,"")</f>
        <v/>
      </c>
    </row>
    <row r="605" customFormat="false" ht="15" hidden="false" customHeight="false" outlineLevel="0" collapsed="false">
      <c r="A605" s="43" t="s">
        <v>142</v>
      </c>
      <c r="B605" s="44" t="s">
        <v>144</v>
      </c>
      <c r="C605" s="45" t="n">
        <v>46018</v>
      </c>
      <c r="D605" s="46" t="n">
        <v>20251227</v>
      </c>
      <c r="E605" s="47" t="s">
        <v>368</v>
      </c>
      <c r="F605" s="48" t="n">
        <v>3515</v>
      </c>
      <c r="G605" s="48" t="n">
        <v>3722</v>
      </c>
      <c r="H605" s="48" t="n">
        <v>3440</v>
      </c>
      <c r="I605" s="48" t="n">
        <v>3665</v>
      </c>
      <c r="J605" s="48" t="n">
        <v>3539</v>
      </c>
      <c r="K605" s="48" t="n">
        <v>3494</v>
      </c>
      <c r="L605" s="48" t="n">
        <v>64717884</v>
      </c>
      <c r="M605" s="48" t="n">
        <v>237191044860</v>
      </c>
      <c r="N605" s="48" t="n">
        <v>3614</v>
      </c>
      <c r="O605" s="48" t="n">
        <v>42002791</v>
      </c>
      <c r="P605" s="48" t="n">
        <v>17677642</v>
      </c>
      <c r="Q605" s="48" t="n">
        <v>1167</v>
      </c>
      <c r="R605" s="48" t="n">
        <v>1944</v>
      </c>
      <c r="S605" s="48" t="n">
        <v>22715093</v>
      </c>
      <c r="T605" s="48" t="n">
        <v>47040242</v>
      </c>
      <c r="U605" s="46" t="n">
        <f aca="false">IF($A605=$A604,$U604+1,1)</f>
        <v>81</v>
      </c>
      <c r="V605" s="48" t="n">
        <f aca="false">IF($U605&gt;=MA_SHORT,AVERAGE(INDEX($I$205:$I605,402-MA_SHORT):$I605),"")</f>
        <v>3471.5</v>
      </c>
      <c r="W605" s="48" t="n">
        <f aca="false">IF($U605&gt;=MA_MED,AVERAGE(INDEX($I$205:$I605,402-MA_MED):$I605),"")</f>
        <v>3457.16</v>
      </c>
      <c r="X605" s="48" t="str">
        <f aca="false">IF($U605&gt;=MA_LONG1,AVERAGE(INDEX($I$205:$I605,402-MA_LONG1):$I605),"")</f>
        <v/>
      </c>
      <c r="Y605" s="48" t="str">
        <f aca="false">IF($U605&gt;=MA_LONG2,AVERAGE(INDEX($I$205:$I605,402-MA_LONG2):$I605),"")</f>
        <v/>
      </c>
      <c r="Z605" s="48" t="n">
        <f aca="false">IF($U605&gt;=MA_SHORT,AVERAGE(INDEX($L$485:$L605,122-MA_SHORT):$L605),"")</f>
        <v>60119875.95</v>
      </c>
      <c r="AA605" s="48" t="n">
        <f aca="false">IF($U605=1,$G605-$H605,MAX($G605-$H605,ABS($G605-$I604),ABS($H605-$I604)))</f>
        <v>282</v>
      </c>
      <c r="AB605" s="48" t="n">
        <f aca="false">IF($U605&gt;=ATR_PER,AVERAGE(INDEX($AA$485:$AA605,122-ATR_PER):$AA605),"")</f>
        <v>157.785714285714</v>
      </c>
      <c r="AC605" s="48" t="n">
        <f aca="false">$O605-$P605</f>
        <v>24325149</v>
      </c>
      <c r="AD605" s="48" t="n">
        <f aca="false">$AC605*$I605</f>
        <v>89151671085</v>
      </c>
      <c r="AE605" s="49" t="n">
        <f aca="false">IF($Q605&gt;0,$O605*$I605/$Q605/1000000,"")</f>
        <v>131.911078847472</v>
      </c>
      <c r="AF605" s="49" t="n">
        <f aca="false">IF($R605&gt;0,$P605*$I605/$R605/1000000,"")</f>
        <v>33.327447494856</v>
      </c>
      <c r="AG605" s="50" t="n">
        <f aca="false">IF(AND(ISNUMBER($AE605),ISNUMBER($AF605),$AF605&gt;0),$AE605/$AF605,"")</f>
        <v>3.95803125540389</v>
      </c>
      <c r="AH605" s="48" t="n">
        <f aca="false">IF($U605&gt;=5,SUM(INDEX($AD$575:$AD605,32-5):$AD605),"")</f>
        <v>295975982793</v>
      </c>
      <c r="AI605" s="48" t="n">
        <f aca="false">IF($U605&gt;=STRUCT_S,MAX(INDEX($G$455:$G605,152-STRUCT_S):$G605),"")</f>
        <v>3722</v>
      </c>
      <c r="AJ605" s="48" t="n">
        <f aca="false">IF($U605&gt;=STRUCT_S,MIN(INDEX($H$455:$H605,152-STRUCT_S):$H605),"")</f>
        <v>3238</v>
      </c>
      <c r="AK605" s="48" t="n">
        <f aca="false">IF($U605&gt;=STRUCT_L,MAX(INDEX($G$355:$G605,252-STRUCT_L):$G605),"")</f>
        <v>3797</v>
      </c>
      <c r="AL605" s="48" t="n">
        <f aca="false">IF($U605&gt;=STRUCT_L,MIN(INDEX($H$355:$H605,252-STRUCT_L):$H605),"")</f>
        <v>3170</v>
      </c>
      <c r="AM605" s="46" t="n">
        <f aca="false">IF($A605&lt;&gt;$A606,1,0)</f>
        <v>0</v>
      </c>
      <c r="AN605" s="47" t="str">
        <f aca="false">IF($AM605=1,$A605,"")</f>
        <v/>
      </c>
    </row>
    <row r="606" customFormat="false" ht="15" hidden="false" customHeight="false" outlineLevel="0" collapsed="false">
      <c r="A606" s="43" t="s">
        <v>142</v>
      </c>
      <c r="B606" s="44" t="s">
        <v>144</v>
      </c>
      <c r="C606" s="45" t="n">
        <v>46019</v>
      </c>
      <c r="D606" s="46" t="n">
        <v>20251228</v>
      </c>
      <c r="E606" s="47" t="s">
        <v>369</v>
      </c>
      <c r="F606" s="48" t="n">
        <v>3613</v>
      </c>
      <c r="G606" s="48" t="n">
        <v>3733</v>
      </c>
      <c r="H606" s="48" t="n">
        <v>3613</v>
      </c>
      <c r="I606" s="48" t="n">
        <v>3681</v>
      </c>
      <c r="J606" s="48" t="n">
        <v>3650</v>
      </c>
      <c r="K606" s="48" t="n">
        <v>3665</v>
      </c>
      <c r="L606" s="48" t="n">
        <v>51337903</v>
      </c>
      <c r="M606" s="48" t="n">
        <v>188974820943</v>
      </c>
      <c r="N606" s="48" t="n">
        <v>1773</v>
      </c>
      <c r="O606" s="48" t="n">
        <v>24669462</v>
      </c>
      <c r="P606" s="48" t="n">
        <v>30762161</v>
      </c>
      <c r="Q606" s="48" t="n">
        <v>748</v>
      </c>
      <c r="R606" s="48" t="n">
        <v>605</v>
      </c>
      <c r="S606" s="48" t="n">
        <v>26668441</v>
      </c>
      <c r="T606" s="48" t="n">
        <v>20575742</v>
      </c>
      <c r="U606" s="46" t="n">
        <f aca="false">IF($A606=$A605,$U605+1,1)</f>
        <v>82</v>
      </c>
      <c r="V606" s="48" t="n">
        <f aca="false">IF($U606&gt;=MA_SHORT,AVERAGE(INDEX($I$206:$I606,402-MA_SHORT):$I606),"")</f>
        <v>3483.1</v>
      </c>
      <c r="W606" s="48" t="n">
        <f aca="false">IF($U606&gt;=MA_MED,AVERAGE(INDEX($I$206:$I606,402-MA_MED):$I606),"")</f>
        <v>3460.08</v>
      </c>
      <c r="X606" s="48" t="str">
        <f aca="false">IF($U606&gt;=MA_LONG1,AVERAGE(INDEX($I$206:$I606,402-MA_LONG1):$I606),"")</f>
        <v/>
      </c>
      <c r="Y606" s="48" t="str">
        <f aca="false">IF($U606&gt;=MA_LONG2,AVERAGE(INDEX($I$206:$I606,402-MA_LONG2):$I606),"")</f>
        <v/>
      </c>
      <c r="Z606" s="48" t="n">
        <f aca="false">IF($U606&gt;=MA_SHORT,AVERAGE(INDEX($L$486:$L606,122-MA_SHORT):$L606),"")</f>
        <v>59920368.8</v>
      </c>
      <c r="AA606" s="48" t="n">
        <f aca="false">IF($U606=1,$G606-$H606,MAX($G606-$H606,ABS($G606-$I605),ABS($H606-$I605)))</f>
        <v>120</v>
      </c>
      <c r="AB606" s="48" t="n">
        <f aca="false">IF($U606&gt;=ATR_PER,AVERAGE(INDEX($AA$486:$AA606,122-ATR_PER):$AA606),"")</f>
        <v>156.571428571429</v>
      </c>
      <c r="AC606" s="48" t="n">
        <f aca="false">$O606-$P606</f>
        <v>-6092699</v>
      </c>
      <c r="AD606" s="48" t="n">
        <f aca="false">$AC606*$I606</f>
        <v>-22427225019</v>
      </c>
      <c r="AE606" s="49" t="n">
        <f aca="false">IF($Q606&gt;0,$O606*$I606/$Q606/1000000,"")</f>
        <v>121.401456713904</v>
      </c>
      <c r="AF606" s="49" t="n">
        <f aca="false">IF($R606&gt;0,$P606*$I606/$R606/1000000,"")</f>
        <v>187.166139902479</v>
      </c>
      <c r="AG606" s="50" t="n">
        <f aca="false">IF(AND(ISNUMBER($AE606),ISNUMBER($AF606),$AF606&gt;0),$AE606/$AF606,"")</f>
        <v>0.648629376965078</v>
      </c>
      <c r="AH606" s="48" t="n">
        <f aca="false">IF($U606&gt;=5,SUM(INDEX($AD$576:$AD606,32-5):$AD606),"")</f>
        <v>149291883934</v>
      </c>
      <c r="AI606" s="48" t="n">
        <f aca="false">IF($U606&gt;=STRUCT_S,MAX(INDEX($G$456:$G606,152-STRUCT_S):$G606),"")</f>
        <v>3733</v>
      </c>
      <c r="AJ606" s="48" t="n">
        <f aca="false">IF($U606&gt;=STRUCT_S,MIN(INDEX($H$456:$H606,152-STRUCT_S):$H606),"")</f>
        <v>3238</v>
      </c>
      <c r="AK606" s="48" t="n">
        <f aca="false">IF($U606&gt;=STRUCT_L,MAX(INDEX($G$356:$G606,252-STRUCT_L):$G606),"")</f>
        <v>3797</v>
      </c>
      <c r="AL606" s="48" t="n">
        <f aca="false">IF($U606&gt;=STRUCT_L,MIN(INDEX($H$356:$H606,252-STRUCT_L):$H606),"")</f>
        <v>3170</v>
      </c>
      <c r="AM606" s="46" t="n">
        <f aca="false">IF($A606&lt;&gt;$A607,1,0)</f>
        <v>0</v>
      </c>
      <c r="AN606" s="47" t="str">
        <f aca="false">IF($AM606=1,$A606,"")</f>
        <v/>
      </c>
    </row>
    <row r="607" customFormat="false" ht="15" hidden="false" customHeight="false" outlineLevel="0" collapsed="false">
      <c r="A607" s="43" t="s">
        <v>142</v>
      </c>
      <c r="B607" s="44" t="s">
        <v>144</v>
      </c>
      <c r="C607" s="45" t="n">
        <v>46020</v>
      </c>
      <c r="D607" s="46" t="n">
        <v>20251229</v>
      </c>
      <c r="E607" s="47" t="s">
        <v>370</v>
      </c>
      <c r="F607" s="48" t="n">
        <v>3714</v>
      </c>
      <c r="G607" s="48" t="n">
        <v>3758</v>
      </c>
      <c r="H607" s="48" t="n">
        <v>3665</v>
      </c>
      <c r="I607" s="48" t="n">
        <v>3741</v>
      </c>
      <c r="J607" s="48" t="n">
        <v>3745</v>
      </c>
      <c r="K607" s="48" t="n">
        <v>3681</v>
      </c>
      <c r="L607" s="48" t="n">
        <v>54920161</v>
      </c>
      <c r="M607" s="48" t="n">
        <v>205456322301</v>
      </c>
      <c r="N607" s="48" t="n">
        <v>4194</v>
      </c>
      <c r="O607" s="48" t="n">
        <v>30456663</v>
      </c>
      <c r="P607" s="48" t="n">
        <v>24975822</v>
      </c>
      <c r="Q607" s="48" t="n">
        <v>1176</v>
      </c>
      <c r="R607" s="48" t="n">
        <v>2243</v>
      </c>
      <c r="S607" s="48" t="n">
        <v>24463498</v>
      </c>
      <c r="T607" s="48" t="n">
        <v>29944339</v>
      </c>
      <c r="U607" s="46" t="n">
        <f aca="false">IF($A607=$A606,$U606+1,1)</f>
        <v>83</v>
      </c>
      <c r="V607" s="48" t="n">
        <f aca="false">IF($U607&gt;=MA_SHORT,AVERAGE(INDEX($I$207:$I607,402-MA_SHORT):$I607),"")</f>
        <v>3504.45</v>
      </c>
      <c r="W607" s="48" t="n">
        <f aca="false">IF($U607&gt;=MA_MED,AVERAGE(INDEX($I$207:$I607,402-MA_MED):$I607),"")</f>
        <v>3464.5</v>
      </c>
      <c r="X607" s="48" t="str">
        <f aca="false">IF($U607&gt;=MA_LONG1,AVERAGE(INDEX($I$207:$I607,402-MA_LONG1):$I607),"")</f>
        <v/>
      </c>
      <c r="Y607" s="48" t="str">
        <f aca="false">IF($U607&gt;=MA_LONG2,AVERAGE(INDEX($I$207:$I607,402-MA_LONG2):$I607),"")</f>
        <v/>
      </c>
      <c r="Z607" s="48" t="n">
        <f aca="false">IF($U607&gt;=MA_SHORT,AVERAGE(INDEX($L$487:$L607,122-MA_SHORT):$L607),"")</f>
        <v>58863107.55</v>
      </c>
      <c r="AA607" s="48" t="n">
        <f aca="false">IF($U607=1,$G607-$H607,MAX($G607-$H607,ABS($G607-$I606),ABS($H607-$I606)))</f>
        <v>93</v>
      </c>
      <c r="AB607" s="48" t="n">
        <f aca="false">IF($U607&gt;=ATR_PER,AVERAGE(INDEX($AA$487:$AA607,122-ATR_PER):$AA607),"")</f>
        <v>159.214285714286</v>
      </c>
      <c r="AC607" s="48" t="n">
        <f aca="false">$O607-$P607</f>
        <v>5480841</v>
      </c>
      <c r="AD607" s="48" t="n">
        <f aca="false">$AC607*$I607</f>
        <v>20503826181</v>
      </c>
      <c r="AE607" s="49" t="n">
        <f aca="false">IF($Q607&gt;0,$O607*$I607/$Q607/1000000,"")</f>
        <v>96.8863743903061</v>
      </c>
      <c r="AF607" s="49" t="n">
        <f aca="false">IF($R607&gt;0,$P607*$I607/$R607/1000000,"")</f>
        <v>41.6560633535444</v>
      </c>
      <c r="AG607" s="50" t="n">
        <f aca="false">IF(AND(ISNUMBER($AE607),ISNUMBER($AF607),$AF607&gt;0),$AE607/$AF607,"")</f>
        <v>2.32586487033135</v>
      </c>
      <c r="AH607" s="48" t="n">
        <f aca="false">IF($U607&gt;=5,SUM(INDEX($AD$577:$AD607,32-5):$AD607),"")</f>
        <v>146777291555</v>
      </c>
      <c r="AI607" s="48" t="n">
        <f aca="false">IF($U607&gt;=STRUCT_S,MAX(INDEX($G$457:$G607,152-STRUCT_S):$G607),"")</f>
        <v>3758</v>
      </c>
      <c r="AJ607" s="48" t="n">
        <f aca="false">IF($U607&gt;=STRUCT_S,MIN(INDEX($H$457:$H607,152-STRUCT_S):$H607),"")</f>
        <v>3238</v>
      </c>
      <c r="AK607" s="48" t="n">
        <f aca="false">IF($U607&gt;=STRUCT_L,MAX(INDEX($G$357:$G607,252-STRUCT_L):$G607),"")</f>
        <v>3797</v>
      </c>
      <c r="AL607" s="48" t="n">
        <f aca="false">IF($U607&gt;=STRUCT_L,MIN(INDEX($H$357:$H607,252-STRUCT_L):$H607),"")</f>
        <v>3170</v>
      </c>
      <c r="AM607" s="46" t="n">
        <f aca="false">IF($A607&lt;&gt;$A608,1,0)</f>
        <v>0</v>
      </c>
      <c r="AN607" s="47" t="str">
        <f aca="false">IF($AM607=1,$A607,"")</f>
        <v/>
      </c>
    </row>
    <row r="608" customFormat="false" ht="15" hidden="false" customHeight="false" outlineLevel="0" collapsed="false">
      <c r="A608" s="43" t="s">
        <v>142</v>
      </c>
      <c r="B608" s="44" t="s">
        <v>144</v>
      </c>
      <c r="C608" s="45" t="n">
        <v>46021</v>
      </c>
      <c r="D608" s="46" t="n">
        <v>20251230</v>
      </c>
      <c r="E608" s="47" t="s">
        <v>371</v>
      </c>
      <c r="F608" s="48" t="n">
        <v>3662</v>
      </c>
      <c r="G608" s="48" t="n">
        <v>3952</v>
      </c>
      <c r="H608" s="48" t="n">
        <v>3640</v>
      </c>
      <c r="I608" s="48" t="n">
        <v>3848</v>
      </c>
      <c r="J608" s="48" t="n">
        <v>3822</v>
      </c>
      <c r="K608" s="48" t="n">
        <v>3741</v>
      </c>
      <c r="L608" s="48" t="n">
        <v>58612809</v>
      </c>
      <c r="M608" s="48" t="n">
        <v>225542089032</v>
      </c>
      <c r="N608" s="48" t="n">
        <v>1960</v>
      </c>
      <c r="O608" s="48" t="n">
        <v>35418864</v>
      </c>
      <c r="P608" s="48" t="n">
        <v>19680779</v>
      </c>
      <c r="Q608" s="48" t="n">
        <v>935</v>
      </c>
      <c r="R608" s="48" t="n">
        <v>871</v>
      </c>
      <c r="S608" s="48" t="n">
        <v>23193945</v>
      </c>
      <c r="T608" s="48" t="n">
        <v>38932030</v>
      </c>
      <c r="U608" s="46" t="n">
        <f aca="false">IF($A608=$A607,$U607+1,1)</f>
        <v>84</v>
      </c>
      <c r="V608" s="48" t="n">
        <f aca="false">IF($U608&gt;=MA_SHORT,AVERAGE(INDEX($I$208:$I608,402-MA_SHORT):$I608),"")</f>
        <v>3528.15</v>
      </c>
      <c r="W608" s="48" t="n">
        <f aca="false">IF($U608&gt;=MA_MED,AVERAGE(INDEX($I$208:$I608,402-MA_MED):$I608),"")</f>
        <v>3468.1</v>
      </c>
      <c r="X608" s="48" t="str">
        <f aca="false">IF($U608&gt;=MA_LONG1,AVERAGE(INDEX($I$208:$I608,402-MA_LONG1):$I608),"")</f>
        <v/>
      </c>
      <c r="Y608" s="48" t="str">
        <f aca="false">IF($U608&gt;=MA_LONG2,AVERAGE(INDEX($I$208:$I608,402-MA_LONG2):$I608),"")</f>
        <v/>
      </c>
      <c r="Z608" s="48" t="n">
        <f aca="false">IF($U608&gt;=MA_SHORT,AVERAGE(INDEX($L$488:$L608,122-MA_SHORT):$L608),"")</f>
        <v>59020648.7</v>
      </c>
      <c r="AA608" s="48" t="n">
        <f aca="false">IF($U608=1,$G608-$H608,MAX($G608-$H608,ABS($G608-$I607),ABS($H608-$I607)))</f>
        <v>312</v>
      </c>
      <c r="AB608" s="48" t="n">
        <f aca="false">IF($U608&gt;=ATR_PER,AVERAGE(INDEX($AA$488:$AA608,122-ATR_PER):$AA608),"")</f>
        <v>171.642857142857</v>
      </c>
      <c r="AC608" s="48" t="n">
        <f aca="false">$O608-$P608</f>
        <v>15738085</v>
      </c>
      <c r="AD608" s="48" t="n">
        <f aca="false">$AC608*$I608</f>
        <v>60560151080</v>
      </c>
      <c r="AE608" s="49" t="n">
        <f aca="false">IF($Q608&gt;0,$O608*$I608/$Q608/1000000,"")</f>
        <v>145.766618900535</v>
      </c>
      <c r="AF608" s="49" t="n">
        <f aca="false">IF($R608&gt;0,$P608*$I608/$R608/1000000,"")</f>
        <v>86.9479191641791</v>
      </c>
      <c r="AG608" s="50" t="n">
        <f aca="false">IF(AND(ISNUMBER($AE608),ISNUMBER($AF608),$AF608&gt;0),$AE608/$AF608,"")</f>
        <v>1.67648197106697</v>
      </c>
      <c r="AH608" s="48" t="n">
        <f aca="false">IF($U608&gt;=5,SUM(INDEX($AD$578:$AD608,32-5):$AD608),"")</f>
        <v>160855074887</v>
      </c>
      <c r="AI608" s="48" t="n">
        <f aca="false">IF($U608&gt;=STRUCT_S,MAX(INDEX($G$458:$G608,152-STRUCT_S):$G608),"")</f>
        <v>3952</v>
      </c>
      <c r="AJ608" s="48" t="n">
        <f aca="false">IF($U608&gt;=STRUCT_S,MIN(INDEX($H$458:$H608,152-STRUCT_S):$H608),"")</f>
        <v>3280</v>
      </c>
      <c r="AK608" s="48" t="n">
        <f aca="false">IF($U608&gt;=STRUCT_L,MAX(INDEX($G$358:$G608,252-STRUCT_L):$G608),"")</f>
        <v>3952</v>
      </c>
      <c r="AL608" s="48" t="n">
        <f aca="false">IF($U608&gt;=STRUCT_L,MIN(INDEX($H$358:$H608,252-STRUCT_L):$H608),"")</f>
        <v>3170</v>
      </c>
      <c r="AM608" s="46" t="n">
        <f aca="false">IF($A608&lt;&gt;$A609,1,0)</f>
        <v>0</v>
      </c>
      <c r="AN608" s="47" t="str">
        <f aca="false">IF($AM608=1,$A608,"")</f>
        <v/>
      </c>
    </row>
    <row r="609" customFormat="false" ht="15" hidden="false" customHeight="false" outlineLevel="0" collapsed="false">
      <c r="A609" s="43" t="s">
        <v>142</v>
      </c>
      <c r="B609" s="44" t="s">
        <v>144</v>
      </c>
      <c r="C609" s="45" t="n">
        <v>46022</v>
      </c>
      <c r="D609" s="46" t="n">
        <v>20251231</v>
      </c>
      <c r="E609" s="47" t="s">
        <v>372</v>
      </c>
      <c r="F609" s="48" t="n">
        <v>3870</v>
      </c>
      <c r="G609" s="48" t="n">
        <v>3902</v>
      </c>
      <c r="H609" s="48" t="n">
        <v>3744</v>
      </c>
      <c r="I609" s="48" t="n">
        <v>3797</v>
      </c>
      <c r="J609" s="48" t="n">
        <v>3878</v>
      </c>
      <c r="K609" s="48" t="n">
        <v>3848</v>
      </c>
      <c r="L609" s="48" t="n">
        <v>54178339</v>
      </c>
      <c r="M609" s="48" t="n">
        <v>205715153183</v>
      </c>
      <c r="N609" s="48" t="n">
        <v>1285</v>
      </c>
      <c r="O609" s="48" t="n">
        <v>22165374</v>
      </c>
      <c r="P609" s="48" t="n">
        <v>29222030</v>
      </c>
      <c r="Q609" s="48" t="n">
        <v>739</v>
      </c>
      <c r="R609" s="48" t="n">
        <v>361</v>
      </c>
      <c r="S609" s="48" t="n">
        <v>32012965</v>
      </c>
      <c r="T609" s="48" t="n">
        <v>24956309</v>
      </c>
      <c r="U609" s="46" t="n">
        <f aca="false">IF($A609=$A608,$U608+1,1)</f>
        <v>85</v>
      </c>
      <c r="V609" s="48" t="n">
        <f aca="false">IF($U609&gt;=MA_SHORT,AVERAGE(INDEX($I$209:$I609,402-MA_SHORT):$I609),"")</f>
        <v>3546.25</v>
      </c>
      <c r="W609" s="48" t="n">
        <f aca="false">IF($U609&gt;=MA_MED,AVERAGE(INDEX($I$209:$I609,402-MA_MED):$I609),"")</f>
        <v>3468.82</v>
      </c>
      <c r="X609" s="48" t="str">
        <f aca="false">IF($U609&gt;=MA_LONG1,AVERAGE(INDEX($I$209:$I609,402-MA_LONG1):$I609),"")</f>
        <v/>
      </c>
      <c r="Y609" s="48" t="str">
        <f aca="false">IF($U609&gt;=MA_LONG2,AVERAGE(INDEX($I$209:$I609,402-MA_LONG2):$I609),"")</f>
        <v/>
      </c>
      <c r="Z609" s="48" t="n">
        <f aca="false">IF($U609&gt;=MA_SHORT,AVERAGE(INDEX($L$489:$L609,122-MA_SHORT):$L609),"")</f>
        <v>58956850.2</v>
      </c>
      <c r="AA609" s="48" t="n">
        <f aca="false">IF($U609=1,$G609-$H609,MAX($G609-$H609,ABS($G609-$I608),ABS($H609-$I608)))</f>
        <v>158</v>
      </c>
      <c r="AB609" s="48" t="n">
        <f aca="false">IF($U609&gt;=ATR_PER,AVERAGE(INDEX($AA$489:$AA609,122-ATR_PER):$AA609),"")</f>
        <v>160.785714285714</v>
      </c>
      <c r="AC609" s="48" t="n">
        <f aca="false">$O609-$P609</f>
        <v>-7056656</v>
      </c>
      <c r="AD609" s="48" t="n">
        <f aca="false">$AC609*$I609</f>
        <v>-26794122832</v>
      </c>
      <c r="AE609" s="49" t="n">
        <f aca="false">IF($Q609&gt;0,$O609*$I609/$Q609/1000000,"")</f>
        <v>113.886231499323</v>
      </c>
      <c r="AF609" s="49" t="n">
        <f aca="false">IF($R609&gt;0,$P609*$I609/$R609/1000000,"")</f>
        <v>307.357473434903</v>
      </c>
      <c r="AG609" s="50" t="n">
        <f aca="false">IF(AND(ISNUMBER($AE609),ISNUMBER($AF609),$AF609&gt;0),$AE609/$AF609,"")</f>
        <v>0.370533471096625</v>
      </c>
      <c r="AH609" s="48" t="n">
        <f aca="false">IF($U609&gt;=5,SUM(INDEX($AD$579:$AD609,32-5):$AD609),"")</f>
        <v>120994300495</v>
      </c>
      <c r="AI609" s="48" t="n">
        <f aca="false">IF($U609&gt;=STRUCT_S,MAX(INDEX($G$459:$G609,152-STRUCT_S):$G609),"")</f>
        <v>3952</v>
      </c>
      <c r="AJ609" s="48" t="n">
        <f aca="false">IF($U609&gt;=STRUCT_S,MIN(INDEX($H$459:$H609,152-STRUCT_S):$H609),"")</f>
        <v>3280</v>
      </c>
      <c r="AK609" s="48" t="n">
        <f aca="false">IF($U609&gt;=STRUCT_L,MAX(INDEX($G$359:$G609,252-STRUCT_L):$G609),"")</f>
        <v>3952</v>
      </c>
      <c r="AL609" s="48" t="n">
        <f aca="false">IF($U609&gt;=STRUCT_L,MIN(INDEX($H$359:$H609,252-STRUCT_L):$H609),"")</f>
        <v>3170</v>
      </c>
      <c r="AM609" s="46" t="n">
        <f aca="false">IF($A609&lt;&gt;$A610,1,0)</f>
        <v>0</v>
      </c>
      <c r="AN609" s="47" t="str">
        <f aca="false">IF($AM609=1,$A609,"")</f>
        <v/>
      </c>
    </row>
    <row r="610" customFormat="false" ht="15" hidden="false" customHeight="false" outlineLevel="0" collapsed="false">
      <c r="A610" s="43" t="s">
        <v>142</v>
      </c>
      <c r="B610" s="44" t="s">
        <v>144</v>
      </c>
      <c r="C610" s="45" t="n">
        <v>46025</v>
      </c>
      <c r="D610" s="46" t="n">
        <v>20260103</v>
      </c>
      <c r="E610" s="47" t="s">
        <v>373</v>
      </c>
      <c r="F610" s="48" t="n">
        <v>3773</v>
      </c>
      <c r="G610" s="48" t="n">
        <v>3895</v>
      </c>
      <c r="H610" s="48" t="n">
        <v>3762</v>
      </c>
      <c r="I610" s="48" t="n">
        <v>3860</v>
      </c>
      <c r="J610" s="48" t="n">
        <v>3811</v>
      </c>
      <c r="K610" s="48" t="n">
        <v>3797</v>
      </c>
      <c r="L610" s="48" t="n">
        <v>61442077</v>
      </c>
      <c r="M610" s="48" t="n">
        <v>237166417220</v>
      </c>
      <c r="N610" s="48" t="n">
        <v>2075</v>
      </c>
      <c r="O610" s="48" t="n">
        <v>35645970</v>
      </c>
      <c r="P610" s="48" t="n">
        <v>25367311</v>
      </c>
      <c r="Q610" s="48" t="n">
        <v>962</v>
      </c>
      <c r="R610" s="48" t="n">
        <v>774</v>
      </c>
      <c r="S610" s="48" t="n">
        <v>25796107</v>
      </c>
      <c r="T610" s="48" t="n">
        <v>36074766</v>
      </c>
      <c r="U610" s="46" t="n">
        <f aca="false">IF($A610=$A609,$U609+1,1)</f>
        <v>86</v>
      </c>
      <c r="V610" s="48" t="n">
        <f aca="false">IF($U610&gt;=MA_SHORT,AVERAGE(INDEX($I$210:$I610,402-MA_SHORT):$I610),"")</f>
        <v>3564.3</v>
      </c>
      <c r="W610" s="48" t="n">
        <f aca="false">IF($U610&gt;=MA_MED,AVERAGE(INDEX($I$210:$I610,402-MA_MED):$I610),"")</f>
        <v>3472.44</v>
      </c>
      <c r="X610" s="48" t="str">
        <f aca="false">IF($U610&gt;=MA_LONG1,AVERAGE(INDEX($I$210:$I610,402-MA_LONG1):$I610),"")</f>
        <v/>
      </c>
      <c r="Y610" s="48" t="str">
        <f aca="false">IF($U610&gt;=MA_LONG2,AVERAGE(INDEX($I$210:$I610,402-MA_LONG2):$I610),"")</f>
        <v/>
      </c>
      <c r="Z610" s="48" t="n">
        <f aca="false">IF($U610&gt;=MA_SHORT,AVERAGE(INDEX($L$490:$L610,122-MA_SHORT):$L610),"")</f>
        <v>59247949.55</v>
      </c>
      <c r="AA610" s="48" t="n">
        <f aca="false">IF($U610=1,$G610-$H610,MAX($G610-$H610,ABS($G610-$I609),ABS($H610-$I609)))</f>
        <v>133</v>
      </c>
      <c r="AB610" s="48" t="n">
        <f aca="false">IF($U610&gt;=ATR_PER,AVERAGE(INDEX($AA$490:$AA610,122-ATR_PER):$AA610),"")</f>
        <v>166.357142857143</v>
      </c>
      <c r="AC610" s="48" t="n">
        <f aca="false">$O610-$P610</f>
        <v>10278659</v>
      </c>
      <c r="AD610" s="48" t="n">
        <f aca="false">$AC610*$I610</f>
        <v>39675623740</v>
      </c>
      <c r="AE610" s="49" t="n">
        <f aca="false">IF($Q610&gt;0,$O610*$I610/$Q610/1000000,"")</f>
        <v>143.028528274428</v>
      </c>
      <c r="AF610" s="49" t="n">
        <f aca="false">IF($R610&gt;0,$P610*$I610/$R610/1000000,"")</f>
        <v>126.508811963824</v>
      </c>
      <c r="AG610" s="50" t="n">
        <f aca="false">IF(AND(ISNUMBER($AE610),ISNUMBER($AF610),$AF610&gt;0),$AE610/$AF610,"")</f>
        <v>1.13058154648807</v>
      </c>
      <c r="AH610" s="48" t="n">
        <f aca="false">IF($U610&gt;=5,SUM(INDEX($AD$580:$AD610,32-5):$AD610),"")</f>
        <v>71518253150</v>
      </c>
      <c r="AI610" s="48" t="n">
        <f aca="false">IF($U610&gt;=STRUCT_S,MAX(INDEX($G$460:$G610,152-STRUCT_S):$G610),"")</f>
        <v>3952</v>
      </c>
      <c r="AJ610" s="48" t="n">
        <f aca="false">IF($U610&gt;=STRUCT_S,MIN(INDEX($H$460:$H610,152-STRUCT_S):$H610),"")</f>
        <v>3280</v>
      </c>
      <c r="AK610" s="48" t="n">
        <f aca="false">IF($U610&gt;=STRUCT_L,MAX(INDEX($G$360:$G610,252-STRUCT_L):$G610),"")</f>
        <v>3952</v>
      </c>
      <c r="AL610" s="48" t="n">
        <f aca="false">IF($U610&gt;=STRUCT_L,MIN(INDEX($H$360:$H610,252-STRUCT_L):$H610),"")</f>
        <v>3170</v>
      </c>
      <c r="AM610" s="46" t="n">
        <f aca="false">IF($A610&lt;&gt;$A611,1,0)</f>
        <v>0</v>
      </c>
      <c r="AN610" s="47" t="str">
        <f aca="false">IF($AM610=1,$A610,"")</f>
        <v/>
      </c>
    </row>
    <row r="611" customFormat="false" ht="15" hidden="false" customHeight="false" outlineLevel="0" collapsed="false">
      <c r="A611" s="43" t="s">
        <v>142</v>
      </c>
      <c r="B611" s="44" t="s">
        <v>144</v>
      </c>
      <c r="C611" s="45" t="n">
        <v>46026</v>
      </c>
      <c r="D611" s="46" t="n">
        <v>20260104</v>
      </c>
      <c r="E611" s="47" t="s">
        <v>374</v>
      </c>
      <c r="F611" s="48" t="n">
        <v>3911</v>
      </c>
      <c r="G611" s="48" t="n">
        <v>3923</v>
      </c>
      <c r="H611" s="48" t="n">
        <v>3785</v>
      </c>
      <c r="I611" s="48" t="n">
        <v>3848</v>
      </c>
      <c r="J611" s="48" t="n">
        <v>3856</v>
      </c>
      <c r="K611" s="48" t="n">
        <v>3860</v>
      </c>
      <c r="L611" s="48" t="n">
        <v>76328755</v>
      </c>
      <c r="M611" s="48" t="n">
        <v>293713049240</v>
      </c>
      <c r="N611" s="48" t="n">
        <v>4088</v>
      </c>
      <c r="O611" s="48" t="n">
        <v>41771153</v>
      </c>
      <c r="P611" s="48" t="n">
        <v>33302836</v>
      </c>
      <c r="Q611" s="48" t="n">
        <v>2254</v>
      </c>
      <c r="R611" s="48" t="n">
        <v>1883</v>
      </c>
      <c r="S611" s="48" t="n">
        <v>34557602</v>
      </c>
      <c r="T611" s="48" t="n">
        <v>43025919</v>
      </c>
      <c r="U611" s="46" t="n">
        <f aca="false">IF($A611=$A610,$U610+1,1)</f>
        <v>87</v>
      </c>
      <c r="V611" s="48" t="n">
        <f aca="false">IF($U611&gt;=MA_SHORT,AVERAGE(INDEX($I$211:$I611,402-MA_SHORT):$I611),"")</f>
        <v>3577</v>
      </c>
      <c r="W611" s="48" t="n">
        <f aca="false">IF($U611&gt;=MA_MED,AVERAGE(INDEX($I$211:$I611,402-MA_MED):$I611),"")</f>
        <v>3478.74</v>
      </c>
      <c r="X611" s="48" t="str">
        <f aca="false">IF($U611&gt;=MA_LONG1,AVERAGE(INDEX($I$211:$I611,402-MA_LONG1):$I611),"")</f>
        <v/>
      </c>
      <c r="Y611" s="48" t="str">
        <f aca="false">IF($U611&gt;=MA_LONG2,AVERAGE(INDEX($I$211:$I611,402-MA_LONG2):$I611),"")</f>
        <v/>
      </c>
      <c r="Z611" s="48" t="n">
        <f aca="false">IF($U611&gt;=MA_SHORT,AVERAGE(INDEX($L$491:$L611,122-MA_SHORT):$L611),"")</f>
        <v>60155529.3</v>
      </c>
      <c r="AA611" s="48" t="n">
        <f aca="false">IF($U611=1,$G611-$H611,MAX($G611-$H611,ABS($G611-$I610),ABS($H611-$I610)))</f>
        <v>138</v>
      </c>
      <c r="AB611" s="48" t="n">
        <f aca="false">IF($U611&gt;=ATR_PER,AVERAGE(INDEX($AA$491:$AA611,122-ATR_PER):$AA611),"")</f>
        <v>158.642857142857</v>
      </c>
      <c r="AC611" s="48" t="n">
        <f aca="false">$O611-$P611</f>
        <v>8468317</v>
      </c>
      <c r="AD611" s="48" t="n">
        <f aca="false">$AC611*$I611</f>
        <v>32586083816</v>
      </c>
      <c r="AE611" s="49" t="n">
        <f aca="false">IF($Q611&gt;0,$O611*$I611/$Q611/1000000,"")</f>
        <v>71.3111786796806</v>
      </c>
      <c r="AF611" s="49" t="n">
        <f aca="false">IF($R611&gt;0,$P611*$I611/$R611/1000000,"")</f>
        <v>68.055928267658</v>
      </c>
      <c r="AG611" s="50" t="n">
        <f aca="false">IF(AND(ISNUMBER($AE611),ISNUMBER($AF611),$AF611&gt;0),$AE611/$AF611,"")</f>
        <v>1.04783198899617</v>
      </c>
      <c r="AH611" s="48" t="n">
        <f aca="false">IF($U611&gt;=5,SUM(INDEX($AD$581:$AD611,32-5):$AD611),"")</f>
        <v>126531561985</v>
      </c>
      <c r="AI611" s="48" t="n">
        <f aca="false">IF($U611&gt;=STRUCT_S,MAX(INDEX($G$461:$G611,152-STRUCT_S):$G611),"")</f>
        <v>3952</v>
      </c>
      <c r="AJ611" s="48" t="n">
        <f aca="false">IF($U611&gt;=STRUCT_S,MIN(INDEX($H$461:$H611,152-STRUCT_S):$H611),"")</f>
        <v>3280</v>
      </c>
      <c r="AK611" s="48" t="n">
        <f aca="false">IF($U611&gt;=STRUCT_L,MAX(INDEX($G$361:$G611,252-STRUCT_L):$G611),"")</f>
        <v>3952</v>
      </c>
      <c r="AL611" s="48" t="n">
        <f aca="false">IF($U611&gt;=STRUCT_L,MIN(INDEX($H$361:$H611,252-STRUCT_L):$H611),"")</f>
        <v>3170</v>
      </c>
      <c r="AM611" s="46" t="n">
        <f aca="false">IF($A611&lt;&gt;$A612,1,0)</f>
        <v>0</v>
      </c>
      <c r="AN611" s="47" t="str">
        <f aca="false">IF($AM611=1,$A611,"")</f>
        <v/>
      </c>
    </row>
    <row r="612" customFormat="false" ht="15" hidden="false" customHeight="false" outlineLevel="0" collapsed="false">
      <c r="A612" s="43" t="s">
        <v>142</v>
      </c>
      <c r="B612" s="44" t="s">
        <v>144</v>
      </c>
      <c r="C612" s="45" t="n">
        <v>46027</v>
      </c>
      <c r="D612" s="46" t="n">
        <v>20260105</v>
      </c>
      <c r="E612" s="47" t="s">
        <v>375</v>
      </c>
      <c r="F612" s="48" t="n">
        <v>3868</v>
      </c>
      <c r="G612" s="48" t="n">
        <v>3986</v>
      </c>
      <c r="H612" s="48" t="n">
        <v>3803</v>
      </c>
      <c r="I612" s="48" t="n">
        <v>3940</v>
      </c>
      <c r="J612" s="48" t="n">
        <v>3886</v>
      </c>
      <c r="K612" s="48" t="n">
        <v>3848</v>
      </c>
      <c r="L612" s="48" t="n">
        <v>57203998</v>
      </c>
      <c r="M612" s="48" t="n">
        <v>225383752120</v>
      </c>
      <c r="N612" s="48" t="n">
        <v>2525</v>
      </c>
      <c r="O612" s="48" t="n">
        <v>39643680</v>
      </c>
      <c r="P612" s="48" t="n">
        <v>16913065</v>
      </c>
      <c r="Q612" s="48" t="n">
        <v>1253</v>
      </c>
      <c r="R612" s="48" t="n">
        <v>1154</v>
      </c>
      <c r="S612" s="48" t="n">
        <v>17560318</v>
      </c>
      <c r="T612" s="48" t="n">
        <v>40290933</v>
      </c>
      <c r="U612" s="46" t="n">
        <f aca="false">IF($A612=$A611,$U611+1,1)</f>
        <v>88</v>
      </c>
      <c r="V612" s="48" t="n">
        <f aca="false">IF($U612&gt;=MA_SHORT,AVERAGE(INDEX($I$212:$I612,402-MA_SHORT):$I612),"")</f>
        <v>3598.1</v>
      </c>
      <c r="W612" s="48" t="n">
        <f aca="false">IF($U612&gt;=MA_MED,AVERAGE(INDEX($I$212:$I612,402-MA_MED):$I612),"")</f>
        <v>3488.46</v>
      </c>
      <c r="X612" s="48" t="str">
        <f aca="false">IF($U612&gt;=MA_LONG1,AVERAGE(INDEX($I$212:$I612,402-MA_LONG1):$I612),"")</f>
        <v/>
      </c>
      <c r="Y612" s="48" t="str">
        <f aca="false">IF($U612&gt;=MA_LONG2,AVERAGE(INDEX($I$212:$I612,402-MA_LONG2):$I612),"")</f>
        <v/>
      </c>
      <c r="Z612" s="48" t="n">
        <f aca="false">IF($U612&gt;=MA_SHORT,AVERAGE(INDEX($L$492:$L612,122-MA_SHORT):$L612),"")</f>
        <v>60196984.6</v>
      </c>
      <c r="AA612" s="48" t="n">
        <f aca="false">IF($U612=1,$G612-$H612,MAX($G612-$H612,ABS($G612-$I611),ABS($H612-$I611)))</f>
        <v>183</v>
      </c>
      <c r="AB612" s="48" t="n">
        <f aca="false">IF($U612&gt;=ATR_PER,AVERAGE(INDEX($AA$492:$AA612,122-ATR_PER):$AA612),"")</f>
        <v>161.857142857143</v>
      </c>
      <c r="AC612" s="48" t="n">
        <f aca="false">$O612-$P612</f>
        <v>22730615</v>
      </c>
      <c r="AD612" s="48" t="n">
        <f aca="false">$AC612*$I612</f>
        <v>89558623100</v>
      </c>
      <c r="AE612" s="49" t="n">
        <f aca="false">IF($Q612&gt;0,$O612*$I612/$Q612/1000000,"")</f>
        <v>124.657700877893</v>
      </c>
      <c r="AF612" s="49" t="n">
        <f aca="false">IF($R612&gt;0,$P612*$I612/$R612/1000000,"")</f>
        <v>57.744779982669</v>
      </c>
      <c r="AG612" s="50" t="n">
        <f aca="false">IF(AND(ISNUMBER($AE612),ISNUMBER($AF612),$AF612&gt;0),$AE612/$AF612,"")</f>
        <v>2.15877003800702</v>
      </c>
      <c r="AH612" s="48" t="n">
        <f aca="false">IF($U612&gt;=5,SUM(INDEX($AD$582:$AD612,32-5):$AD612),"")</f>
        <v>195586358904</v>
      </c>
      <c r="AI612" s="48" t="n">
        <f aca="false">IF($U612&gt;=STRUCT_S,MAX(INDEX($G$462:$G612,152-STRUCT_S):$G612),"")</f>
        <v>3986</v>
      </c>
      <c r="AJ612" s="48" t="n">
        <f aca="false">IF($U612&gt;=STRUCT_S,MIN(INDEX($H$462:$H612,152-STRUCT_S):$H612),"")</f>
        <v>3280</v>
      </c>
      <c r="AK612" s="48" t="n">
        <f aca="false">IF($U612&gt;=STRUCT_L,MAX(INDEX($G$362:$G612,252-STRUCT_L):$G612),"")</f>
        <v>3986</v>
      </c>
      <c r="AL612" s="48" t="n">
        <f aca="false">IF($U612&gt;=STRUCT_L,MIN(INDEX($H$362:$H612,252-STRUCT_L):$H612),"")</f>
        <v>3170</v>
      </c>
      <c r="AM612" s="46" t="n">
        <f aca="false">IF($A612&lt;&gt;$A613,1,0)</f>
        <v>0</v>
      </c>
      <c r="AN612" s="47" t="str">
        <f aca="false">IF($AM612=1,$A612,"")</f>
        <v/>
      </c>
    </row>
    <row r="613" customFormat="false" ht="15" hidden="false" customHeight="false" outlineLevel="0" collapsed="false">
      <c r="A613" s="43" t="s">
        <v>142</v>
      </c>
      <c r="B613" s="44" t="s">
        <v>144</v>
      </c>
      <c r="C613" s="45" t="n">
        <v>46028</v>
      </c>
      <c r="D613" s="46" t="n">
        <v>20260106</v>
      </c>
      <c r="E613" s="47" t="s">
        <v>376</v>
      </c>
      <c r="F613" s="48" t="n">
        <v>3942</v>
      </c>
      <c r="G613" s="48" t="n">
        <v>3955</v>
      </c>
      <c r="H613" s="48" t="n">
        <v>3870</v>
      </c>
      <c r="I613" s="48" t="n">
        <v>3884</v>
      </c>
      <c r="J613" s="48" t="n">
        <v>3949</v>
      </c>
      <c r="K613" s="48" t="n">
        <v>3940</v>
      </c>
      <c r="L613" s="48" t="n">
        <v>67527085</v>
      </c>
      <c r="M613" s="48" t="n">
        <v>262275198140</v>
      </c>
      <c r="N613" s="48" t="n">
        <v>1518</v>
      </c>
      <c r="O613" s="48" t="n">
        <v>32998472</v>
      </c>
      <c r="P613" s="48" t="n">
        <v>28886469</v>
      </c>
      <c r="Q613" s="48" t="n">
        <v>675</v>
      </c>
      <c r="R613" s="48" t="n">
        <v>637</v>
      </c>
      <c r="S613" s="48" t="n">
        <v>34528613</v>
      </c>
      <c r="T613" s="48" t="n">
        <v>38640616</v>
      </c>
      <c r="U613" s="46" t="n">
        <f aca="false">IF($A613=$A612,$U612+1,1)</f>
        <v>89</v>
      </c>
      <c r="V613" s="48" t="n">
        <f aca="false">IF($U613&gt;=MA_SHORT,AVERAGE(INDEX($I$213:$I613,402-MA_SHORT):$I613),"")</f>
        <v>3615.7</v>
      </c>
      <c r="W613" s="48" t="n">
        <f aca="false">IF($U613&gt;=MA_MED,AVERAGE(INDEX($I$213:$I613,402-MA_MED):$I613),"")</f>
        <v>3496.88</v>
      </c>
      <c r="X613" s="48" t="str">
        <f aca="false">IF($U613&gt;=MA_LONG1,AVERAGE(INDEX($I$213:$I613,402-MA_LONG1):$I613),"")</f>
        <v/>
      </c>
      <c r="Y613" s="48" t="str">
        <f aca="false">IF($U613&gt;=MA_LONG2,AVERAGE(INDEX($I$213:$I613,402-MA_LONG2):$I613),"")</f>
        <v/>
      </c>
      <c r="Z613" s="48" t="n">
        <f aca="false">IF($U613&gt;=MA_SHORT,AVERAGE(INDEX($L$493:$L613,122-MA_SHORT):$L613),"")</f>
        <v>60466875.7</v>
      </c>
      <c r="AA613" s="48" t="n">
        <f aca="false">IF($U613=1,$G613-$H613,MAX($G613-$H613,ABS($G613-$I612),ABS($H613-$I612)))</f>
        <v>85</v>
      </c>
      <c r="AB613" s="48" t="n">
        <f aca="false">IF($U613&gt;=ATR_PER,AVERAGE(INDEX($AA$493:$AA613,122-ATR_PER):$AA613),"")</f>
        <v>156.642857142857</v>
      </c>
      <c r="AC613" s="48" t="n">
        <f aca="false">$O613-$P613</f>
        <v>4112003</v>
      </c>
      <c r="AD613" s="48" t="n">
        <f aca="false">$AC613*$I613</f>
        <v>15971019652</v>
      </c>
      <c r="AE613" s="49" t="n">
        <f aca="false">IF($Q613&gt;0,$O613*$I613/$Q613/1000000,"")</f>
        <v>189.875652219259</v>
      </c>
      <c r="AF613" s="49" t="n">
        <f aca="false">IF($R613&gt;0,$P613*$I613/$R613/1000000,"")</f>
        <v>176.130369852433</v>
      </c>
      <c r="AG613" s="50" t="n">
        <f aca="false">IF(AND(ISNUMBER($AE613),ISNUMBER($AF613),$AF613&gt;0),$AE613/$AF613,"")</f>
        <v>1.07804038780105</v>
      </c>
      <c r="AH613" s="48" t="n">
        <f aca="false">IF($U613&gt;=5,SUM(INDEX($AD$583:$AD613,32-5):$AD613),"")</f>
        <v>150997227476</v>
      </c>
      <c r="AI613" s="48" t="n">
        <f aca="false">IF($U613&gt;=STRUCT_S,MAX(INDEX($G$463:$G613,152-STRUCT_S):$G613),"")</f>
        <v>3986</v>
      </c>
      <c r="AJ613" s="48" t="n">
        <f aca="false">IF($U613&gt;=STRUCT_S,MIN(INDEX($H$463:$H613,152-STRUCT_S):$H613),"")</f>
        <v>3280</v>
      </c>
      <c r="AK613" s="48" t="n">
        <f aca="false">IF($U613&gt;=STRUCT_L,MAX(INDEX($G$363:$G613,252-STRUCT_L):$G613),"")</f>
        <v>3986</v>
      </c>
      <c r="AL613" s="48" t="n">
        <f aca="false">IF($U613&gt;=STRUCT_L,MIN(INDEX($H$363:$H613,252-STRUCT_L):$H613),"")</f>
        <v>3170</v>
      </c>
      <c r="AM613" s="46" t="n">
        <f aca="false">IF($A613&lt;&gt;$A614,1,0)</f>
        <v>0</v>
      </c>
      <c r="AN613" s="47" t="str">
        <f aca="false">IF($AM613=1,$A613,"")</f>
        <v/>
      </c>
    </row>
    <row r="614" customFormat="false" ht="15" hidden="false" customHeight="false" outlineLevel="0" collapsed="false">
      <c r="A614" s="43" t="s">
        <v>142</v>
      </c>
      <c r="B614" s="44" t="s">
        <v>144</v>
      </c>
      <c r="C614" s="45" t="n">
        <v>46029</v>
      </c>
      <c r="D614" s="46" t="n">
        <v>20260107</v>
      </c>
      <c r="E614" s="47" t="s">
        <v>377</v>
      </c>
      <c r="F614" s="48" t="n">
        <v>3896</v>
      </c>
      <c r="G614" s="48" t="n">
        <v>3988</v>
      </c>
      <c r="H614" s="48" t="n">
        <v>3863</v>
      </c>
      <c r="I614" s="48" t="n">
        <v>3967</v>
      </c>
      <c r="J614" s="48" t="n">
        <v>3947</v>
      </c>
      <c r="K614" s="48" t="n">
        <v>3884</v>
      </c>
      <c r="L614" s="48" t="n">
        <v>56441939</v>
      </c>
      <c r="M614" s="48" t="n">
        <v>223905172013</v>
      </c>
      <c r="N614" s="48" t="n">
        <v>2320</v>
      </c>
      <c r="O614" s="48" t="n">
        <v>30970193</v>
      </c>
      <c r="P614" s="48" t="n">
        <v>26025104</v>
      </c>
      <c r="Q614" s="48" t="n">
        <v>864</v>
      </c>
      <c r="R614" s="48" t="n">
        <v>1254</v>
      </c>
      <c r="S614" s="48" t="n">
        <v>25471746</v>
      </c>
      <c r="T614" s="48" t="n">
        <v>30416835</v>
      </c>
      <c r="U614" s="46" t="n">
        <f aca="false">IF($A614=$A613,$U613+1,1)</f>
        <v>90</v>
      </c>
      <c r="V614" s="48" t="n">
        <f aca="false">IF($U614&gt;=MA_SHORT,AVERAGE(INDEX($I$214:$I614,402-MA_SHORT):$I614),"")</f>
        <v>3631.7</v>
      </c>
      <c r="W614" s="48" t="n">
        <f aca="false">IF($U614&gt;=MA_MED,AVERAGE(INDEX($I$214:$I614,402-MA_MED):$I614),"")</f>
        <v>3506.84</v>
      </c>
      <c r="X614" s="48" t="str">
        <f aca="false">IF($U614&gt;=MA_LONG1,AVERAGE(INDEX($I$214:$I614,402-MA_LONG1):$I614),"")</f>
        <v/>
      </c>
      <c r="Y614" s="48" t="str">
        <f aca="false">IF($U614&gt;=MA_LONG2,AVERAGE(INDEX($I$214:$I614,402-MA_LONG2):$I614),"")</f>
        <v/>
      </c>
      <c r="Z614" s="48" t="n">
        <f aca="false">IF($U614&gt;=MA_SHORT,AVERAGE(INDEX($L$494:$L614,122-MA_SHORT):$L614),"")</f>
        <v>60298937.4</v>
      </c>
      <c r="AA614" s="48" t="n">
        <f aca="false">IF($U614=1,$G614-$H614,MAX($G614-$H614,ABS($G614-$I613),ABS($H614-$I613)))</f>
        <v>125</v>
      </c>
      <c r="AB614" s="48" t="n">
        <f aca="false">IF($U614&gt;=ATR_PER,AVERAGE(INDEX($AA$494:$AA614,122-ATR_PER):$AA614),"")</f>
        <v>154.571428571429</v>
      </c>
      <c r="AC614" s="48" t="n">
        <f aca="false">$O614-$P614</f>
        <v>4945089</v>
      </c>
      <c r="AD614" s="48" t="n">
        <f aca="false">$AC614*$I614</f>
        <v>19617168063</v>
      </c>
      <c r="AE614" s="49" t="n">
        <f aca="false">IF($Q614&gt;0,$O614*$I614/$Q614/1000000,"")</f>
        <v>142.197633832176</v>
      </c>
      <c r="AF614" s="49" t="n">
        <f aca="false">IF($R614&gt;0,$P614*$I614/$R614/1000000,"")</f>
        <v>82.3298146475279</v>
      </c>
      <c r="AG614" s="50" t="n">
        <f aca="false">IF(AND(ISNUMBER($AE614),ISNUMBER($AF614),$AF614&gt;0),$AE614/$AF614,"")</f>
        <v>1.72717058141034</v>
      </c>
      <c r="AH614" s="48" t="n">
        <f aca="false">IF($U614&gt;=5,SUM(INDEX($AD$584:$AD614,32-5):$AD614),"")</f>
        <v>197408518371</v>
      </c>
      <c r="AI614" s="48" t="n">
        <f aca="false">IF($U614&gt;=STRUCT_S,MAX(INDEX($G$464:$G614,152-STRUCT_S):$G614),"")</f>
        <v>3988</v>
      </c>
      <c r="AJ614" s="48" t="n">
        <f aca="false">IF($U614&gt;=STRUCT_S,MIN(INDEX($H$464:$H614,152-STRUCT_S):$H614),"")</f>
        <v>3280</v>
      </c>
      <c r="AK614" s="48" t="n">
        <f aca="false">IF($U614&gt;=STRUCT_L,MAX(INDEX($G$364:$G614,252-STRUCT_L):$G614),"")</f>
        <v>3988</v>
      </c>
      <c r="AL614" s="48" t="n">
        <f aca="false">IF($U614&gt;=STRUCT_L,MIN(INDEX($H$364:$H614,252-STRUCT_L):$H614),"")</f>
        <v>3170</v>
      </c>
      <c r="AM614" s="46" t="n">
        <f aca="false">IF($A614&lt;&gt;$A615,1,0)</f>
        <v>0</v>
      </c>
      <c r="AN614" s="47" t="str">
        <f aca="false">IF($AM614=1,$A614,"")</f>
        <v/>
      </c>
    </row>
    <row r="615" customFormat="false" ht="15" hidden="false" customHeight="false" outlineLevel="0" collapsed="false">
      <c r="A615" s="43" t="s">
        <v>142</v>
      </c>
      <c r="B615" s="44" t="s">
        <v>144</v>
      </c>
      <c r="C615" s="45" t="n">
        <v>46032</v>
      </c>
      <c r="D615" s="46" t="n">
        <v>20260110</v>
      </c>
      <c r="E615" s="47" t="s">
        <v>378</v>
      </c>
      <c r="F615" s="48" t="n">
        <v>3911</v>
      </c>
      <c r="G615" s="48" t="n">
        <v>3990</v>
      </c>
      <c r="H615" s="48" t="n">
        <v>3862</v>
      </c>
      <c r="I615" s="48" t="n">
        <v>3885</v>
      </c>
      <c r="J615" s="48" t="n">
        <v>3889</v>
      </c>
      <c r="K615" s="48" t="n">
        <v>3967</v>
      </c>
      <c r="L615" s="48" t="n">
        <v>56232066</v>
      </c>
      <c r="M615" s="48" t="n">
        <v>218461576410</v>
      </c>
      <c r="N615" s="48" t="n">
        <v>5381</v>
      </c>
      <c r="O615" s="48" t="n">
        <v>24197632</v>
      </c>
      <c r="P615" s="48" t="n">
        <v>32305800</v>
      </c>
      <c r="Q615" s="48" t="n">
        <v>2968</v>
      </c>
      <c r="R615" s="48" t="n">
        <v>1860</v>
      </c>
      <c r="S615" s="48" t="n">
        <v>32034434</v>
      </c>
      <c r="T615" s="48" t="n">
        <v>23926266</v>
      </c>
      <c r="U615" s="46" t="n">
        <f aca="false">IF($A615=$A614,$U614+1,1)</f>
        <v>91</v>
      </c>
      <c r="V615" s="48" t="n">
        <f aca="false">IF($U615&gt;=MA_SHORT,AVERAGE(INDEX($I$215:$I615,402-MA_SHORT):$I615),"")</f>
        <v>3652.55</v>
      </c>
      <c r="W615" s="48" t="n">
        <f aca="false">IF($U615&gt;=MA_MED,AVERAGE(INDEX($I$215:$I615,402-MA_MED):$I615),"")</f>
        <v>3514.46</v>
      </c>
      <c r="X615" s="48" t="str">
        <f aca="false">IF($U615&gt;=MA_LONG1,AVERAGE(INDEX($I$215:$I615,402-MA_LONG1):$I615),"")</f>
        <v/>
      </c>
      <c r="Y615" s="48" t="str">
        <f aca="false">IF($U615&gt;=MA_LONG2,AVERAGE(INDEX($I$215:$I615,402-MA_LONG2):$I615),"")</f>
        <v/>
      </c>
      <c r="Z615" s="48" t="n">
        <f aca="false">IF($U615&gt;=MA_SHORT,AVERAGE(INDEX($L$495:$L615,122-MA_SHORT):$L615),"")</f>
        <v>58970880.4</v>
      </c>
      <c r="AA615" s="48" t="n">
        <f aca="false">IF($U615=1,$G615-$H615,MAX($G615-$H615,ABS($G615-$I614),ABS($H615-$I614)))</f>
        <v>128</v>
      </c>
      <c r="AB615" s="48" t="n">
        <f aca="false">IF($U615&gt;=ATR_PER,AVERAGE(INDEX($AA$495:$AA615,122-ATR_PER):$AA615),"")</f>
        <v>145</v>
      </c>
      <c r="AC615" s="48" t="n">
        <f aca="false">$O615-$P615</f>
        <v>-8108168</v>
      </c>
      <c r="AD615" s="48" t="n">
        <f aca="false">$AC615*$I615</f>
        <v>-31500232680</v>
      </c>
      <c r="AE615" s="49" t="n">
        <f aca="false">IF($Q615&gt;0,$O615*$I615/$Q615/1000000,"")</f>
        <v>31.6737871698113</v>
      </c>
      <c r="AF615" s="49" t="n">
        <f aca="false">IF($R615&gt;0,$P615*$I615/$R615/1000000,"")</f>
        <v>67.4774370967742</v>
      </c>
      <c r="AG615" s="50" t="n">
        <f aca="false">IF(AND(ISNUMBER($AE615),ISNUMBER($AF615),$AF615&gt;0),$AE615/$AF615,"")</f>
        <v>0.469398194901589</v>
      </c>
      <c r="AH615" s="48" t="n">
        <f aca="false">IF($U615&gt;=5,SUM(INDEX($AD$585:$AD615,32-5):$AD615),"")</f>
        <v>126232661951</v>
      </c>
      <c r="AI615" s="48" t="n">
        <f aca="false">IF($U615&gt;=STRUCT_S,MAX(INDEX($G$465:$G615,152-STRUCT_S):$G615),"")</f>
        <v>3990</v>
      </c>
      <c r="AJ615" s="48" t="n">
        <f aca="false">IF($U615&gt;=STRUCT_S,MIN(INDEX($H$465:$H615,152-STRUCT_S):$H615),"")</f>
        <v>3280</v>
      </c>
      <c r="AK615" s="48" t="n">
        <f aca="false">IF($U615&gt;=STRUCT_L,MAX(INDEX($G$365:$G615,252-STRUCT_L):$G615),"")</f>
        <v>3990</v>
      </c>
      <c r="AL615" s="48" t="n">
        <f aca="false">IF($U615&gt;=STRUCT_L,MIN(INDEX($H$365:$H615,252-STRUCT_L):$H615),"")</f>
        <v>3170</v>
      </c>
      <c r="AM615" s="46" t="n">
        <f aca="false">IF($A615&lt;&gt;$A616,1,0)</f>
        <v>0</v>
      </c>
      <c r="AN615" s="47" t="str">
        <f aca="false">IF($AM615=1,$A615,"")</f>
        <v/>
      </c>
    </row>
    <row r="616" customFormat="false" ht="15" hidden="false" customHeight="false" outlineLevel="0" collapsed="false">
      <c r="A616" s="43" t="s">
        <v>142</v>
      </c>
      <c r="B616" s="44" t="s">
        <v>144</v>
      </c>
      <c r="C616" s="45" t="n">
        <v>46033</v>
      </c>
      <c r="D616" s="46" t="n">
        <v>20260111</v>
      </c>
      <c r="E616" s="47" t="s">
        <v>379</v>
      </c>
      <c r="F616" s="48" t="n">
        <v>3995</v>
      </c>
      <c r="G616" s="48" t="n">
        <v>4014</v>
      </c>
      <c r="H616" s="48" t="n">
        <v>3798</v>
      </c>
      <c r="I616" s="48" t="n">
        <v>3926</v>
      </c>
      <c r="J616" s="48" t="n">
        <v>3871</v>
      </c>
      <c r="K616" s="48" t="n">
        <v>3885</v>
      </c>
      <c r="L616" s="48" t="n">
        <v>81203001</v>
      </c>
      <c r="M616" s="48" t="n">
        <v>318802981926</v>
      </c>
      <c r="N616" s="48" t="n">
        <v>3541</v>
      </c>
      <c r="O616" s="48" t="n">
        <v>48733700</v>
      </c>
      <c r="P616" s="48" t="n">
        <v>29701521</v>
      </c>
      <c r="Q616" s="48" t="n">
        <v>1028</v>
      </c>
      <c r="R616" s="48" t="n">
        <v>1948</v>
      </c>
      <c r="S616" s="48" t="n">
        <v>32469301</v>
      </c>
      <c r="T616" s="48" t="n">
        <v>51501480</v>
      </c>
      <c r="U616" s="46" t="n">
        <f aca="false">IF($A616=$A615,$U615+1,1)</f>
        <v>92</v>
      </c>
      <c r="V616" s="48" t="n">
        <f aca="false">IF($U616&gt;=MA_SHORT,AVERAGE(INDEX($I$216:$I616,402-MA_SHORT):$I616),"")</f>
        <v>3676</v>
      </c>
      <c r="W616" s="48" t="n">
        <f aca="false">IF($U616&gt;=MA_MED,AVERAGE(INDEX($I$216:$I616,402-MA_MED):$I616),"")</f>
        <v>3525.52</v>
      </c>
      <c r="X616" s="48" t="str">
        <f aca="false">IF($U616&gt;=MA_LONG1,AVERAGE(INDEX($I$216:$I616,402-MA_LONG1):$I616),"")</f>
        <v/>
      </c>
      <c r="Y616" s="48" t="str">
        <f aca="false">IF($U616&gt;=MA_LONG2,AVERAGE(INDEX($I$216:$I616,402-MA_LONG2):$I616),"")</f>
        <v/>
      </c>
      <c r="Z616" s="48" t="n">
        <f aca="false">IF($U616&gt;=MA_SHORT,AVERAGE(INDEX($L$496:$L616,122-MA_SHORT):$L616),"")</f>
        <v>60482051.6</v>
      </c>
      <c r="AA616" s="48" t="n">
        <f aca="false">IF($U616=1,$G616-$H616,MAX($G616-$H616,ABS($G616-$I615),ABS($H616-$I615)))</f>
        <v>216</v>
      </c>
      <c r="AB616" s="48" t="n">
        <f aca="false">IF($U616&gt;=ATR_PER,AVERAGE(INDEX($AA$496:$AA616,122-ATR_PER):$AA616),"")</f>
        <v>154.571428571429</v>
      </c>
      <c r="AC616" s="48" t="n">
        <f aca="false">$O616-$P616</f>
        <v>19032179</v>
      </c>
      <c r="AD616" s="48" t="n">
        <f aca="false">$AC616*$I616</f>
        <v>74720334754</v>
      </c>
      <c r="AE616" s="49" t="n">
        <f aca="false">IF($Q616&gt;0,$O616*$I616/$Q616/1000000,"")</f>
        <v>186.117223929961</v>
      </c>
      <c r="AF616" s="49" t="n">
        <f aca="false">IF($R616&gt;0,$P616*$I616/$R616/1000000,"")</f>
        <v>59.8604576211499</v>
      </c>
      <c r="AG616" s="50" t="n">
        <f aca="false">IF(AND(ISNUMBER($AE616),ISNUMBER($AF616),$AF616&gt;0),$AE616/$AF616,"")</f>
        <v>3.1091847828474</v>
      </c>
      <c r="AH616" s="48" t="n">
        <f aca="false">IF($U616&gt;=5,SUM(INDEX($AD$586:$AD616,32-5):$AD616),"")</f>
        <v>168366912889</v>
      </c>
      <c r="AI616" s="48" t="n">
        <f aca="false">IF($U616&gt;=STRUCT_S,MAX(INDEX($G$466:$G616,152-STRUCT_S):$G616),"")</f>
        <v>4014</v>
      </c>
      <c r="AJ616" s="48" t="n">
        <f aca="false">IF($U616&gt;=STRUCT_S,MIN(INDEX($H$466:$H616,152-STRUCT_S):$H616),"")</f>
        <v>3280</v>
      </c>
      <c r="AK616" s="48" t="n">
        <f aca="false">IF($U616&gt;=STRUCT_L,MAX(INDEX($G$366:$G616,252-STRUCT_L):$G616),"")</f>
        <v>4014</v>
      </c>
      <c r="AL616" s="48" t="n">
        <f aca="false">IF($U616&gt;=STRUCT_L,MIN(INDEX($H$366:$H616,252-STRUCT_L):$H616),"")</f>
        <v>3170</v>
      </c>
      <c r="AM616" s="46" t="n">
        <f aca="false">IF($A616&lt;&gt;$A617,1,0)</f>
        <v>0</v>
      </c>
      <c r="AN616" s="47" t="str">
        <f aca="false">IF($AM616=1,$A616,"")</f>
        <v/>
      </c>
    </row>
    <row r="617" customFormat="false" ht="15" hidden="false" customHeight="false" outlineLevel="0" collapsed="false">
      <c r="A617" s="43" t="s">
        <v>142</v>
      </c>
      <c r="B617" s="44" t="s">
        <v>144</v>
      </c>
      <c r="C617" s="45" t="n">
        <v>46034</v>
      </c>
      <c r="D617" s="46" t="n">
        <v>20260112</v>
      </c>
      <c r="E617" s="47" t="s">
        <v>380</v>
      </c>
      <c r="F617" s="48" t="n">
        <v>4047</v>
      </c>
      <c r="G617" s="48" t="n">
        <v>4053</v>
      </c>
      <c r="H617" s="48" t="n">
        <v>3805</v>
      </c>
      <c r="I617" s="48" t="n">
        <v>3931</v>
      </c>
      <c r="J617" s="48" t="n">
        <v>4037</v>
      </c>
      <c r="K617" s="48" t="n">
        <v>3926</v>
      </c>
      <c r="L617" s="48" t="n">
        <v>66057333</v>
      </c>
      <c r="M617" s="48" t="n">
        <v>259671376023</v>
      </c>
      <c r="N617" s="48" t="n">
        <v>1548</v>
      </c>
      <c r="O617" s="48" t="n">
        <v>31340976</v>
      </c>
      <c r="P617" s="48" t="n">
        <v>37095898</v>
      </c>
      <c r="Q617" s="48" t="n">
        <v>716</v>
      </c>
      <c r="R617" s="48" t="n">
        <v>760</v>
      </c>
      <c r="S617" s="48" t="n">
        <v>34716357</v>
      </c>
      <c r="T617" s="48" t="n">
        <v>28961435</v>
      </c>
      <c r="U617" s="46" t="n">
        <f aca="false">IF($A617=$A616,$U616+1,1)</f>
        <v>93</v>
      </c>
      <c r="V617" s="48" t="n">
        <f aca="false">IF($U617&gt;=MA_SHORT,AVERAGE(INDEX($I$217:$I617,402-MA_SHORT):$I617),"")</f>
        <v>3705.25</v>
      </c>
      <c r="W617" s="48" t="n">
        <f aca="false">IF($U617&gt;=MA_MED,AVERAGE(INDEX($I$217:$I617,402-MA_MED):$I617),"")</f>
        <v>3536.42</v>
      </c>
      <c r="X617" s="48" t="str">
        <f aca="false">IF($U617&gt;=MA_LONG1,AVERAGE(INDEX($I$217:$I617,402-MA_LONG1):$I617),"")</f>
        <v/>
      </c>
      <c r="Y617" s="48" t="str">
        <f aca="false">IF($U617&gt;=MA_LONG2,AVERAGE(INDEX($I$217:$I617,402-MA_LONG2):$I617),"")</f>
        <v/>
      </c>
      <c r="Z617" s="48" t="n">
        <f aca="false">IF($U617&gt;=MA_SHORT,AVERAGE(INDEX($L$497:$L617,122-MA_SHORT):$L617),"")</f>
        <v>60784476.15</v>
      </c>
      <c r="AA617" s="48" t="n">
        <f aca="false">IF($U617=1,$G617-$H617,MAX($G617-$H617,ABS($G617-$I616),ABS($H617-$I616)))</f>
        <v>248</v>
      </c>
      <c r="AB617" s="48" t="n">
        <f aca="false">IF($U617&gt;=ATR_PER,AVERAGE(INDEX($AA$497:$AA617,122-ATR_PER):$AA617),"")</f>
        <v>163.714285714286</v>
      </c>
      <c r="AC617" s="48" t="n">
        <f aca="false">$O617-$P617</f>
        <v>-5754922</v>
      </c>
      <c r="AD617" s="48" t="n">
        <f aca="false">$AC617*$I617</f>
        <v>-22622598382</v>
      </c>
      <c r="AE617" s="49" t="n">
        <f aca="false">IF($Q617&gt;0,$O617*$I617/$Q617/1000000,"")</f>
        <v>172.068961810056</v>
      </c>
      <c r="AF617" s="49" t="n">
        <f aca="false">IF($R617&gt;0,$P617*$I617/$R617/1000000,"")</f>
        <v>191.873651365789</v>
      </c>
      <c r="AG617" s="50" t="n">
        <f aca="false">IF(AND(ISNUMBER($AE617),ISNUMBER($AF617),$AF617&gt;0),$AE617/$AF617,"")</f>
        <v>0.896782651423161</v>
      </c>
      <c r="AH617" s="48" t="n">
        <f aca="false">IF($U617&gt;=5,SUM(INDEX($AD$587:$AD617,32-5):$AD617),"")</f>
        <v>56185691407</v>
      </c>
      <c r="AI617" s="48" t="n">
        <f aca="false">IF($U617&gt;=STRUCT_S,MAX(INDEX($G$467:$G617,152-STRUCT_S):$G617),"")</f>
        <v>4053</v>
      </c>
      <c r="AJ617" s="48" t="n">
        <f aca="false">IF($U617&gt;=STRUCT_S,MIN(INDEX($H$467:$H617,152-STRUCT_S):$H617),"")</f>
        <v>3305</v>
      </c>
      <c r="AK617" s="48" t="n">
        <f aca="false">IF($U617&gt;=STRUCT_L,MAX(INDEX($G$367:$G617,252-STRUCT_L):$G617),"")</f>
        <v>4053</v>
      </c>
      <c r="AL617" s="48" t="n">
        <f aca="false">IF($U617&gt;=STRUCT_L,MIN(INDEX($H$367:$H617,252-STRUCT_L):$H617),"")</f>
        <v>3170</v>
      </c>
      <c r="AM617" s="46" t="n">
        <f aca="false">IF($A617&lt;&gt;$A618,1,0)</f>
        <v>0</v>
      </c>
      <c r="AN617" s="47" t="str">
        <f aca="false">IF($AM617=1,$A617,"")</f>
        <v/>
      </c>
    </row>
    <row r="618" customFormat="false" ht="15" hidden="false" customHeight="false" outlineLevel="0" collapsed="false">
      <c r="A618" s="43" t="s">
        <v>142</v>
      </c>
      <c r="B618" s="44" t="s">
        <v>144</v>
      </c>
      <c r="C618" s="45" t="n">
        <v>46035</v>
      </c>
      <c r="D618" s="46" t="n">
        <v>20260113</v>
      </c>
      <c r="E618" s="47" t="s">
        <v>381</v>
      </c>
      <c r="F618" s="48" t="n">
        <v>3999</v>
      </c>
      <c r="G618" s="48" t="n">
        <v>4010</v>
      </c>
      <c r="H618" s="48" t="n">
        <v>3775</v>
      </c>
      <c r="I618" s="48" t="n">
        <v>3852</v>
      </c>
      <c r="J618" s="48" t="n">
        <v>3794</v>
      </c>
      <c r="K618" s="48" t="n">
        <v>3931</v>
      </c>
      <c r="L618" s="48" t="n">
        <v>56059812</v>
      </c>
      <c r="M618" s="48" t="n">
        <v>215942395824</v>
      </c>
      <c r="N618" s="48" t="n">
        <v>2675</v>
      </c>
      <c r="O618" s="48" t="n">
        <v>25346098</v>
      </c>
      <c r="P618" s="48" t="n">
        <v>32402674</v>
      </c>
      <c r="Q618" s="48" t="n">
        <v>1492</v>
      </c>
      <c r="R618" s="48" t="n">
        <v>1271</v>
      </c>
      <c r="S618" s="48" t="n">
        <v>30713714</v>
      </c>
      <c r="T618" s="48" t="n">
        <v>23657138</v>
      </c>
      <c r="U618" s="46" t="n">
        <f aca="false">IF($A618=$A617,$U617+1,1)</f>
        <v>94</v>
      </c>
      <c r="V618" s="48" t="n">
        <f aca="false">IF($U618&gt;=MA_SHORT,AVERAGE(INDEX($I$218:$I618,402-MA_SHORT):$I618),"")</f>
        <v>3727.25</v>
      </c>
      <c r="W618" s="48" t="n">
        <f aca="false">IF($U618&gt;=MA_MED,AVERAGE(INDEX($I$218:$I618,402-MA_MED):$I618),"")</f>
        <v>3545.82</v>
      </c>
      <c r="X618" s="48" t="str">
        <f aca="false">IF($U618&gt;=MA_LONG1,AVERAGE(INDEX($I$218:$I618,402-MA_LONG1):$I618),"")</f>
        <v/>
      </c>
      <c r="Y618" s="48" t="str">
        <f aca="false">IF($U618&gt;=MA_LONG2,AVERAGE(INDEX($I$218:$I618,402-MA_LONG2):$I618),"")</f>
        <v/>
      </c>
      <c r="Z618" s="48" t="n">
        <f aca="false">IF($U618&gt;=MA_SHORT,AVERAGE(INDEX($L$498:$L618,122-MA_SHORT):$L618),"")</f>
        <v>60790053.55</v>
      </c>
      <c r="AA618" s="48" t="n">
        <f aca="false">IF($U618=1,$G618-$H618,MAX($G618-$H618,ABS($G618-$I617),ABS($H618-$I617)))</f>
        <v>235</v>
      </c>
      <c r="AB618" s="48" t="n">
        <f aca="false">IF($U618&gt;=ATR_PER,AVERAGE(INDEX($AA$498:$AA618,122-ATR_PER):$AA618),"")</f>
        <v>175.428571428571</v>
      </c>
      <c r="AC618" s="48" t="n">
        <f aca="false">$O618-$P618</f>
        <v>-7056576</v>
      </c>
      <c r="AD618" s="48" t="n">
        <f aca="false">$AC618*$I618</f>
        <v>-27181930752</v>
      </c>
      <c r="AE618" s="49" t="n">
        <f aca="false">IF($Q618&gt;0,$O618*$I618/$Q618/1000000,"")</f>
        <v>65.4377811635389</v>
      </c>
      <c r="AF618" s="49" t="n">
        <f aca="false">IF($R618&gt;0,$P618*$I618/$R618/1000000,"")</f>
        <v>98.2022818630999</v>
      </c>
      <c r="AG618" s="50" t="n">
        <f aca="false">IF(AND(ISNUMBER($AE618),ISNUMBER($AF618),$AF618&gt;0),$AE618/$AF618,"")</f>
        <v>0.666357032871835</v>
      </c>
      <c r="AH618" s="48" t="n">
        <f aca="false">IF($U618&gt;=5,SUM(INDEX($AD$588:$AD618,32-5):$AD618),"")</f>
        <v>13032741003</v>
      </c>
      <c r="AI618" s="48" t="n">
        <f aca="false">IF($U618&gt;=STRUCT_S,MAX(INDEX($G$468:$G618,152-STRUCT_S):$G618),"")</f>
        <v>4053</v>
      </c>
      <c r="AJ618" s="48" t="n">
        <f aca="false">IF($U618&gt;=STRUCT_S,MIN(INDEX($H$468:$H618,152-STRUCT_S):$H618),"")</f>
        <v>3305</v>
      </c>
      <c r="AK618" s="48" t="n">
        <f aca="false">IF($U618&gt;=STRUCT_L,MAX(INDEX($G$368:$G618,252-STRUCT_L):$G618),"")</f>
        <v>4053</v>
      </c>
      <c r="AL618" s="48" t="n">
        <f aca="false">IF($U618&gt;=STRUCT_L,MIN(INDEX($H$368:$H618,252-STRUCT_L):$H618),"")</f>
        <v>3170</v>
      </c>
      <c r="AM618" s="46" t="n">
        <f aca="false">IF($A618&lt;&gt;$A619,1,0)</f>
        <v>0</v>
      </c>
      <c r="AN618" s="47" t="str">
        <f aca="false">IF($AM618=1,$A618,"")</f>
        <v/>
      </c>
    </row>
    <row r="619" customFormat="false" ht="15" hidden="false" customHeight="false" outlineLevel="0" collapsed="false">
      <c r="A619" s="43" t="s">
        <v>142</v>
      </c>
      <c r="B619" s="44" t="s">
        <v>144</v>
      </c>
      <c r="C619" s="45" t="n">
        <v>46036</v>
      </c>
      <c r="D619" s="46" t="n">
        <v>20260114</v>
      </c>
      <c r="E619" s="47" t="s">
        <v>382</v>
      </c>
      <c r="F619" s="48" t="n">
        <v>3848</v>
      </c>
      <c r="G619" s="48" t="n">
        <v>3893</v>
      </c>
      <c r="H619" s="48" t="n">
        <v>3833</v>
      </c>
      <c r="I619" s="48" t="n">
        <v>3874</v>
      </c>
      <c r="J619" s="48" t="n">
        <v>3884</v>
      </c>
      <c r="K619" s="48" t="n">
        <v>3852</v>
      </c>
      <c r="L619" s="48" t="n">
        <v>68200423</v>
      </c>
      <c r="M619" s="48" t="n">
        <v>264208438702</v>
      </c>
      <c r="N619" s="48" t="n">
        <v>4793</v>
      </c>
      <c r="O619" s="48" t="n">
        <v>34250102</v>
      </c>
      <c r="P619" s="48" t="n">
        <v>33534638</v>
      </c>
      <c r="Q619" s="48" t="n">
        <v>1711</v>
      </c>
      <c r="R619" s="48" t="n">
        <v>1988</v>
      </c>
      <c r="S619" s="48" t="n">
        <v>33950321</v>
      </c>
      <c r="T619" s="48" t="n">
        <v>34665785</v>
      </c>
      <c r="U619" s="46" t="n">
        <f aca="false">IF($A619=$A618,$U618+1,1)</f>
        <v>95</v>
      </c>
      <c r="V619" s="48" t="n">
        <f aca="false">IF($U619&gt;=MA_SHORT,AVERAGE(INDEX($I$219:$I619,402-MA_SHORT):$I619),"")</f>
        <v>3751.9</v>
      </c>
      <c r="W619" s="48" t="n">
        <f aca="false">IF($U619&gt;=MA_MED,AVERAGE(INDEX($I$219:$I619,402-MA_MED):$I619),"")</f>
        <v>3554.84</v>
      </c>
      <c r="X619" s="48" t="str">
        <f aca="false">IF($U619&gt;=MA_LONG1,AVERAGE(INDEX($I$219:$I619,402-MA_LONG1):$I619),"")</f>
        <v/>
      </c>
      <c r="Y619" s="48" t="str">
        <f aca="false">IF($U619&gt;=MA_LONG2,AVERAGE(INDEX($I$219:$I619,402-MA_LONG2):$I619),"")</f>
        <v/>
      </c>
      <c r="Z619" s="48" t="n">
        <f aca="false">IF($U619&gt;=MA_SHORT,AVERAGE(INDEX($L$499:$L619,122-MA_SHORT):$L619),"")</f>
        <v>61562341.2</v>
      </c>
      <c r="AA619" s="48" t="n">
        <f aca="false">IF($U619=1,$G619-$H619,MAX($G619-$H619,ABS($G619-$I618),ABS($H619-$I618)))</f>
        <v>60</v>
      </c>
      <c r="AB619" s="48" t="n">
        <f aca="false">IF($U619&gt;=ATR_PER,AVERAGE(INDEX($AA$499:$AA619,122-ATR_PER):$AA619),"")</f>
        <v>159.571428571429</v>
      </c>
      <c r="AC619" s="48" t="n">
        <f aca="false">$O619-$P619</f>
        <v>715464</v>
      </c>
      <c r="AD619" s="48" t="n">
        <f aca="false">$AC619*$I619</f>
        <v>2771707536</v>
      </c>
      <c r="AE619" s="49" t="n">
        <f aca="false">IF($Q619&gt;0,$O619*$I619/$Q619/1000000,"")</f>
        <v>77.5481561355932</v>
      </c>
      <c r="AF619" s="49" t="n">
        <f aca="false">IF($R619&gt;0,$P619*$I619/$R619/1000000,"")</f>
        <v>65.3486859215292</v>
      </c>
      <c r="AG619" s="50" t="n">
        <f aca="false">IF(AND(ISNUMBER($AE619),ISNUMBER($AF619),$AF619&gt;0),$AE619/$AF619,"")</f>
        <v>1.18668271659989</v>
      </c>
      <c r="AH619" s="48" t="n">
        <f aca="false">IF($U619&gt;=5,SUM(INDEX($AD$589:$AD619,32-5):$AD619),"")</f>
        <v>-3812719524</v>
      </c>
      <c r="AI619" s="48" t="n">
        <f aca="false">IF($U619&gt;=STRUCT_S,MAX(INDEX($G$469:$G619,152-STRUCT_S):$G619),"")</f>
        <v>4053</v>
      </c>
      <c r="AJ619" s="48" t="n">
        <f aca="false">IF($U619&gt;=STRUCT_S,MIN(INDEX($H$469:$H619,152-STRUCT_S):$H619),"")</f>
        <v>3305</v>
      </c>
      <c r="AK619" s="48" t="n">
        <f aca="false">IF($U619&gt;=STRUCT_L,MAX(INDEX($G$369:$G619,252-STRUCT_L):$G619),"")</f>
        <v>4053</v>
      </c>
      <c r="AL619" s="48" t="n">
        <f aca="false">IF($U619&gt;=STRUCT_L,MIN(INDEX($H$369:$H619,252-STRUCT_L):$H619),"")</f>
        <v>3170</v>
      </c>
      <c r="AM619" s="46" t="n">
        <f aca="false">IF($A619&lt;&gt;$A620,1,0)</f>
        <v>0</v>
      </c>
      <c r="AN619" s="47" t="str">
        <f aca="false">IF($AM619=1,$A619,"")</f>
        <v/>
      </c>
    </row>
    <row r="620" customFormat="false" ht="15" hidden="false" customHeight="false" outlineLevel="0" collapsed="false">
      <c r="A620" s="43" t="s">
        <v>142</v>
      </c>
      <c r="B620" s="44" t="s">
        <v>144</v>
      </c>
      <c r="C620" s="45" t="n">
        <v>46039</v>
      </c>
      <c r="D620" s="46" t="n">
        <v>20260117</v>
      </c>
      <c r="E620" s="47" t="s">
        <v>383</v>
      </c>
      <c r="F620" s="48" t="n">
        <v>3866</v>
      </c>
      <c r="G620" s="48" t="n">
        <v>4056</v>
      </c>
      <c r="H620" s="48" t="n">
        <v>3862</v>
      </c>
      <c r="I620" s="48" t="n">
        <v>4044</v>
      </c>
      <c r="J620" s="48" t="n">
        <v>4005</v>
      </c>
      <c r="K620" s="48" t="n">
        <v>3874</v>
      </c>
      <c r="L620" s="48" t="n">
        <v>63199424</v>
      </c>
      <c r="M620" s="48" t="n">
        <v>255578470656</v>
      </c>
      <c r="N620" s="48" t="n">
        <v>1633</v>
      </c>
      <c r="O620" s="48" t="n">
        <v>44979027</v>
      </c>
      <c r="P620" s="48" t="n">
        <v>18340619</v>
      </c>
      <c r="Q620" s="48" t="n">
        <v>702</v>
      </c>
      <c r="R620" s="48" t="n">
        <v>624</v>
      </c>
      <c r="S620" s="48" t="n">
        <v>18220397</v>
      </c>
      <c r="T620" s="48" t="n">
        <v>44858805</v>
      </c>
      <c r="U620" s="46" t="n">
        <f aca="false">IF($A620=$A619,$U619+1,1)</f>
        <v>96</v>
      </c>
      <c r="V620" s="48" t="n">
        <f aca="false">IF($U620&gt;=MA_SHORT,AVERAGE(INDEX($I$220:$I620,402-MA_SHORT):$I620),"")</f>
        <v>3784.95</v>
      </c>
      <c r="W620" s="48" t="n">
        <f aca="false">IF($U620&gt;=MA_MED,AVERAGE(INDEX($I$220:$I620,402-MA_MED):$I620),"")</f>
        <v>3567.2</v>
      </c>
      <c r="X620" s="48" t="str">
        <f aca="false">IF($U620&gt;=MA_LONG1,AVERAGE(INDEX($I$220:$I620,402-MA_LONG1):$I620),"")</f>
        <v/>
      </c>
      <c r="Y620" s="48" t="str">
        <f aca="false">IF($U620&gt;=MA_LONG2,AVERAGE(INDEX($I$220:$I620,402-MA_LONG2):$I620),"")</f>
        <v/>
      </c>
      <c r="Z620" s="48" t="n">
        <f aca="false">IF($U620&gt;=MA_SHORT,AVERAGE(INDEX($L$500:$L620,122-MA_SHORT):$L620),"")</f>
        <v>61955949.9</v>
      </c>
      <c r="AA620" s="48" t="n">
        <f aca="false">IF($U620=1,$G620-$H620,MAX($G620-$H620,ABS($G620-$I619),ABS($H620-$I619)))</f>
        <v>194</v>
      </c>
      <c r="AB620" s="48" t="n">
        <f aca="false">IF($U620&gt;=ATR_PER,AVERAGE(INDEX($AA$500:$AA620,122-ATR_PER):$AA620),"")</f>
        <v>164.857142857143</v>
      </c>
      <c r="AC620" s="48" t="n">
        <f aca="false">$O620-$P620</f>
        <v>26638408</v>
      </c>
      <c r="AD620" s="48" t="n">
        <f aca="false">$AC620*$I620</f>
        <v>107725721952</v>
      </c>
      <c r="AE620" s="49" t="n">
        <f aca="false">IF($Q620&gt;0,$O620*$I620/$Q620/1000000,"")</f>
        <v>259.109950410256</v>
      </c>
      <c r="AF620" s="49" t="n">
        <f aca="false">IF($R620&gt;0,$P620*$I620/$R620/1000000,"")</f>
        <v>118.861319288462</v>
      </c>
      <c r="AG620" s="50" t="n">
        <f aca="false">IF(AND(ISNUMBER($AE620),ISNUMBER($AF620),$AF620&gt;0),$AE620/$AF620,"")</f>
        <v>2.17993500292075</v>
      </c>
      <c r="AH620" s="48" t="n">
        <f aca="false">IF($U620&gt;=5,SUM(INDEX($AD$590:$AD620,32-5):$AD620),"")</f>
        <v>135413235108</v>
      </c>
      <c r="AI620" s="48" t="n">
        <f aca="false">IF($U620&gt;=STRUCT_S,MAX(INDEX($G$470:$G620,152-STRUCT_S):$G620),"")</f>
        <v>4056</v>
      </c>
      <c r="AJ620" s="48" t="n">
        <f aca="false">IF($U620&gt;=STRUCT_S,MIN(INDEX($H$470:$H620,152-STRUCT_S):$H620),"")</f>
        <v>3305</v>
      </c>
      <c r="AK620" s="48" t="n">
        <f aca="false">IF($U620&gt;=STRUCT_L,MAX(INDEX($G$370:$G620,252-STRUCT_L):$G620),"")</f>
        <v>4056</v>
      </c>
      <c r="AL620" s="48" t="n">
        <f aca="false">IF($U620&gt;=STRUCT_L,MIN(INDEX($H$370:$H620,252-STRUCT_L):$H620),"")</f>
        <v>3170</v>
      </c>
      <c r="AM620" s="46" t="n">
        <f aca="false">IF($A620&lt;&gt;$A621,1,0)</f>
        <v>0</v>
      </c>
      <c r="AN620" s="47" t="str">
        <f aca="false">IF($AM620=1,$A620,"")</f>
        <v/>
      </c>
    </row>
    <row r="621" customFormat="false" ht="15" hidden="false" customHeight="false" outlineLevel="0" collapsed="false">
      <c r="A621" s="43" t="s">
        <v>142</v>
      </c>
      <c r="B621" s="44" t="s">
        <v>144</v>
      </c>
      <c r="C621" s="45" t="n">
        <v>46040</v>
      </c>
      <c r="D621" s="46" t="n">
        <v>20260118</v>
      </c>
      <c r="E621" s="47" t="s">
        <v>384</v>
      </c>
      <c r="F621" s="48" t="n">
        <v>4075</v>
      </c>
      <c r="G621" s="48" t="n">
        <v>4106</v>
      </c>
      <c r="H621" s="48" t="n">
        <v>4029</v>
      </c>
      <c r="I621" s="48" t="n">
        <v>4090</v>
      </c>
      <c r="J621" s="48" t="n">
        <v>4068</v>
      </c>
      <c r="K621" s="48" t="n">
        <v>4044</v>
      </c>
      <c r="L621" s="48" t="n">
        <v>64802959</v>
      </c>
      <c r="M621" s="48" t="n">
        <v>265044102310</v>
      </c>
      <c r="N621" s="48" t="n">
        <v>3037</v>
      </c>
      <c r="O621" s="48" t="n">
        <v>40654946</v>
      </c>
      <c r="P621" s="48" t="n">
        <v>20898398</v>
      </c>
      <c r="Q621" s="48" t="n">
        <v>1364</v>
      </c>
      <c r="R621" s="48" t="n">
        <v>1619</v>
      </c>
      <c r="S621" s="48" t="n">
        <v>24148013</v>
      </c>
      <c r="T621" s="48" t="n">
        <v>43904561</v>
      </c>
      <c r="U621" s="46" t="n">
        <f aca="false">IF($A621=$A620,$U620+1,1)</f>
        <v>97</v>
      </c>
      <c r="V621" s="48" t="n">
        <f aca="false">IF($U621&gt;=MA_SHORT,AVERAGE(INDEX($I$221:$I621,402-MA_SHORT):$I621),"")</f>
        <v>3815.1</v>
      </c>
      <c r="W621" s="48" t="n">
        <f aca="false">IF($U621&gt;=MA_MED,AVERAGE(INDEX($I$221:$I621,402-MA_MED):$I621),"")</f>
        <v>3581.34</v>
      </c>
      <c r="X621" s="48" t="str">
        <f aca="false">IF($U621&gt;=MA_LONG1,AVERAGE(INDEX($I$221:$I621,402-MA_LONG1):$I621),"")</f>
        <v/>
      </c>
      <c r="Y621" s="48" t="str">
        <f aca="false">IF($U621&gt;=MA_LONG2,AVERAGE(INDEX($I$221:$I621,402-MA_LONG2):$I621),"")</f>
        <v/>
      </c>
      <c r="Z621" s="48" t="n">
        <f aca="false">IF($U621&gt;=MA_SHORT,AVERAGE(INDEX($L$501:$L621,122-MA_SHORT):$L621),"")</f>
        <v>61182623.15</v>
      </c>
      <c r="AA621" s="48" t="n">
        <f aca="false">IF($U621=1,$G621-$H621,MAX($G621-$H621,ABS($G621-$I620),ABS($H621-$I620)))</f>
        <v>77</v>
      </c>
      <c r="AB621" s="48" t="n">
        <f aca="false">IF($U621&gt;=ATR_PER,AVERAGE(INDEX($AA$501:$AA621,122-ATR_PER):$AA621),"")</f>
        <v>163.714285714286</v>
      </c>
      <c r="AC621" s="48" t="n">
        <f aca="false">$O621-$P621</f>
        <v>19756548</v>
      </c>
      <c r="AD621" s="48" t="n">
        <f aca="false">$AC621*$I621</f>
        <v>80804281320</v>
      </c>
      <c r="AE621" s="49" t="n">
        <f aca="false">IF($Q621&gt;0,$O621*$I621/$Q621/1000000,"")</f>
        <v>121.905226642229</v>
      </c>
      <c r="AF621" s="49" t="n">
        <f aca="false">IF($R621&gt;0,$P621*$I621/$R621/1000000,"")</f>
        <v>52.7945940827671</v>
      </c>
      <c r="AG621" s="50" t="n">
        <f aca="false">IF(AND(ISNUMBER($AE621),ISNUMBER($AF621),$AF621&gt;0),$AE621/$AF621,"")</f>
        <v>2.30904752200794</v>
      </c>
      <c r="AH621" s="48" t="n">
        <f aca="false">IF($U621&gt;=5,SUM(INDEX($AD$591:$AD621,32-5):$AD621),"")</f>
        <v>141497181674</v>
      </c>
      <c r="AI621" s="48" t="n">
        <f aca="false">IF($U621&gt;=STRUCT_S,MAX(INDEX($G$471:$G621,152-STRUCT_S):$G621),"")</f>
        <v>4106</v>
      </c>
      <c r="AJ621" s="48" t="n">
        <f aca="false">IF($U621&gt;=STRUCT_S,MIN(INDEX($H$471:$H621,152-STRUCT_S):$H621),"")</f>
        <v>3428</v>
      </c>
      <c r="AK621" s="48" t="n">
        <f aca="false">IF($U621&gt;=STRUCT_L,MAX(INDEX($G$371:$G621,252-STRUCT_L):$G621),"")</f>
        <v>4106</v>
      </c>
      <c r="AL621" s="48" t="n">
        <f aca="false">IF($U621&gt;=STRUCT_L,MIN(INDEX($H$371:$H621,252-STRUCT_L):$H621),"")</f>
        <v>3170</v>
      </c>
      <c r="AM621" s="46" t="n">
        <f aca="false">IF($A621&lt;&gt;$A622,1,0)</f>
        <v>0</v>
      </c>
      <c r="AN621" s="47" t="str">
        <f aca="false">IF($AM621=1,$A621,"")</f>
        <v/>
      </c>
    </row>
    <row r="622" customFormat="false" ht="15" hidden="false" customHeight="false" outlineLevel="0" collapsed="false">
      <c r="A622" s="43" t="s">
        <v>142</v>
      </c>
      <c r="B622" s="44" t="s">
        <v>144</v>
      </c>
      <c r="C622" s="45" t="n">
        <v>46041</v>
      </c>
      <c r="D622" s="46" t="n">
        <v>20260119</v>
      </c>
      <c r="E622" s="47" t="s">
        <v>385</v>
      </c>
      <c r="F622" s="48" t="n">
        <v>4113</v>
      </c>
      <c r="G622" s="48" t="n">
        <v>4222</v>
      </c>
      <c r="H622" s="48" t="n">
        <v>4074</v>
      </c>
      <c r="I622" s="48" t="n">
        <v>4205</v>
      </c>
      <c r="J622" s="48" t="n">
        <v>4199</v>
      </c>
      <c r="K622" s="48" t="n">
        <v>4090</v>
      </c>
      <c r="L622" s="48" t="n">
        <v>58467343</v>
      </c>
      <c r="M622" s="48" t="n">
        <v>245855177315</v>
      </c>
      <c r="N622" s="48" t="n">
        <v>1299</v>
      </c>
      <c r="O622" s="48" t="n">
        <v>31045037</v>
      </c>
      <c r="P622" s="48" t="n">
        <v>24375821</v>
      </c>
      <c r="Q622" s="48" t="n">
        <v>403</v>
      </c>
      <c r="R622" s="48" t="n">
        <v>569</v>
      </c>
      <c r="S622" s="48" t="n">
        <v>27422306</v>
      </c>
      <c r="T622" s="48" t="n">
        <v>34091522</v>
      </c>
      <c r="U622" s="46" t="n">
        <f aca="false">IF($A622=$A621,$U621+1,1)</f>
        <v>98</v>
      </c>
      <c r="V622" s="48" t="n">
        <f aca="false">IF($U622&gt;=MA_SHORT,AVERAGE(INDEX($I$222:$I622,402-MA_SHORT):$I622),"")</f>
        <v>3852.15</v>
      </c>
      <c r="W622" s="48" t="n">
        <f aca="false">IF($U622&gt;=MA_MED,AVERAGE(INDEX($I$222:$I622,402-MA_MED):$I622),"")</f>
        <v>3595.02</v>
      </c>
      <c r="X622" s="48" t="str">
        <f aca="false">IF($U622&gt;=MA_LONG1,AVERAGE(INDEX($I$222:$I622,402-MA_LONG1):$I622),"")</f>
        <v/>
      </c>
      <c r="Y622" s="48" t="str">
        <f aca="false">IF($U622&gt;=MA_LONG2,AVERAGE(INDEX($I$222:$I622,402-MA_LONG2):$I622),"")</f>
        <v/>
      </c>
      <c r="Z622" s="48" t="n">
        <f aca="false">IF($U622&gt;=MA_SHORT,AVERAGE(INDEX($L$502:$L622,122-MA_SHORT):$L622),"")</f>
        <v>61125717.9</v>
      </c>
      <c r="AA622" s="48" t="n">
        <f aca="false">IF($U622=1,$G622-$H622,MAX($G622-$H622,ABS($G622-$I621),ABS($H622-$I621)))</f>
        <v>148</v>
      </c>
      <c r="AB622" s="48" t="n">
        <f aca="false">IF($U622&gt;=ATR_PER,AVERAGE(INDEX($AA$502:$AA622,122-ATR_PER):$AA622),"")</f>
        <v>152</v>
      </c>
      <c r="AC622" s="48" t="n">
        <f aca="false">$O622-$P622</f>
        <v>6669216</v>
      </c>
      <c r="AD622" s="48" t="n">
        <f aca="false">$AC622*$I622</f>
        <v>28044053280</v>
      </c>
      <c r="AE622" s="49" t="n">
        <f aca="false">IF($Q622&gt;0,$O622*$I622/$Q622/1000000,"")</f>
        <v>323.931465471464</v>
      </c>
      <c r="AF622" s="49" t="n">
        <f aca="false">IF($R622&gt;0,$P622*$I622/$R622/1000000,"")</f>
        <v>180.141172768014</v>
      </c>
      <c r="AG622" s="50" t="n">
        <f aca="false">IF(AND(ISNUMBER($AE622),ISNUMBER($AF622),$AF622&gt;0),$AE622/$AF622,"")</f>
        <v>1.79820892966331</v>
      </c>
      <c r="AH622" s="48" t="n">
        <f aca="false">IF($U622&gt;=5,SUM(INDEX($AD$592:$AD622,32-5):$AD622),"")</f>
        <v>192163833336</v>
      </c>
      <c r="AI622" s="48" t="n">
        <f aca="false">IF($U622&gt;=STRUCT_S,MAX(INDEX($G$472:$G622,152-STRUCT_S):$G622),"")</f>
        <v>4222</v>
      </c>
      <c r="AJ622" s="48" t="n">
        <f aca="false">IF($U622&gt;=STRUCT_S,MIN(INDEX($H$472:$H622,152-STRUCT_S):$H622),"")</f>
        <v>3428</v>
      </c>
      <c r="AK622" s="48" t="n">
        <f aca="false">IF($U622&gt;=STRUCT_L,MAX(INDEX($G$372:$G622,252-STRUCT_L):$G622),"")</f>
        <v>4222</v>
      </c>
      <c r="AL622" s="48" t="n">
        <f aca="false">IF($U622&gt;=STRUCT_L,MIN(INDEX($H$372:$H622,252-STRUCT_L):$H622),"")</f>
        <v>3170</v>
      </c>
      <c r="AM622" s="46" t="n">
        <f aca="false">IF($A622&lt;&gt;$A623,1,0)</f>
        <v>0</v>
      </c>
      <c r="AN622" s="47" t="str">
        <f aca="false">IF($AM622=1,$A622,"")</f>
        <v/>
      </c>
    </row>
    <row r="623" customFormat="false" ht="15" hidden="false" customHeight="false" outlineLevel="0" collapsed="false">
      <c r="A623" s="43" t="s">
        <v>142</v>
      </c>
      <c r="B623" s="44" t="s">
        <v>144</v>
      </c>
      <c r="C623" s="45" t="n">
        <v>46042</v>
      </c>
      <c r="D623" s="46" t="n">
        <v>20260120</v>
      </c>
      <c r="E623" s="47" t="s">
        <v>386</v>
      </c>
      <c r="F623" s="48" t="n">
        <v>4211</v>
      </c>
      <c r="G623" s="48" t="n">
        <v>4220</v>
      </c>
      <c r="H623" s="48" t="n">
        <v>4152</v>
      </c>
      <c r="I623" s="48" t="n">
        <v>4167</v>
      </c>
      <c r="J623" s="48" t="n">
        <v>4204</v>
      </c>
      <c r="K623" s="48" t="n">
        <v>4205</v>
      </c>
      <c r="L623" s="48" t="n">
        <v>75650506</v>
      </c>
      <c r="M623" s="48" t="n">
        <v>315235658502</v>
      </c>
      <c r="N623" s="48" t="n">
        <v>2741</v>
      </c>
      <c r="O623" s="48" t="n">
        <v>39299911</v>
      </c>
      <c r="P623" s="48" t="n">
        <v>36399085</v>
      </c>
      <c r="Q623" s="48" t="n">
        <v>1259</v>
      </c>
      <c r="R623" s="48" t="n">
        <v>1307</v>
      </c>
      <c r="S623" s="48" t="n">
        <v>36350595</v>
      </c>
      <c r="T623" s="48" t="n">
        <v>39251421</v>
      </c>
      <c r="U623" s="46" t="n">
        <f aca="false">IF($A623=$A622,$U622+1,1)</f>
        <v>99</v>
      </c>
      <c r="V623" s="48" t="n">
        <f aca="false">IF($U623&gt;=MA_SHORT,AVERAGE(INDEX($I$223:$I623,402-MA_SHORT):$I623),"")</f>
        <v>3884.95</v>
      </c>
      <c r="W623" s="48" t="n">
        <f aca="false">IF($U623&gt;=MA_MED,AVERAGE(INDEX($I$223:$I623,402-MA_MED):$I623),"")</f>
        <v>3607.56</v>
      </c>
      <c r="X623" s="48" t="str">
        <f aca="false">IF($U623&gt;=MA_LONG1,AVERAGE(INDEX($I$223:$I623,402-MA_LONG1):$I623),"")</f>
        <v/>
      </c>
      <c r="Y623" s="48" t="str">
        <f aca="false">IF($U623&gt;=MA_LONG2,AVERAGE(INDEX($I$223:$I623,402-MA_LONG2):$I623),"")</f>
        <v/>
      </c>
      <c r="Z623" s="48" t="n">
        <f aca="false">IF($U623&gt;=MA_SHORT,AVERAGE(INDEX($L$503:$L623,122-MA_SHORT):$L623),"")</f>
        <v>62203234.5</v>
      </c>
      <c r="AA623" s="48" t="n">
        <f aca="false">IF($U623=1,$G623-$H623,MAX($G623-$H623,ABS($G623-$I622),ABS($H623-$I622)))</f>
        <v>68</v>
      </c>
      <c r="AB623" s="48" t="n">
        <f aca="false">IF($U623&gt;=ATR_PER,AVERAGE(INDEX($AA$503:$AA623,122-ATR_PER):$AA623),"")</f>
        <v>145.571428571429</v>
      </c>
      <c r="AC623" s="48" t="n">
        <f aca="false">$O623-$P623</f>
        <v>2900826</v>
      </c>
      <c r="AD623" s="48" t="n">
        <f aca="false">$AC623*$I623</f>
        <v>12087741942</v>
      </c>
      <c r="AE623" s="49" t="n">
        <f aca="false">IF($Q623&gt;0,$O623*$I623/$Q623/1000000,"")</f>
        <v>130.073653007943</v>
      </c>
      <c r="AF623" s="49" t="n">
        <f aca="false">IF($R623&gt;0,$P623*$I623/$R623/1000000,"")</f>
        <v>116.048192192043</v>
      </c>
      <c r="AG623" s="50" t="n">
        <f aca="false">IF(AND(ISNUMBER($AE623),ISNUMBER($AF623),$AF623&gt;0),$AE623/$AF623,"")</f>
        <v>1.12085893412876</v>
      </c>
      <c r="AH623" s="48" t="n">
        <f aca="false">IF($U623&gt;=5,SUM(INDEX($AD$593:$AD623,32-5):$AD623),"")</f>
        <v>231433506030</v>
      </c>
      <c r="AI623" s="48" t="n">
        <f aca="false">IF($U623&gt;=STRUCT_S,MAX(INDEX($G$473:$G623,152-STRUCT_S):$G623),"")</f>
        <v>4222</v>
      </c>
      <c r="AJ623" s="48" t="n">
        <f aca="false">IF($U623&gt;=STRUCT_S,MIN(INDEX($H$473:$H623,152-STRUCT_S):$H623),"")</f>
        <v>3440</v>
      </c>
      <c r="AK623" s="48" t="n">
        <f aca="false">IF($U623&gt;=STRUCT_L,MAX(INDEX($G$373:$G623,252-STRUCT_L):$G623),"")</f>
        <v>4222</v>
      </c>
      <c r="AL623" s="48" t="n">
        <f aca="false">IF($U623&gt;=STRUCT_L,MIN(INDEX($H$373:$H623,252-STRUCT_L):$H623),"")</f>
        <v>3170</v>
      </c>
      <c r="AM623" s="46" t="n">
        <f aca="false">IF($A623&lt;&gt;$A624,1,0)</f>
        <v>0</v>
      </c>
      <c r="AN623" s="47" t="str">
        <f aca="false">IF($AM623=1,$A623,"")</f>
        <v/>
      </c>
    </row>
    <row r="624" customFormat="false" ht="15" hidden="false" customHeight="false" outlineLevel="0" collapsed="false">
      <c r="A624" s="43" t="s">
        <v>142</v>
      </c>
      <c r="B624" s="44" t="s">
        <v>144</v>
      </c>
      <c r="C624" s="45" t="n">
        <v>46043</v>
      </c>
      <c r="D624" s="46" t="n">
        <v>20260121</v>
      </c>
      <c r="E624" s="47" t="s">
        <v>387</v>
      </c>
      <c r="F624" s="48" t="n">
        <v>4138</v>
      </c>
      <c r="G624" s="48" t="n">
        <v>4179</v>
      </c>
      <c r="H624" s="48" t="n">
        <v>4042</v>
      </c>
      <c r="I624" s="48" t="n">
        <v>4054</v>
      </c>
      <c r="J624" s="48" t="n">
        <v>4084</v>
      </c>
      <c r="K624" s="48" t="n">
        <v>4167</v>
      </c>
      <c r="L624" s="48" t="n">
        <v>62160705</v>
      </c>
      <c r="M624" s="48" t="n">
        <v>251999498070</v>
      </c>
      <c r="N624" s="48" t="n">
        <v>1894</v>
      </c>
      <c r="O624" s="48" t="n">
        <v>30274021</v>
      </c>
      <c r="P624" s="48" t="n">
        <v>33617818</v>
      </c>
      <c r="Q624" s="48" t="n">
        <v>771</v>
      </c>
      <c r="R624" s="48" t="n">
        <v>919</v>
      </c>
      <c r="S624" s="48" t="n">
        <v>31886684</v>
      </c>
      <c r="T624" s="48" t="n">
        <v>28542887</v>
      </c>
      <c r="U624" s="46" t="n">
        <f aca="false">IF($A624=$A623,$U623+1,1)</f>
        <v>100</v>
      </c>
      <c r="V624" s="48" t="n">
        <f aca="false">IF($U624&gt;=MA_SHORT,AVERAGE(INDEX($I$224:$I624,402-MA_SHORT):$I624),"")</f>
        <v>3912.95</v>
      </c>
      <c r="W624" s="48" t="n">
        <f aca="false">IF($U624&gt;=MA_MED,AVERAGE(INDEX($I$224:$I624,402-MA_MED):$I624),"")</f>
        <v>3618.32</v>
      </c>
      <c r="X624" s="48" t="n">
        <f aca="false">IF($U624&gt;=MA_LONG1,AVERAGE(INDEX($I$224:$I624,402-MA_LONG1):$I624),"")</f>
        <v>3540.21</v>
      </c>
      <c r="Y624" s="48" t="str">
        <f aca="false">IF($U624&gt;=MA_LONG2,AVERAGE(INDEX($I$224:$I624,402-MA_LONG2):$I624),"")</f>
        <v/>
      </c>
      <c r="Z624" s="48" t="n">
        <f aca="false">IF($U624&gt;=MA_SHORT,AVERAGE(INDEX($L$504:$L624,122-MA_SHORT):$L624),"")</f>
        <v>62737226.1</v>
      </c>
      <c r="AA624" s="48" t="n">
        <f aca="false">IF($U624=1,$G624-$H624,MAX($G624-$H624,ABS($G624-$I623),ABS($H624-$I623)))</f>
        <v>137</v>
      </c>
      <c r="AB624" s="48" t="n">
        <f aca="false">IF($U624&gt;=ATR_PER,AVERAGE(INDEX($AA$504:$AA624,122-ATR_PER):$AA624),"")</f>
        <v>145.857142857143</v>
      </c>
      <c r="AC624" s="48" t="n">
        <f aca="false">$O624-$P624</f>
        <v>-3343797</v>
      </c>
      <c r="AD624" s="48" t="n">
        <f aca="false">$AC624*$I624</f>
        <v>-13555753038</v>
      </c>
      <c r="AE624" s="49" t="n">
        <f aca="false">IF($Q624&gt;0,$O624*$I624/$Q624/1000000,"")</f>
        <v>159.184022223087</v>
      </c>
      <c r="AF624" s="49" t="n">
        <f aca="false">IF($R624&gt;0,$P624*$I624/$R624/1000000,"")</f>
        <v>148.298840230686</v>
      </c>
      <c r="AG624" s="50" t="n">
        <f aca="false">IF(AND(ISNUMBER($AE624),ISNUMBER($AF624),$AF624&gt;0),$AE624/$AF624,"")</f>
        <v>1.07340031773323</v>
      </c>
      <c r="AH624" s="48" t="n">
        <f aca="false">IF($U624&gt;=5,SUM(INDEX($AD$594:$AD624,32-5):$AD624),"")</f>
        <v>215106045456</v>
      </c>
      <c r="AI624" s="48" t="n">
        <f aca="false">IF($U624&gt;=STRUCT_S,MAX(INDEX($G$474:$G624,152-STRUCT_S):$G624),"")</f>
        <v>4222</v>
      </c>
      <c r="AJ624" s="48" t="n">
        <f aca="false">IF($U624&gt;=STRUCT_S,MIN(INDEX($H$474:$H624,152-STRUCT_S):$H624),"")</f>
        <v>3440</v>
      </c>
      <c r="AK624" s="48" t="n">
        <f aca="false">IF($U624&gt;=STRUCT_L,MAX(INDEX($G$374:$G624,252-STRUCT_L):$G624),"")</f>
        <v>4222</v>
      </c>
      <c r="AL624" s="48" t="n">
        <f aca="false">IF($U624&gt;=STRUCT_L,MIN(INDEX($H$374:$H624,252-STRUCT_L):$H624),"")</f>
        <v>3170</v>
      </c>
      <c r="AM624" s="46" t="n">
        <f aca="false">IF($A624&lt;&gt;$A625,1,0)</f>
        <v>0</v>
      </c>
      <c r="AN624" s="47" t="str">
        <f aca="false">IF($AM624=1,$A624,"")</f>
        <v/>
      </c>
    </row>
    <row r="625" customFormat="false" ht="15" hidden="false" customHeight="false" outlineLevel="0" collapsed="false">
      <c r="A625" s="43" t="s">
        <v>142</v>
      </c>
      <c r="B625" s="44" t="s">
        <v>144</v>
      </c>
      <c r="C625" s="45" t="n">
        <v>46046</v>
      </c>
      <c r="D625" s="46" t="n">
        <v>20260124</v>
      </c>
      <c r="E625" s="47" t="s">
        <v>388</v>
      </c>
      <c r="F625" s="48" t="n">
        <v>4094</v>
      </c>
      <c r="G625" s="48" t="n">
        <v>4216</v>
      </c>
      <c r="H625" s="48" t="n">
        <v>4025</v>
      </c>
      <c r="I625" s="48" t="n">
        <v>4186</v>
      </c>
      <c r="J625" s="48" t="n">
        <v>4044</v>
      </c>
      <c r="K625" s="48" t="n">
        <v>4054</v>
      </c>
      <c r="L625" s="48" t="n">
        <v>72586083</v>
      </c>
      <c r="M625" s="48" t="n">
        <v>303845343438</v>
      </c>
      <c r="N625" s="48" t="n">
        <v>7523</v>
      </c>
      <c r="O625" s="48" t="n">
        <v>44726495</v>
      </c>
      <c r="P625" s="48" t="n">
        <v>27834445</v>
      </c>
      <c r="Q625" s="48" t="n">
        <v>2805</v>
      </c>
      <c r="R625" s="48" t="n">
        <v>4042</v>
      </c>
      <c r="S625" s="48" t="n">
        <v>27859588</v>
      </c>
      <c r="T625" s="48" t="n">
        <v>44751638</v>
      </c>
      <c r="U625" s="46" t="n">
        <f aca="false">IF($A625=$A624,$U624+1,1)</f>
        <v>101</v>
      </c>
      <c r="V625" s="48" t="n">
        <f aca="false">IF($U625&gt;=MA_SHORT,AVERAGE(INDEX($I$225:$I625,402-MA_SHORT):$I625),"")</f>
        <v>3939</v>
      </c>
      <c r="W625" s="48" t="n">
        <f aca="false">IF($U625&gt;=MA_MED,AVERAGE(INDEX($I$225:$I625,402-MA_MED):$I625),"")</f>
        <v>3635.16</v>
      </c>
      <c r="X625" s="48" t="n">
        <f aca="false">IF($U625&gt;=MA_LONG1,AVERAGE(INDEX($I$225:$I625,402-MA_LONG1):$I625),"")</f>
        <v>3550.27</v>
      </c>
      <c r="Y625" s="48" t="str">
        <f aca="false">IF($U625&gt;=MA_LONG2,AVERAGE(INDEX($I$225:$I625,402-MA_LONG2):$I625),"")</f>
        <v/>
      </c>
      <c r="Z625" s="48" t="n">
        <f aca="false">IF($U625&gt;=MA_SHORT,AVERAGE(INDEX($L$505:$L625,122-MA_SHORT):$L625),"")</f>
        <v>63130636.05</v>
      </c>
      <c r="AA625" s="48" t="n">
        <f aca="false">IF($U625=1,$G625-$H625,MAX($G625-$H625,ABS($G625-$I624),ABS($H625-$I624)))</f>
        <v>191</v>
      </c>
      <c r="AB625" s="48" t="n">
        <f aca="false">IF($U625&gt;=ATR_PER,AVERAGE(INDEX($AA$505:$AA625,122-ATR_PER):$AA625),"")</f>
        <v>149.642857142857</v>
      </c>
      <c r="AC625" s="48" t="n">
        <f aca="false">$O625-$P625</f>
        <v>16892050</v>
      </c>
      <c r="AD625" s="48" t="n">
        <f aca="false">$AC625*$I625</f>
        <v>70710121300</v>
      </c>
      <c r="AE625" s="49" t="n">
        <f aca="false">IF($Q625&gt;0,$O625*$I625/$Q625/1000000,"")</f>
        <v>66.7469190980392</v>
      </c>
      <c r="AF625" s="49" t="n">
        <f aca="false">IF($R625&gt;0,$P625*$I625/$R625/1000000,"")</f>
        <v>28.8260729267689</v>
      </c>
      <c r="AG625" s="50" t="n">
        <f aca="false">IF(AND(ISNUMBER($AE625),ISNUMBER($AF625),$AF625&gt;0),$AE625/$AF625,"")</f>
        <v>2.3155051077407</v>
      </c>
      <c r="AH625" s="48" t="n">
        <f aca="false">IF($U625&gt;=5,SUM(INDEX($AD$595:$AD625,32-5):$AD625),"")</f>
        <v>178090444804</v>
      </c>
      <c r="AI625" s="48" t="n">
        <f aca="false">IF($U625&gt;=STRUCT_S,MAX(INDEX($G$475:$G625,152-STRUCT_S):$G625),"")</f>
        <v>4222</v>
      </c>
      <c r="AJ625" s="48" t="n">
        <f aca="false">IF($U625&gt;=STRUCT_S,MIN(INDEX($H$475:$H625,152-STRUCT_S):$H625),"")</f>
        <v>3613</v>
      </c>
      <c r="AK625" s="48" t="n">
        <f aca="false">IF($U625&gt;=STRUCT_L,MAX(INDEX($G$375:$G625,252-STRUCT_L):$G625),"")</f>
        <v>4222</v>
      </c>
      <c r="AL625" s="48" t="n">
        <f aca="false">IF($U625&gt;=STRUCT_L,MIN(INDEX($H$375:$H625,252-STRUCT_L):$H625),"")</f>
        <v>3170</v>
      </c>
      <c r="AM625" s="46" t="n">
        <f aca="false">IF($A625&lt;&gt;$A626,1,0)</f>
        <v>0</v>
      </c>
      <c r="AN625" s="47" t="str">
        <f aca="false">IF($AM625=1,$A625,"")</f>
        <v/>
      </c>
    </row>
    <row r="626" customFormat="false" ht="15" hidden="false" customHeight="false" outlineLevel="0" collapsed="false">
      <c r="A626" s="43" t="s">
        <v>142</v>
      </c>
      <c r="B626" s="44" t="s">
        <v>144</v>
      </c>
      <c r="C626" s="45" t="n">
        <v>46047</v>
      </c>
      <c r="D626" s="46" t="n">
        <v>20260125</v>
      </c>
      <c r="E626" s="47" t="s">
        <v>389</v>
      </c>
      <c r="F626" s="48" t="n">
        <v>4228</v>
      </c>
      <c r="G626" s="48" t="n">
        <v>4251</v>
      </c>
      <c r="H626" s="48" t="n">
        <v>4117</v>
      </c>
      <c r="I626" s="48" t="n">
        <v>4182</v>
      </c>
      <c r="J626" s="48" t="n">
        <v>4138</v>
      </c>
      <c r="K626" s="48" t="n">
        <v>4186</v>
      </c>
      <c r="L626" s="48" t="n">
        <v>50314324</v>
      </c>
      <c r="M626" s="48" t="n">
        <v>210414502968</v>
      </c>
      <c r="N626" s="48" t="n">
        <v>2840</v>
      </c>
      <c r="O626" s="48" t="n">
        <v>26890932</v>
      </c>
      <c r="P626" s="48" t="n">
        <v>23349056</v>
      </c>
      <c r="Q626" s="48" t="n">
        <v>1392</v>
      </c>
      <c r="R626" s="48" t="n">
        <v>1370</v>
      </c>
      <c r="S626" s="48" t="n">
        <v>23423392</v>
      </c>
      <c r="T626" s="48" t="n">
        <v>26965268</v>
      </c>
      <c r="U626" s="46" t="n">
        <f aca="false">IF($A626=$A625,$U625+1,1)</f>
        <v>102</v>
      </c>
      <c r="V626" s="48" t="n">
        <f aca="false">IF($U626&gt;=MA_SHORT,AVERAGE(INDEX($I$226:$I626,402-MA_SHORT):$I626),"")</f>
        <v>3964.05</v>
      </c>
      <c r="W626" s="48" t="n">
        <f aca="false">IF($U626&gt;=MA_MED,AVERAGE(INDEX($I$226:$I626,402-MA_MED):$I626),"")</f>
        <v>3651.54</v>
      </c>
      <c r="X626" s="48" t="n">
        <f aca="false">IF($U626&gt;=MA_LONG1,AVERAGE(INDEX($I$226:$I626,402-MA_LONG1):$I626),"")</f>
        <v>3560.06</v>
      </c>
      <c r="Y626" s="48" t="str">
        <f aca="false">IF($U626&gt;=MA_LONG2,AVERAGE(INDEX($I$226:$I626,402-MA_LONG2):$I626),"")</f>
        <v/>
      </c>
      <c r="Z626" s="48" t="n">
        <f aca="false">IF($U626&gt;=MA_SHORT,AVERAGE(INDEX($L$506:$L626,122-MA_SHORT):$L626),"")</f>
        <v>63079457.1</v>
      </c>
      <c r="AA626" s="48" t="n">
        <f aca="false">IF($U626=1,$G626-$H626,MAX($G626-$H626,ABS($G626-$I625),ABS($H626-$I625)))</f>
        <v>134</v>
      </c>
      <c r="AB626" s="48" t="n">
        <f aca="false">IF($U626&gt;=ATR_PER,AVERAGE(INDEX($AA$506:$AA626,122-ATR_PER):$AA626),"")</f>
        <v>146.142857142857</v>
      </c>
      <c r="AC626" s="48" t="n">
        <f aca="false">$O626-$P626</f>
        <v>3541876</v>
      </c>
      <c r="AD626" s="48" t="n">
        <f aca="false">$AC626*$I626</f>
        <v>14812125432</v>
      </c>
      <c r="AE626" s="49" t="n">
        <f aca="false">IF($Q626&gt;0,$O626*$I626/$Q626/1000000,"")</f>
        <v>80.7887051896552</v>
      </c>
      <c r="AF626" s="49" t="n">
        <f aca="false">IF($R626&gt;0,$P626*$I626/$R626/1000000,"")</f>
        <v>71.2742716729927</v>
      </c>
      <c r="AG626" s="50" t="n">
        <f aca="false">IF(AND(ISNUMBER($AE626),ISNUMBER($AF626),$AF626&gt;0),$AE626/$AF626,"")</f>
        <v>1.13349043481377</v>
      </c>
      <c r="AH626" s="48" t="n">
        <f aca="false">IF($U626&gt;=5,SUM(INDEX($AD$596:$AD626,32-5):$AD626),"")</f>
        <v>112098288916</v>
      </c>
      <c r="AI626" s="48" t="n">
        <f aca="false">IF($U626&gt;=STRUCT_S,MAX(INDEX($G$476:$G626,152-STRUCT_S):$G626),"")</f>
        <v>4251</v>
      </c>
      <c r="AJ626" s="48" t="n">
        <f aca="false">IF($U626&gt;=STRUCT_S,MIN(INDEX($H$476:$H626,152-STRUCT_S):$H626),"")</f>
        <v>3640</v>
      </c>
      <c r="AK626" s="48" t="n">
        <f aca="false">IF($U626&gt;=STRUCT_L,MAX(INDEX($G$376:$G626,252-STRUCT_L):$G626),"")</f>
        <v>4251</v>
      </c>
      <c r="AL626" s="48" t="n">
        <f aca="false">IF($U626&gt;=STRUCT_L,MIN(INDEX($H$376:$H626,252-STRUCT_L):$H626),"")</f>
        <v>3170</v>
      </c>
      <c r="AM626" s="46" t="n">
        <f aca="false">IF($A626&lt;&gt;$A627,1,0)</f>
        <v>0</v>
      </c>
      <c r="AN626" s="47" t="str">
        <f aca="false">IF($AM626=1,$A626,"")</f>
        <v/>
      </c>
    </row>
    <row r="627" customFormat="false" ht="15" hidden="false" customHeight="false" outlineLevel="0" collapsed="false">
      <c r="A627" s="43" t="s">
        <v>142</v>
      </c>
      <c r="B627" s="44" t="s">
        <v>144</v>
      </c>
      <c r="C627" s="45" t="n">
        <v>46048</v>
      </c>
      <c r="D627" s="46" t="n">
        <v>20260126</v>
      </c>
      <c r="E627" s="47" t="s">
        <v>390</v>
      </c>
      <c r="F627" s="48" t="n">
        <v>4288</v>
      </c>
      <c r="G627" s="48" t="n">
        <v>4317</v>
      </c>
      <c r="H627" s="48" t="n">
        <v>4140</v>
      </c>
      <c r="I627" s="48" t="n">
        <v>4274</v>
      </c>
      <c r="J627" s="48" t="n">
        <v>4299</v>
      </c>
      <c r="K627" s="48" t="n">
        <v>4182</v>
      </c>
      <c r="L627" s="48" t="n">
        <v>70752332</v>
      </c>
      <c r="M627" s="48" t="n">
        <v>302395466968</v>
      </c>
      <c r="N627" s="48" t="n">
        <v>2148</v>
      </c>
      <c r="O627" s="48" t="n">
        <v>41924960</v>
      </c>
      <c r="P627" s="48" t="n">
        <v>26460129</v>
      </c>
      <c r="Q627" s="48" t="n">
        <v>994</v>
      </c>
      <c r="R627" s="48" t="n">
        <v>795</v>
      </c>
      <c r="S627" s="48" t="n">
        <v>28827372</v>
      </c>
      <c r="T627" s="48" t="n">
        <v>44292203</v>
      </c>
      <c r="U627" s="46" t="n">
        <f aca="false">IF($A627=$A626,$U626+1,1)</f>
        <v>103</v>
      </c>
      <c r="V627" s="48" t="n">
        <f aca="false">IF($U627&gt;=MA_SHORT,AVERAGE(INDEX($I$227:$I627,402-MA_SHORT):$I627),"")</f>
        <v>3990.7</v>
      </c>
      <c r="W627" s="48" t="n">
        <f aca="false">IF($U627&gt;=MA_MED,AVERAGE(INDEX($I$227:$I627,402-MA_MED):$I627),"")</f>
        <v>3669.94</v>
      </c>
      <c r="X627" s="48" t="n">
        <f aca="false">IF($U627&gt;=MA_LONG1,AVERAGE(INDEX($I$227:$I627,402-MA_LONG1):$I627),"")</f>
        <v>3570.19</v>
      </c>
      <c r="Y627" s="48" t="str">
        <f aca="false">IF($U627&gt;=MA_LONG2,AVERAGE(INDEX($I$227:$I627,402-MA_LONG2):$I627),"")</f>
        <v/>
      </c>
      <c r="Z627" s="48" t="n">
        <f aca="false">IF($U627&gt;=MA_SHORT,AVERAGE(INDEX($L$507:$L627,122-MA_SHORT):$L627),"")</f>
        <v>63871065.65</v>
      </c>
      <c r="AA627" s="48" t="n">
        <f aca="false">IF($U627=1,$G627-$H627,MAX($G627-$H627,ABS($G627-$I626),ABS($H627-$I626)))</f>
        <v>177</v>
      </c>
      <c r="AB627" s="48" t="n">
        <f aca="false">IF($U627&gt;=ATR_PER,AVERAGE(INDEX($AA$507:$AA627,122-ATR_PER):$AA627),"")</f>
        <v>152.714285714286</v>
      </c>
      <c r="AC627" s="48" t="n">
        <f aca="false">$O627-$P627</f>
        <v>15464831</v>
      </c>
      <c r="AD627" s="48" t="n">
        <f aca="false">$AC627*$I627</f>
        <v>66096687694</v>
      </c>
      <c r="AE627" s="49" t="n">
        <f aca="false">IF($Q627&gt;0,$O627*$I627/$Q627/1000000,"")</f>
        <v>180.268892394366</v>
      </c>
      <c r="AF627" s="49" t="n">
        <f aca="false">IF($R627&gt;0,$P627*$I627/$R627/1000000,"")</f>
        <v>142.252316158491</v>
      </c>
      <c r="AG627" s="50" t="n">
        <f aca="false">IF(AND(ISNUMBER($AE627),ISNUMBER($AF627),$AF627&gt;0),$AE627/$AF627,"")</f>
        <v>1.26724750262428</v>
      </c>
      <c r="AH627" s="48" t="n">
        <f aca="false">IF($U627&gt;=5,SUM(INDEX($AD$597:$AD627,32-5):$AD627),"")</f>
        <v>150150923330</v>
      </c>
      <c r="AI627" s="48" t="n">
        <f aca="false">IF($U627&gt;=STRUCT_S,MAX(INDEX($G$477:$G627,152-STRUCT_S):$G627),"")</f>
        <v>4317</v>
      </c>
      <c r="AJ627" s="48" t="n">
        <f aca="false">IF($U627&gt;=STRUCT_S,MIN(INDEX($H$477:$H627,152-STRUCT_S):$H627),"")</f>
        <v>3640</v>
      </c>
      <c r="AK627" s="48" t="n">
        <f aca="false">IF($U627&gt;=STRUCT_L,MAX(INDEX($G$377:$G627,252-STRUCT_L):$G627),"")</f>
        <v>4317</v>
      </c>
      <c r="AL627" s="48" t="n">
        <f aca="false">IF($U627&gt;=STRUCT_L,MIN(INDEX($H$377:$H627,252-STRUCT_L):$H627),"")</f>
        <v>3170</v>
      </c>
      <c r="AM627" s="46" t="n">
        <f aca="false">IF($A627&lt;&gt;$A628,1,0)</f>
        <v>0</v>
      </c>
      <c r="AN627" s="47" t="str">
        <f aca="false">IF($AM627=1,$A627,"")</f>
        <v/>
      </c>
    </row>
    <row r="628" customFormat="false" ht="15" hidden="false" customHeight="false" outlineLevel="0" collapsed="false">
      <c r="A628" s="43" t="s">
        <v>142</v>
      </c>
      <c r="B628" s="44" t="s">
        <v>144</v>
      </c>
      <c r="C628" s="45" t="n">
        <v>46049</v>
      </c>
      <c r="D628" s="46" t="n">
        <v>20260127</v>
      </c>
      <c r="E628" s="47" t="s">
        <v>391</v>
      </c>
      <c r="F628" s="48" t="n">
        <v>4287</v>
      </c>
      <c r="G628" s="48" t="n">
        <v>4363</v>
      </c>
      <c r="H628" s="48" t="n">
        <v>4220</v>
      </c>
      <c r="I628" s="48" t="n">
        <v>4309</v>
      </c>
      <c r="J628" s="48" t="n">
        <v>4280</v>
      </c>
      <c r="K628" s="48" t="n">
        <v>4274</v>
      </c>
      <c r="L628" s="48" t="n">
        <v>72712551</v>
      </c>
      <c r="M628" s="48" t="n">
        <v>313318382259</v>
      </c>
      <c r="N628" s="48" t="n">
        <v>2364</v>
      </c>
      <c r="O628" s="48" t="n">
        <v>37530143</v>
      </c>
      <c r="P628" s="48" t="n">
        <v>33445647</v>
      </c>
      <c r="Q628" s="48" t="n">
        <v>654</v>
      </c>
      <c r="R628" s="48" t="n">
        <v>819</v>
      </c>
      <c r="S628" s="48" t="n">
        <v>35182408</v>
      </c>
      <c r="T628" s="48" t="n">
        <v>39266904</v>
      </c>
      <c r="U628" s="46" t="n">
        <f aca="false">IF($A628=$A627,$U627+1,1)</f>
        <v>104</v>
      </c>
      <c r="V628" s="48" t="n">
        <f aca="false">IF($U628&gt;=MA_SHORT,AVERAGE(INDEX($I$228:$I628,402-MA_SHORT):$I628),"")</f>
        <v>4013.75</v>
      </c>
      <c r="W628" s="48" t="n">
        <f aca="false">IF($U628&gt;=MA_MED,AVERAGE(INDEX($I$228:$I628,402-MA_MED):$I628),"")</f>
        <v>3689.4</v>
      </c>
      <c r="X628" s="48" t="n">
        <f aca="false">IF($U628&gt;=MA_LONG1,AVERAGE(INDEX($I$228:$I628,402-MA_LONG1):$I628),"")</f>
        <v>3580.69</v>
      </c>
      <c r="Y628" s="48" t="str">
        <f aca="false">IF($U628&gt;=MA_LONG2,AVERAGE(INDEX($I$228:$I628,402-MA_LONG2):$I628),"")</f>
        <v/>
      </c>
      <c r="Z628" s="48" t="n">
        <f aca="false">IF($U628&gt;=MA_SHORT,AVERAGE(INDEX($L$508:$L628,122-MA_SHORT):$L628),"")</f>
        <v>64576052.75</v>
      </c>
      <c r="AA628" s="48" t="n">
        <f aca="false">IF($U628=1,$G628-$H628,MAX($G628-$H628,ABS($G628-$I627),ABS($H628-$I627)))</f>
        <v>143</v>
      </c>
      <c r="AB628" s="48" t="n">
        <f aca="false">IF($U628&gt;=ATR_PER,AVERAGE(INDEX($AA$508:$AA628,122-ATR_PER):$AA628),"")</f>
        <v>154</v>
      </c>
      <c r="AC628" s="48" t="n">
        <f aca="false">$O628-$P628</f>
        <v>4084496</v>
      </c>
      <c r="AD628" s="48" t="n">
        <f aca="false">$AC628*$I628</f>
        <v>17600093264</v>
      </c>
      <c r="AE628" s="49" t="n">
        <f aca="false">IF($Q628&gt;0,$O628*$I628/$Q628/1000000,"")</f>
        <v>247.27429080581</v>
      </c>
      <c r="AF628" s="49" t="n">
        <f aca="false">IF($R628&gt;0,$P628*$I628/$R628/1000000,"")</f>
        <v>175.967390626374</v>
      </c>
      <c r="AG628" s="50" t="n">
        <f aca="false">IF(AND(ISNUMBER($AE628),ISNUMBER($AF628),$AF628&gt;0),$AE628/$AF628,"")</f>
        <v>1.40522792277372</v>
      </c>
      <c r="AH628" s="48" t="n">
        <f aca="false">IF($U628&gt;=5,SUM(INDEX($AD$598:$AD628,32-5):$AD628),"")</f>
        <v>155663274652</v>
      </c>
      <c r="AI628" s="48" t="n">
        <f aca="false">IF($U628&gt;=STRUCT_S,MAX(INDEX($G$478:$G628,152-STRUCT_S):$G628),"")</f>
        <v>4363</v>
      </c>
      <c r="AJ628" s="48" t="n">
        <f aca="false">IF($U628&gt;=STRUCT_S,MIN(INDEX($H$478:$H628,152-STRUCT_S):$H628),"")</f>
        <v>3744</v>
      </c>
      <c r="AK628" s="48" t="n">
        <f aca="false">IF($U628&gt;=STRUCT_L,MAX(INDEX($G$378:$G628,252-STRUCT_L):$G628),"")</f>
        <v>4363</v>
      </c>
      <c r="AL628" s="48" t="n">
        <f aca="false">IF($U628&gt;=STRUCT_L,MIN(INDEX($H$378:$H628,252-STRUCT_L):$H628),"")</f>
        <v>3170</v>
      </c>
      <c r="AM628" s="46" t="n">
        <f aca="false">IF($A628&lt;&gt;$A629,1,0)</f>
        <v>0</v>
      </c>
      <c r="AN628" s="47" t="str">
        <f aca="false">IF($AM628=1,$A628,"")</f>
        <v/>
      </c>
    </row>
    <row r="629" customFormat="false" ht="15" hidden="false" customHeight="false" outlineLevel="0" collapsed="false">
      <c r="A629" s="43" t="s">
        <v>142</v>
      </c>
      <c r="B629" s="44" t="s">
        <v>144</v>
      </c>
      <c r="C629" s="45" t="n">
        <v>46050</v>
      </c>
      <c r="D629" s="46" t="n">
        <v>20260128</v>
      </c>
      <c r="E629" s="47" t="s">
        <v>392</v>
      </c>
      <c r="F629" s="48" t="n">
        <v>4256</v>
      </c>
      <c r="G629" s="48" t="n">
        <v>4349</v>
      </c>
      <c r="H629" s="48" t="n">
        <v>4249</v>
      </c>
      <c r="I629" s="48" t="n">
        <v>4289</v>
      </c>
      <c r="J629" s="48" t="n">
        <v>4270</v>
      </c>
      <c r="K629" s="48" t="n">
        <v>4309</v>
      </c>
      <c r="L629" s="48" t="n">
        <v>51420697</v>
      </c>
      <c r="M629" s="48" t="n">
        <v>220543369433</v>
      </c>
      <c r="N629" s="48" t="n">
        <v>3408</v>
      </c>
      <c r="O629" s="48" t="n">
        <v>28524154</v>
      </c>
      <c r="P629" s="48" t="n">
        <v>25320255</v>
      </c>
      <c r="Q629" s="48" t="n">
        <v>1125</v>
      </c>
      <c r="R629" s="48" t="n">
        <v>1142</v>
      </c>
      <c r="S629" s="48" t="n">
        <v>22896543</v>
      </c>
      <c r="T629" s="48" t="n">
        <v>26100442</v>
      </c>
      <c r="U629" s="46" t="n">
        <f aca="false">IF($A629=$A628,$U628+1,1)</f>
        <v>105</v>
      </c>
      <c r="V629" s="48" t="n">
        <f aca="false">IF($U629&gt;=MA_SHORT,AVERAGE(INDEX($I$229:$I629,402-MA_SHORT):$I629),"")</f>
        <v>4038.35</v>
      </c>
      <c r="W629" s="48" t="n">
        <f aca="false">IF($U629&gt;=MA_MED,AVERAGE(INDEX($I$229:$I629,402-MA_MED):$I629),"")</f>
        <v>3709.28</v>
      </c>
      <c r="X629" s="48" t="n">
        <f aca="false">IF($U629&gt;=MA_LONG1,AVERAGE(INDEX($I$229:$I629,402-MA_LONG1):$I629),"")</f>
        <v>3590.66</v>
      </c>
      <c r="Y629" s="48" t="str">
        <f aca="false">IF($U629&gt;=MA_LONG2,AVERAGE(INDEX($I$229:$I629,402-MA_LONG2):$I629),"")</f>
        <v/>
      </c>
      <c r="Z629" s="48" t="n">
        <f aca="false">IF($U629&gt;=MA_SHORT,AVERAGE(INDEX($L$509:$L629,122-MA_SHORT):$L629),"")</f>
        <v>64438170.65</v>
      </c>
      <c r="AA629" s="48" t="n">
        <f aca="false">IF($U629=1,$G629-$H629,MAX($G629-$H629,ABS($G629-$I628),ABS($H629-$I628)))</f>
        <v>100</v>
      </c>
      <c r="AB629" s="48" t="n">
        <f aca="false">IF($U629&gt;=ATR_PER,AVERAGE(INDEX($AA$509:$AA629,122-ATR_PER):$AA629),"")</f>
        <v>152</v>
      </c>
      <c r="AC629" s="48" t="n">
        <f aca="false">$O629-$P629</f>
        <v>3203899</v>
      </c>
      <c r="AD629" s="48" t="n">
        <f aca="false">$AC629*$I629</f>
        <v>13741522811</v>
      </c>
      <c r="AE629" s="49" t="n">
        <f aca="false">IF($Q629&gt;0,$O629*$I629/$Q629/1000000,"")</f>
        <v>108.746752449778</v>
      </c>
      <c r="AF629" s="49" t="n">
        <f aca="false">IF($R629&gt;0,$P629*$I629/$R629/1000000,"")</f>
        <v>95.0950732880911</v>
      </c>
      <c r="AG629" s="50" t="n">
        <f aca="false">IF(AND(ISNUMBER($AE629),ISNUMBER($AF629),$AF629&gt;0),$AE629/$AF629,"")</f>
        <v>1.14355821694704</v>
      </c>
      <c r="AH629" s="48" t="n">
        <f aca="false">IF($U629&gt;=5,SUM(INDEX($AD$599:$AD629,32-5):$AD629),"")</f>
        <v>182960550501</v>
      </c>
      <c r="AI629" s="48" t="n">
        <f aca="false">IF($U629&gt;=STRUCT_S,MAX(INDEX($G$479:$G629,152-STRUCT_S):$G629),"")</f>
        <v>4363</v>
      </c>
      <c r="AJ629" s="48" t="n">
        <f aca="false">IF($U629&gt;=STRUCT_S,MIN(INDEX($H$479:$H629,152-STRUCT_S):$H629),"")</f>
        <v>3762</v>
      </c>
      <c r="AK629" s="48" t="n">
        <f aca="false">IF($U629&gt;=STRUCT_L,MAX(INDEX($G$379:$G629,252-STRUCT_L):$G629),"")</f>
        <v>4363</v>
      </c>
      <c r="AL629" s="48" t="n">
        <f aca="false">IF($U629&gt;=STRUCT_L,MIN(INDEX($H$379:$H629,252-STRUCT_L):$H629),"")</f>
        <v>3170</v>
      </c>
      <c r="AM629" s="46" t="n">
        <f aca="false">IF($A629&lt;&gt;$A630,1,0)</f>
        <v>0</v>
      </c>
      <c r="AN629" s="47" t="str">
        <f aca="false">IF($AM629=1,$A629,"")</f>
        <v/>
      </c>
    </row>
    <row r="630" customFormat="false" ht="15" hidden="false" customHeight="false" outlineLevel="0" collapsed="false">
      <c r="A630" s="43" t="s">
        <v>142</v>
      </c>
      <c r="B630" s="44" t="s">
        <v>144</v>
      </c>
      <c r="C630" s="45" t="n">
        <v>46053</v>
      </c>
      <c r="D630" s="46" t="n">
        <v>20260131</v>
      </c>
      <c r="E630" s="47" t="s">
        <v>393</v>
      </c>
      <c r="F630" s="48" t="n">
        <v>4281</v>
      </c>
      <c r="G630" s="48" t="n">
        <v>4381</v>
      </c>
      <c r="H630" s="48" t="n">
        <v>4246</v>
      </c>
      <c r="I630" s="48" t="n">
        <v>4338</v>
      </c>
      <c r="J630" s="48" t="n">
        <v>4266</v>
      </c>
      <c r="K630" s="48" t="n">
        <v>4289</v>
      </c>
      <c r="L630" s="48" t="n">
        <v>81402676</v>
      </c>
      <c r="M630" s="48" t="n">
        <v>353124808488</v>
      </c>
      <c r="N630" s="48" t="n">
        <v>2077</v>
      </c>
      <c r="O630" s="48" t="n">
        <v>45988385</v>
      </c>
      <c r="P630" s="48" t="n">
        <v>28269060</v>
      </c>
      <c r="Q630" s="48" t="n">
        <v>894</v>
      </c>
      <c r="R630" s="48" t="n">
        <v>1235</v>
      </c>
      <c r="S630" s="48" t="n">
        <v>35414291</v>
      </c>
      <c r="T630" s="48" t="n">
        <v>53133616</v>
      </c>
      <c r="U630" s="46" t="n">
        <f aca="false">IF($A630=$A629,$U629+1,1)</f>
        <v>106</v>
      </c>
      <c r="V630" s="48" t="n">
        <f aca="false">IF($U630&gt;=MA_SHORT,AVERAGE(INDEX($I$230:$I630,402-MA_SHORT):$I630),"")</f>
        <v>4062.25</v>
      </c>
      <c r="W630" s="48" t="n">
        <f aca="false">IF($U630&gt;=MA_MED,AVERAGE(INDEX($I$230:$I630,402-MA_MED):$I630),"")</f>
        <v>3729.58</v>
      </c>
      <c r="X630" s="48" t="n">
        <f aca="false">IF($U630&gt;=MA_LONG1,AVERAGE(INDEX($I$230:$I630,402-MA_LONG1):$I630),"")</f>
        <v>3601.1</v>
      </c>
      <c r="Y630" s="48" t="str">
        <f aca="false">IF($U630&gt;=MA_LONG2,AVERAGE(INDEX($I$230:$I630,402-MA_LONG2):$I630),"")</f>
        <v/>
      </c>
      <c r="Z630" s="48" t="n">
        <f aca="false">IF($U630&gt;=MA_SHORT,AVERAGE(INDEX($L$510:$L630,122-MA_SHORT):$L630),"")</f>
        <v>65436200.6</v>
      </c>
      <c r="AA630" s="48" t="n">
        <f aca="false">IF($U630=1,$G630-$H630,MAX($G630-$H630,ABS($G630-$I629),ABS($H630-$I629)))</f>
        <v>135</v>
      </c>
      <c r="AB630" s="48" t="n">
        <f aca="false">IF($U630&gt;=ATR_PER,AVERAGE(INDEX($AA$510:$AA630,122-ATR_PER):$AA630),"")</f>
        <v>146.214285714286</v>
      </c>
      <c r="AC630" s="48" t="n">
        <f aca="false">$O630-$P630</f>
        <v>17719325</v>
      </c>
      <c r="AD630" s="48" t="n">
        <f aca="false">$AC630*$I630</f>
        <v>76866431850</v>
      </c>
      <c r="AE630" s="49" t="n">
        <f aca="false">IF($Q630&gt;0,$O630*$I630/$Q630/1000000,"")</f>
        <v>223.151693657718</v>
      </c>
      <c r="AF630" s="49" t="n">
        <f aca="false">IF($R630&gt;0,$P630*$I630/$R630/1000000,"")</f>
        <v>99.2965038704453</v>
      </c>
      <c r="AG630" s="50" t="n">
        <f aca="false">IF(AND(ISNUMBER($AE630),ISNUMBER($AF630),$AF630&gt;0),$AE630/$AF630,"")</f>
        <v>2.24732679358852</v>
      </c>
      <c r="AH630" s="48" t="n">
        <f aca="false">IF($U630&gt;=5,SUM(INDEX($AD$600:$AD630,32-5):$AD630),"")</f>
        <v>189116861051</v>
      </c>
      <c r="AI630" s="48" t="n">
        <f aca="false">IF($U630&gt;=STRUCT_S,MAX(INDEX($G$480:$G630,152-STRUCT_S):$G630),"")</f>
        <v>4381</v>
      </c>
      <c r="AJ630" s="48" t="n">
        <f aca="false">IF($U630&gt;=STRUCT_S,MIN(INDEX($H$480:$H630,152-STRUCT_S):$H630),"")</f>
        <v>3775</v>
      </c>
      <c r="AK630" s="48" t="n">
        <f aca="false">IF($U630&gt;=STRUCT_L,MAX(INDEX($G$380:$G630,252-STRUCT_L):$G630),"")</f>
        <v>4381</v>
      </c>
      <c r="AL630" s="48" t="n">
        <f aca="false">IF($U630&gt;=STRUCT_L,MIN(INDEX($H$380:$H630,252-STRUCT_L):$H630),"")</f>
        <v>3170</v>
      </c>
      <c r="AM630" s="46" t="n">
        <f aca="false">IF($A630&lt;&gt;$A631,1,0)</f>
        <v>0</v>
      </c>
      <c r="AN630" s="47" t="str">
        <f aca="false">IF($AM630=1,$A630,"")</f>
        <v/>
      </c>
    </row>
    <row r="631" customFormat="false" ht="15" hidden="false" customHeight="false" outlineLevel="0" collapsed="false">
      <c r="A631" s="43" t="s">
        <v>142</v>
      </c>
      <c r="B631" s="44" t="s">
        <v>144</v>
      </c>
      <c r="C631" s="45" t="n">
        <v>46054</v>
      </c>
      <c r="D631" s="46" t="n">
        <v>20260201</v>
      </c>
      <c r="E631" s="47" t="s">
        <v>394</v>
      </c>
      <c r="F631" s="48" t="n">
        <v>4287</v>
      </c>
      <c r="G631" s="48" t="n">
        <v>4410</v>
      </c>
      <c r="H631" s="48" t="n">
        <v>4198</v>
      </c>
      <c r="I631" s="48" t="n">
        <v>4269</v>
      </c>
      <c r="J631" s="48" t="n">
        <v>4212</v>
      </c>
      <c r="K631" s="48" t="n">
        <v>4338</v>
      </c>
      <c r="L631" s="48" t="n">
        <v>54801905</v>
      </c>
      <c r="M631" s="48" t="n">
        <v>233949332445</v>
      </c>
      <c r="N631" s="48" t="n">
        <v>3711</v>
      </c>
      <c r="O631" s="48" t="n">
        <v>24181832</v>
      </c>
      <c r="P631" s="48" t="n">
        <v>29148684</v>
      </c>
      <c r="Q631" s="48" t="n">
        <v>2182</v>
      </c>
      <c r="R631" s="48" t="n">
        <v>1239</v>
      </c>
      <c r="S631" s="48" t="n">
        <v>30620073</v>
      </c>
      <c r="T631" s="48" t="n">
        <v>25653221</v>
      </c>
      <c r="U631" s="46" t="n">
        <f aca="false">IF($A631=$A630,$U630+1,1)</f>
        <v>107</v>
      </c>
      <c r="V631" s="48" t="n">
        <f aca="false">IF($U631&gt;=MA_SHORT,AVERAGE(INDEX($I$231:$I631,402-MA_SHORT):$I631),"")</f>
        <v>4083.3</v>
      </c>
      <c r="W631" s="48" t="n">
        <f aca="false">IF($U631&gt;=MA_MED,AVERAGE(INDEX($I$231:$I631,402-MA_MED):$I631),"")</f>
        <v>3748</v>
      </c>
      <c r="X631" s="48" t="n">
        <f aca="false">IF($U631&gt;=MA_LONG1,AVERAGE(INDEX($I$231:$I631,402-MA_LONG1):$I631),"")</f>
        <v>3610.25</v>
      </c>
      <c r="Y631" s="48" t="str">
        <f aca="false">IF($U631&gt;=MA_LONG2,AVERAGE(INDEX($I$231:$I631,402-MA_LONG2):$I631),"")</f>
        <v/>
      </c>
      <c r="Z631" s="48" t="n">
        <f aca="false">IF($U631&gt;=MA_SHORT,AVERAGE(INDEX($L$511:$L631,122-MA_SHORT):$L631),"")</f>
        <v>64359858.1</v>
      </c>
      <c r="AA631" s="48" t="n">
        <f aca="false">IF($U631=1,$G631-$H631,MAX($G631-$H631,ABS($G631-$I630),ABS($H631-$I630)))</f>
        <v>212</v>
      </c>
      <c r="AB631" s="48" t="n">
        <f aca="false">IF($U631&gt;=ATR_PER,AVERAGE(INDEX($AA$511:$AA631,122-ATR_PER):$AA631),"")</f>
        <v>143.642857142857</v>
      </c>
      <c r="AC631" s="48" t="n">
        <f aca="false">$O631-$P631</f>
        <v>-4966852</v>
      </c>
      <c r="AD631" s="48" t="n">
        <f aca="false">$AC631*$I631</f>
        <v>-21203491188</v>
      </c>
      <c r="AE631" s="49" t="n">
        <f aca="false">IF($Q631&gt;0,$O631*$I631/$Q631/1000000,"")</f>
        <v>47.310834467461</v>
      </c>
      <c r="AF631" s="49" t="n">
        <f aca="false">IF($R631&gt;0,$P631*$I631/$R631/1000000,"")</f>
        <v>100.432390634383</v>
      </c>
      <c r="AG631" s="50" t="n">
        <f aca="false">IF(AND(ISNUMBER($AE631),ISNUMBER($AF631),$AF631&gt;0),$AE631/$AF631,"")</f>
        <v>0.471071475732296</v>
      </c>
      <c r="AH631" s="48" t="n">
        <f aca="false">IF($U631&gt;=5,SUM(INDEX($AD$601:$AD631,32-5):$AD631),"")</f>
        <v>153101244431</v>
      </c>
      <c r="AI631" s="48" t="n">
        <f aca="false">IF($U631&gt;=STRUCT_S,MAX(INDEX($G$481:$G631,152-STRUCT_S):$G631),"")</f>
        <v>4410</v>
      </c>
      <c r="AJ631" s="48" t="n">
        <f aca="false">IF($U631&gt;=STRUCT_S,MIN(INDEX($H$481:$H631,152-STRUCT_S):$H631),"")</f>
        <v>3775</v>
      </c>
      <c r="AK631" s="48" t="n">
        <f aca="false">IF($U631&gt;=STRUCT_L,MAX(INDEX($G$381:$G631,252-STRUCT_L):$G631),"")</f>
        <v>4410</v>
      </c>
      <c r="AL631" s="48" t="n">
        <f aca="false">IF($U631&gt;=STRUCT_L,MIN(INDEX($H$381:$H631,252-STRUCT_L):$H631),"")</f>
        <v>3170</v>
      </c>
      <c r="AM631" s="46" t="n">
        <f aca="false">IF($A631&lt;&gt;$A632,1,0)</f>
        <v>0</v>
      </c>
      <c r="AN631" s="47" t="str">
        <f aca="false">IF($AM631=1,$A631,"")</f>
        <v/>
      </c>
    </row>
    <row r="632" customFormat="false" ht="15" hidden="false" customHeight="false" outlineLevel="0" collapsed="false">
      <c r="A632" s="43" t="s">
        <v>142</v>
      </c>
      <c r="B632" s="44" t="s">
        <v>144</v>
      </c>
      <c r="C632" s="45" t="n">
        <v>46055</v>
      </c>
      <c r="D632" s="46" t="n">
        <v>20260202</v>
      </c>
      <c r="E632" s="47" t="s">
        <v>395</v>
      </c>
      <c r="F632" s="48" t="n">
        <v>4242</v>
      </c>
      <c r="G632" s="48" t="n">
        <v>4339</v>
      </c>
      <c r="H632" s="48" t="n">
        <v>4145</v>
      </c>
      <c r="I632" s="48" t="n">
        <v>4214</v>
      </c>
      <c r="J632" s="48" t="n">
        <v>4189</v>
      </c>
      <c r="K632" s="48" t="n">
        <v>4269</v>
      </c>
      <c r="L632" s="48" t="n">
        <v>71456093</v>
      </c>
      <c r="M632" s="48" t="n">
        <v>301115975902</v>
      </c>
      <c r="N632" s="48" t="n">
        <v>1687</v>
      </c>
      <c r="O632" s="48" t="n">
        <v>30666747</v>
      </c>
      <c r="P632" s="48" t="n">
        <v>44961857</v>
      </c>
      <c r="Q632" s="48" t="n">
        <v>903</v>
      </c>
      <c r="R632" s="48" t="n">
        <v>679</v>
      </c>
      <c r="S632" s="48" t="n">
        <v>40789346</v>
      </c>
      <c r="T632" s="48" t="n">
        <v>26494236</v>
      </c>
      <c r="U632" s="46" t="n">
        <f aca="false">IF($A632=$A631,$U631+1,1)</f>
        <v>108</v>
      </c>
      <c r="V632" s="48" t="n">
        <f aca="false">IF($U632&gt;=MA_SHORT,AVERAGE(INDEX($I$232:$I632,402-MA_SHORT):$I632),"")</f>
        <v>4097</v>
      </c>
      <c r="W632" s="48" t="n">
        <f aca="false">IF($U632&gt;=MA_MED,AVERAGE(INDEX($I$232:$I632,402-MA_MED):$I632),"")</f>
        <v>3764.84</v>
      </c>
      <c r="X632" s="48" t="n">
        <f aca="false">IF($U632&gt;=MA_LONG1,AVERAGE(INDEX($I$232:$I632,402-MA_LONG1):$I632),"")</f>
        <v>3617.51</v>
      </c>
      <c r="Y632" s="48" t="str">
        <f aca="false">IF($U632&gt;=MA_LONG2,AVERAGE(INDEX($I$232:$I632,402-MA_LONG2):$I632),"")</f>
        <v/>
      </c>
      <c r="Z632" s="48" t="n">
        <f aca="false">IF($U632&gt;=MA_SHORT,AVERAGE(INDEX($L$512:$L632,122-MA_SHORT):$L632),"")</f>
        <v>65072462.85</v>
      </c>
      <c r="AA632" s="48" t="n">
        <f aca="false">IF($U632=1,$G632-$H632,MAX($G632-$H632,ABS($G632-$I631),ABS($H632-$I631)))</f>
        <v>194</v>
      </c>
      <c r="AB632" s="48" t="n">
        <f aca="false">IF($U632&gt;=ATR_PER,AVERAGE(INDEX($AA$512:$AA632,122-ATR_PER):$AA632),"")</f>
        <v>140.714285714286</v>
      </c>
      <c r="AC632" s="48" t="n">
        <f aca="false">$O632-$P632</f>
        <v>-14295110</v>
      </c>
      <c r="AD632" s="48" t="n">
        <f aca="false">$AC632*$I632</f>
        <v>-60239593540</v>
      </c>
      <c r="AE632" s="49" t="n">
        <f aca="false">IF($Q632&gt;0,$O632*$I632/$Q632/1000000,"")</f>
        <v>143.111486</v>
      </c>
      <c r="AF632" s="49" t="n">
        <f aca="false">IF($R632&gt;0,$P632*$I632/$R632/1000000,"")</f>
        <v>279.041627979381</v>
      </c>
      <c r="AG632" s="50" t="n">
        <f aca="false">IF(AND(ISNUMBER($AE632),ISNUMBER($AF632),$AF632&gt;0),$AE632/$AF632,"")</f>
        <v>0.512867872210718</v>
      </c>
      <c r="AH632" s="48" t="n">
        <f aca="false">IF($U632&gt;=5,SUM(INDEX($AD$602:$AD632,32-5):$AD632),"")</f>
        <v>26764963197</v>
      </c>
      <c r="AI632" s="48" t="n">
        <f aca="false">IF($U632&gt;=STRUCT_S,MAX(INDEX($G$482:$G632,152-STRUCT_S):$G632),"")</f>
        <v>4410</v>
      </c>
      <c r="AJ632" s="48" t="n">
        <f aca="false">IF($U632&gt;=STRUCT_S,MIN(INDEX($H$482:$H632,152-STRUCT_S):$H632),"")</f>
        <v>3775</v>
      </c>
      <c r="AK632" s="48" t="n">
        <f aca="false">IF($U632&gt;=STRUCT_L,MAX(INDEX($G$382:$G632,252-STRUCT_L):$G632),"")</f>
        <v>4410</v>
      </c>
      <c r="AL632" s="48" t="n">
        <f aca="false">IF($U632&gt;=STRUCT_L,MIN(INDEX($H$382:$H632,252-STRUCT_L):$H632),"")</f>
        <v>3170</v>
      </c>
      <c r="AM632" s="46" t="n">
        <f aca="false">IF($A632&lt;&gt;$A633,1,0)</f>
        <v>0</v>
      </c>
      <c r="AN632" s="47" t="str">
        <f aca="false">IF($AM632=1,$A632,"")</f>
        <v/>
      </c>
    </row>
    <row r="633" customFormat="false" ht="15" hidden="false" customHeight="false" outlineLevel="0" collapsed="false">
      <c r="A633" s="43" t="s">
        <v>142</v>
      </c>
      <c r="B633" s="44" t="s">
        <v>144</v>
      </c>
      <c r="C633" s="45" t="n">
        <v>46056</v>
      </c>
      <c r="D633" s="46" t="n">
        <v>20260203</v>
      </c>
      <c r="E633" s="47" t="s">
        <v>396</v>
      </c>
      <c r="F633" s="48" t="n">
        <v>4255</v>
      </c>
      <c r="G633" s="48" t="n">
        <v>4263</v>
      </c>
      <c r="H633" s="48" t="n">
        <v>4054</v>
      </c>
      <c r="I633" s="48" t="n">
        <v>4101</v>
      </c>
      <c r="J633" s="48" t="n">
        <v>4076</v>
      </c>
      <c r="K633" s="48" t="n">
        <v>4214</v>
      </c>
      <c r="L633" s="48" t="n">
        <v>58076534</v>
      </c>
      <c r="M633" s="48" t="n">
        <v>238171865934</v>
      </c>
      <c r="N633" s="48" t="n">
        <v>1958</v>
      </c>
      <c r="O633" s="48" t="n">
        <v>21083810</v>
      </c>
      <c r="P633" s="48" t="n">
        <v>38723684</v>
      </c>
      <c r="Q633" s="48" t="n">
        <v>1164</v>
      </c>
      <c r="R633" s="48" t="n">
        <v>680</v>
      </c>
      <c r="S633" s="48" t="n">
        <v>36992724</v>
      </c>
      <c r="T633" s="48" t="n">
        <v>19352850</v>
      </c>
      <c r="U633" s="46" t="n">
        <f aca="false">IF($A633=$A632,$U632+1,1)</f>
        <v>109</v>
      </c>
      <c r="V633" s="48" t="n">
        <f aca="false">IF($U633&gt;=MA_SHORT,AVERAGE(INDEX($I$233:$I633,402-MA_SHORT):$I633),"")</f>
        <v>4107.85</v>
      </c>
      <c r="W633" s="48" t="n">
        <f aca="false">IF($U633&gt;=MA_MED,AVERAGE(INDEX($I$233:$I633,402-MA_MED):$I633),"")</f>
        <v>3781.8</v>
      </c>
      <c r="X633" s="48" t="n">
        <f aca="false">IF($U633&gt;=MA_LONG1,AVERAGE(INDEX($I$233:$I633,402-MA_LONG1):$I633),"")</f>
        <v>3622.79</v>
      </c>
      <c r="Y633" s="48" t="str">
        <f aca="false">IF($U633&gt;=MA_LONG2,AVERAGE(INDEX($I$233:$I633,402-MA_LONG2):$I633),"")</f>
        <v/>
      </c>
      <c r="Z633" s="48" t="n">
        <f aca="false">IF($U633&gt;=MA_SHORT,AVERAGE(INDEX($L$513:$L633,122-MA_SHORT):$L633),"")</f>
        <v>64599935.3</v>
      </c>
      <c r="AA633" s="48" t="n">
        <f aca="false">IF($U633=1,$G633-$H633,MAX($G633-$H633,ABS($G633-$I632),ABS($H633-$I632)))</f>
        <v>209</v>
      </c>
      <c r="AB633" s="48" t="n">
        <f aca="false">IF($U633&gt;=ATR_PER,AVERAGE(INDEX($AA$513:$AA633,122-ATR_PER):$AA633),"")</f>
        <v>151.357142857143</v>
      </c>
      <c r="AC633" s="48" t="n">
        <f aca="false">$O633-$P633</f>
        <v>-17639874</v>
      </c>
      <c r="AD633" s="48" t="n">
        <f aca="false">$AC633*$I633</f>
        <v>-72341123274</v>
      </c>
      <c r="AE633" s="49" t="n">
        <f aca="false">IF($Q633&gt;0,$O633*$I633/$Q633/1000000,"")</f>
        <v>74.2823924484536</v>
      </c>
      <c r="AF633" s="49" t="n">
        <f aca="false">IF($R633&gt;0,$P633*$I633/$R633/1000000,"")</f>
        <v>233.537982476471</v>
      </c>
      <c r="AG633" s="50" t="n">
        <f aca="false">IF(AND(ISNUMBER($AE633),ISNUMBER($AF633),$AF633&gt;0),$AE633/$AF633,"")</f>
        <v>0.318074137922887</v>
      </c>
      <c r="AH633" s="48" t="n">
        <f aca="false">IF($U633&gt;=5,SUM(INDEX($AD$603:$AD633,32-5):$AD633),"")</f>
        <v>-63176253341</v>
      </c>
      <c r="AI633" s="48" t="n">
        <f aca="false">IF($U633&gt;=STRUCT_S,MAX(INDEX($G$483:$G633,152-STRUCT_S):$G633),"")</f>
        <v>4410</v>
      </c>
      <c r="AJ633" s="48" t="n">
        <f aca="false">IF($U633&gt;=STRUCT_S,MIN(INDEX($H$483:$H633,152-STRUCT_S):$H633),"")</f>
        <v>3775</v>
      </c>
      <c r="AK633" s="48" t="n">
        <f aca="false">IF($U633&gt;=STRUCT_L,MAX(INDEX($G$383:$G633,252-STRUCT_L):$G633),"")</f>
        <v>4410</v>
      </c>
      <c r="AL633" s="48" t="n">
        <f aca="false">IF($U633&gt;=STRUCT_L,MIN(INDEX($H$383:$H633,252-STRUCT_L):$H633),"")</f>
        <v>3170</v>
      </c>
      <c r="AM633" s="46" t="n">
        <f aca="false">IF($A633&lt;&gt;$A634,1,0)</f>
        <v>0</v>
      </c>
      <c r="AN633" s="47" t="str">
        <f aca="false">IF($AM633=1,$A633,"")</f>
        <v/>
      </c>
    </row>
    <row r="634" customFormat="false" ht="15" hidden="false" customHeight="false" outlineLevel="0" collapsed="false">
      <c r="A634" s="43" t="s">
        <v>142</v>
      </c>
      <c r="B634" s="44" t="s">
        <v>144</v>
      </c>
      <c r="C634" s="45" t="n">
        <v>46057</v>
      </c>
      <c r="D634" s="46" t="n">
        <v>20260204</v>
      </c>
      <c r="E634" s="47" t="s">
        <v>397</v>
      </c>
      <c r="F634" s="48" t="n">
        <v>4087</v>
      </c>
      <c r="G634" s="48" t="n">
        <v>4169</v>
      </c>
      <c r="H634" s="48" t="n">
        <v>3971</v>
      </c>
      <c r="I634" s="48" t="n">
        <v>4038</v>
      </c>
      <c r="J634" s="48" t="n">
        <v>4162</v>
      </c>
      <c r="K634" s="48" t="n">
        <v>4101</v>
      </c>
      <c r="L634" s="48" t="n">
        <v>54638663</v>
      </c>
      <c r="M634" s="48" t="n">
        <v>220630921194</v>
      </c>
      <c r="N634" s="48" t="n">
        <v>1341</v>
      </c>
      <c r="O634" s="48" t="n">
        <v>25772244</v>
      </c>
      <c r="P634" s="48" t="n">
        <v>28857779</v>
      </c>
      <c r="Q634" s="48" t="n">
        <v>781</v>
      </c>
      <c r="R634" s="48" t="n">
        <v>505</v>
      </c>
      <c r="S634" s="48" t="n">
        <v>28866419</v>
      </c>
      <c r="T634" s="48" t="n">
        <v>25780884</v>
      </c>
      <c r="U634" s="46" t="n">
        <f aca="false">IF($A634=$A633,$U633+1,1)</f>
        <v>110</v>
      </c>
      <c r="V634" s="48" t="n">
        <f aca="false">IF($U634&gt;=MA_SHORT,AVERAGE(INDEX($I$234:$I634,402-MA_SHORT):$I634),"")</f>
        <v>4111.4</v>
      </c>
      <c r="W634" s="48" t="n">
        <f aca="false">IF($U634&gt;=MA_MED,AVERAGE(INDEX($I$234:$I634,402-MA_MED):$I634),"")</f>
        <v>3794.7</v>
      </c>
      <c r="X634" s="48" t="n">
        <f aca="false">IF($U634&gt;=MA_LONG1,AVERAGE(INDEX($I$234:$I634,402-MA_LONG1):$I634),"")</f>
        <v>3626.44</v>
      </c>
      <c r="Y634" s="48" t="str">
        <f aca="false">IF($U634&gt;=MA_LONG2,AVERAGE(INDEX($I$234:$I634,402-MA_LONG2):$I634),"")</f>
        <v/>
      </c>
      <c r="Z634" s="48" t="n">
        <f aca="false">IF($U634&gt;=MA_SHORT,AVERAGE(INDEX($L$514:$L634,122-MA_SHORT):$L634),"")</f>
        <v>64509771.5</v>
      </c>
      <c r="AA634" s="48" t="n">
        <f aca="false">IF($U634=1,$G634-$H634,MAX($G634-$H634,ABS($G634-$I633),ABS($H634-$I633)))</f>
        <v>198</v>
      </c>
      <c r="AB634" s="48" t="n">
        <f aca="false">IF($U634&gt;=ATR_PER,AVERAGE(INDEX($AA$514:$AA634,122-ATR_PER):$AA634),"")</f>
        <v>151.642857142857</v>
      </c>
      <c r="AC634" s="48" t="n">
        <f aca="false">$O634-$P634</f>
        <v>-3085535</v>
      </c>
      <c r="AD634" s="48" t="n">
        <f aca="false">$AC634*$I634</f>
        <v>-12459390330</v>
      </c>
      <c r="AE634" s="49" t="n">
        <f aca="false">IF($Q634&gt;0,$O634*$I634/$Q634/1000000,"")</f>
        <v>133.250091257362</v>
      </c>
      <c r="AF634" s="49" t="n">
        <f aca="false">IF($R634&gt;0,$P634*$I634/$R634/1000000,"")</f>
        <v>230.747943766337</v>
      </c>
      <c r="AG634" s="50" t="n">
        <f aca="false">IF(AND(ISNUMBER($AE634),ISNUMBER($AF634),$AF634&gt;0),$AE634/$AF634,"")</f>
        <v>0.577470330103119</v>
      </c>
      <c r="AH634" s="48" t="n">
        <f aca="false">IF($U634&gt;=5,SUM(INDEX($AD$604:$AD634,32-5):$AD634),"")</f>
        <v>-89377166482</v>
      </c>
      <c r="AI634" s="48" t="n">
        <f aca="false">IF($U634&gt;=STRUCT_S,MAX(INDEX($G$484:$G634,152-STRUCT_S):$G634),"")</f>
        <v>4410</v>
      </c>
      <c r="AJ634" s="48" t="n">
        <f aca="false">IF($U634&gt;=STRUCT_S,MIN(INDEX($H$484:$H634,152-STRUCT_S):$H634),"")</f>
        <v>3775</v>
      </c>
      <c r="AK634" s="48" t="n">
        <f aca="false">IF($U634&gt;=STRUCT_L,MAX(INDEX($G$384:$G634,252-STRUCT_L):$G634),"")</f>
        <v>4410</v>
      </c>
      <c r="AL634" s="48" t="n">
        <f aca="false">IF($U634&gt;=STRUCT_L,MIN(INDEX($H$384:$H634,252-STRUCT_L):$H634),"")</f>
        <v>3170</v>
      </c>
      <c r="AM634" s="46" t="n">
        <f aca="false">IF($A634&lt;&gt;$A635,1,0)</f>
        <v>0</v>
      </c>
      <c r="AN634" s="47" t="str">
        <f aca="false">IF($AM634=1,$A634,"")</f>
        <v/>
      </c>
    </row>
    <row r="635" customFormat="false" ht="15" hidden="false" customHeight="false" outlineLevel="0" collapsed="false">
      <c r="A635" s="43" t="s">
        <v>142</v>
      </c>
      <c r="B635" s="44" t="s">
        <v>144</v>
      </c>
      <c r="C635" s="45" t="n">
        <v>46060</v>
      </c>
      <c r="D635" s="46" t="n">
        <v>20260207</v>
      </c>
      <c r="E635" s="47" t="s">
        <v>398</v>
      </c>
      <c r="F635" s="48" t="n">
        <v>4095</v>
      </c>
      <c r="G635" s="48" t="n">
        <v>4101</v>
      </c>
      <c r="H635" s="48" t="n">
        <v>4027</v>
      </c>
      <c r="I635" s="48" t="n">
        <v>4090</v>
      </c>
      <c r="J635" s="48" t="n">
        <v>4068</v>
      </c>
      <c r="K635" s="48" t="n">
        <v>4038</v>
      </c>
      <c r="L635" s="48" t="n">
        <v>53892920</v>
      </c>
      <c r="M635" s="48" t="n">
        <v>220422042800</v>
      </c>
      <c r="N635" s="48" t="n">
        <v>4345</v>
      </c>
      <c r="O635" s="48" t="n">
        <v>33593622</v>
      </c>
      <c r="P635" s="48" t="n">
        <v>17820760</v>
      </c>
      <c r="Q635" s="48" t="n">
        <v>1263</v>
      </c>
      <c r="R635" s="48" t="n">
        <v>2059</v>
      </c>
      <c r="S635" s="48" t="n">
        <v>20299298</v>
      </c>
      <c r="T635" s="48" t="n">
        <v>36072160</v>
      </c>
      <c r="U635" s="46" t="n">
        <f aca="false">IF($A635=$A634,$U634+1,1)</f>
        <v>111</v>
      </c>
      <c r="V635" s="48" t="n">
        <f aca="false">IF($U635&gt;=MA_SHORT,AVERAGE(INDEX($I$235:$I635,402-MA_SHORT):$I635),"")</f>
        <v>4121.65</v>
      </c>
      <c r="W635" s="48" t="n">
        <f aca="false">IF($U635&gt;=MA_MED,AVERAGE(INDEX($I$235:$I635,402-MA_MED):$I635),"")</f>
        <v>3806.28</v>
      </c>
      <c r="X635" s="48" t="n">
        <f aca="false">IF($U635&gt;=MA_LONG1,AVERAGE(INDEX($I$235:$I635,402-MA_LONG1):$I635),"")</f>
        <v>3630.94</v>
      </c>
      <c r="Y635" s="48" t="str">
        <f aca="false">IF($U635&gt;=MA_LONG2,AVERAGE(INDEX($I$235:$I635,402-MA_LONG2):$I635),"")</f>
        <v/>
      </c>
      <c r="Z635" s="48" t="n">
        <f aca="false">IF($U635&gt;=MA_SHORT,AVERAGE(INDEX($L$515:$L635,122-MA_SHORT):$L635),"")</f>
        <v>64392814.2</v>
      </c>
      <c r="AA635" s="48" t="n">
        <f aca="false">IF($U635=1,$G635-$H635,MAX($G635-$H635,ABS($G635-$I634),ABS($H635-$I634)))</f>
        <v>74</v>
      </c>
      <c r="AB635" s="48" t="n">
        <f aca="false">IF($U635&gt;=ATR_PER,AVERAGE(INDEX($AA$515:$AA635,122-ATR_PER):$AA635),"")</f>
        <v>151.428571428571</v>
      </c>
      <c r="AC635" s="48" t="n">
        <f aca="false">$O635-$P635</f>
        <v>15772862</v>
      </c>
      <c r="AD635" s="48" t="n">
        <f aca="false">$AC635*$I635</f>
        <v>64511005580</v>
      </c>
      <c r="AE635" s="49" t="n">
        <f aca="false">IF($Q635&gt;0,$O635*$I635/$Q635/1000000,"")</f>
        <v>108.786946935867</v>
      </c>
      <c r="AF635" s="49" t="n">
        <f aca="false">IF($R635&gt;0,$P635*$I635/$R635/1000000,"")</f>
        <v>35.3991784361341</v>
      </c>
      <c r="AG635" s="50" t="n">
        <f aca="false">IF(AND(ISNUMBER($AE635),ISNUMBER($AF635),$AF635&gt;0),$AE635/$AF635,"")</f>
        <v>3.07314891875631</v>
      </c>
      <c r="AH635" s="48" t="n">
        <f aca="false">IF($U635&gt;=5,SUM(INDEX($AD$605:$AD635,32-5):$AD635),"")</f>
        <v>-101732592752</v>
      </c>
      <c r="AI635" s="48" t="n">
        <f aca="false">IF($U635&gt;=STRUCT_S,MAX(INDEX($G$485:$G635,152-STRUCT_S):$G635),"")</f>
        <v>4410</v>
      </c>
      <c r="AJ635" s="48" t="n">
        <f aca="false">IF($U635&gt;=STRUCT_S,MIN(INDEX($H$485:$H635,152-STRUCT_S):$H635),"")</f>
        <v>3775</v>
      </c>
      <c r="AK635" s="48" t="n">
        <f aca="false">IF($U635&gt;=STRUCT_L,MAX(INDEX($G$385:$G635,252-STRUCT_L):$G635),"")</f>
        <v>4410</v>
      </c>
      <c r="AL635" s="48" t="n">
        <f aca="false">IF($U635&gt;=STRUCT_L,MIN(INDEX($H$385:$H635,252-STRUCT_L):$H635),"")</f>
        <v>3170</v>
      </c>
      <c r="AM635" s="46" t="n">
        <f aca="false">IF($A635&lt;&gt;$A636,1,0)</f>
        <v>0</v>
      </c>
      <c r="AN635" s="47" t="str">
        <f aca="false">IF($AM635=1,$A635,"")</f>
        <v/>
      </c>
    </row>
    <row r="636" customFormat="false" ht="15" hidden="false" customHeight="false" outlineLevel="0" collapsed="false">
      <c r="A636" s="43" t="s">
        <v>142</v>
      </c>
      <c r="B636" s="44" t="s">
        <v>144</v>
      </c>
      <c r="C636" s="45" t="n">
        <v>46061</v>
      </c>
      <c r="D636" s="46" t="n">
        <v>20260208</v>
      </c>
      <c r="E636" s="47" t="s">
        <v>399</v>
      </c>
      <c r="F636" s="48" t="n">
        <v>4257</v>
      </c>
      <c r="G636" s="48" t="n">
        <v>4298</v>
      </c>
      <c r="H636" s="48" t="n">
        <v>4027</v>
      </c>
      <c r="I636" s="48" t="n">
        <v>4232</v>
      </c>
      <c r="J636" s="48" t="n">
        <v>4085</v>
      </c>
      <c r="K636" s="48" t="n">
        <v>4090</v>
      </c>
      <c r="L636" s="48" t="n">
        <v>74204594</v>
      </c>
      <c r="M636" s="48" t="n">
        <v>314033841808</v>
      </c>
      <c r="N636" s="48" t="n">
        <v>2868</v>
      </c>
      <c r="O636" s="48" t="n">
        <v>46683626</v>
      </c>
      <c r="P636" s="48" t="n">
        <v>29489946</v>
      </c>
      <c r="Q636" s="48" t="n">
        <v>824</v>
      </c>
      <c r="R636" s="48" t="n">
        <v>1684</v>
      </c>
      <c r="S636" s="48" t="n">
        <v>27520968</v>
      </c>
      <c r="T636" s="48" t="n">
        <v>44714648</v>
      </c>
      <c r="U636" s="46" t="n">
        <f aca="false">IF($A636=$A635,$U635+1,1)</f>
        <v>112</v>
      </c>
      <c r="V636" s="48" t="n">
        <f aca="false">IF($U636&gt;=MA_SHORT,AVERAGE(INDEX($I$236:$I636,402-MA_SHORT):$I636),"")</f>
        <v>4136.95</v>
      </c>
      <c r="W636" s="48" t="n">
        <f aca="false">IF($U636&gt;=MA_MED,AVERAGE(INDEX($I$236:$I636,402-MA_MED):$I636),"")</f>
        <v>3821.94</v>
      </c>
      <c r="X636" s="48" t="n">
        <f aca="false">IF($U636&gt;=MA_LONG1,AVERAGE(INDEX($I$236:$I636,402-MA_LONG1):$I636),"")</f>
        <v>3637.38</v>
      </c>
      <c r="Y636" s="48" t="str">
        <f aca="false">IF($U636&gt;=MA_LONG2,AVERAGE(INDEX($I$236:$I636,402-MA_LONG2):$I636),"")</f>
        <v/>
      </c>
      <c r="Z636" s="48" t="n">
        <f aca="false">IF($U636&gt;=MA_SHORT,AVERAGE(INDEX($L$516:$L636,122-MA_SHORT):$L636),"")</f>
        <v>64042893.85</v>
      </c>
      <c r="AA636" s="48" t="n">
        <f aca="false">IF($U636=1,$G636-$H636,MAX($G636-$H636,ABS($G636-$I635),ABS($H636-$I635)))</f>
        <v>271</v>
      </c>
      <c r="AB636" s="48" t="n">
        <f aca="false">IF($U636&gt;=ATR_PER,AVERAGE(INDEX($AA$516:$AA636,122-ATR_PER):$AA636),"")</f>
        <v>160.214285714286</v>
      </c>
      <c r="AC636" s="48" t="n">
        <f aca="false">$O636-$P636</f>
        <v>17193680</v>
      </c>
      <c r="AD636" s="48" t="n">
        <f aca="false">$AC636*$I636</f>
        <v>72763653760</v>
      </c>
      <c r="AE636" s="49" t="n">
        <f aca="false">IF($Q636&gt;0,$O636*$I636/$Q636/1000000,"")</f>
        <v>239.763477223301</v>
      </c>
      <c r="AF636" s="49" t="n">
        <f aca="false">IF($R636&gt;0,$P636*$I636/$R636/1000000,"")</f>
        <v>74.1101255771972</v>
      </c>
      <c r="AG636" s="50" t="n">
        <f aca="false">IF(AND(ISNUMBER($AE636),ISNUMBER($AF636),$AF636&gt;0),$AE636/$AF636,"")</f>
        <v>3.23523237015096</v>
      </c>
      <c r="AH636" s="48" t="n">
        <f aca="false">IF($U636&gt;=5,SUM(INDEX($AD$606:$AD636,32-5):$AD636),"")</f>
        <v>-7765447804</v>
      </c>
      <c r="AI636" s="48" t="n">
        <f aca="false">IF($U636&gt;=STRUCT_S,MAX(INDEX($G$486:$G636,152-STRUCT_S):$G636),"")</f>
        <v>4410</v>
      </c>
      <c r="AJ636" s="48" t="n">
        <f aca="false">IF($U636&gt;=STRUCT_S,MIN(INDEX($H$486:$H636,152-STRUCT_S):$H636),"")</f>
        <v>3775</v>
      </c>
      <c r="AK636" s="48" t="n">
        <f aca="false">IF($U636&gt;=STRUCT_L,MAX(INDEX($G$386:$G636,252-STRUCT_L):$G636),"")</f>
        <v>4410</v>
      </c>
      <c r="AL636" s="48" t="n">
        <f aca="false">IF($U636&gt;=STRUCT_L,MIN(INDEX($H$386:$H636,252-STRUCT_L):$H636),"")</f>
        <v>3170</v>
      </c>
      <c r="AM636" s="46" t="n">
        <f aca="false">IF($A636&lt;&gt;$A637,1,0)</f>
        <v>0</v>
      </c>
      <c r="AN636" s="47" t="str">
        <f aca="false">IF($AM636=1,$A636,"")</f>
        <v/>
      </c>
    </row>
    <row r="637" customFormat="false" ht="15" hidden="false" customHeight="false" outlineLevel="0" collapsed="false">
      <c r="A637" s="43" t="s">
        <v>142</v>
      </c>
      <c r="B637" s="44" t="s">
        <v>144</v>
      </c>
      <c r="C637" s="45" t="n">
        <v>46062</v>
      </c>
      <c r="D637" s="46" t="n">
        <v>20260209</v>
      </c>
      <c r="E637" s="47" t="s">
        <v>400</v>
      </c>
      <c r="F637" s="48" t="n">
        <v>4246</v>
      </c>
      <c r="G637" s="48" t="n">
        <v>4342</v>
      </c>
      <c r="H637" s="48" t="n">
        <v>4162</v>
      </c>
      <c r="I637" s="48" t="n">
        <v>4271</v>
      </c>
      <c r="J637" s="48" t="n">
        <v>4265</v>
      </c>
      <c r="K637" s="48" t="n">
        <v>4232</v>
      </c>
      <c r="L637" s="48" t="n">
        <v>61552581</v>
      </c>
      <c r="M637" s="48" t="n">
        <v>262891073451</v>
      </c>
      <c r="N637" s="48" t="n">
        <v>1567</v>
      </c>
      <c r="O637" s="48" t="n">
        <v>36755541</v>
      </c>
      <c r="P637" s="48" t="n">
        <v>22828533</v>
      </c>
      <c r="Q637" s="48" t="n">
        <v>707</v>
      </c>
      <c r="R637" s="48" t="n">
        <v>632</v>
      </c>
      <c r="S637" s="48" t="n">
        <v>24797040</v>
      </c>
      <c r="T637" s="48" t="n">
        <v>38724048</v>
      </c>
      <c r="U637" s="46" t="n">
        <f aca="false">IF($A637=$A636,$U636+1,1)</f>
        <v>113</v>
      </c>
      <c r="V637" s="48" t="n">
        <f aca="false">IF($U637&gt;=MA_SHORT,AVERAGE(INDEX($I$237:$I637,402-MA_SHORT):$I637),"")</f>
        <v>4153.95</v>
      </c>
      <c r="W637" s="48" t="n">
        <f aca="false">IF($U637&gt;=MA_MED,AVERAGE(INDEX($I$237:$I637,402-MA_MED):$I637),"")</f>
        <v>3841.08</v>
      </c>
      <c r="X637" s="48" t="n">
        <f aca="false">IF($U637&gt;=MA_LONG1,AVERAGE(INDEX($I$237:$I637,402-MA_LONG1):$I637),"")</f>
        <v>3645.22</v>
      </c>
      <c r="Y637" s="48" t="str">
        <f aca="false">IF($U637&gt;=MA_LONG2,AVERAGE(INDEX($I$237:$I637,402-MA_LONG2):$I637),"")</f>
        <v/>
      </c>
      <c r="Z637" s="48" t="n">
        <f aca="false">IF($U637&gt;=MA_SHORT,AVERAGE(INDEX($L$517:$L637,122-MA_SHORT):$L637),"")</f>
        <v>63817656.25</v>
      </c>
      <c r="AA637" s="48" t="n">
        <f aca="false">IF($U637=1,$G637-$H637,MAX($G637-$H637,ABS($G637-$I636),ABS($H637-$I636)))</f>
        <v>180</v>
      </c>
      <c r="AB637" s="48" t="n">
        <f aca="false">IF($U637&gt;=ATR_PER,AVERAGE(INDEX($AA$517:$AA637,122-ATR_PER):$AA637),"")</f>
        <v>168.214285714286</v>
      </c>
      <c r="AC637" s="48" t="n">
        <f aca="false">$O637-$P637</f>
        <v>13927008</v>
      </c>
      <c r="AD637" s="48" t="n">
        <f aca="false">$AC637*$I637</f>
        <v>59482251168</v>
      </c>
      <c r="AE637" s="49" t="n">
        <f aca="false">IF($Q637&gt;0,$O637*$I637/$Q637/1000000,"")</f>
        <v>222.04089902546</v>
      </c>
      <c r="AF637" s="49" t="n">
        <f aca="false">IF($R637&gt;0,$P637*$I637/$R637/1000000,"")</f>
        <v>154.273203232595</v>
      </c>
      <c r="AG637" s="50" t="n">
        <f aca="false">IF(AND(ISNUMBER($AE637),ISNUMBER($AF637),$AF637&gt;0),$AE637/$AF637,"")</f>
        <v>1.43927068585393</v>
      </c>
      <c r="AH637" s="48" t="n">
        <f aca="false">IF($U637&gt;=5,SUM(INDEX($AD$607:$AD637,32-5):$AD637),"")</f>
        <v>111956396904</v>
      </c>
      <c r="AI637" s="48" t="n">
        <f aca="false">IF($U637&gt;=STRUCT_S,MAX(INDEX($G$487:$G637,152-STRUCT_S):$G637),"")</f>
        <v>4410</v>
      </c>
      <c r="AJ637" s="48" t="n">
        <f aca="false">IF($U637&gt;=STRUCT_S,MIN(INDEX($H$487:$H637,152-STRUCT_S):$H637),"")</f>
        <v>3775</v>
      </c>
      <c r="AK637" s="48" t="n">
        <f aca="false">IF($U637&gt;=STRUCT_L,MAX(INDEX($G$387:$G637,252-STRUCT_L):$G637),"")</f>
        <v>4410</v>
      </c>
      <c r="AL637" s="48" t="n">
        <f aca="false">IF($U637&gt;=STRUCT_L,MIN(INDEX($H$387:$H637,252-STRUCT_L):$H637),"")</f>
        <v>3170</v>
      </c>
      <c r="AM637" s="46" t="n">
        <f aca="false">IF($A637&lt;&gt;$A638,1,0)</f>
        <v>0</v>
      </c>
      <c r="AN637" s="47" t="str">
        <f aca="false">IF($AM637=1,$A637,"")</f>
        <v/>
      </c>
    </row>
    <row r="638" customFormat="false" ht="15" hidden="false" customHeight="false" outlineLevel="0" collapsed="false">
      <c r="A638" s="43" t="s">
        <v>142</v>
      </c>
      <c r="B638" s="44" t="s">
        <v>144</v>
      </c>
      <c r="C638" s="45" t="n">
        <v>46063</v>
      </c>
      <c r="D638" s="46" t="n">
        <v>20260210</v>
      </c>
      <c r="E638" s="47" t="s">
        <v>401</v>
      </c>
      <c r="F638" s="48" t="n">
        <v>4238</v>
      </c>
      <c r="G638" s="48" t="n">
        <v>4338</v>
      </c>
      <c r="H638" s="48" t="n">
        <v>4125</v>
      </c>
      <c r="I638" s="48" t="n">
        <v>4191</v>
      </c>
      <c r="J638" s="48" t="n">
        <v>4302</v>
      </c>
      <c r="K638" s="48" t="n">
        <v>4271</v>
      </c>
      <c r="L638" s="48" t="n">
        <v>74719147</v>
      </c>
      <c r="M638" s="48" t="n">
        <v>313147945077</v>
      </c>
      <c r="N638" s="48" t="n">
        <v>3929</v>
      </c>
      <c r="O638" s="48" t="n">
        <v>37482477</v>
      </c>
      <c r="P638" s="48" t="n">
        <v>37232492</v>
      </c>
      <c r="Q638" s="48" t="n">
        <v>1441</v>
      </c>
      <c r="R638" s="48" t="n">
        <v>1711</v>
      </c>
      <c r="S638" s="48" t="n">
        <v>37236670</v>
      </c>
      <c r="T638" s="48" t="n">
        <v>37486655</v>
      </c>
      <c r="U638" s="46" t="n">
        <f aca="false">IF($A638=$A637,$U637+1,1)</f>
        <v>114</v>
      </c>
      <c r="V638" s="48" t="n">
        <f aca="false">IF($U638&gt;=MA_SHORT,AVERAGE(INDEX($I$238:$I638,402-MA_SHORT):$I638),"")</f>
        <v>4170.9</v>
      </c>
      <c r="W638" s="48" t="n">
        <f aca="false">IF($U638&gt;=MA_MED,AVERAGE(INDEX($I$238:$I638,402-MA_MED):$I638),"")</f>
        <v>3857.42</v>
      </c>
      <c r="X638" s="48" t="n">
        <f aca="false">IF($U638&gt;=MA_LONG1,AVERAGE(INDEX($I$238:$I638,402-MA_LONG1):$I638),"")</f>
        <v>3652.54</v>
      </c>
      <c r="Y638" s="48" t="str">
        <f aca="false">IF($U638&gt;=MA_LONG2,AVERAGE(INDEX($I$238:$I638,402-MA_LONG2):$I638),"")</f>
        <v/>
      </c>
      <c r="Z638" s="48" t="n">
        <f aca="false">IF($U638&gt;=MA_SHORT,AVERAGE(INDEX($L$518:$L638,122-MA_SHORT):$L638),"")</f>
        <v>64750623</v>
      </c>
      <c r="AA638" s="48" t="n">
        <f aca="false">IF($U638=1,$G638-$H638,MAX($G638-$H638,ABS($G638-$I637),ABS($H638-$I637)))</f>
        <v>213</v>
      </c>
      <c r="AB638" s="48" t="n">
        <f aca="false">IF($U638&gt;=ATR_PER,AVERAGE(INDEX($AA$518:$AA638,122-ATR_PER):$AA638),"")</f>
        <v>173.642857142857</v>
      </c>
      <c r="AC638" s="48" t="n">
        <f aca="false">$O638-$P638</f>
        <v>249985</v>
      </c>
      <c r="AD638" s="48" t="n">
        <f aca="false">$AC638*$I638</f>
        <v>1047687135</v>
      </c>
      <c r="AE638" s="49" t="n">
        <f aca="false">IF($Q638&gt;0,$O638*$I638/$Q638/1000000,"")</f>
        <v>109.013921656489</v>
      </c>
      <c r="AF638" s="49" t="n">
        <f aca="false">IF($R638&gt;0,$P638*$I638/$R638/1000000,"")</f>
        <v>91.1989327714787</v>
      </c>
      <c r="AG638" s="50" t="n">
        <f aca="false">IF(AND(ISNUMBER($AE638),ISNUMBER($AF638),$AF638&gt;0),$AE638/$AF638,"")</f>
        <v>1.1953420763119</v>
      </c>
      <c r="AH638" s="48" t="n">
        <f aca="false">IF($U638&gt;=5,SUM(INDEX($AD$608:$AD638,32-5):$AD638),"")</f>
        <v>185345207313</v>
      </c>
      <c r="AI638" s="48" t="n">
        <f aca="false">IF($U638&gt;=STRUCT_S,MAX(INDEX($G$488:$G638,152-STRUCT_S):$G638),"")</f>
        <v>4410</v>
      </c>
      <c r="AJ638" s="48" t="n">
        <f aca="false">IF($U638&gt;=STRUCT_S,MIN(INDEX($H$488:$H638,152-STRUCT_S):$H638),"")</f>
        <v>3833</v>
      </c>
      <c r="AK638" s="48" t="n">
        <f aca="false">IF($U638&gt;=STRUCT_L,MAX(INDEX($G$388:$G638,252-STRUCT_L):$G638),"")</f>
        <v>4410</v>
      </c>
      <c r="AL638" s="48" t="n">
        <f aca="false">IF($U638&gt;=STRUCT_L,MIN(INDEX($H$388:$H638,252-STRUCT_L):$H638),"")</f>
        <v>3170</v>
      </c>
      <c r="AM638" s="46" t="n">
        <f aca="false">IF($A638&lt;&gt;$A639,1,0)</f>
        <v>0</v>
      </c>
      <c r="AN638" s="47" t="str">
        <f aca="false">IF($AM638=1,$A638,"")</f>
        <v/>
      </c>
    </row>
    <row r="639" customFormat="false" ht="15" hidden="false" customHeight="false" outlineLevel="0" collapsed="false">
      <c r="A639" s="43" t="s">
        <v>142</v>
      </c>
      <c r="B639" s="44" t="s">
        <v>144</v>
      </c>
      <c r="C639" s="45" t="n">
        <v>46064</v>
      </c>
      <c r="D639" s="46" t="n">
        <v>20260211</v>
      </c>
      <c r="E639" s="47" t="s">
        <v>402</v>
      </c>
      <c r="F639" s="48" t="n">
        <v>4115</v>
      </c>
      <c r="G639" s="48" t="n">
        <v>4262</v>
      </c>
      <c r="H639" s="48" t="n">
        <v>3995</v>
      </c>
      <c r="I639" s="48" t="n">
        <v>4063</v>
      </c>
      <c r="J639" s="48" t="n">
        <v>4019</v>
      </c>
      <c r="K639" s="48" t="n">
        <v>4191</v>
      </c>
      <c r="L639" s="48" t="n">
        <v>59195027</v>
      </c>
      <c r="M639" s="48" t="n">
        <v>240509394701</v>
      </c>
      <c r="N639" s="48" t="n">
        <v>5071</v>
      </c>
      <c r="O639" s="48" t="n">
        <v>24006992</v>
      </c>
      <c r="P639" s="48" t="n">
        <v>35777287</v>
      </c>
      <c r="Q639" s="48" t="n">
        <v>2022</v>
      </c>
      <c r="R639" s="48" t="n">
        <v>2399</v>
      </c>
      <c r="S639" s="48" t="n">
        <v>35188035</v>
      </c>
      <c r="T639" s="48" t="n">
        <v>23417740</v>
      </c>
      <c r="U639" s="46" t="n">
        <f aca="false">IF($A639=$A638,$U638+1,1)</f>
        <v>115</v>
      </c>
      <c r="V639" s="48" t="n">
        <f aca="false">IF($U639&gt;=MA_SHORT,AVERAGE(INDEX($I$239:$I639,402-MA_SHORT):$I639),"")</f>
        <v>4180.35</v>
      </c>
      <c r="W639" s="48" t="n">
        <f aca="false">IF($U639&gt;=MA_MED,AVERAGE(INDEX($I$239:$I639,402-MA_MED):$I639),"")</f>
        <v>3869.98</v>
      </c>
      <c r="X639" s="48" t="n">
        <f aca="false">IF($U639&gt;=MA_LONG1,AVERAGE(INDEX($I$239:$I639,402-MA_LONG1):$I639),"")</f>
        <v>3658.75</v>
      </c>
      <c r="Y639" s="48" t="str">
        <f aca="false">IF($U639&gt;=MA_LONG2,AVERAGE(INDEX($I$239:$I639,402-MA_LONG2):$I639),"")</f>
        <v/>
      </c>
      <c r="Z639" s="48" t="n">
        <f aca="false">IF($U639&gt;=MA_SHORT,AVERAGE(INDEX($L$519:$L639,122-MA_SHORT):$L639),"")</f>
        <v>64300353.2</v>
      </c>
      <c r="AA639" s="48" t="n">
        <f aca="false">IF($U639=1,$G639-$H639,MAX($G639-$H639,ABS($G639-$I638),ABS($H639-$I638)))</f>
        <v>267</v>
      </c>
      <c r="AB639" s="48" t="n">
        <f aca="false">IF($U639&gt;=ATR_PER,AVERAGE(INDEX($AA$519:$AA639,122-ATR_PER):$AA639),"")</f>
        <v>179.071428571429</v>
      </c>
      <c r="AC639" s="48" t="n">
        <f aca="false">$O639-$P639</f>
        <v>-11770295</v>
      </c>
      <c r="AD639" s="48" t="n">
        <f aca="false">$AC639*$I639</f>
        <v>-47822708585</v>
      </c>
      <c r="AE639" s="49" t="n">
        <f aca="false">IF($Q639&gt;0,$O639*$I639/$Q639/1000000,"")</f>
        <v>48.2395689891197</v>
      </c>
      <c r="AF639" s="49" t="n">
        <f aca="false">IF($R639&gt;0,$P639*$I639/$R639/1000000,"")</f>
        <v>60.5932126223427</v>
      </c>
      <c r="AG639" s="50" t="n">
        <f aca="false">IF(AND(ISNUMBER($AE639),ISNUMBER($AF639),$AF639&gt;0),$AE639/$AF639,"")</f>
        <v>0.796121659529441</v>
      </c>
      <c r="AH639" s="48" t="n">
        <f aca="false">IF($U639&gt;=5,SUM(INDEX($AD$609:$AD639,32-5):$AD639),"")</f>
        <v>149981889058</v>
      </c>
      <c r="AI639" s="48" t="n">
        <f aca="false">IF($U639&gt;=STRUCT_S,MAX(INDEX($G$489:$G639,152-STRUCT_S):$G639),"")</f>
        <v>4410</v>
      </c>
      <c r="AJ639" s="48" t="n">
        <f aca="false">IF($U639&gt;=STRUCT_S,MIN(INDEX($H$489:$H639,152-STRUCT_S):$H639),"")</f>
        <v>3862</v>
      </c>
      <c r="AK639" s="48" t="n">
        <f aca="false">IF($U639&gt;=STRUCT_L,MAX(INDEX($G$389:$G639,252-STRUCT_L):$G639),"")</f>
        <v>4410</v>
      </c>
      <c r="AL639" s="48" t="n">
        <f aca="false">IF($U639&gt;=STRUCT_L,MIN(INDEX($H$389:$H639,252-STRUCT_L):$H639),"")</f>
        <v>3170</v>
      </c>
      <c r="AM639" s="46" t="n">
        <f aca="false">IF($A639&lt;&gt;$A640,1,0)</f>
        <v>0</v>
      </c>
      <c r="AN639" s="47" t="str">
        <f aca="false">IF($AM639=1,$A639,"")</f>
        <v/>
      </c>
    </row>
    <row r="640" customFormat="false" ht="15" hidden="false" customHeight="false" outlineLevel="0" collapsed="false">
      <c r="A640" s="43" t="s">
        <v>142</v>
      </c>
      <c r="B640" s="44" t="s">
        <v>144</v>
      </c>
      <c r="C640" s="45" t="n">
        <v>46067</v>
      </c>
      <c r="D640" s="46" t="n">
        <v>20260214</v>
      </c>
      <c r="E640" s="47" t="s">
        <v>403</v>
      </c>
      <c r="F640" s="48" t="n">
        <v>4001</v>
      </c>
      <c r="G640" s="48" t="n">
        <v>4106</v>
      </c>
      <c r="H640" s="48" t="n">
        <v>3878</v>
      </c>
      <c r="I640" s="48" t="n">
        <v>3919</v>
      </c>
      <c r="J640" s="48" t="n">
        <v>4041</v>
      </c>
      <c r="K640" s="48" t="n">
        <v>4063</v>
      </c>
      <c r="L640" s="48" t="n">
        <v>60665881</v>
      </c>
      <c r="M640" s="48" t="n">
        <v>237749587639</v>
      </c>
      <c r="N640" s="48" t="n">
        <v>2009</v>
      </c>
      <c r="O640" s="48" t="n">
        <v>25486937</v>
      </c>
      <c r="P640" s="48" t="n">
        <v>35173862</v>
      </c>
      <c r="Q640" s="48" t="n">
        <v>680</v>
      </c>
      <c r="R640" s="48" t="n">
        <v>978</v>
      </c>
      <c r="S640" s="48" t="n">
        <v>35178944</v>
      </c>
      <c r="T640" s="48" t="n">
        <v>25492019</v>
      </c>
      <c r="U640" s="46" t="n">
        <f aca="false">IF($A640=$A639,$U639+1,1)</f>
        <v>116</v>
      </c>
      <c r="V640" s="48" t="n">
        <f aca="false">IF($U640&gt;=MA_SHORT,AVERAGE(INDEX($I$240:$I640,402-MA_SHORT):$I640),"")</f>
        <v>4174.1</v>
      </c>
      <c r="W640" s="48" t="n">
        <f aca="false">IF($U640&gt;=MA_MED,AVERAGE(INDEX($I$240:$I640,402-MA_MED):$I640),"")</f>
        <v>3878.38</v>
      </c>
      <c r="X640" s="48" t="n">
        <f aca="false">IF($U640&gt;=MA_LONG1,AVERAGE(INDEX($I$240:$I640,402-MA_LONG1):$I640),"")</f>
        <v>3662.74</v>
      </c>
      <c r="Y640" s="48" t="str">
        <f aca="false">IF($U640&gt;=MA_LONG2,AVERAGE(INDEX($I$240:$I640,402-MA_LONG2):$I640),"")</f>
        <v/>
      </c>
      <c r="Z640" s="48" t="n">
        <f aca="false">IF($U640&gt;=MA_SHORT,AVERAGE(INDEX($L$520:$L640,122-MA_SHORT):$L640),"")</f>
        <v>64173676.05</v>
      </c>
      <c r="AA640" s="48" t="n">
        <f aca="false">IF($U640=1,$G640-$H640,MAX($G640-$H640,ABS($G640-$I639),ABS($H640-$I639)))</f>
        <v>228</v>
      </c>
      <c r="AB640" s="48" t="n">
        <f aca="false">IF($U640&gt;=ATR_PER,AVERAGE(INDEX($AA$520:$AA640,122-ATR_PER):$AA640),"")</f>
        <v>185.785714285714</v>
      </c>
      <c r="AC640" s="48" t="n">
        <f aca="false">$O640-$P640</f>
        <v>-9686925</v>
      </c>
      <c r="AD640" s="48" t="n">
        <f aca="false">$AC640*$I640</f>
        <v>-37963059075</v>
      </c>
      <c r="AE640" s="49" t="n">
        <f aca="false">IF($Q640&gt;0,$O640*$I640/$Q640/1000000,"")</f>
        <v>146.887214857353</v>
      </c>
      <c r="AF640" s="49" t="n">
        <f aca="false">IF($R640&gt;0,$P640*$I640/$R640/1000000,"")</f>
        <v>140.947203658487</v>
      </c>
      <c r="AG640" s="50" t="n">
        <f aca="false">IF(AND(ISNUMBER($AE640),ISNUMBER($AF640),$AF640&gt;0),$AE640/$AF640,"")</f>
        <v>1.04214351930854</v>
      </c>
      <c r="AH640" s="48" t="n">
        <f aca="false">IF($U640&gt;=5,SUM(INDEX($AD$610:$AD640,32-5):$AD640),"")</f>
        <v>47507824403</v>
      </c>
      <c r="AI640" s="48" t="n">
        <f aca="false">IF($U640&gt;=STRUCT_S,MAX(INDEX($G$490:$G640,152-STRUCT_S):$G640),"")</f>
        <v>4410</v>
      </c>
      <c r="AJ640" s="48" t="n">
        <f aca="false">IF($U640&gt;=STRUCT_S,MIN(INDEX($H$490:$H640,152-STRUCT_S):$H640),"")</f>
        <v>3878</v>
      </c>
      <c r="AK640" s="48" t="n">
        <f aca="false">IF($U640&gt;=STRUCT_L,MAX(INDEX($G$390:$G640,252-STRUCT_L):$G640),"")</f>
        <v>4410</v>
      </c>
      <c r="AL640" s="48" t="n">
        <f aca="false">IF($U640&gt;=STRUCT_L,MIN(INDEX($H$390:$H640,252-STRUCT_L):$H640),"")</f>
        <v>3170</v>
      </c>
      <c r="AM640" s="46" t="n">
        <f aca="false">IF($A640&lt;&gt;$A641,1,0)</f>
        <v>0</v>
      </c>
      <c r="AN640" s="47" t="str">
        <f aca="false">IF($AM640=1,$A640,"")</f>
        <v/>
      </c>
    </row>
    <row r="641" customFormat="false" ht="15" hidden="false" customHeight="false" outlineLevel="0" collapsed="false">
      <c r="A641" s="43" t="s">
        <v>142</v>
      </c>
      <c r="B641" s="44" t="s">
        <v>144</v>
      </c>
      <c r="C641" s="45" t="n">
        <v>46068</v>
      </c>
      <c r="D641" s="46" t="n">
        <v>20260215</v>
      </c>
      <c r="E641" s="47" t="s">
        <v>404</v>
      </c>
      <c r="F641" s="48" t="n">
        <v>3923</v>
      </c>
      <c r="G641" s="48" t="n">
        <v>3941</v>
      </c>
      <c r="H641" s="48" t="n">
        <v>3806</v>
      </c>
      <c r="I641" s="48" t="n">
        <v>3828</v>
      </c>
      <c r="J641" s="48" t="n">
        <v>3931</v>
      </c>
      <c r="K641" s="48" t="n">
        <v>3919</v>
      </c>
      <c r="L641" s="48" t="n">
        <v>56997390</v>
      </c>
      <c r="M641" s="48" t="n">
        <v>218186008920</v>
      </c>
      <c r="N641" s="48" t="n">
        <v>1424</v>
      </c>
      <c r="O641" s="48" t="n">
        <v>25420760</v>
      </c>
      <c r="P641" s="48" t="n">
        <v>33713117</v>
      </c>
      <c r="Q641" s="48" t="n">
        <v>571</v>
      </c>
      <c r="R641" s="48" t="n">
        <v>445</v>
      </c>
      <c r="S641" s="48" t="n">
        <v>31576630</v>
      </c>
      <c r="T641" s="48" t="n">
        <v>23284273</v>
      </c>
      <c r="U641" s="46" t="n">
        <f aca="false">IF($A641=$A640,$U640+1,1)</f>
        <v>117</v>
      </c>
      <c r="V641" s="48" t="n">
        <f aca="false">IF($U641&gt;=MA_SHORT,AVERAGE(INDEX($I$241:$I641,402-MA_SHORT):$I641),"")</f>
        <v>4161</v>
      </c>
      <c r="W641" s="48" t="n">
        <f aca="false">IF($U641&gt;=MA_MED,AVERAGE(INDEX($I$241:$I641,402-MA_MED):$I641),"")</f>
        <v>3883.06</v>
      </c>
      <c r="X641" s="48" t="n">
        <f aca="false">IF($U641&gt;=MA_LONG1,AVERAGE(INDEX($I$241:$I641,402-MA_LONG1):$I641),"")</f>
        <v>3666.83</v>
      </c>
      <c r="Y641" s="48" t="str">
        <f aca="false">IF($U641&gt;=MA_LONG2,AVERAGE(INDEX($I$241:$I641,402-MA_LONG2):$I641),"")</f>
        <v/>
      </c>
      <c r="Z641" s="48" t="n">
        <f aca="false">IF($U641&gt;=MA_SHORT,AVERAGE(INDEX($L$521:$L641,122-MA_SHORT):$L641),"")</f>
        <v>63783397.6</v>
      </c>
      <c r="AA641" s="48" t="n">
        <f aca="false">IF($U641=1,$G641-$H641,MAX($G641-$H641,ABS($G641-$I640),ABS($H641-$I640)))</f>
        <v>135</v>
      </c>
      <c r="AB641" s="48" t="n">
        <f aca="false">IF($U641&gt;=ATR_PER,AVERAGE(INDEX($AA$521:$AA641,122-ATR_PER):$AA641),"")</f>
        <v>182.785714285714</v>
      </c>
      <c r="AC641" s="48" t="n">
        <f aca="false">$O641-$P641</f>
        <v>-8292357</v>
      </c>
      <c r="AD641" s="48" t="n">
        <f aca="false">$AC641*$I641</f>
        <v>-31743142596</v>
      </c>
      <c r="AE641" s="49" t="n">
        <f aca="false">IF($Q641&gt;0,$O641*$I641/$Q641/1000000,"")</f>
        <v>170.421487355517</v>
      </c>
      <c r="AF641" s="49" t="n">
        <f aca="false">IF($R641&gt;0,$P641*$I641/$R641/1000000,"")</f>
        <v>290.008566013483</v>
      </c>
      <c r="AG641" s="50" t="n">
        <f aca="false">IF(AND(ISNUMBER($AE641),ISNUMBER($AF641),$AF641&gt;0),$AE641/$AF641,"")</f>
        <v>0.587642943441861</v>
      </c>
      <c r="AH641" s="48" t="n">
        <f aca="false">IF($U641&gt;=5,SUM(INDEX($AD$611:$AD641,32-5):$AD641),"")</f>
        <v>-56998971953</v>
      </c>
      <c r="AI641" s="48" t="n">
        <f aca="false">IF($U641&gt;=STRUCT_S,MAX(INDEX($G$491:$G641,152-STRUCT_S):$G641),"")</f>
        <v>4410</v>
      </c>
      <c r="AJ641" s="48" t="n">
        <f aca="false">IF($U641&gt;=STRUCT_S,MIN(INDEX($H$491:$H641,152-STRUCT_S):$H641),"")</f>
        <v>3806</v>
      </c>
      <c r="AK641" s="48" t="n">
        <f aca="false">IF($U641&gt;=STRUCT_L,MAX(INDEX($G$391:$G641,252-STRUCT_L):$G641),"")</f>
        <v>4410</v>
      </c>
      <c r="AL641" s="48" t="n">
        <f aca="false">IF($U641&gt;=STRUCT_L,MIN(INDEX($H$391:$H641,252-STRUCT_L):$H641),"")</f>
        <v>3170</v>
      </c>
      <c r="AM641" s="46" t="n">
        <f aca="false">IF($A641&lt;&gt;$A642,1,0)</f>
        <v>0</v>
      </c>
      <c r="AN641" s="47" t="str">
        <f aca="false">IF($AM641=1,$A641,"")</f>
        <v/>
      </c>
    </row>
    <row r="642" customFormat="false" ht="15" hidden="false" customHeight="false" outlineLevel="0" collapsed="false">
      <c r="A642" s="43" t="s">
        <v>142</v>
      </c>
      <c r="B642" s="44" t="s">
        <v>144</v>
      </c>
      <c r="C642" s="45" t="n">
        <v>46069</v>
      </c>
      <c r="D642" s="46" t="n">
        <v>20260216</v>
      </c>
      <c r="E642" s="47" t="s">
        <v>405</v>
      </c>
      <c r="F642" s="48" t="n">
        <v>3911</v>
      </c>
      <c r="G642" s="48" t="n">
        <v>3992</v>
      </c>
      <c r="H642" s="48" t="n">
        <v>3793</v>
      </c>
      <c r="I642" s="48" t="n">
        <v>3955</v>
      </c>
      <c r="J642" s="48" t="n">
        <v>3807</v>
      </c>
      <c r="K642" s="48" t="n">
        <v>3828</v>
      </c>
      <c r="L642" s="48" t="n">
        <v>59985948</v>
      </c>
      <c r="M642" s="48" t="n">
        <v>237244424340</v>
      </c>
      <c r="N642" s="48" t="n">
        <v>3751</v>
      </c>
      <c r="O642" s="48" t="n">
        <v>37516698</v>
      </c>
      <c r="P642" s="48" t="n">
        <v>20545471</v>
      </c>
      <c r="Q642" s="48" t="n">
        <v>1378</v>
      </c>
      <c r="R642" s="48" t="n">
        <v>1461</v>
      </c>
      <c r="S642" s="48" t="n">
        <v>22469250</v>
      </c>
      <c r="T642" s="48" t="n">
        <v>39440477</v>
      </c>
      <c r="U642" s="46" t="n">
        <f aca="false">IF($A642=$A641,$U641+1,1)</f>
        <v>118</v>
      </c>
      <c r="V642" s="48" t="n">
        <f aca="false">IF($U642&gt;=MA_SHORT,AVERAGE(INDEX($I$242:$I642,402-MA_SHORT):$I642),"")</f>
        <v>4148.5</v>
      </c>
      <c r="W642" s="48" t="n">
        <f aca="false">IF($U642&gt;=MA_MED,AVERAGE(INDEX($I$242:$I642,402-MA_MED):$I642),"")</f>
        <v>3891.8</v>
      </c>
      <c r="X642" s="48" t="n">
        <f aca="false">IF($U642&gt;=MA_LONG1,AVERAGE(INDEX($I$242:$I642,402-MA_LONG1):$I642),"")</f>
        <v>3672.79</v>
      </c>
      <c r="Y642" s="48" t="str">
        <f aca="false">IF($U642&gt;=MA_LONG2,AVERAGE(INDEX($I$242:$I642,402-MA_LONG2):$I642),"")</f>
        <v/>
      </c>
      <c r="Z642" s="48" t="n">
        <f aca="false">IF($U642&gt;=MA_SHORT,AVERAGE(INDEX($L$522:$L642,122-MA_SHORT):$L642),"")</f>
        <v>63859327.85</v>
      </c>
      <c r="AA642" s="48" t="n">
        <f aca="false">IF($U642=1,$G642-$H642,MAX($G642-$H642,ABS($G642-$I641),ABS($H642-$I641)))</f>
        <v>199</v>
      </c>
      <c r="AB642" s="48" t="n">
        <f aca="false">IF($U642&gt;=ATR_PER,AVERAGE(INDEX($AA$522:$AA642,122-ATR_PER):$AA642),"")</f>
        <v>186.785714285714</v>
      </c>
      <c r="AC642" s="48" t="n">
        <f aca="false">$O642-$P642</f>
        <v>16971227</v>
      </c>
      <c r="AD642" s="48" t="n">
        <f aca="false">$AC642*$I642</f>
        <v>67121202785</v>
      </c>
      <c r="AE642" s="49" t="n">
        <f aca="false">IF($Q642&gt;0,$O642*$I642/$Q642/1000000,"")</f>
        <v>107.676734825835</v>
      </c>
      <c r="AF642" s="49" t="n">
        <f aca="false">IF($R642&gt;0,$P642*$I642/$R642/1000000,"")</f>
        <v>55.6176165674196</v>
      </c>
      <c r="AG642" s="50" t="n">
        <f aca="false">IF(AND(ISNUMBER($AE642),ISNUMBER($AF642),$AF642&gt;0),$AE642/$AF642,"")</f>
        <v>1.93601850405274</v>
      </c>
      <c r="AH642" s="48" t="n">
        <f aca="false">IF($U642&gt;=5,SUM(INDEX($AD$612:$AD642,32-5):$AD642),"")</f>
        <v>-49360020336</v>
      </c>
      <c r="AI642" s="48" t="n">
        <f aca="false">IF($U642&gt;=STRUCT_S,MAX(INDEX($G$492:$G642,152-STRUCT_S):$G642),"")</f>
        <v>4410</v>
      </c>
      <c r="AJ642" s="48" t="n">
        <f aca="false">IF($U642&gt;=STRUCT_S,MIN(INDEX($H$492:$H642,152-STRUCT_S):$H642),"")</f>
        <v>3793</v>
      </c>
      <c r="AK642" s="48" t="n">
        <f aca="false">IF($U642&gt;=STRUCT_L,MAX(INDEX($G$392:$G642,252-STRUCT_L):$G642),"")</f>
        <v>4410</v>
      </c>
      <c r="AL642" s="48" t="n">
        <f aca="false">IF($U642&gt;=STRUCT_L,MIN(INDEX($H$392:$H642,252-STRUCT_L):$H642),"")</f>
        <v>3170</v>
      </c>
      <c r="AM642" s="46" t="n">
        <f aca="false">IF($A642&lt;&gt;$A643,1,0)</f>
        <v>0</v>
      </c>
      <c r="AN642" s="47" t="str">
        <f aca="false">IF($AM642=1,$A642,"")</f>
        <v/>
      </c>
    </row>
    <row r="643" customFormat="false" ht="15" hidden="false" customHeight="false" outlineLevel="0" collapsed="false">
      <c r="A643" s="43" t="s">
        <v>142</v>
      </c>
      <c r="B643" s="44" t="s">
        <v>144</v>
      </c>
      <c r="C643" s="45" t="n">
        <v>46070</v>
      </c>
      <c r="D643" s="46" t="n">
        <v>20260217</v>
      </c>
      <c r="E643" s="47" t="s">
        <v>406</v>
      </c>
      <c r="F643" s="48" t="n">
        <v>3938</v>
      </c>
      <c r="G643" s="48" t="n">
        <v>3968</v>
      </c>
      <c r="H643" s="48" t="n">
        <v>3933</v>
      </c>
      <c r="I643" s="48" t="n">
        <v>3946</v>
      </c>
      <c r="J643" s="48" t="n">
        <v>3962</v>
      </c>
      <c r="K643" s="48" t="n">
        <v>3955</v>
      </c>
      <c r="L643" s="48" t="n">
        <v>50710552</v>
      </c>
      <c r="M643" s="48" t="n">
        <v>200103838192</v>
      </c>
      <c r="N643" s="48" t="n">
        <v>2623</v>
      </c>
      <c r="O643" s="48" t="n">
        <v>24116166</v>
      </c>
      <c r="P643" s="48" t="n">
        <v>28529840</v>
      </c>
      <c r="Q643" s="48" t="n">
        <v>1426</v>
      </c>
      <c r="R643" s="48" t="n">
        <v>1055</v>
      </c>
      <c r="S643" s="48" t="n">
        <v>26594386</v>
      </c>
      <c r="T643" s="48" t="n">
        <v>22180712</v>
      </c>
      <c r="U643" s="46" t="n">
        <f aca="false">IF($A643=$A642,$U642+1,1)</f>
        <v>119</v>
      </c>
      <c r="V643" s="48" t="n">
        <f aca="false">IF($U643&gt;=MA_SHORT,AVERAGE(INDEX($I$243:$I643,402-MA_SHORT):$I643),"")</f>
        <v>4137.45</v>
      </c>
      <c r="W643" s="48" t="n">
        <f aca="false">IF($U643&gt;=MA_MED,AVERAGE(INDEX($I$243:$I643,402-MA_MED):$I643),"")</f>
        <v>3900.08</v>
      </c>
      <c r="X643" s="48" t="n">
        <f aca="false">IF($U643&gt;=MA_LONG1,AVERAGE(INDEX($I$243:$I643,402-MA_LONG1):$I643),"")</f>
        <v>3678.35</v>
      </c>
      <c r="Y643" s="48" t="str">
        <f aca="false">IF($U643&gt;=MA_LONG2,AVERAGE(INDEX($I$243:$I643,402-MA_LONG2):$I643),"")</f>
        <v/>
      </c>
      <c r="Z643" s="48" t="n">
        <f aca="false">IF($U643&gt;=MA_SHORT,AVERAGE(INDEX($L$523:$L643,122-MA_SHORT):$L643),"")</f>
        <v>62612330.15</v>
      </c>
      <c r="AA643" s="48" t="n">
        <f aca="false">IF($U643=1,$G643-$H643,MAX($G643-$H643,ABS($G643-$I642),ABS($H643-$I642)))</f>
        <v>35</v>
      </c>
      <c r="AB643" s="48" t="n">
        <f aca="false">IF($U643&gt;=ATR_PER,AVERAGE(INDEX($AA$523:$AA643,122-ATR_PER):$AA643),"")</f>
        <v>182.142857142857</v>
      </c>
      <c r="AC643" s="48" t="n">
        <f aca="false">$O643-$P643</f>
        <v>-4413674</v>
      </c>
      <c r="AD643" s="48" t="n">
        <f aca="false">$AC643*$I643</f>
        <v>-17416357604</v>
      </c>
      <c r="AE643" s="49" t="n">
        <f aca="false">IF($Q643&gt;0,$O643*$I643/$Q643/1000000,"")</f>
        <v>66.7337945553997</v>
      </c>
      <c r="AF643" s="49" t="n">
        <f aca="false">IF($R643&gt;0,$P643*$I643/$R643/1000000,"")</f>
        <v>106.709714350711</v>
      </c>
      <c r="AG643" s="50" t="n">
        <f aca="false">IF(AND(ISNUMBER($AE643),ISNUMBER($AF643),$AF643&gt;0),$AE643/$AF643,"")</f>
        <v>0.62537693931101</v>
      </c>
      <c r="AH643" s="48" t="n">
        <f aca="false">IF($U643&gt;=5,SUM(INDEX($AD$613:$AD643,32-5):$AD643),"")</f>
        <v>-67824065075</v>
      </c>
      <c r="AI643" s="48" t="n">
        <f aca="false">IF($U643&gt;=STRUCT_S,MAX(INDEX($G$493:$G643,152-STRUCT_S):$G643),"")</f>
        <v>4410</v>
      </c>
      <c r="AJ643" s="48" t="n">
        <f aca="false">IF($U643&gt;=STRUCT_S,MIN(INDEX($H$493:$H643,152-STRUCT_S):$H643),"")</f>
        <v>3793</v>
      </c>
      <c r="AK643" s="48" t="n">
        <f aca="false">IF($U643&gt;=STRUCT_L,MAX(INDEX($G$393:$G643,252-STRUCT_L):$G643),"")</f>
        <v>4410</v>
      </c>
      <c r="AL643" s="48" t="n">
        <f aca="false">IF($U643&gt;=STRUCT_L,MIN(INDEX($H$393:$H643,252-STRUCT_L):$H643),"")</f>
        <v>3236</v>
      </c>
      <c r="AM643" s="46" t="n">
        <f aca="false">IF($A643&lt;&gt;$A644,1,0)</f>
        <v>0</v>
      </c>
      <c r="AN643" s="47" t="str">
        <f aca="false">IF($AM643=1,$A643,"")</f>
        <v/>
      </c>
    </row>
    <row r="644" customFormat="false" ht="15" hidden="false" customHeight="false" outlineLevel="0" collapsed="false">
      <c r="A644" s="43" t="s">
        <v>142</v>
      </c>
      <c r="B644" s="44" t="s">
        <v>144</v>
      </c>
      <c r="C644" s="45" t="n">
        <v>46071</v>
      </c>
      <c r="D644" s="46" t="n">
        <v>20260218</v>
      </c>
      <c r="E644" s="47" t="s">
        <v>407</v>
      </c>
      <c r="F644" s="48" t="n">
        <v>3908</v>
      </c>
      <c r="G644" s="48" t="n">
        <v>4012</v>
      </c>
      <c r="H644" s="48" t="n">
        <v>3850</v>
      </c>
      <c r="I644" s="48" t="n">
        <v>3916</v>
      </c>
      <c r="J644" s="48" t="n">
        <v>3881</v>
      </c>
      <c r="K644" s="48" t="n">
        <v>3946</v>
      </c>
      <c r="L644" s="48" t="n">
        <v>52309542</v>
      </c>
      <c r="M644" s="48" t="n">
        <v>204844166472</v>
      </c>
      <c r="N644" s="48" t="n">
        <v>1851</v>
      </c>
      <c r="O644" s="48" t="n">
        <v>20235860</v>
      </c>
      <c r="P644" s="48" t="n">
        <v>31162093</v>
      </c>
      <c r="Q644" s="48" t="n">
        <v>766</v>
      </c>
      <c r="R644" s="48" t="n">
        <v>557</v>
      </c>
      <c r="S644" s="48" t="n">
        <v>32073682</v>
      </c>
      <c r="T644" s="48" t="n">
        <v>21147449</v>
      </c>
      <c r="U644" s="46" t="n">
        <f aca="false">IF($A644=$A643,$U643+1,1)</f>
        <v>120</v>
      </c>
      <c r="V644" s="48" t="n">
        <f aca="false">IF($U644&gt;=MA_SHORT,AVERAGE(INDEX($I$244:$I644,402-MA_SHORT):$I644),"")</f>
        <v>4130.55</v>
      </c>
      <c r="W644" s="48" t="n">
        <f aca="false">IF($U644&gt;=MA_MED,AVERAGE(INDEX($I$244:$I644,402-MA_MED):$I644),"")</f>
        <v>3905.46</v>
      </c>
      <c r="X644" s="48" t="n">
        <f aca="false">IF($U644&gt;=MA_LONG1,AVERAGE(INDEX($I$244:$I644,402-MA_LONG1):$I644),"")</f>
        <v>3683.52</v>
      </c>
      <c r="Y644" s="48" t="str">
        <f aca="false">IF($U644&gt;=MA_LONG2,AVERAGE(INDEX($I$244:$I644,402-MA_LONG2):$I644),"")</f>
        <v/>
      </c>
      <c r="Z644" s="48" t="n">
        <f aca="false">IF($U644&gt;=MA_SHORT,AVERAGE(INDEX($L$524:$L644,122-MA_SHORT):$L644),"")</f>
        <v>62119772</v>
      </c>
      <c r="AA644" s="48" t="n">
        <f aca="false">IF($U644=1,$G644-$H644,MAX($G644-$H644,ABS($G644-$I643),ABS($H644-$I643)))</f>
        <v>162</v>
      </c>
      <c r="AB644" s="48" t="n">
        <f aca="false">IF($U644&gt;=ATR_PER,AVERAGE(INDEX($AA$524:$AA644,122-ATR_PER):$AA644),"")</f>
        <v>184.071428571429</v>
      </c>
      <c r="AC644" s="48" t="n">
        <f aca="false">$O644-$P644</f>
        <v>-10926233</v>
      </c>
      <c r="AD644" s="48" t="n">
        <f aca="false">$AC644*$I644</f>
        <v>-42787128428</v>
      </c>
      <c r="AE644" s="49" t="n">
        <f aca="false">IF($Q644&gt;0,$O644*$I644/$Q644/1000000,"")</f>
        <v>103.451211174935</v>
      </c>
      <c r="AF644" s="49" t="n">
        <f aca="false">IF($R644&gt;0,$P644*$I644/$R644/1000000,"")</f>
        <v>219.085738219031</v>
      </c>
      <c r="AG644" s="50" t="n">
        <f aca="false">IF(AND(ISNUMBER($AE644),ISNUMBER($AF644),$AF644&gt;0),$AE644/$AF644,"")</f>
        <v>0.472195095928652</v>
      </c>
      <c r="AH644" s="48" t="n">
        <f aca="false">IF($U644&gt;=5,SUM(INDEX($AD$614:$AD644,32-5):$AD644),"")</f>
        <v>-62788484918</v>
      </c>
      <c r="AI644" s="48" t="n">
        <f aca="false">IF($U644&gt;=STRUCT_S,MAX(INDEX($G$494:$G644,152-STRUCT_S):$G644),"")</f>
        <v>4410</v>
      </c>
      <c r="AJ644" s="48" t="n">
        <f aca="false">IF($U644&gt;=STRUCT_S,MIN(INDEX($H$494:$H644,152-STRUCT_S):$H644),"")</f>
        <v>3793</v>
      </c>
      <c r="AK644" s="48" t="n">
        <f aca="false">IF($U644&gt;=STRUCT_L,MAX(INDEX($G$394:$G644,252-STRUCT_L):$G644),"")</f>
        <v>4410</v>
      </c>
      <c r="AL644" s="48" t="n">
        <f aca="false">IF($U644&gt;=STRUCT_L,MIN(INDEX($H$394:$H644,252-STRUCT_L):$H644),"")</f>
        <v>3238</v>
      </c>
      <c r="AM644" s="46" t="n">
        <f aca="false">IF($A644&lt;&gt;$A645,1,0)</f>
        <v>0</v>
      </c>
      <c r="AN644" s="47" t="str">
        <f aca="false">IF($AM644=1,$A644,"")</f>
        <v/>
      </c>
    </row>
    <row r="645" customFormat="false" ht="15" hidden="false" customHeight="false" outlineLevel="0" collapsed="false">
      <c r="A645" s="43" t="s">
        <v>142</v>
      </c>
      <c r="B645" s="44" t="s">
        <v>144</v>
      </c>
      <c r="C645" s="45" t="n">
        <v>46074</v>
      </c>
      <c r="D645" s="46" t="n">
        <v>20260221</v>
      </c>
      <c r="E645" s="47" t="s">
        <v>408</v>
      </c>
      <c r="F645" s="48" t="n">
        <v>4052</v>
      </c>
      <c r="G645" s="48" t="n">
        <v>4108</v>
      </c>
      <c r="H645" s="48" t="n">
        <v>3778</v>
      </c>
      <c r="I645" s="48" t="n">
        <v>3968</v>
      </c>
      <c r="J645" s="48" t="n">
        <v>3837</v>
      </c>
      <c r="K645" s="48" t="n">
        <v>3916</v>
      </c>
      <c r="L645" s="48" t="n">
        <v>97037425</v>
      </c>
      <c r="M645" s="48" t="n">
        <v>385044502400</v>
      </c>
      <c r="N645" s="48" t="n">
        <v>7286</v>
      </c>
      <c r="O645" s="48" t="n">
        <v>55050861</v>
      </c>
      <c r="P645" s="48" t="n">
        <v>42167122</v>
      </c>
      <c r="Q645" s="48" t="n">
        <v>3510</v>
      </c>
      <c r="R645" s="48" t="n">
        <v>2511</v>
      </c>
      <c r="S645" s="48" t="n">
        <v>41986564</v>
      </c>
      <c r="T645" s="48" t="n">
        <v>54870303</v>
      </c>
      <c r="U645" s="46" t="n">
        <f aca="false">IF($A645=$A644,$U644+1,1)</f>
        <v>121</v>
      </c>
      <c r="V645" s="48" t="n">
        <f aca="false">IF($U645&gt;=MA_SHORT,AVERAGE(INDEX($I$245:$I645,402-MA_SHORT):$I645),"")</f>
        <v>4119.65</v>
      </c>
      <c r="W645" s="48" t="n">
        <f aca="false">IF($U645&gt;=MA_MED,AVERAGE(INDEX($I$245:$I645,402-MA_MED):$I645),"")</f>
        <v>3915.46</v>
      </c>
      <c r="X645" s="48" t="n">
        <f aca="false">IF($U645&gt;=MA_LONG1,AVERAGE(INDEX($I$245:$I645,402-MA_LONG1):$I645),"")</f>
        <v>3688.7</v>
      </c>
      <c r="Y645" s="48" t="str">
        <f aca="false">IF($U645&gt;=MA_LONG2,AVERAGE(INDEX($I$245:$I645,402-MA_LONG2):$I645),"")</f>
        <v/>
      </c>
      <c r="Z645" s="48" t="n">
        <f aca="false">IF($U645&gt;=MA_SHORT,AVERAGE(INDEX($L$525:$L645,122-MA_SHORT):$L645),"")</f>
        <v>63342339.1</v>
      </c>
      <c r="AA645" s="48" t="n">
        <f aca="false">IF($U645=1,$G645-$H645,MAX($G645-$H645,ABS($G645-$I644),ABS($H645-$I644)))</f>
        <v>330</v>
      </c>
      <c r="AB645" s="48" t="n">
        <f aca="false">IF($U645&gt;=ATR_PER,AVERAGE(INDEX($AA$525:$AA645,122-ATR_PER):$AA645),"")</f>
        <v>192.5</v>
      </c>
      <c r="AC645" s="48" t="n">
        <f aca="false">$O645-$P645</f>
        <v>12883739</v>
      </c>
      <c r="AD645" s="48" t="n">
        <f aca="false">$AC645*$I645</f>
        <v>51122676352</v>
      </c>
      <c r="AE645" s="49" t="n">
        <f aca="false">IF($Q645&gt;0,$O645*$I645/$Q645/1000000,"")</f>
        <v>62.2341357401709</v>
      </c>
      <c r="AF645" s="49" t="n">
        <f aca="false">IF($R645&gt;0,$P645*$I645/$R645/1000000,"")</f>
        <v>66.6344643950617</v>
      </c>
      <c r="AG645" s="50" t="n">
        <f aca="false">IF(AND(ISNUMBER($AE645),ISNUMBER($AF645),$AF645&gt;0),$AE645/$AF645,"")</f>
        <v>0.933963172138637</v>
      </c>
      <c r="AH645" s="48" t="n">
        <f aca="false">IF($U645&gt;=5,SUM(INDEX($AD$615:$AD645,32-5):$AD645),"")</f>
        <v>26297250509</v>
      </c>
      <c r="AI645" s="48" t="n">
        <f aca="false">IF($U645&gt;=STRUCT_S,MAX(INDEX($G$495:$G645,152-STRUCT_S):$G645),"")</f>
        <v>4410</v>
      </c>
      <c r="AJ645" s="48" t="n">
        <f aca="false">IF($U645&gt;=STRUCT_S,MIN(INDEX($H$495:$H645,152-STRUCT_S):$H645),"")</f>
        <v>3778</v>
      </c>
      <c r="AK645" s="48" t="n">
        <f aca="false">IF($U645&gt;=STRUCT_L,MAX(INDEX($G$395:$G645,252-STRUCT_L):$G645),"")</f>
        <v>4410</v>
      </c>
      <c r="AL645" s="48" t="n">
        <f aca="false">IF($U645&gt;=STRUCT_L,MIN(INDEX($H$395:$H645,252-STRUCT_L):$H645),"")</f>
        <v>3238</v>
      </c>
      <c r="AM645" s="46" t="n">
        <f aca="false">IF($A645&lt;&gt;$A646,1,0)</f>
        <v>0</v>
      </c>
      <c r="AN645" s="47" t="str">
        <f aca="false">IF($AM645=1,$A645,"")</f>
        <v/>
      </c>
    </row>
    <row r="646" customFormat="false" ht="15" hidden="false" customHeight="false" outlineLevel="0" collapsed="false">
      <c r="A646" s="43" t="s">
        <v>142</v>
      </c>
      <c r="B646" s="44" t="s">
        <v>144</v>
      </c>
      <c r="C646" s="45" t="n">
        <v>46075</v>
      </c>
      <c r="D646" s="46" t="n">
        <v>20260222</v>
      </c>
      <c r="E646" s="47" t="s">
        <v>409</v>
      </c>
      <c r="F646" s="48" t="n">
        <v>3974</v>
      </c>
      <c r="G646" s="48" t="n">
        <v>4168</v>
      </c>
      <c r="H646" s="48" t="n">
        <v>3858</v>
      </c>
      <c r="I646" s="48" t="n">
        <v>4056</v>
      </c>
      <c r="J646" s="48" t="n">
        <v>4084</v>
      </c>
      <c r="K646" s="48" t="n">
        <v>3968</v>
      </c>
      <c r="L646" s="48" t="n">
        <v>56684381</v>
      </c>
      <c r="M646" s="48" t="n">
        <v>229911849336</v>
      </c>
      <c r="N646" s="48" t="n">
        <v>3189</v>
      </c>
      <c r="O646" s="48" t="n">
        <v>37528778</v>
      </c>
      <c r="P646" s="48" t="n">
        <v>16505180</v>
      </c>
      <c r="Q646" s="48" t="n">
        <v>1183</v>
      </c>
      <c r="R646" s="48" t="n">
        <v>1309</v>
      </c>
      <c r="S646" s="48" t="n">
        <v>19155603</v>
      </c>
      <c r="T646" s="48" t="n">
        <v>40179201</v>
      </c>
      <c r="U646" s="46" t="n">
        <f aca="false">IF($A646=$A645,$U645+1,1)</f>
        <v>122</v>
      </c>
      <c r="V646" s="48" t="n">
        <f aca="false">IF($U646&gt;=MA_SHORT,AVERAGE(INDEX($I$246:$I646,402-MA_SHORT):$I646),"")</f>
        <v>4113.35</v>
      </c>
      <c r="W646" s="48" t="n">
        <f aca="false">IF($U646&gt;=MA_MED,AVERAGE(INDEX($I$246:$I646,402-MA_MED):$I646),"")</f>
        <v>3927.44</v>
      </c>
      <c r="X646" s="48" t="n">
        <f aca="false">IF($U646&gt;=MA_LONG1,AVERAGE(INDEX($I$246:$I646,402-MA_LONG1):$I646),"")</f>
        <v>3694.94</v>
      </c>
      <c r="Y646" s="48" t="str">
        <f aca="false">IF($U646&gt;=MA_LONG2,AVERAGE(INDEX($I$246:$I646,402-MA_LONG2):$I646),"")</f>
        <v/>
      </c>
      <c r="Z646" s="48" t="n">
        <f aca="false">IF($U646&gt;=MA_SHORT,AVERAGE(INDEX($L$526:$L646,122-MA_SHORT):$L646),"")</f>
        <v>63660841.95</v>
      </c>
      <c r="AA646" s="48" t="n">
        <f aca="false">IF($U646=1,$G646-$H646,MAX($G646-$H646,ABS($G646-$I645),ABS($H646-$I645)))</f>
        <v>310</v>
      </c>
      <c r="AB646" s="48" t="n">
        <f aca="false">IF($U646&gt;=ATR_PER,AVERAGE(INDEX($AA$526:$AA646,122-ATR_PER):$AA646),"")</f>
        <v>200.785714285714</v>
      </c>
      <c r="AC646" s="48" t="n">
        <f aca="false">$O646-$P646</f>
        <v>21023598</v>
      </c>
      <c r="AD646" s="48" t="n">
        <f aca="false">$AC646*$I646</f>
        <v>85271713488</v>
      </c>
      <c r="AE646" s="49" t="n">
        <f aca="false">IF($Q646&gt;0,$O646*$I646/$Q646/1000000,"")</f>
        <v>128.670096</v>
      </c>
      <c r="AF646" s="49" t="n">
        <f aca="false">IF($R646&gt;0,$P646*$I646/$R646/1000000,"")</f>
        <v>51.1421009014515</v>
      </c>
      <c r="AG646" s="50" t="n">
        <f aca="false">IF(AND(ISNUMBER($AE646),ISNUMBER($AF646),$AF646&gt;0),$AE646/$AF646,"")</f>
        <v>2.5159329345492</v>
      </c>
      <c r="AH646" s="48" t="n">
        <f aca="false">IF($U646&gt;=5,SUM(INDEX($AD$616:$AD646,32-5):$AD646),"")</f>
        <v>143312106593</v>
      </c>
      <c r="AI646" s="48" t="n">
        <f aca="false">IF($U646&gt;=STRUCT_S,MAX(INDEX($G$496:$G646,152-STRUCT_S):$G646),"")</f>
        <v>4410</v>
      </c>
      <c r="AJ646" s="48" t="n">
        <f aca="false">IF($U646&gt;=STRUCT_S,MIN(INDEX($H$496:$H646,152-STRUCT_S):$H646),"")</f>
        <v>3778</v>
      </c>
      <c r="AK646" s="48" t="n">
        <f aca="false">IF($U646&gt;=STRUCT_L,MAX(INDEX($G$396:$G646,252-STRUCT_L):$G646),"")</f>
        <v>4410</v>
      </c>
      <c r="AL646" s="48" t="n">
        <f aca="false">IF($U646&gt;=STRUCT_L,MIN(INDEX($H$396:$H646,252-STRUCT_L):$H646),"")</f>
        <v>3238</v>
      </c>
      <c r="AM646" s="46" t="n">
        <f aca="false">IF($A646&lt;&gt;$A647,1,0)</f>
        <v>0</v>
      </c>
      <c r="AN646" s="47" t="str">
        <f aca="false">IF($AM646=1,$A646,"")</f>
        <v/>
      </c>
    </row>
    <row r="647" customFormat="false" ht="15" hidden="false" customHeight="false" outlineLevel="0" collapsed="false">
      <c r="A647" s="43" t="s">
        <v>142</v>
      </c>
      <c r="B647" s="44" t="s">
        <v>144</v>
      </c>
      <c r="C647" s="45" t="n">
        <v>46076</v>
      </c>
      <c r="D647" s="46" t="n">
        <v>20260223</v>
      </c>
      <c r="E647" s="47" t="s">
        <v>410</v>
      </c>
      <c r="F647" s="48" t="n">
        <v>4053</v>
      </c>
      <c r="G647" s="48" t="n">
        <v>4095</v>
      </c>
      <c r="H647" s="48" t="n">
        <v>3990</v>
      </c>
      <c r="I647" s="48" t="n">
        <v>4029</v>
      </c>
      <c r="J647" s="48" t="n">
        <v>4012</v>
      </c>
      <c r="K647" s="48" t="n">
        <v>4056</v>
      </c>
      <c r="L647" s="48" t="n">
        <v>52025636</v>
      </c>
      <c r="M647" s="48" t="n">
        <v>209611287444</v>
      </c>
      <c r="N647" s="48" t="n">
        <v>2166</v>
      </c>
      <c r="O647" s="48" t="n">
        <v>29628934</v>
      </c>
      <c r="P647" s="48" t="n">
        <v>19293171</v>
      </c>
      <c r="Q647" s="48" t="n">
        <v>945</v>
      </c>
      <c r="R647" s="48" t="n">
        <v>647</v>
      </c>
      <c r="S647" s="48" t="n">
        <v>22396702</v>
      </c>
      <c r="T647" s="48" t="n">
        <v>32732465</v>
      </c>
      <c r="U647" s="46" t="n">
        <f aca="false">IF($A647=$A646,$U646+1,1)</f>
        <v>123</v>
      </c>
      <c r="V647" s="48" t="n">
        <f aca="false">IF($U647&gt;=MA_SHORT,AVERAGE(INDEX($I$247:$I647,402-MA_SHORT):$I647),"")</f>
        <v>4101.1</v>
      </c>
      <c r="W647" s="48" t="n">
        <f aca="false">IF($U647&gt;=MA_MED,AVERAGE(INDEX($I$247:$I647,402-MA_MED):$I647),"")</f>
        <v>3941.1</v>
      </c>
      <c r="X647" s="48" t="n">
        <f aca="false">IF($U647&gt;=MA_LONG1,AVERAGE(INDEX($I$247:$I647,402-MA_LONG1):$I647),"")</f>
        <v>3700.99</v>
      </c>
      <c r="Y647" s="48" t="str">
        <f aca="false">IF($U647&gt;=MA_LONG2,AVERAGE(INDEX($I$247:$I647,402-MA_LONG2):$I647),"")</f>
        <v/>
      </c>
      <c r="Z647" s="48" t="n">
        <f aca="false">IF($U647&gt;=MA_SHORT,AVERAGE(INDEX($L$527:$L647,122-MA_SHORT):$L647),"")</f>
        <v>62724507.15</v>
      </c>
      <c r="AA647" s="48" t="n">
        <f aca="false">IF($U647=1,$G647-$H647,MAX($G647-$H647,ABS($G647-$I646),ABS($H647-$I646)))</f>
        <v>105</v>
      </c>
      <c r="AB647" s="48" t="n">
        <f aca="false">IF($U647&gt;=ATR_PER,AVERAGE(INDEX($AA$527:$AA647,122-ATR_PER):$AA647),"")</f>
        <v>193.357142857143</v>
      </c>
      <c r="AC647" s="48" t="n">
        <f aca="false">$O647-$P647</f>
        <v>10335763</v>
      </c>
      <c r="AD647" s="48" t="n">
        <f aca="false">$AC647*$I647</f>
        <v>41642789127</v>
      </c>
      <c r="AE647" s="49" t="n">
        <f aca="false">IF($Q647&gt;0,$O647*$I647/$Q647/1000000,"")</f>
        <v>126.32272495873</v>
      </c>
      <c r="AF647" s="49" t="n">
        <f aca="false">IF($R647&gt;0,$P647*$I647/$R647/1000000,"")</f>
        <v>120.142482162287</v>
      </c>
      <c r="AG647" s="50" t="n">
        <f aca="false">IF(AND(ISNUMBER($AE647),ISNUMBER($AF647),$AF647&gt;0),$AE647/$AF647,"")</f>
        <v>1.05144094482828</v>
      </c>
      <c r="AH647" s="48" t="n">
        <f aca="false">IF($U647&gt;=5,SUM(INDEX($AD$617:$AD647,32-5):$AD647),"")</f>
        <v>117833692935</v>
      </c>
      <c r="AI647" s="48" t="n">
        <f aca="false">IF($U647&gt;=STRUCT_S,MAX(INDEX($G$497:$G647,152-STRUCT_S):$G647),"")</f>
        <v>4410</v>
      </c>
      <c r="AJ647" s="48" t="n">
        <f aca="false">IF($U647&gt;=STRUCT_S,MIN(INDEX($H$497:$H647,152-STRUCT_S):$H647),"")</f>
        <v>3778</v>
      </c>
      <c r="AK647" s="48" t="n">
        <f aca="false">IF($U647&gt;=STRUCT_L,MAX(INDEX($G$397:$G647,252-STRUCT_L):$G647),"")</f>
        <v>4410</v>
      </c>
      <c r="AL647" s="48" t="n">
        <f aca="false">IF($U647&gt;=STRUCT_L,MIN(INDEX($H$397:$H647,252-STRUCT_L):$H647),"")</f>
        <v>3238</v>
      </c>
      <c r="AM647" s="46" t="n">
        <f aca="false">IF($A647&lt;&gt;$A648,1,0)</f>
        <v>0</v>
      </c>
      <c r="AN647" s="47" t="str">
        <f aca="false">IF($AM647=1,$A647,"")</f>
        <v/>
      </c>
    </row>
    <row r="648" customFormat="false" ht="15" hidden="false" customHeight="false" outlineLevel="0" collapsed="false">
      <c r="A648" s="43" t="s">
        <v>142</v>
      </c>
      <c r="B648" s="44" t="s">
        <v>144</v>
      </c>
      <c r="C648" s="45" t="n">
        <v>46077</v>
      </c>
      <c r="D648" s="46" t="n">
        <v>20260224</v>
      </c>
      <c r="E648" s="47" t="s">
        <v>411</v>
      </c>
      <c r="F648" s="48" t="n">
        <v>4010</v>
      </c>
      <c r="G648" s="48" t="n">
        <v>4136</v>
      </c>
      <c r="H648" s="48" t="n">
        <v>3978</v>
      </c>
      <c r="I648" s="48" t="n">
        <v>4084</v>
      </c>
      <c r="J648" s="48" t="n">
        <v>4069</v>
      </c>
      <c r="K648" s="48" t="n">
        <v>4029</v>
      </c>
      <c r="L648" s="48" t="n">
        <v>54125058</v>
      </c>
      <c r="M648" s="48" t="n">
        <v>221046736872</v>
      </c>
      <c r="N648" s="48" t="n">
        <v>2100</v>
      </c>
      <c r="O648" s="48" t="n">
        <v>32577680</v>
      </c>
      <c r="P648" s="48" t="n">
        <v>20524483</v>
      </c>
      <c r="Q648" s="48" t="n">
        <v>585</v>
      </c>
      <c r="R648" s="48" t="n">
        <v>1230</v>
      </c>
      <c r="S648" s="48" t="n">
        <v>21547378</v>
      </c>
      <c r="T648" s="48" t="n">
        <v>33600575</v>
      </c>
      <c r="U648" s="46" t="n">
        <f aca="false">IF($A648=$A647,$U647+1,1)</f>
        <v>124</v>
      </c>
      <c r="V648" s="48" t="n">
        <f aca="false">IF($U648&gt;=MA_SHORT,AVERAGE(INDEX($I$248:$I648,402-MA_SHORT):$I648),"")</f>
        <v>4089.85</v>
      </c>
      <c r="W648" s="48" t="n">
        <f aca="false">IF($U648&gt;=MA_MED,AVERAGE(INDEX($I$248:$I648,402-MA_MED):$I648),"")</f>
        <v>3954.54</v>
      </c>
      <c r="X648" s="48" t="n">
        <f aca="false">IF($U648&gt;=MA_LONG1,AVERAGE(INDEX($I$248:$I648,402-MA_LONG1):$I648),"")</f>
        <v>3708.01</v>
      </c>
      <c r="Y648" s="48" t="str">
        <f aca="false">IF($U648&gt;=MA_LONG2,AVERAGE(INDEX($I$248:$I648,402-MA_LONG2):$I648),"")</f>
        <v/>
      </c>
      <c r="Z648" s="48" t="n">
        <f aca="false">IF($U648&gt;=MA_SHORT,AVERAGE(INDEX($L$528:$L648,122-MA_SHORT):$L648),"")</f>
        <v>61795132.5</v>
      </c>
      <c r="AA648" s="48" t="n">
        <f aca="false">IF($U648=1,$G648-$H648,MAX($G648-$H648,ABS($G648-$I647),ABS($H648-$I647)))</f>
        <v>158</v>
      </c>
      <c r="AB648" s="48" t="n">
        <f aca="false">IF($U648&gt;=ATR_PER,AVERAGE(INDEX($AA$528:$AA648,122-ATR_PER):$AA648),"")</f>
        <v>190.5</v>
      </c>
      <c r="AC648" s="48" t="n">
        <f aca="false">$O648-$P648</f>
        <v>12053197</v>
      </c>
      <c r="AD648" s="48" t="n">
        <f aca="false">$AC648*$I648</f>
        <v>49225256548</v>
      </c>
      <c r="AE648" s="49" t="n">
        <f aca="false">IF($Q648&gt;0,$O648*$I648/$Q648/1000000,"")</f>
        <v>227.431188239316</v>
      </c>
      <c r="AF648" s="49" t="n">
        <f aca="false">IF($R648&gt;0,$P648*$I648/$R648/1000000,"")</f>
        <v>68.1479581886179</v>
      </c>
      <c r="AG648" s="50" t="n">
        <f aca="false">IF(AND(ISNUMBER($AE648),ISNUMBER($AF648),$AF648&gt;0),$AE648/$AF648,"")</f>
        <v>3.33731478219551</v>
      </c>
      <c r="AH648" s="48" t="n">
        <f aca="false">IF($U648&gt;=5,SUM(INDEX($AD$618:$AD648,32-5):$AD648),"")</f>
        <v>184475307087</v>
      </c>
      <c r="AI648" s="48" t="n">
        <f aca="false">IF($U648&gt;=STRUCT_S,MAX(INDEX($G$498:$G648,152-STRUCT_S):$G648),"")</f>
        <v>4410</v>
      </c>
      <c r="AJ648" s="48" t="n">
        <f aca="false">IF($U648&gt;=STRUCT_S,MIN(INDEX($H$498:$H648,152-STRUCT_S):$H648),"")</f>
        <v>3778</v>
      </c>
      <c r="AK648" s="48" t="n">
        <f aca="false">IF($U648&gt;=STRUCT_L,MAX(INDEX($G$398:$G648,252-STRUCT_L):$G648),"")</f>
        <v>4410</v>
      </c>
      <c r="AL648" s="48" t="n">
        <f aca="false">IF($U648&gt;=STRUCT_L,MIN(INDEX($H$398:$H648,252-STRUCT_L):$H648),"")</f>
        <v>3280</v>
      </c>
      <c r="AM648" s="46" t="n">
        <f aca="false">IF($A648&lt;&gt;$A649,1,0)</f>
        <v>0</v>
      </c>
      <c r="AN648" s="47" t="str">
        <f aca="false">IF($AM648=1,$A648,"")</f>
        <v/>
      </c>
    </row>
    <row r="649" customFormat="false" ht="15" hidden="false" customHeight="false" outlineLevel="0" collapsed="false">
      <c r="A649" s="43" t="s">
        <v>142</v>
      </c>
      <c r="B649" s="44" t="s">
        <v>144</v>
      </c>
      <c r="C649" s="45" t="n">
        <v>46078</v>
      </c>
      <c r="D649" s="46" t="n">
        <v>20260225</v>
      </c>
      <c r="E649" s="47" t="s">
        <v>412</v>
      </c>
      <c r="F649" s="48" t="n">
        <v>4076</v>
      </c>
      <c r="G649" s="48" t="n">
        <v>4195</v>
      </c>
      <c r="H649" s="48" t="n">
        <v>4026</v>
      </c>
      <c r="I649" s="48" t="n">
        <v>4136</v>
      </c>
      <c r="J649" s="48" t="n">
        <v>4119</v>
      </c>
      <c r="K649" s="48" t="n">
        <v>4084</v>
      </c>
      <c r="L649" s="48" t="n">
        <v>60755705</v>
      </c>
      <c r="M649" s="48" t="n">
        <v>251285595880</v>
      </c>
      <c r="N649" s="48" t="n">
        <v>3271</v>
      </c>
      <c r="O649" s="48" t="n">
        <v>35848936</v>
      </c>
      <c r="P649" s="48" t="n">
        <v>21262584</v>
      </c>
      <c r="Q649" s="48" t="n">
        <v>1021</v>
      </c>
      <c r="R649" s="48" t="n">
        <v>1153</v>
      </c>
      <c r="S649" s="48" t="n">
        <v>24906769</v>
      </c>
      <c r="T649" s="48" t="n">
        <v>39493121</v>
      </c>
      <c r="U649" s="46" t="n">
        <f aca="false">IF($A649=$A648,$U648+1,1)</f>
        <v>125</v>
      </c>
      <c r="V649" s="48" t="n">
        <f aca="false">IF($U649&gt;=MA_SHORT,AVERAGE(INDEX($I$249:$I649,402-MA_SHORT):$I649),"")</f>
        <v>4082.2</v>
      </c>
      <c r="W649" s="48" t="n">
        <f aca="false">IF($U649&gt;=MA_MED,AVERAGE(INDEX($I$249:$I649,402-MA_MED):$I649),"")</f>
        <v>3969.64</v>
      </c>
      <c r="X649" s="48" t="n">
        <f aca="false">IF($U649&gt;=MA_LONG1,AVERAGE(INDEX($I$249:$I649,402-MA_LONG1):$I649),"")</f>
        <v>3714.99</v>
      </c>
      <c r="Y649" s="48" t="str">
        <f aca="false">IF($U649&gt;=MA_LONG2,AVERAGE(INDEX($I$249:$I649,402-MA_LONG2):$I649),"")</f>
        <v/>
      </c>
      <c r="Z649" s="48" t="n">
        <f aca="false">IF($U649&gt;=MA_SHORT,AVERAGE(INDEX($L$529:$L649,122-MA_SHORT):$L649),"")</f>
        <v>62261882.9</v>
      </c>
      <c r="AA649" s="48" t="n">
        <f aca="false">IF($U649=1,$G649-$H649,MAX($G649-$H649,ABS($G649-$I648),ABS($H649-$I648)))</f>
        <v>169</v>
      </c>
      <c r="AB649" s="48" t="n">
        <f aca="false">IF($U649&gt;=ATR_PER,AVERAGE(INDEX($AA$529:$AA649,122-ATR_PER):$AA649),"")</f>
        <v>197.285714285714</v>
      </c>
      <c r="AC649" s="48" t="n">
        <f aca="false">$O649-$P649</f>
        <v>14586352</v>
      </c>
      <c r="AD649" s="48" t="n">
        <f aca="false">$AC649*$I649</f>
        <v>60329151872</v>
      </c>
      <c r="AE649" s="49" t="n">
        <f aca="false">IF($Q649&gt;0,$O649*$I649/$Q649/1000000,"")</f>
        <v>145.221546812929</v>
      </c>
      <c r="AF649" s="49" t="n">
        <f aca="false">IF($R649&gt;0,$P649*$I649/$R649/1000000,"")</f>
        <v>76.2723741751951</v>
      </c>
      <c r="AG649" s="50" t="n">
        <f aca="false">IF(AND(ISNUMBER($AE649),ISNUMBER($AF649),$AF649&gt;0),$AE649/$AF649,"")</f>
        <v>1.90398618613024</v>
      </c>
      <c r="AH649" s="48" t="n">
        <f aca="false">IF($U649&gt;=5,SUM(INDEX($AD$619:$AD649,32-5):$AD649),"")</f>
        <v>287591587387</v>
      </c>
      <c r="AI649" s="48" t="n">
        <f aca="false">IF($U649&gt;=STRUCT_S,MAX(INDEX($G$499:$G649,152-STRUCT_S):$G649),"")</f>
        <v>4410</v>
      </c>
      <c r="AJ649" s="48" t="n">
        <f aca="false">IF($U649&gt;=STRUCT_S,MIN(INDEX($H$499:$H649,152-STRUCT_S):$H649),"")</f>
        <v>3778</v>
      </c>
      <c r="AK649" s="48" t="n">
        <f aca="false">IF($U649&gt;=STRUCT_L,MAX(INDEX($G$399:$G649,252-STRUCT_L):$G649),"")</f>
        <v>4410</v>
      </c>
      <c r="AL649" s="48" t="n">
        <f aca="false">IF($U649&gt;=STRUCT_L,MIN(INDEX($H$399:$H649,252-STRUCT_L):$H649),"")</f>
        <v>3280</v>
      </c>
      <c r="AM649" s="46" t="n">
        <f aca="false">IF($A649&lt;&gt;$A650,1,0)</f>
        <v>0</v>
      </c>
      <c r="AN649" s="47" t="str">
        <f aca="false">IF($AM649=1,$A649,"")</f>
        <v/>
      </c>
    </row>
    <row r="650" customFormat="false" ht="15" hidden="false" customHeight="false" outlineLevel="0" collapsed="false">
      <c r="A650" s="43" t="s">
        <v>142</v>
      </c>
      <c r="B650" s="44" t="s">
        <v>144</v>
      </c>
      <c r="C650" s="45" t="n">
        <v>46081</v>
      </c>
      <c r="D650" s="46" t="n">
        <v>20260228</v>
      </c>
      <c r="E650" s="47" t="s">
        <v>413</v>
      </c>
      <c r="F650" s="48" t="n">
        <v>4181</v>
      </c>
      <c r="G650" s="48" t="n">
        <v>4182</v>
      </c>
      <c r="H650" s="48" t="n">
        <v>4056</v>
      </c>
      <c r="I650" s="48" t="n">
        <v>4101</v>
      </c>
      <c r="J650" s="48" t="n">
        <v>4076</v>
      </c>
      <c r="K650" s="48" t="n">
        <v>4136</v>
      </c>
      <c r="L650" s="48" t="n">
        <v>61910537</v>
      </c>
      <c r="M650" s="48" t="n">
        <v>253895112237</v>
      </c>
      <c r="N650" s="48" t="n">
        <v>5481</v>
      </c>
      <c r="O650" s="48" t="n">
        <v>31574012</v>
      </c>
      <c r="P650" s="48" t="n">
        <v>30045149</v>
      </c>
      <c r="Q650" s="48" t="n">
        <v>2592</v>
      </c>
      <c r="R650" s="48" t="n">
        <v>1745</v>
      </c>
      <c r="S650" s="48" t="n">
        <v>30336525</v>
      </c>
      <c r="T650" s="48" t="n">
        <v>31865388</v>
      </c>
      <c r="U650" s="46" t="n">
        <f aca="false">IF($A650=$A649,$U649+1,1)</f>
        <v>126</v>
      </c>
      <c r="V650" s="48" t="n">
        <f aca="false">IF($U650&gt;=MA_SHORT,AVERAGE(INDEX($I$250:$I650,402-MA_SHORT):$I650),"")</f>
        <v>4070.35</v>
      </c>
      <c r="W650" s="48" t="n">
        <f aca="false">IF($U650&gt;=MA_MED,AVERAGE(INDEX($I$250:$I650,402-MA_MED):$I650),"")</f>
        <v>3984</v>
      </c>
      <c r="X650" s="48" t="n">
        <f aca="false">IF($U650&gt;=MA_LONG1,AVERAGE(INDEX($I$250:$I650,402-MA_LONG1):$I650),"")</f>
        <v>3721.42</v>
      </c>
      <c r="Y650" s="48" t="str">
        <f aca="false">IF($U650&gt;=MA_LONG2,AVERAGE(INDEX($I$250:$I650,402-MA_LONG2):$I650),"")</f>
        <v/>
      </c>
      <c r="Z650" s="48" t="n">
        <f aca="false">IF($U650&gt;=MA_SHORT,AVERAGE(INDEX($L$530:$L650,122-MA_SHORT):$L650),"")</f>
        <v>61287275.95</v>
      </c>
      <c r="AA650" s="48" t="n">
        <f aca="false">IF($U650=1,$G650-$H650,MAX($G650-$H650,ABS($G650-$I649),ABS($H650-$I649)))</f>
        <v>126</v>
      </c>
      <c r="AB650" s="48" t="n">
        <f aca="false">IF($U650&gt;=ATR_PER,AVERAGE(INDEX($AA$530:$AA650,122-ATR_PER):$AA650),"")</f>
        <v>186.928571428571</v>
      </c>
      <c r="AC650" s="48" t="n">
        <f aca="false">$O650-$P650</f>
        <v>1528863</v>
      </c>
      <c r="AD650" s="48" t="n">
        <f aca="false">$AC650*$I650</f>
        <v>6269867163</v>
      </c>
      <c r="AE650" s="49" t="n">
        <f aca="false">IF($Q650&gt;0,$O650*$I650/$Q650/1000000,"")</f>
        <v>49.9556416712963</v>
      </c>
      <c r="AF650" s="49" t="n">
        <f aca="false">IF($R650&gt;0,$P650*$I650/$R650/1000000,"")</f>
        <v>70.6104046126075</v>
      </c>
      <c r="AG650" s="50" t="n">
        <f aca="false">IF(AND(ISNUMBER($AE650),ISNUMBER($AF650),$AF650&gt;0),$AE650/$AF650,"")</f>
        <v>0.707482727869495</v>
      </c>
      <c r="AH650" s="48" t="n">
        <f aca="false">IF($U650&gt;=5,SUM(INDEX($AD$620:$AD650,32-5):$AD650),"")</f>
        <v>242738778198</v>
      </c>
      <c r="AI650" s="48" t="n">
        <f aca="false">IF($U650&gt;=STRUCT_S,MAX(INDEX($G$500:$G650,152-STRUCT_S):$G650),"")</f>
        <v>4410</v>
      </c>
      <c r="AJ650" s="48" t="n">
        <f aca="false">IF($U650&gt;=STRUCT_S,MIN(INDEX($H$500:$H650,152-STRUCT_S):$H650),"")</f>
        <v>3778</v>
      </c>
      <c r="AK650" s="48" t="n">
        <f aca="false">IF($U650&gt;=STRUCT_L,MAX(INDEX($G$400:$G650,252-STRUCT_L):$G650),"")</f>
        <v>4410</v>
      </c>
      <c r="AL650" s="48" t="n">
        <f aca="false">IF($U650&gt;=STRUCT_L,MIN(INDEX($H$400:$H650,252-STRUCT_L):$H650),"")</f>
        <v>3280</v>
      </c>
      <c r="AM650" s="46" t="n">
        <f aca="false">IF($A650&lt;&gt;$A651,1,0)</f>
        <v>0</v>
      </c>
      <c r="AN650" s="47" t="str">
        <f aca="false">IF($AM650=1,$A650,"")</f>
        <v/>
      </c>
    </row>
    <row r="651" customFormat="false" ht="15" hidden="false" customHeight="false" outlineLevel="0" collapsed="false">
      <c r="A651" s="43" t="s">
        <v>142</v>
      </c>
      <c r="B651" s="44" t="s">
        <v>144</v>
      </c>
      <c r="C651" s="45" t="n">
        <v>46082</v>
      </c>
      <c r="D651" s="46" t="n">
        <v>20260301</v>
      </c>
      <c r="E651" s="47" t="s">
        <v>414</v>
      </c>
      <c r="F651" s="48" t="n">
        <v>4137</v>
      </c>
      <c r="G651" s="48" t="n">
        <v>4142</v>
      </c>
      <c r="H651" s="48" t="n">
        <v>4063</v>
      </c>
      <c r="I651" s="48" t="n">
        <v>4104</v>
      </c>
      <c r="J651" s="48" t="n">
        <v>4122</v>
      </c>
      <c r="K651" s="48" t="n">
        <v>4101</v>
      </c>
      <c r="L651" s="48" t="n">
        <v>67590715</v>
      </c>
      <c r="M651" s="48" t="n">
        <v>277392294360</v>
      </c>
      <c r="N651" s="48" t="n">
        <v>1862</v>
      </c>
      <c r="O651" s="48" t="n">
        <v>37167333</v>
      </c>
      <c r="P651" s="48" t="n">
        <v>32487971</v>
      </c>
      <c r="Q651" s="48" t="n">
        <v>678</v>
      </c>
      <c r="R651" s="48" t="n">
        <v>992</v>
      </c>
      <c r="S651" s="48" t="n">
        <v>30423382</v>
      </c>
      <c r="T651" s="48" t="n">
        <v>35102744</v>
      </c>
      <c r="U651" s="46" t="n">
        <f aca="false">IF($A651=$A650,$U650+1,1)</f>
        <v>127</v>
      </c>
      <c r="V651" s="48" t="n">
        <f aca="false">IF($U651&gt;=MA_SHORT,AVERAGE(INDEX($I$251:$I651,402-MA_SHORT):$I651),"")</f>
        <v>4062.1</v>
      </c>
      <c r="W651" s="48" t="n">
        <f aca="false">IF($U651&gt;=MA_MED,AVERAGE(INDEX($I$251:$I651,402-MA_MED):$I651),"")</f>
        <v>3996.34</v>
      </c>
      <c r="X651" s="48" t="n">
        <f aca="false">IF($U651&gt;=MA_LONG1,AVERAGE(INDEX($I$251:$I651,402-MA_LONG1):$I651),"")</f>
        <v>3727.45</v>
      </c>
      <c r="Y651" s="48" t="str">
        <f aca="false">IF($U651&gt;=MA_LONG2,AVERAGE(INDEX($I$251:$I651,402-MA_LONG2):$I651),"")</f>
        <v/>
      </c>
      <c r="Z651" s="48" t="n">
        <f aca="false">IF($U651&gt;=MA_SHORT,AVERAGE(INDEX($L$531:$L651,122-MA_SHORT):$L651),"")</f>
        <v>61926716.45</v>
      </c>
      <c r="AA651" s="48" t="n">
        <f aca="false">IF($U651=1,$G651-$H651,MAX($G651-$H651,ABS($G651-$I650),ABS($H651-$I650)))</f>
        <v>79</v>
      </c>
      <c r="AB651" s="48" t="n">
        <f aca="false">IF($U651&gt;=ATR_PER,AVERAGE(INDEX($AA$531:$AA651,122-ATR_PER):$AA651),"")</f>
        <v>179.714285714286</v>
      </c>
      <c r="AC651" s="48" t="n">
        <f aca="false">$O651-$P651</f>
        <v>4679362</v>
      </c>
      <c r="AD651" s="48" t="n">
        <f aca="false">$AC651*$I651</f>
        <v>19204101648</v>
      </c>
      <c r="AE651" s="49" t="n">
        <f aca="false">IF($Q651&gt;0,$O651*$I651/$Q651/1000000,"")</f>
        <v>224.977484707965</v>
      </c>
      <c r="AF651" s="49" t="n">
        <f aca="false">IF($R651&gt;0,$P651*$I651/$R651/1000000,"")</f>
        <v>134.405880024194</v>
      </c>
      <c r="AG651" s="50" t="n">
        <f aca="false">IF(AND(ISNUMBER($AE651),ISNUMBER($AF651),$AF651&gt;0),$AE651/$AF651,"")</f>
        <v>1.67386638640711</v>
      </c>
      <c r="AH651" s="48" t="n">
        <f aca="false">IF($U651&gt;=5,SUM(INDEX($AD$621:$AD651,32-5):$AD651),"")</f>
        <v>176671166358</v>
      </c>
      <c r="AI651" s="48" t="n">
        <f aca="false">IF($U651&gt;=STRUCT_S,MAX(INDEX($G$501:$G651,152-STRUCT_S):$G651),"")</f>
        <v>4342</v>
      </c>
      <c r="AJ651" s="48" t="n">
        <f aca="false">IF($U651&gt;=STRUCT_S,MIN(INDEX($H$501:$H651,152-STRUCT_S):$H651),"")</f>
        <v>3778</v>
      </c>
      <c r="AK651" s="48" t="n">
        <f aca="false">IF($U651&gt;=STRUCT_L,MAX(INDEX($G$401:$G651,252-STRUCT_L):$G651),"")</f>
        <v>4410</v>
      </c>
      <c r="AL651" s="48" t="n">
        <f aca="false">IF($U651&gt;=STRUCT_L,MIN(INDEX($H$401:$H651,252-STRUCT_L):$H651),"")</f>
        <v>3280</v>
      </c>
      <c r="AM651" s="46" t="n">
        <f aca="false">IF($A651&lt;&gt;$A652,1,0)</f>
        <v>0</v>
      </c>
      <c r="AN651" s="47" t="str">
        <f aca="false">IF($AM651=1,$A651,"")</f>
        <v/>
      </c>
    </row>
    <row r="652" customFormat="false" ht="15" hidden="false" customHeight="false" outlineLevel="0" collapsed="false">
      <c r="A652" s="43" t="s">
        <v>142</v>
      </c>
      <c r="B652" s="44" t="s">
        <v>144</v>
      </c>
      <c r="C652" s="45" t="n">
        <v>46083</v>
      </c>
      <c r="D652" s="46" t="n">
        <v>20260302</v>
      </c>
      <c r="E652" s="47" t="s">
        <v>415</v>
      </c>
      <c r="F652" s="48" t="n">
        <v>4088</v>
      </c>
      <c r="G652" s="48" t="n">
        <v>4157</v>
      </c>
      <c r="H652" s="48" t="n">
        <v>4065</v>
      </c>
      <c r="I652" s="48" t="n">
        <v>4118</v>
      </c>
      <c r="J652" s="48" t="n">
        <v>4091</v>
      </c>
      <c r="K652" s="48" t="n">
        <v>4104</v>
      </c>
      <c r="L652" s="48" t="n">
        <v>51051451</v>
      </c>
      <c r="M652" s="48" t="n">
        <v>210229875218</v>
      </c>
      <c r="N652" s="48" t="n">
        <v>2558</v>
      </c>
      <c r="O652" s="48" t="n">
        <v>33155748</v>
      </c>
      <c r="P652" s="48" t="n">
        <v>17583412</v>
      </c>
      <c r="Q652" s="48" t="n">
        <v>1136</v>
      </c>
      <c r="R652" s="48" t="n">
        <v>1463</v>
      </c>
      <c r="S652" s="48" t="n">
        <v>17895703</v>
      </c>
      <c r="T652" s="48" t="n">
        <v>33468039</v>
      </c>
      <c r="U652" s="46" t="n">
        <f aca="false">IF($A652=$A651,$U651+1,1)</f>
        <v>128</v>
      </c>
      <c r="V652" s="48" t="n">
        <f aca="false">IF($U652&gt;=MA_SHORT,AVERAGE(INDEX($I$252:$I652,402-MA_SHORT):$I652),"")</f>
        <v>4057.3</v>
      </c>
      <c r="W652" s="48" t="n">
        <f aca="false">IF($U652&gt;=MA_MED,AVERAGE(INDEX($I$252:$I652,402-MA_MED):$I652),"")</f>
        <v>4009.42</v>
      </c>
      <c r="X652" s="48" t="n">
        <f aca="false">IF($U652&gt;=MA_LONG1,AVERAGE(INDEX($I$252:$I652,402-MA_LONG1):$I652),"")</f>
        <v>3733.07</v>
      </c>
      <c r="Y652" s="48" t="str">
        <f aca="false">IF($U652&gt;=MA_LONG2,AVERAGE(INDEX($I$252:$I652,402-MA_LONG2):$I652),"")</f>
        <v/>
      </c>
      <c r="Z652" s="48" t="n">
        <f aca="false">IF($U652&gt;=MA_SHORT,AVERAGE(INDEX($L$532:$L652,122-MA_SHORT):$L652),"")</f>
        <v>60906484.35</v>
      </c>
      <c r="AA652" s="48" t="n">
        <f aca="false">IF($U652=1,$G652-$H652,MAX($G652-$H652,ABS($G652-$I651),ABS($H652-$I651)))</f>
        <v>92</v>
      </c>
      <c r="AB652" s="48" t="n">
        <f aca="false">IF($U652&gt;=ATR_PER,AVERAGE(INDEX($AA$532:$AA652,122-ATR_PER):$AA652),"")</f>
        <v>171.071428571429</v>
      </c>
      <c r="AC652" s="48" t="n">
        <f aca="false">$O652-$P652</f>
        <v>15572336</v>
      </c>
      <c r="AD652" s="48" t="n">
        <f aca="false">$AC652*$I652</f>
        <v>64126879648</v>
      </c>
      <c r="AE652" s="49" t="n">
        <f aca="false">IF($Q652&gt;0,$O652*$I652/$Q652/1000000,"")</f>
        <v>120.1895865</v>
      </c>
      <c r="AF652" s="49" t="n">
        <f aca="false">IF($R652&gt;0,$P652*$I652/$R652/1000000,"")</f>
        <v>49.4931583157895</v>
      </c>
      <c r="AG652" s="50" t="n">
        <f aca="false">IF(AND(ISNUMBER($AE652),ISNUMBER($AF652),$AF652&gt;0),$AE652/$AF652,"")</f>
        <v>2.42840809901713</v>
      </c>
      <c r="AH652" s="48" t="n">
        <f aca="false">IF($U652&gt;=5,SUM(INDEX($AD$622:$AD652,32-5):$AD652),"")</f>
        <v>199155256879</v>
      </c>
      <c r="AI652" s="48" t="n">
        <f aca="false">IF($U652&gt;=STRUCT_S,MAX(INDEX($G$502:$G652,152-STRUCT_S):$G652),"")</f>
        <v>4342</v>
      </c>
      <c r="AJ652" s="48" t="n">
        <f aca="false">IF($U652&gt;=STRUCT_S,MIN(INDEX($H$502:$H652,152-STRUCT_S):$H652),"")</f>
        <v>3778</v>
      </c>
      <c r="AK652" s="48" t="n">
        <f aca="false">IF($U652&gt;=STRUCT_L,MAX(INDEX($G$402:$G652,252-STRUCT_L):$G652),"")</f>
        <v>4410</v>
      </c>
      <c r="AL652" s="48" t="n">
        <f aca="false">IF($U652&gt;=STRUCT_L,MIN(INDEX($H$402:$H652,252-STRUCT_L):$H652),"")</f>
        <v>3280</v>
      </c>
      <c r="AM652" s="46" t="n">
        <f aca="false">IF($A652&lt;&gt;$A653,1,0)</f>
        <v>0</v>
      </c>
      <c r="AN652" s="47" t="str">
        <f aca="false">IF($AM652=1,$A652,"")</f>
        <v/>
      </c>
    </row>
    <row r="653" customFormat="false" ht="15" hidden="false" customHeight="false" outlineLevel="0" collapsed="false">
      <c r="A653" s="43" t="s">
        <v>142</v>
      </c>
      <c r="B653" s="44" t="s">
        <v>144</v>
      </c>
      <c r="C653" s="45" t="n">
        <v>46084</v>
      </c>
      <c r="D653" s="46" t="n">
        <v>20260303</v>
      </c>
      <c r="E653" s="47" t="s">
        <v>416</v>
      </c>
      <c r="F653" s="48" t="n">
        <v>4108</v>
      </c>
      <c r="G653" s="48" t="n">
        <v>4130</v>
      </c>
      <c r="H653" s="48" t="n">
        <v>4094</v>
      </c>
      <c r="I653" s="48" t="n">
        <v>4106</v>
      </c>
      <c r="J653" s="48" t="n">
        <v>4102</v>
      </c>
      <c r="K653" s="48" t="n">
        <v>4118</v>
      </c>
      <c r="L653" s="48" t="n">
        <v>50902188</v>
      </c>
      <c r="M653" s="48" t="n">
        <v>209004383928</v>
      </c>
      <c r="N653" s="48" t="n">
        <v>2123</v>
      </c>
      <c r="O653" s="48" t="n">
        <v>26690356</v>
      </c>
      <c r="P653" s="48" t="n">
        <v>23711477</v>
      </c>
      <c r="Q653" s="48" t="n">
        <v>990</v>
      </c>
      <c r="R653" s="48" t="n">
        <v>931</v>
      </c>
      <c r="S653" s="48" t="n">
        <v>24211832</v>
      </c>
      <c r="T653" s="48" t="n">
        <v>27190711</v>
      </c>
      <c r="U653" s="46" t="n">
        <f aca="false">IF($A653=$A652,$U652+1,1)</f>
        <v>129</v>
      </c>
      <c r="V653" s="48" t="n">
        <f aca="false">IF($U653&gt;=MA_SHORT,AVERAGE(INDEX($I$253:$I653,402-MA_SHORT):$I653),"")</f>
        <v>4057.55</v>
      </c>
      <c r="W653" s="48" t="n">
        <f aca="false">IF($U653&gt;=MA_MED,AVERAGE(INDEX($I$253:$I653,402-MA_MED):$I653),"")</f>
        <v>4021.32</v>
      </c>
      <c r="X653" s="48" t="n">
        <f aca="false">IF($U653&gt;=MA_LONG1,AVERAGE(INDEX($I$253:$I653,402-MA_LONG1):$I653),"")</f>
        <v>3738.65</v>
      </c>
      <c r="Y653" s="48" t="str">
        <f aca="false">IF($U653&gt;=MA_LONG2,AVERAGE(INDEX($I$253:$I653,402-MA_LONG2):$I653),"")</f>
        <v/>
      </c>
      <c r="Z653" s="48" t="n">
        <f aca="false">IF($U653&gt;=MA_SHORT,AVERAGE(INDEX($L$533:$L653,122-MA_SHORT):$L653),"")</f>
        <v>60547767.05</v>
      </c>
      <c r="AA653" s="48" t="n">
        <f aca="false">IF($U653=1,$G653-$H653,MAX($G653-$H653,ABS($G653-$I652),ABS($H653-$I652)))</f>
        <v>36</v>
      </c>
      <c r="AB653" s="48" t="n">
        <f aca="false">IF($U653&gt;=ATR_PER,AVERAGE(INDEX($AA$533:$AA653,122-ATR_PER):$AA653),"")</f>
        <v>154.571428571429</v>
      </c>
      <c r="AC653" s="48" t="n">
        <f aca="false">$O653-$P653</f>
        <v>2978879</v>
      </c>
      <c r="AD653" s="48" t="n">
        <f aca="false">$AC653*$I653</f>
        <v>12231277174</v>
      </c>
      <c r="AE653" s="49" t="n">
        <f aca="false">IF($Q653&gt;0,$O653*$I653/$Q653/1000000,"")</f>
        <v>110.697577511111</v>
      </c>
      <c r="AF653" s="49" t="n">
        <f aca="false">IF($R653&gt;0,$P653*$I653/$R653/1000000,"")</f>
        <v>104.574999529538</v>
      </c>
      <c r="AG653" s="50" t="n">
        <f aca="false">IF(AND(ISNUMBER($AE653),ISNUMBER($AF653),$AF653&gt;0),$AE653/$AF653,"")</f>
        <v>1.05854724369225</v>
      </c>
      <c r="AH653" s="48" t="n">
        <f aca="false">IF($U653&gt;=5,SUM(INDEX($AD$623:$AD653,32-5):$AD653),"")</f>
        <v>162161277505</v>
      </c>
      <c r="AI653" s="48" t="n">
        <f aca="false">IF($U653&gt;=STRUCT_S,MAX(INDEX($G$503:$G653,152-STRUCT_S):$G653),"")</f>
        <v>4342</v>
      </c>
      <c r="AJ653" s="48" t="n">
        <f aca="false">IF($U653&gt;=STRUCT_S,MIN(INDEX($H$503:$H653,152-STRUCT_S):$H653),"")</f>
        <v>3778</v>
      </c>
      <c r="AK653" s="48" t="n">
        <f aca="false">IF($U653&gt;=STRUCT_L,MAX(INDEX($G$403:$G653,252-STRUCT_L):$G653),"")</f>
        <v>4410</v>
      </c>
      <c r="AL653" s="48" t="n">
        <f aca="false">IF($U653&gt;=STRUCT_L,MIN(INDEX($H$403:$H653,252-STRUCT_L):$H653),"")</f>
        <v>3280</v>
      </c>
      <c r="AM653" s="46" t="n">
        <f aca="false">IF($A653&lt;&gt;$A654,1,0)</f>
        <v>0</v>
      </c>
      <c r="AN653" s="47" t="str">
        <f aca="false">IF($AM653=1,$A653,"")</f>
        <v/>
      </c>
    </row>
    <row r="654" customFormat="false" ht="15" hidden="false" customHeight="false" outlineLevel="0" collapsed="false">
      <c r="A654" s="43" t="s">
        <v>142</v>
      </c>
      <c r="B654" s="44" t="s">
        <v>144</v>
      </c>
      <c r="C654" s="45" t="n">
        <v>46085</v>
      </c>
      <c r="D654" s="46" t="n">
        <v>20260304</v>
      </c>
      <c r="E654" s="47" t="s">
        <v>417</v>
      </c>
      <c r="F654" s="48" t="n">
        <v>4108</v>
      </c>
      <c r="G654" s="48" t="n">
        <v>4122</v>
      </c>
      <c r="H654" s="48" t="n">
        <v>4058</v>
      </c>
      <c r="I654" s="48" t="n">
        <v>4074</v>
      </c>
      <c r="J654" s="48" t="n">
        <v>4080</v>
      </c>
      <c r="K654" s="48" t="n">
        <v>4106</v>
      </c>
      <c r="L654" s="48" t="n">
        <v>74676604</v>
      </c>
      <c r="M654" s="48" t="n">
        <v>304232484696</v>
      </c>
      <c r="N654" s="48" t="n">
        <v>2472</v>
      </c>
      <c r="O654" s="48" t="n">
        <v>32150576</v>
      </c>
      <c r="P654" s="48" t="n">
        <v>40658428</v>
      </c>
      <c r="Q654" s="48" t="n">
        <v>1416</v>
      </c>
      <c r="R654" s="48" t="n">
        <v>1199</v>
      </c>
      <c r="S654" s="48" t="n">
        <v>42526028</v>
      </c>
      <c r="T654" s="48" t="n">
        <v>34018176</v>
      </c>
      <c r="U654" s="46" t="n">
        <f aca="false">IF($A654=$A653,$U653+1,1)</f>
        <v>130</v>
      </c>
      <c r="V654" s="48" t="n">
        <f aca="false">IF($U654&gt;=MA_SHORT,AVERAGE(INDEX($I$254:$I654,402-MA_SHORT):$I654),"")</f>
        <v>4059.35</v>
      </c>
      <c r="W654" s="48" t="n">
        <f aca="false">IF($U654&gt;=MA_MED,AVERAGE(INDEX($I$254:$I654,402-MA_MED):$I654),"")</f>
        <v>4032.92</v>
      </c>
      <c r="X654" s="48" t="n">
        <f aca="false">IF($U654&gt;=MA_LONG1,AVERAGE(INDEX($I$254:$I654,402-MA_LONG1):$I654),"")</f>
        <v>3743.69</v>
      </c>
      <c r="Y654" s="48" t="str">
        <f aca="false">IF($U654&gt;=MA_LONG2,AVERAGE(INDEX($I$254:$I654,402-MA_LONG2):$I654),"")</f>
        <v/>
      </c>
      <c r="Z654" s="48" t="n">
        <f aca="false">IF($U654&gt;=MA_SHORT,AVERAGE(INDEX($L$534:$L654,122-MA_SHORT):$L654),"")</f>
        <v>61549664.1</v>
      </c>
      <c r="AA654" s="48" t="n">
        <f aca="false">IF($U654=1,$G654-$H654,MAX($G654-$H654,ABS($G654-$I653),ABS($H654-$I653)))</f>
        <v>64</v>
      </c>
      <c r="AB654" s="48" t="n">
        <f aca="false">IF($U654&gt;=ATR_PER,AVERAGE(INDEX($AA$534:$AA654,122-ATR_PER):$AA654),"")</f>
        <v>142.857142857143</v>
      </c>
      <c r="AC654" s="48" t="n">
        <f aca="false">$O654-$P654</f>
        <v>-8507852</v>
      </c>
      <c r="AD654" s="48" t="n">
        <f aca="false">$AC654*$I654</f>
        <v>-34660989048</v>
      </c>
      <c r="AE654" s="49" t="n">
        <f aca="false">IF($Q654&gt;0,$O654*$I654/$Q654/1000000,"")</f>
        <v>92.5010216271187</v>
      </c>
      <c r="AF654" s="49" t="n">
        <f aca="false">IF($R654&gt;0,$P654*$I654/$R654/1000000,"")</f>
        <v>138.150488467056</v>
      </c>
      <c r="AG654" s="50" t="n">
        <f aca="false">IF(AND(ISNUMBER($AE654),ISNUMBER($AF654),$AF654&gt;0),$AE654/$AF654,"")</f>
        <v>0.66956709783315</v>
      </c>
      <c r="AH654" s="48" t="n">
        <f aca="false">IF($U654&gt;=5,SUM(INDEX($AD$624:$AD654,32-5):$AD654),"")</f>
        <v>67171136585</v>
      </c>
      <c r="AI654" s="48" t="n">
        <f aca="false">IF($U654&gt;=STRUCT_S,MAX(INDEX($G$504:$G654,152-STRUCT_S):$G654),"")</f>
        <v>4342</v>
      </c>
      <c r="AJ654" s="48" t="n">
        <f aca="false">IF($U654&gt;=STRUCT_S,MIN(INDEX($H$504:$H654,152-STRUCT_S):$H654),"")</f>
        <v>3778</v>
      </c>
      <c r="AK654" s="48" t="n">
        <f aca="false">IF($U654&gt;=STRUCT_L,MAX(INDEX($G$404:$G654,252-STRUCT_L):$G654),"")</f>
        <v>4410</v>
      </c>
      <c r="AL654" s="48" t="n">
        <f aca="false">IF($U654&gt;=STRUCT_L,MIN(INDEX($H$404:$H654,252-STRUCT_L):$H654),"")</f>
        <v>3280</v>
      </c>
      <c r="AM654" s="46" t="n">
        <f aca="false">IF($A654&lt;&gt;$A655,1,0)</f>
        <v>0</v>
      </c>
      <c r="AN654" s="47" t="str">
        <f aca="false">IF($AM654=1,$A654,"")</f>
        <v/>
      </c>
    </row>
    <row r="655" customFormat="false" ht="15" hidden="false" customHeight="false" outlineLevel="0" collapsed="false">
      <c r="A655" s="43" t="s">
        <v>142</v>
      </c>
      <c r="B655" s="44" t="s">
        <v>144</v>
      </c>
      <c r="C655" s="45" t="n">
        <v>46088</v>
      </c>
      <c r="D655" s="46" t="n">
        <v>20260307</v>
      </c>
      <c r="E655" s="47" t="s">
        <v>418</v>
      </c>
      <c r="F655" s="48" t="n">
        <v>4051</v>
      </c>
      <c r="G655" s="48" t="n">
        <v>4137</v>
      </c>
      <c r="H655" s="48" t="n">
        <v>3921</v>
      </c>
      <c r="I655" s="48" t="n">
        <v>3982</v>
      </c>
      <c r="J655" s="48" t="n">
        <v>4049</v>
      </c>
      <c r="K655" s="48" t="n">
        <v>4074</v>
      </c>
      <c r="L655" s="48" t="n">
        <v>79844960</v>
      </c>
      <c r="M655" s="48" t="n">
        <v>317942630720</v>
      </c>
      <c r="N655" s="48" t="n">
        <v>3657</v>
      </c>
      <c r="O655" s="48" t="n">
        <v>38701050</v>
      </c>
      <c r="P655" s="48" t="n">
        <v>43799692</v>
      </c>
      <c r="Q655" s="48" t="n">
        <v>2146</v>
      </c>
      <c r="R655" s="48" t="n">
        <v>1034</v>
      </c>
      <c r="S655" s="48" t="n">
        <v>41143910</v>
      </c>
      <c r="T655" s="48" t="n">
        <v>36045268</v>
      </c>
      <c r="U655" s="46" t="n">
        <f aca="false">IF($A655=$A654,$U654+1,1)</f>
        <v>131</v>
      </c>
      <c r="V655" s="48" t="n">
        <f aca="false">IF($U655&gt;=MA_SHORT,AVERAGE(INDEX($I$255:$I655,402-MA_SHORT):$I655),"")</f>
        <v>4053.95</v>
      </c>
      <c r="W655" s="48" t="n">
        <f aca="false">IF($U655&gt;=MA_MED,AVERAGE(INDEX($I$255:$I655,402-MA_MED):$I655),"")</f>
        <v>4039.26</v>
      </c>
      <c r="X655" s="48" t="n">
        <f aca="false">IF($U655&gt;=MA_LONG1,AVERAGE(INDEX($I$255:$I655,402-MA_LONG1):$I655),"")</f>
        <v>3748.21</v>
      </c>
      <c r="Y655" s="48" t="str">
        <f aca="false">IF($U655&gt;=MA_LONG2,AVERAGE(INDEX($I$255:$I655,402-MA_LONG2):$I655),"")</f>
        <v/>
      </c>
      <c r="Z655" s="48" t="n">
        <f aca="false">IF($U655&gt;=MA_SHORT,AVERAGE(INDEX($L$535:$L655,122-MA_SHORT):$L655),"")</f>
        <v>62847266.1</v>
      </c>
      <c r="AA655" s="48" t="n">
        <f aca="false">IF($U655=1,$G655-$H655,MAX($G655-$H655,ABS($G655-$I654),ABS($H655-$I654)))</f>
        <v>216</v>
      </c>
      <c r="AB655" s="48" t="n">
        <f aca="false">IF($U655&gt;=ATR_PER,AVERAGE(INDEX($AA$535:$AA655,122-ATR_PER):$AA655),"")</f>
        <v>148.642857142857</v>
      </c>
      <c r="AC655" s="48" t="n">
        <f aca="false">$O655-$P655</f>
        <v>-5098642</v>
      </c>
      <c r="AD655" s="48" t="n">
        <f aca="false">$AC655*$I655</f>
        <v>-20302792444</v>
      </c>
      <c r="AE655" s="49" t="n">
        <f aca="false">IF($Q655&gt;0,$O655*$I655/$Q655/1000000,"")</f>
        <v>71.8115475768872</v>
      </c>
      <c r="AF655" s="49" t="n">
        <f aca="false">IF($R655&gt;0,$P655*$I655/$R655/1000000,"")</f>
        <v>168.675409617021</v>
      </c>
      <c r="AG655" s="50" t="n">
        <f aca="false">IF(AND(ISNUMBER($AE655),ISNUMBER($AF655),$AF655&gt;0),$AE655/$AF655,"")</f>
        <v>0.425738095078209</v>
      </c>
      <c r="AH655" s="48" t="n">
        <f aca="false">IF($U655&gt;=5,SUM(INDEX($AD$625:$AD655,32-5):$AD655),"")</f>
        <v>40598476978</v>
      </c>
      <c r="AI655" s="48" t="n">
        <f aca="false">IF($U655&gt;=STRUCT_S,MAX(INDEX($G$505:$G655,152-STRUCT_S):$G655),"")</f>
        <v>4342</v>
      </c>
      <c r="AJ655" s="48" t="n">
        <f aca="false">IF($U655&gt;=STRUCT_S,MIN(INDEX($H$505:$H655,152-STRUCT_S):$H655),"")</f>
        <v>3778</v>
      </c>
      <c r="AK655" s="48" t="n">
        <f aca="false">IF($U655&gt;=STRUCT_L,MAX(INDEX($G$405:$G655,252-STRUCT_L):$G655),"")</f>
        <v>4410</v>
      </c>
      <c r="AL655" s="48" t="n">
        <f aca="false">IF($U655&gt;=STRUCT_L,MIN(INDEX($H$405:$H655,252-STRUCT_L):$H655),"")</f>
        <v>3280</v>
      </c>
      <c r="AM655" s="46" t="n">
        <f aca="false">IF($A655&lt;&gt;$A656,1,0)</f>
        <v>0</v>
      </c>
      <c r="AN655" s="47" t="str">
        <f aca="false">IF($AM655=1,$A655,"")</f>
        <v/>
      </c>
    </row>
    <row r="656" customFormat="false" ht="15" hidden="false" customHeight="false" outlineLevel="0" collapsed="false">
      <c r="A656" s="43" t="s">
        <v>142</v>
      </c>
      <c r="B656" s="44" t="s">
        <v>144</v>
      </c>
      <c r="C656" s="45" t="n">
        <v>46089</v>
      </c>
      <c r="D656" s="46" t="n">
        <v>20260308</v>
      </c>
      <c r="E656" s="47" t="s">
        <v>419</v>
      </c>
      <c r="F656" s="48" t="n">
        <v>4039</v>
      </c>
      <c r="G656" s="48" t="n">
        <v>4107</v>
      </c>
      <c r="H656" s="48" t="n">
        <v>3968</v>
      </c>
      <c r="I656" s="48" t="n">
        <v>4093</v>
      </c>
      <c r="J656" s="48" t="n">
        <v>4043</v>
      </c>
      <c r="K656" s="48" t="n">
        <v>3982</v>
      </c>
      <c r="L656" s="48" t="n">
        <v>79303805</v>
      </c>
      <c r="M656" s="48" t="n">
        <v>324590473865</v>
      </c>
      <c r="N656" s="48" t="n">
        <v>4818</v>
      </c>
      <c r="O656" s="48" t="n">
        <v>47939315</v>
      </c>
      <c r="P656" s="48" t="n">
        <v>32911302</v>
      </c>
      <c r="Q656" s="48" t="n">
        <v>1769</v>
      </c>
      <c r="R656" s="48" t="n">
        <v>2625</v>
      </c>
      <c r="S656" s="48" t="n">
        <v>31364490</v>
      </c>
      <c r="T656" s="48" t="n">
        <v>46392503</v>
      </c>
      <c r="U656" s="46" t="n">
        <f aca="false">IF($A656=$A655,$U655+1,1)</f>
        <v>132</v>
      </c>
      <c r="V656" s="48" t="n">
        <f aca="false">IF($U656&gt;=MA_SHORT,AVERAGE(INDEX($I$256:$I656,402-MA_SHORT):$I656),"")</f>
        <v>4047</v>
      </c>
      <c r="W656" s="48" t="n">
        <f aca="false">IF($U656&gt;=MA_MED,AVERAGE(INDEX($I$256:$I656,402-MA_MED):$I656),"")</f>
        <v>4047.5</v>
      </c>
      <c r="X656" s="48" t="n">
        <f aca="false">IF($U656&gt;=MA_LONG1,AVERAGE(INDEX($I$256:$I656,402-MA_LONG1):$I656),"")</f>
        <v>3753.79</v>
      </c>
      <c r="Y656" s="48" t="str">
        <f aca="false">IF($U656&gt;=MA_LONG2,AVERAGE(INDEX($I$256:$I656,402-MA_LONG2):$I656),"")</f>
        <v/>
      </c>
      <c r="Z656" s="48" t="n">
        <f aca="false">IF($U656&gt;=MA_SHORT,AVERAGE(INDEX($L$536:$L656,122-MA_SHORT):$L656),"")</f>
        <v>63102226.65</v>
      </c>
      <c r="AA656" s="48" t="n">
        <f aca="false">IF($U656=1,$G656-$H656,MAX($G656-$H656,ABS($G656-$I655),ABS($H656-$I655)))</f>
        <v>139</v>
      </c>
      <c r="AB656" s="48" t="n">
        <f aca="false">IF($U656&gt;=ATR_PER,AVERAGE(INDEX($AA$536:$AA656,122-ATR_PER):$AA656),"")</f>
        <v>144.357142857143</v>
      </c>
      <c r="AC656" s="48" t="n">
        <f aca="false">$O656-$P656</f>
        <v>15028013</v>
      </c>
      <c r="AD656" s="48" t="n">
        <f aca="false">$AC656*$I656</f>
        <v>61509657209</v>
      </c>
      <c r="AE656" s="49" t="n">
        <f aca="false">IF($Q656&gt;0,$O656*$I656/$Q656/1000000,"")</f>
        <v>110.918946464104</v>
      </c>
      <c r="AF656" s="49" t="n">
        <f aca="false">IF($R656&gt;0,$P656*$I656/$R656/1000000,"")</f>
        <v>51.3165558422857</v>
      </c>
      <c r="AG656" s="50" t="n">
        <f aca="false">IF(AND(ISNUMBER($AE656),ISNUMBER($AF656),$AF656&gt;0),$AE656/$AF656,"")</f>
        <v>2.16146513817096</v>
      </c>
      <c r="AH656" s="48" t="n">
        <f aca="false">IF($U656&gt;=5,SUM(INDEX($AD$626:$AD656,32-5):$AD656),"")</f>
        <v>82904032539</v>
      </c>
      <c r="AI656" s="48" t="n">
        <f aca="false">IF($U656&gt;=STRUCT_S,MAX(INDEX($G$506:$G656,152-STRUCT_S):$G656),"")</f>
        <v>4342</v>
      </c>
      <c r="AJ656" s="48" t="n">
        <f aca="false">IF($U656&gt;=STRUCT_S,MIN(INDEX($H$506:$H656,152-STRUCT_S):$H656),"")</f>
        <v>3778</v>
      </c>
      <c r="AK656" s="48" t="n">
        <f aca="false">IF($U656&gt;=STRUCT_L,MAX(INDEX($G$406:$G656,252-STRUCT_L):$G656),"")</f>
        <v>4410</v>
      </c>
      <c r="AL656" s="48" t="n">
        <f aca="false">IF($U656&gt;=STRUCT_L,MIN(INDEX($H$406:$H656,252-STRUCT_L):$H656),"")</f>
        <v>3280</v>
      </c>
      <c r="AM656" s="46" t="n">
        <f aca="false">IF($A656&lt;&gt;$A657,1,0)</f>
        <v>0</v>
      </c>
      <c r="AN656" s="47" t="str">
        <f aca="false">IF($AM656=1,$A656,"")</f>
        <v/>
      </c>
    </row>
    <row r="657" customFormat="false" ht="15" hidden="false" customHeight="false" outlineLevel="0" collapsed="false">
      <c r="A657" s="43" t="s">
        <v>142</v>
      </c>
      <c r="B657" s="44" t="s">
        <v>144</v>
      </c>
      <c r="C657" s="45" t="n">
        <v>46090</v>
      </c>
      <c r="D657" s="46" t="n">
        <v>20260309</v>
      </c>
      <c r="E657" s="47" t="s">
        <v>420</v>
      </c>
      <c r="F657" s="48" t="n">
        <v>4080</v>
      </c>
      <c r="G657" s="48" t="n">
        <v>4131</v>
      </c>
      <c r="H657" s="48" t="n">
        <v>4005</v>
      </c>
      <c r="I657" s="48" t="n">
        <v>4042</v>
      </c>
      <c r="J657" s="48" t="n">
        <v>4127</v>
      </c>
      <c r="K657" s="48" t="n">
        <v>4093</v>
      </c>
      <c r="L657" s="48" t="n">
        <v>53767642</v>
      </c>
      <c r="M657" s="48" t="n">
        <v>217328808964</v>
      </c>
      <c r="N657" s="48" t="n">
        <v>2293</v>
      </c>
      <c r="O657" s="48" t="n">
        <v>27881103</v>
      </c>
      <c r="P657" s="48" t="n">
        <v>29404956</v>
      </c>
      <c r="Q657" s="48" t="n">
        <v>883</v>
      </c>
      <c r="R657" s="48" t="n">
        <v>998</v>
      </c>
      <c r="S657" s="48" t="n">
        <v>25886539</v>
      </c>
      <c r="T657" s="48" t="n">
        <v>24362686</v>
      </c>
      <c r="U657" s="46" t="n">
        <f aca="false">IF($A657=$A656,$U656+1,1)</f>
        <v>133</v>
      </c>
      <c r="V657" s="48" t="n">
        <f aca="false">IF($U657&gt;=MA_SHORT,AVERAGE(INDEX($I$257:$I657,402-MA_SHORT):$I657),"")</f>
        <v>4035.55</v>
      </c>
      <c r="W657" s="48" t="n">
        <f aca="false">IF($U657&gt;=MA_MED,AVERAGE(INDEX($I$257:$I657,402-MA_MED):$I657),"")</f>
        <v>4053.52</v>
      </c>
      <c r="X657" s="48" t="n">
        <f aca="false">IF($U657&gt;=MA_LONG1,AVERAGE(INDEX($I$257:$I657,402-MA_LONG1):$I657),"")</f>
        <v>3759.01</v>
      </c>
      <c r="Y657" s="48" t="str">
        <f aca="false">IF($U657&gt;=MA_LONG2,AVERAGE(INDEX($I$257:$I657,402-MA_LONG2):$I657),"")</f>
        <v/>
      </c>
      <c r="Z657" s="48" t="n">
        <f aca="false">IF($U657&gt;=MA_SHORT,AVERAGE(INDEX($L$537:$L657,122-MA_SHORT):$L657),"")</f>
        <v>62712979.7</v>
      </c>
      <c r="AA657" s="48" t="n">
        <f aca="false">IF($U657=1,$G657-$H657,MAX($G657-$H657,ABS($G657-$I656),ABS($H657-$I656)))</f>
        <v>126</v>
      </c>
      <c r="AB657" s="48" t="n">
        <f aca="false">IF($U657&gt;=ATR_PER,AVERAGE(INDEX($AA$537:$AA657,122-ATR_PER):$AA657),"")</f>
        <v>150.857142857143</v>
      </c>
      <c r="AC657" s="48" t="n">
        <f aca="false">$O657-$P657</f>
        <v>-1523853</v>
      </c>
      <c r="AD657" s="48" t="n">
        <f aca="false">$AC657*$I657</f>
        <v>-6159413826</v>
      </c>
      <c r="AE657" s="49" t="n">
        <f aca="false">IF($Q657&gt;0,$O657*$I657/$Q657/1000000,"")</f>
        <v>127.627880323896</v>
      </c>
      <c r="AF657" s="49" t="n">
        <f aca="false">IF($R657&gt;0,$P657*$I657/$R657/1000000,"")</f>
        <v>119.093018188377</v>
      </c>
      <c r="AG657" s="50" t="n">
        <f aca="false">IF(AND(ISNUMBER($AE657),ISNUMBER($AF657),$AF657&gt;0),$AE657/$AF657,"")</f>
        <v>1.07166551209592</v>
      </c>
      <c r="AH657" s="48" t="n">
        <f aca="false">IF($U657&gt;=5,SUM(INDEX($AD$627:$AD657,32-5):$AD657),"")</f>
        <v>12617739065</v>
      </c>
      <c r="AI657" s="48" t="n">
        <f aca="false">IF($U657&gt;=STRUCT_S,MAX(INDEX($G$507:$G657,152-STRUCT_S):$G657),"")</f>
        <v>4338</v>
      </c>
      <c r="AJ657" s="48" t="n">
        <f aca="false">IF($U657&gt;=STRUCT_S,MIN(INDEX($H$507:$H657,152-STRUCT_S):$H657),"")</f>
        <v>3778</v>
      </c>
      <c r="AK657" s="48" t="n">
        <f aca="false">IF($U657&gt;=STRUCT_L,MAX(INDEX($G$407:$G657,252-STRUCT_L):$G657),"")</f>
        <v>4410</v>
      </c>
      <c r="AL657" s="48" t="n">
        <f aca="false">IF($U657&gt;=STRUCT_L,MIN(INDEX($H$407:$H657,252-STRUCT_L):$H657),"")</f>
        <v>3305</v>
      </c>
      <c r="AM657" s="46" t="n">
        <f aca="false">IF($A657&lt;&gt;$A658,1,0)</f>
        <v>0</v>
      </c>
      <c r="AN657" s="47" t="str">
        <f aca="false">IF($AM657=1,$A657,"")</f>
        <v/>
      </c>
    </row>
    <row r="658" customFormat="false" ht="15" hidden="false" customHeight="false" outlineLevel="0" collapsed="false">
      <c r="A658" s="43" t="s">
        <v>142</v>
      </c>
      <c r="B658" s="44" t="s">
        <v>144</v>
      </c>
      <c r="C658" s="45" t="n">
        <v>46091</v>
      </c>
      <c r="D658" s="46" t="n">
        <v>20260310</v>
      </c>
      <c r="E658" s="47" t="s">
        <v>421</v>
      </c>
      <c r="F658" s="48" t="n">
        <v>3977</v>
      </c>
      <c r="G658" s="48" t="n">
        <v>4151</v>
      </c>
      <c r="H658" s="48" t="n">
        <v>3954</v>
      </c>
      <c r="I658" s="48" t="n">
        <v>4063</v>
      </c>
      <c r="J658" s="48" t="n">
        <v>3957</v>
      </c>
      <c r="K658" s="48" t="n">
        <v>4042</v>
      </c>
      <c r="L658" s="48" t="n">
        <v>94359134</v>
      </c>
      <c r="M658" s="48" t="n">
        <v>383381161442</v>
      </c>
      <c r="N658" s="48" t="n">
        <v>2591</v>
      </c>
      <c r="O658" s="48" t="n">
        <v>58022927</v>
      </c>
      <c r="P658" s="48" t="n">
        <v>44840251</v>
      </c>
      <c r="Q658" s="48" t="n">
        <v>877</v>
      </c>
      <c r="R658" s="48" t="n">
        <v>953</v>
      </c>
      <c r="S658" s="48" t="n">
        <v>36336207</v>
      </c>
      <c r="T658" s="48" t="n">
        <v>49518883</v>
      </c>
      <c r="U658" s="46" t="n">
        <f aca="false">IF($A658=$A657,$U657+1,1)</f>
        <v>134</v>
      </c>
      <c r="V658" s="48" t="n">
        <f aca="false">IF($U658&gt;=MA_SHORT,AVERAGE(INDEX($I$258:$I658,402-MA_SHORT):$I658),"")</f>
        <v>4029.15</v>
      </c>
      <c r="W658" s="48" t="n">
        <f aca="false">IF($U658&gt;=MA_MED,AVERAGE(INDEX($I$258:$I658,402-MA_MED):$I658),"")</f>
        <v>4057.82</v>
      </c>
      <c r="X658" s="48" t="n">
        <f aca="false">IF($U658&gt;=MA_LONG1,AVERAGE(INDEX($I$258:$I658,402-MA_LONG1):$I658),"")</f>
        <v>3762.96</v>
      </c>
      <c r="Y658" s="48" t="str">
        <f aca="false">IF($U658&gt;=MA_LONG2,AVERAGE(INDEX($I$258:$I658,402-MA_LONG2):$I658),"")</f>
        <v/>
      </c>
      <c r="Z658" s="48" t="n">
        <f aca="false">IF($U658&gt;=MA_SHORT,AVERAGE(INDEX($L$538:$L658,122-MA_SHORT):$L658),"")</f>
        <v>63694979.05</v>
      </c>
      <c r="AA658" s="48" t="n">
        <f aca="false">IF($U658=1,$G658-$H658,MAX($G658-$H658,ABS($G658-$I657),ABS($H658-$I657)))</f>
        <v>197</v>
      </c>
      <c r="AB658" s="48" t="n">
        <f aca="false">IF($U658&gt;=ATR_PER,AVERAGE(INDEX($AA$538:$AA658,122-ATR_PER):$AA658),"")</f>
        <v>153.357142857143</v>
      </c>
      <c r="AC658" s="48" t="n">
        <f aca="false">$O658-$P658</f>
        <v>13182676</v>
      </c>
      <c r="AD658" s="48" t="n">
        <f aca="false">$AC658*$I658</f>
        <v>53561212588</v>
      </c>
      <c r="AE658" s="49" t="n">
        <f aca="false">IF($Q658&gt;0,$O658*$I658/$Q658/1000000,"")</f>
        <v>268.810892133409</v>
      </c>
      <c r="AF658" s="49" t="n">
        <f aca="false">IF($R658&gt;0,$P658*$I658/$R658/1000000,"")</f>
        <v>191.170975669465</v>
      </c>
      <c r="AG658" s="50" t="n">
        <f aca="false">IF(AND(ISNUMBER($AE658),ISNUMBER($AF658),$AF658&gt;0),$AE658/$AF658,"")</f>
        <v>1.40612815931946</v>
      </c>
      <c r="AH658" s="48" t="n">
        <f aca="false">IF($U658&gt;=5,SUM(INDEX($AD$628:$AD658,32-5):$AD658),"")</f>
        <v>53947674479</v>
      </c>
      <c r="AI658" s="48" t="n">
        <f aca="false">IF($U658&gt;=STRUCT_S,MAX(INDEX($G$508:$G658,152-STRUCT_S):$G658),"")</f>
        <v>4262</v>
      </c>
      <c r="AJ658" s="48" t="n">
        <f aca="false">IF($U658&gt;=STRUCT_S,MIN(INDEX($H$508:$H658,152-STRUCT_S):$H658),"")</f>
        <v>3778</v>
      </c>
      <c r="AK658" s="48" t="n">
        <f aca="false">IF($U658&gt;=STRUCT_L,MAX(INDEX($G$408:$G658,252-STRUCT_L):$G658),"")</f>
        <v>4410</v>
      </c>
      <c r="AL658" s="48" t="n">
        <f aca="false">IF($U658&gt;=STRUCT_L,MIN(INDEX($H$408:$H658,252-STRUCT_L):$H658),"")</f>
        <v>3305</v>
      </c>
      <c r="AM658" s="46" t="n">
        <f aca="false">IF($A658&lt;&gt;$A659,1,0)</f>
        <v>0</v>
      </c>
      <c r="AN658" s="47" t="str">
        <f aca="false">IF($AM658=1,$A658,"")</f>
        <v/>
      </c>
    </row>
    <row r="659" customFormat="false" ht="15" hidden="false" customHeight="false" outlineLevel="0" collapsed="false">
      <c r="A659" s="43" t="s">
        <v>142</v>
      </c>
      <c r="B659" s="44" t="s">
        <v>144</v>
      </c>
      <c r="C659" s="45" t="n">
        <v>46092</v>
      </c>
      <c r="D659" s="46" t="n">
        <v>20260311</v>
      </c>
      <c r="E659" s="47" t="s">
        <v>422</v>
      </c>
      <c r="F659" s="48" t="n">
        <v>4202</v>
      </c>
      <c r="G659" s="48" t="n">
        <v>4208</v>
      </c>
      <c r="H659" s="48" t="n">
        <v>4051</v>
      </c>
      <c r="I659" s="48" t="n">
        <v>4195</v>
      </c>
      <c r="J659" s="48" t="n">
        <v>4094</v>
      </c>
      <c r="K659" s="48" t="n">
        <v>4063</v>
      </c>
      <c r="L659" s="48" t="n">
        <v>60145947</v>
      </c>
      <c r="M659" s="48" t="n">
        <v>252312247665</v>
      </c>
      <c r="N659" s="48" t="n">
        <v>1422</v>
      </c>
      <c r="O659" s="48" t="n">
        <v>36629145</v>
      </c>
      <c r="P659" s="48" t="n">
        <v>24169214</v>
      </c>
      <c r="Q659" s="48" t="n">
        <v>620</v>
      </c>
      <c r="R659" s="48" t="n">
        <v>649</v>
      </c>
      <c r="S659" s="48" t="n">
        <v>23516802</v>
      </c>
      <c r="T659" s="48" t="n">
        <v>35976733</v>
      </c>
      <c r="U659" s="46" t="n">
        <f aca="false">IF($A659=$A658,$U658+1,1)</f>
        <v>135</v>
      </c>
      <c r="V659" s="48" t="n">
        <f aca="false">IF($U659&gt;=MA_SHORT,AVERAGE(INDEX($I$259:$I659,402-MA_SHORT):$I659),"")</f>
        <v>4035.75</v>
      </c>
      <c r="W659" s="48" t="n">
        <f aca="false">IF($U659&gt;=MA_MED,AVERAGE(INDEX($I$259:$I659,402-MA_MED):$I659),"")</f>
        <v>4065.78</v>
      </c>
      <c r="X659" s="48" t="n">
        <f aca="false">IF($U659&gt;=MA_LONG1,AVERAGE(INDEX($I$259:$I659,402-MA_LONG1):$I659),"")</f>
        <v>3767.3</v>
      </c>
      <c r="Y659" s="48" t="str">
        <f aca="false">IF($U659&gt;=MA_LONG2,AVERAGE(INDEX($I$259:$I659,402-MA_LONG2):$I659),"")</f>
        <v/>
      </c>
      <c r="Z659" s="48" t="n">
        <f aca="false">IF($U659&gt;=MA_SHORT,AVERAGE(INDEX($L$539:$L659,122-MA_SHORT):$L659),"")</f>
        <v>63742525.05</v>
      </c>
      <c r="AA659" s="48" t="n">
        <f aca="false">IF($U659=1,$G659-$H659,MAX($G659-$H659,ABS($G659-$I658),ABS($H659-$I658)))</f>
        <v>157</v>
      </c>
      <c r="AB659" s="48" t="n">
        <f aca="false">IF($U659&gt;=ATR_PER,AVERAGE(INDEX($AA$539:$AA659,122-ATR_PER):$AA659),"")</f>
        <v>141</v>
      </c>
      <c r="AC659" s="48" t="n">
        <f aca="false">$O659-$P659</f>
        <v>12459931</v>
      </c>
      <c r="AD659" s="48" t="n">
        <f aca="false">$AC659*$I659</f>
        <v>52269410545</v>
      </c>
      <c r="AE659" s="49" t="n">
        <f aca="false">IF($Q659&gt;0,$O659*$I659/$Q659/1000000,"")</f>
        <v>247.83752141129</v>
      </c>
      <c r="AF659" s="49" t="n">
        <f aca="false">IF($R659&gt;0,$P659*$I659/$R659/1000000,"")</f>
        <v>156.224734560863</v>
      </c>
      <c r="AG659" s="50" t="n">
        <f aca="false">IF(AND(ISNUMBER($AE659),ISNUMBER($AF659),$AF659&gt;0),$AE659/$AF659,"")</f>
        <v>1.58641665871889</v>
      </c>
      <c r="AH659" s="48" t="n">
        <f aca="false">IF($U659&gt;=5,SUM(INDEX($AD$629:$AD659,32-5):$AD659),"")</f>
        <v>140878074072</v>
      </c>
      <c r="AI659" s="48" t="n">
        <f aca="false">IF($U659&gt;=STRUCT_S,MAX(INDEX($G$509:$G659,152-STRUCT_S):$G659),"")</f>
        <v>4208</v>
      </c>
      <c r="AJ659" s="48" t="n">
        <f aca="false">IF($U659&gt;=STRUCT_S,MIN(INDEX($H$509:$H659,152-STRUCT_S):$H659),"")</f>
        <v>3778</v>
      </c>
      <c r="AK659" s="48" t="n">
        <f aca="false">IF($U659&gt;=STRUCT_L,MAX(INDEX($G$409:$G659,252-STRUCT_L):$G659),"")</f>
        <v>4410</v>
      </c>
      <c r="AL659" s="48" t="n">
        <f aca="false">IF($U659&gt;=STRUCT_L,MIN(INDEX($H$409:$H659,252-STRUCT_L):$H659),"")</f>
        <v>3305</v>
      </c>
      <c r="AM659" s="46" t="n">
        <f aca="false">IF($A659&lt;&gt;$A660,1,0)</f>
        <v>0</v>
      </c>
      <c r="AN659" s="47" t="str">
        <f aca="false">IF($AM659=1,$A659,"")</f>
        <v/>
      </c>
    </row>
    <row r="660" customFormat="false" ht="15" hidden="false" customHeight="false" outlineLevel="0" collapsed="false">
      <c r="A660" s="43" t="s">
        <v>142</v>
      </c>
      <c r="B660" s="44" t="s">
        <v>144</v>
      </c>
      <c r="C660" s="45" t="n">
        <v>46095</v>
      </c>
      <c r="D660" s="46" t="n">
        <v>20260314</v>
      </c>
      <c r="E660" s="47" t="s">
        <v>423</v>
      </c>
      <c r="F660" s="48" t="n">
        <v>4256</v>
      </c>
      <c r="G660" s="48" t="n">
        <v>4290</v>
      </c>
      <c r="H660" s="48" t="n">
        <v>4098</v>
      </c>
      <c r="I660" s="48" t="n">
        <v>4193</v>
      </c>
      <c r="J660" s="48" t="n">
        <v>4129</v>
      </c>
      <c r="K660" s="48" t="n">
        <v>4195</v>
      </c>
      <c r="L660" s="48" t="n">
        <v>55264294</v>
      </c>
      <c r="M660" s="48" t="n">
        <v>231723184742</v>
      </c>
      <c r="N660" s="48" t="n">
        <v>1884</v>
      </c>
      <c r="O660" s="48" t="n">
        <v>31545013</v>
      </c>
      <c r="P660" s="48" t="n">
        <v>22133788</v>
      </c>
      <c r="Q660" s="48" t="n">
        <v>740</v>
      </c>
      <c r="R660" s="48" t="n">
        <v>641</v>
      </c>
      <c r="S660" s="48" t="n">
        <v>23719281</v>
      </c>
      <c r="T660" s="48" t="n">
        <v>33130506</v>
      </c>
      <c r="U660" s="46" t="n">
        <f aca="false">IF($A660=$A659,$U659+1,1)</f>
        <v>136</v>
      </c>
      <c r="V660" s="48" t="n">
        <f aca="false">IF($U660&gt;=MA_SHORT,AVERAGE(INDEX($I$260:$I660,402-MA_SHORT):$I660),"")</f>
        <v>4049.45</v>
      </c>
      <c r="W660" s="48" t="n">
        <f aca="false">IF($U660&gt;=MA_MED,AVERAGE(INDEX($I$260:$I660,402-MA_MED):$I660),"")</f>
        <v>4072.44</v>
      </c>
      <c r="X660" s="48" t="n">
        <f aca="false">IF($U660&gt;=MA_LONG1,AVERAGE(INDEX($I$260:$I660,402-MA_LONG1):$I660),"")</f>
        <v>3772.44</v>
      </c>
      <c r="Y660" s="48" t="str">
        <f aca="false">IF($U660&gt;=MA_LONG2,AVERAGE(INDEX($I$260:$I660,402-MA_LONG2):$I660),"")</f>
        <v/>
      </c>
      <c r="Z660" s="48" t="n">
        <f aca="false">IF($U660&gt;=MA_SHORT,AVERAGE(INDEX($L$540:$L660,122-MA_SHORT):$L660),"")</f>
        <v>63472445.7</v>
      </c>
      <c r="AA660" s="48" t="n">
        <f aca="false">IF($U660=1,$G660-$H660,MAX($G660-$H660,ABS($G660-$I659),ABS($H660-$I659)))</f>
        <v>192</v>
      </c>
      <c r="AB660" s="48" t="n">
        <f aca="false">IF($U660&gt;=ATR_PER,AVERAGE(INDEX($AA$540:$AA660,122-ATR_PER):$AA660),"")</f>
        <v>132.571428571429</v>
      </c>
      <c r="AC660" s="48" t="n">
        <f aca="false">$O660-$P660</f>
        <v>9411225</v>
      </c>
      <c r="AD660" s="48" t="n">
        <f aca="false">$AC660*$I660</f>
        <v>39461266425</v>
      </c>
      <c r="AE660" s="49" t="n">
        <f aca="false">IF($Q660&gt;0,$O660*$I660/$Q660/1000000,"")</f>
        <v>178.740864201351</v>
      </c>
      <c r="AF660" s="49" t="n">
        <f aca="false">IF($R660&gt;0,$P660*$I660/$R660/1000000,"")</f>
        <v>144.784669397816</v>
      </c>
      <c r="AG660" s="50" t="n">
        <f aca="false">IF(AND(ISNUMBER($AE660),ISNUMBER($AF660),$AF660&gt;0),$AE660/$AF660,"")</f>
        <v>1.23452893835214</v>
      </c>
      <c r="AH660" s="48" t="n">
        <f aca="false">IF($U660&gt;=5,SUM(INDEX($AD$630:$AD660,32-5):$AD660),"")</f>
        <v>200642132941</v>
      </c>
      <c r="AI660" s="48" t="n">
        <f aca="false">IF($U660&gt;=STRUCT_S,MAX(INDEX($G$510:$G660,152-STRUCT_S):$G660),"")</f>
        <v>4290</v>
      </c>
      <c r="AJ660" s="48" t="n">
        <f aca="false">IF($U660&gt;=STRUCT_S,MIN(INDEX($H$510:$H660,152-STRUCT_S):$H660),"")</f>
        <v>3778</v>
      </c>
      <c r="AK660" s="48" t="n">
        <f aca="false">IF($U660&gt;=STRUCT_L,MAX(INDEX($G$410:$G660,252-STRUCT_L):$G660),"")</f>
        <v>4410</v>
      </c>
      <c r="AL660" s="48" t="n">
        <f aca="false">IF($U660&gt;=STRUCT_L,MIN(INDEX($H$410:$H660,252-STRUCT_L):$H660),"")</f>
        <v>3305</v>
      </c>
      <c r="AM660" s="46" t="n">
        <f aca="false">IF($A660&lt;&gt;$A661,1,0)</f>
        <v>0</v>
      </c>
      <c r="AN660" s="47" t="str">
        <f aca="false">IF($AM660=1,$A660,"")</f>
        <v/>
      </c>
    </row>
    <row r="661" customFormat="false" ht="15" hidden="false" customHeight="false" outlineLevel="0" collapsed="false">
      <c r="A661" s="43" t="s">
        <v>142</v>
      </c>
      <c r="B661" s="44" t="s">
        <v>144</v>
      </c>
      <c r="C661" s="45" t="n">
        <v>46096</v>
      </c>
      <c r="D661" s="46" t="n">
        <v>20260315</v>
      </c>
      <c r="E661" s="47" t="s">
        <v>424</v>
      </c>
      <c r="F661" s="48" t="n">
        <v>4223</v>
      </c>
      <c r="G661" s="48" t="n">
        <v>4276</v>
      </c>
      <c r="H661" s="48" t="n">
        <v>4174</v>
      </c>
      <c r="I661" s="48" t="n">
        <v>4257</v>
      </c>
      <c r="J661" s="48" t="n">
        <v>4249</v>
      </c>
      <c r="K661" s="48" t="n">
        <v>4193</v>
      </c>
      <c r="L661" s="48" t="n">
        <v>67317588</v>
      </c>
      <c r="M661" s="48" t="n">
        <v>286570972116</v>
      </c>
      <c r="N661" s="48" t="n">
        <v>2596</v>
      </c>
      <c r="O661" s="48" t="n">
        <v>44356754</v>
      </c>
      <c r="P661" s="48" t="n">
        <v>20440113</v>
      </c>
      <c r="Q661" s="48" t="n">
        <v>737</v>
      </c>
      <c r="R661" s="48" t="n">
        <v>1316</v>
      </c>
      <c r="S661" s="48" t="n">
        <v>22960834</v>
      </c>
      <c r="T661" s="48" t="n">
        <v>46877475</v>
      </c>
      <c r="U661" s="46" t="n">
        <f aca="false">IF($A661=$A660,$U660+1,1)</f>
        <v>137</v>
      </c>
      <c r="V661" s="48" t="n">
        <f aca="false">IF($U661&gt;=MA_SHORT,AVERAGE(INDEX($I$261:$I661,402-MA_SHORT):$I661),"")</f>
        <v>4070.9</v>
      </c>
      <c r="W661" s="48" t="n">
        <f aca="false">IF($U661&gt;=MA_MED,AVERAGE(INDEX($I$261:$I661,402-MA_MED):$I661),"")</f>
        <v>4080.62</v>
      </c>
      <c r="X661" s="48" t="n">
        <f aca="false">IF($U661&gt;=MA_LONG1,AVERAGE(INDEX($I$261:$I661,402-MA_LONG1):$I661),"")</f>
        <v>3779.68</v>
      </c>
      <c r="Y661" s="48" t="str">
        <f aca="false">IF($U661&gt;=MA_LONG2,AVERAGE(INDEX($I$261:$I661,402-MA_LONG2):$I661),"")</f>
        <v/>
      </c>
      <c r="Z661" s="48" t="n">
        <f aca="false">IF($U661&gt;=MA_SHORT,AVERAGE(INDEX($L$541:$L661,122-MA_SHORT):$L661),"")</f>
        <v>63988455.6</v>
      </c>
      <c r="AA661" s="48" t="n">
        <f aca="false">IF($U661=1,$G661-$H661,MAX($G661-$H661,ABS($G661-$I660),ABS($H661-$I660)))</f>
        <v>102</v>
      </c>
      <c r="AB661" s="48" t="n">
        <f aca="false">IF($U661&gt;=ATR_PER,AVERAGE(INDEX($AA$541:$AA661,122-ATR_PER):$AA661),"")</f>
        <v>132.357142857143</v>
      </c>
      <c r="AC661" s="48" t="n">
        <f aca="false">$O661-$P661</f>
        <v>23916641</v>
      </c>
      <c r="AD661" s="48" t="n">
        <f aca="false">$AC661*$I661</f>
        <v>101813140737</v>
      </c>
      <c r="AE661" s="49" t="n">
        <f aca="false">IF($Q661&gt;0,$O661*$I661/$Q661/1000000,"")</f>
        <v>256.209907432836</v>
      </c>
      <c r="AF661" s="49" t="n">
        <f aca="false">IF($R661&gt;0,$P661*$I661/$R661/1000000,"")</f>
        <v>66.1197272348024</v>
      </c>
      <c r="AG661" s="50" t="n">
        <f aca="false">IF(AND(ISNUMBER($AE661),ISNUMBER($AF661),$AF661&gt;0),$AE661/$AF661,"")</f>
        <v>3.87493896523485</v>
      </c>
      <c r="AH661" s="48" t="n">
        <f aca="false">IF($U661&gt;=5,SUM(INDEX($AD$631:$AD661,32-5):$AD661),"")</f>
        <v>240945616469</v>
      </c>
      <c r="AI661" s="48" t="n">
        <f aca="false">IF($U661&gt;=STRUCT_S,MAX(INDEX($G$511:$G661,152-STRUCT_S):$G661),"")</f>
        <v>4290</v>
      </c>
      <c r="AJ661" s="48" t="n">
        <f aca="false">IF($U661&gt;=STRUCT_S,MIN(INDEX($H$511:$H661,152-STRUCT_S):$H661),"")</f>
        <v>3778</v>
      </c>
      <c r="AK661" s="48" t="n">
        <f aca="false">IF($U661&gt;=STRUCT_L,MAX(INDEX($G$411:$G661,252-STRUCT_L):$G661),"")</f>
        <v>4410</v>
      </c>
      <c r="AL661" s="48" t="n">
        <f aca="false">IF($U661&gt;=STRUCT_L,MIN(INDEX($H$411:$H661,252-STRUCT_L):$H661),"")</f>
        <v>3428</v>
      </c>
      <c r="AM661" s="46" t="n">
        <f aca="false">IF($A661&lt;&gt;$A662,1,0)</f>
        <v>0</v>
      </c>
      <c r="AN661" s="47" t="str">
        <f aca="false">IF($AM661=1,$A661,"")</f>
        <v/>
      </c>
    </row>
    <row r="662" customFormat="false" ht="15" hidden="false" customHeight="false" outlineLevel="0" collapsed="false">
      <c r="A662" s="43" t="s">
        <v>142</v>
      </c>
      <c r="B662" s="44" t="s">
        <v>144</v>
      </c>
      <c r="C662" s="45" t="n">
        <v>46097</v>
      </c>
      <c r="D662" s="46" t="n">
        <v>20260316</v>
      </c>
      <c r="E662" s="47" t="s">
        <v>425</v>
      </c>
      <c r="F662" s="48" t="n">
        <v>4269</v>
      </c>
      <c r="G662" s="48" t="n">
        <v>4330</v>
      </c>
      <c r="H662" s="48" t="n">
        <v>4216</v>
      </c>
      <c r="I662" s="48" t="n">
        <v>4289</v>
      </c>
      <c r="J662" s="48" t="n">
        <v>4316</v>
      </c>
      <c r="K662" s="48" t="n">
        <v>4257</v>
      </c>
      <c r="L662" s="48" t="n">
        <v>52283846</v>
      </c>
      <c r="M662" s="48" t="n">
        <v>224245415494</v>
      </c>
      <c r="N662" s="48" t="n">
        <v>1539</v>
      </c>
      <c r="O662" s="48" t="n">
        <v>27173586</v>
      </c>
      <c r="P662" s="48" t="n">
        <v>27437117</v>
      </c>
      <c r="Q662" s="48" t="n">
        <v>526</v>
      </c>
      <c r="R662" s="48" t="n">
        <v>834</v>
      </c>
      <c r="S662" s="48" t="n">
        <v>25110260</v>
      </c>
      <c r="T662" s="48" t="n">
        <v>24846729</v>
      </c>
      <c r="U662" s="46" t="n">
        <f aca="false">IF($A662=$A661,$U661+1,1)</f>
        <v>138</v>
      </c>
      <c r="V662" s="48" t="n">
        <f aca="false">IF($U662&gt;=MA_SHORT,AVERAGE(INDEX($I$262:$I662,402-MA_SHORT):$I662),"")</f>
        <v>4087.6</v>
      </c>
      <c r="W662" s="48" t="n">
        <f aca="false">IF($U662&gt;=MA_MED,AVERAGE(INDEX($I$262:$I662,402-MA_MED):$I662),"")</f>
        <v>4087.6</v>
      </c>
      <c r="X662" s="48" t="n">
        <f aca="false">IF($U662&gt;=MA_LONG1,AVERAGE(INDEX($I$262:$I662,402-MA_LONG1):$I662),"")</f>
        <v>3788.03</v>
      </c>
      <c r="Y662" s="48" t="str">
        <f aca="false">IF($U662&gt;=MA_LONG2,AVERAGE(INDEX($I$262:$I662,402-MA_LONG2):$I662),"")</f>
        <v/>
      </c>
      <c r="Z662" s="48" t="n">
        <f aca="false">IF($U662&gt;=MA_SHORT,AVERAGE(INDEX($L$542:$L662,122-MA_SHORT):$L662),"")</f>
        <v>63603350.5</v>
      </c>
      <c r="AA662" s="48" t="n">
        <f aca="false">IF($U662=1,$G662-$H662,MAX($G662-$H662,ABS($G662-$I661),ABS($H662-$I661)))</f>
        <v>114</v>
      </c>
      <c r="AB662" s="48" t="n">
        <f aca="false">IF($U662&gt;=ATR_PER,AVERAGE(INDEX($AA$542:$AA662,122-ATR_PER):$AA662),"")</f>
        <v>129.214285714286</v>
      </c>
      <c r="AC662" s="48" t="n">
        <f aca="false">$O662-$P662</f>
        <v>-263531</v>
      </c>
      <c r="AD662" s="48" t="n">
        <f aca="false">$AC662*$I662</f>
        <v>-1130284459</v>
      </c>
      <c r="AE662" s="49" t="n">
        <f aca="false">IF($Q662&gt;0,$O662*$I662/$Q662/1000000,"")</f>
        <v>221.57321360076</v>
      </c>
      <c r="AF662" s="49" t="n">
        <f aca="false">IF($R662&gt;0,$P662*$I662/$R662/1000000,"")</f>
        <v>141.100473396883</v>
      </c>
      <c r="AG662" s="50" t="n">
        <f aca="false">IF(AND(ISNUMBER($AE662),ISNUMBER($AF662),$AF662&gt;0),$AE662/$AF662,"")</f>
        <v>1.57032225524522</v>
      </c>
      <c r="AH662" s="48" t="n">
        <f aca="false">IF($U662&gt;=5,SUM(INDEX($AD$632:$AD662,32-5):$AD662),"")</f>
        <v>245974745836</v>
      </c>
      <c r="AI662" s="48" t="n">
        <f aca="false">IF($U662&gt;=STRUCT_S,MAX(INDEX($G$512:$G662,152-STRUCT_S):$G662),"")</f>
        <v>4330</v>
      </c>
      <c r="AJ662" s="48" t="n">
        <f aca="false">IF($U662&gt;=STRUCT_S,MIN(INDEX($H$512:$H662,152-STRUCT_S):$H662),"")</f>
        <v>3778</v>
      </c>
      <c r="AK662" s="48" t="n">
        <f aca="false">IF($U662&gt;=STRUCT_L,MAX(INDEX($G$412:$G662,252-STRUCT_L):$G662),"")</f>
        <v>4410</v>
      </c>
      <c r="AL662" s="48" t="n">
        <f aca="false">IF($U662&gt;=STRUCT_L,MIN(INDEX($H$412:$H662,252-STRUCT_L):$H662),"")</f>
        <v>3428</v>
      </c>
      <c r="AM662" s="46" t="n">
        <f aca="false">IF($A662&lt;&gt;$A663,1,0)</f>
        <v>0</v>
      </c>
      <c r="AN662" s="47" t="str">
        <f aca="false">IF($AM662=1,$A662,"")</f>
        <v/>
      </c>
    </row>
    <row r="663" customFormat="false" ht="15" hidden="false" customHeight="false" outlineLevel="0" collapsed="false">
      <c r="A663" s="43" t="s">
        <v>142</v>
      </c>
      <c r="B663" s="44" t="s">
        <v>144</v>
      </c>
      <c r="C663" s="45" t="n">
        <v>46098</v>
      </c>
      <c r="D663" s="46" t="n">
        <v>20260317</v>
      </c>
      <c r="E663" s="47" t="s">
        <v>426</v>
      </c>
      <c r="F663" s="48" t="n">
        <v>4362</v>
      </c>
      <c r="G663" s="48" t="n">
        <v>4442</v>
      </c>
      <c r="H663" s="48" t="n">
        <v>4264</v>
      </c>
      <c r="I663" s="48" t="n">
        <v>4416</v>
      </c>
      <c r="J663" s="48" t="n">
        <v>4271</v>
      </c>
      <c r="K663" s="48" t="n">
        <v>4289</v>
      </c>
      <c r="L663" s="48" t="n">
        <v>58915571</v>
      </c>
      <c r="M663" s="48" t="n">
        <v>260171161536</v>
      </c>
      <c r="N663" s="48" t="n">
        <v>5986</v>
      </c>
      <c r="O663" s="48" t="n">
        <v>35616851</v>
      </c>
      <c r="P663" s="48" t="n">
        <v>26321825</v>
      </c>
      <c r="Q663" s="48" t="n">
        <v>2773</v>
      </c>
      <c r="R663" s="48" t="n">
        <v>2058</v>
      </c>
      <c r="S663" s="48" t="n">
        <v>23298720</v>
      </c>
      <c r="T663" s="48" t="n">
        <v>32593746</v>
      </c>
      <c r="U663" s="46" t="n">
        <f aca="false">IF($A663=$A662,$U662+1,1)</f>
        <v>139</v>
      </c>
      <c r="V663" s="48" t="n">
        <f aca="false">IF($U663&gt;=MA_SHORT,AVERAGE(INDEX($I$263:$I663,402-MA_SHORT):$I663),"")</f>
        <v>4111.1</v>
      </c>
      <c r="W663" s="48" t="n">
        <f aca="false">IF($U663&gt;=MA_MED,AVERAGE(INDEX($I$263:$I663,402-MA_MED):$I663),"")</f>
        <v>4098.24</v>
      </c>
      <c r="X663" s="48" t="n">
        <f aca="false">IF($U663&gt;=MA_LONG1,AVERAGE(INDEX($I$263:$I663,402-MA_LONG1):$I663),"")</f>
        <v>3797.56</v>
      </c>
      <c r="Y663" s="48" t="str">
        <f aca="false">IF($U663&gt;=MA_LONG2,AVERAGE(INDEX($I$263:$I663,402-MA_LONG2):$I663),"")</f>
        <v/>
      </c>
      <c r="Z663" s="48" t="n">
        <f aca="false">IF($U663&gt;=MA_SHORT,AVERAGE(INDEX($L$543:$L663,122-MA_SHORT):$L663),"")</f>
        <v>64013601.45</v>
      </c>
      <c r="AA663" s="48" t="n">
        <f aca="false">IF($U663=1,$G663-$H663,MAX($G663-$H663,ABS($G663-$I662),ABS($H663-$I662)))</f>
        <v>178</v>
      </c>
      <c r="AB663" s="48" t="n">
        <f aca="false">IF($U663&gt;=ATR_PER,AVERAGE(INDEX($AA$543:$AA663,122-ATR_PER):$AA663),"")</f>
        <v>129.857142857143</v>
      </c>
      <c r="AC663" s="48" t="n">
        <f aca="false">$O663-$P663</f>
        <v>9295026</v>
      </c>
      <c r="AD663" s="48" t="n">
        <f aca="false">$AC663*$I663</f>
        <v>41046834816</v>
      </c>
      <c r="AE663" s="49" t="n">
        <f aca="false">IF($Q663&gt;0,$O663*$I663/$Q663/1000000,"")</f>
        <v>56.7198031071042</v>
      </c>
      <c r="AF663" s="49" t="n">
        <f aca="false">IF($R663&gt;0,$P663*$I663/$R663/1000000,"")</f>
        <v>56.480650728863</v>
      </c>
      <c r="AG663" s="50" t="n">
        <f aca="false">IF(AND(ISNUMBER($AE663),ISNUMBER($AF663),$AF663&gt;0),$AE663/$AF663,"")</f>
        <v>1.00423423553297</v>
      </c>
      <c r="AH663" s="48" t="n">
        <f aca="false">IF($U663&gt;=5,SUM(INDEX($AD$633:$AD663,32-5):$AD663),"")</f>
        <v>233460368064</v>
      </c>
      <c r="AI663" s="48" t="n">
        <f aca="false">IF($U663&gt;=STRUCT_S,MAX(INDEX($G$513:$G663,152-STRUCT_S):$G663),"")</f>
        <v>4442</v>
      </c>
      <c r="AJ663" s="48" t="n">
        <f aca="false">IF($U663&gt;=STRUCT_S,MIN(INDEX($H$513:$H663,152-STRUCT_S):$H663),"")</f>
        <v>3778</v>
      </c>
      <c r="AK663" s="48" t="n">
        <f aca="false">IF($U663&gt;=STRUCT_L,MAX(INDEX($G$413:$G663,252-STRUCT_L):$G663),"")</f>
        <v>4442</v>
      </c>
      <c r="AL663" s="48" t="n">
        <f aca="false">IF($U663&gt;=STRUCT_L,MIN(INDEX($H$413:$H663,252-STRUCT_L):$H663),"")</f>
        <v>3440</v>
      </c>
      <c r="AM663" s="46" t="n">
        <f aca="false">IF($A663&lt;&gt;$A664,1,0)</f>
        <v>0</v>
      </c>
      <c r="AN663" s="47" t="str">
        <f aca="false">IF($AM663=1,$A663,"")</f>
        <v/>
      </c>
    </row>
    <row r="664" customFormat="false" ht="15" hidden="false" customHeight="false" outlineLevel="0" collapsed="false">
      <c r="A664" s="43" t="s">
        <v>142</v>
      </c>
      <c r="B664" s="44" t="s">
        <v>144</v>
      </c>
      <c r="C664" s="45" t="n">
        <v>46099</v>
      </c>
      <c r="D664" s="46" t="n">
        <v>20260318</v>
      </c>
      <c r="E664" s="47" t="s">
        <v>427</v>
      </c>
      <c r="F664" s="48" t="n">
        <v>4436</v>
      </c>
      <c r="G664" s="48" t="n">
        <v>4486</v>
      </c>
      <c r="H664" s="48" t="n">
        <v>4375</v>
      </c>
      <c r="I664" s="48" t="n">
        <v>4444</v>
      </c>
      <c r="J664" s="48" t="n">
        <v>4391</v>
      </c>
      <c r="K664" s="48" t="n">
        <v>4416</v>
      </c>
      <c r="L664" s="48" t="n">
        <v>51930717</v>
      </c>
      <c r="M664" s="48" t="n">
        <v>230780106348</v>
      </c>
      <c r="N664" s="48" t="n">
        <v>1250</v>
      </c>
      <c r="O664" s="48" t="n">
        <v>32644523</v>
      </c>
      <c r="P664" s="48" t="n">
        <v>16303986</v>
      </c>
      <c r="Q664" s="48" t="n">
        <v>500</v>
      </c>
      <c r="R664" s="48" t="n">
        <v>563</v>
      </c>
      <c r="S664" s="48" t="n">
        <v>19286194</v>
      </c>
      <c r="T664" s="48" t="n">
        <v>35626731</v>
      </c>
      <c r="U664" s="46" t="n">
        <f aca="false">IF($A664=$A663,$U663+1,1)</f>
        <v>140</v>
      </c>
      <c r="V664" s="48" t="n">
        <f aca="false">IF($U664&gt;=MA_SHORT,AVERAGE(INDEX($I$264:$I664,402-MA_SHORT):$I664),"")</f>
        <v>4137.5</v>
      </c>
      <c r="W664" s="48" t="n">
        <f aca="false">IF($U664&gt;=MA_MED,AVERAGE(INDEX($I$264:$I664,402-MA_MED):$I664),"")</f>
        <v>4107.78</v>
      </c>
      <c r="X664" s="48" t="n">
        <f aca="false">IF($U664&gt;=MA_LONG1,AVERAGE(INDEX($I$264:$I664,402-MA_LONG1):$I664),"")</f>
        <v>3807.31</v>
      </c>
      <c r="Y664" s="48" t="str">
        <f aca="false">IF($U664&gt;=MA_LONG2,AVERAGE(INDEX($I$264:$I664,402-MA_LONG2):$I664),"")</f>
        <v/>
      </c>
      <c r="Z664" s="48" t="n">
        <f aca="false">IF($U664&gt;=MA_SHORT,AVERAGE(INDEX($L$544:$L664,122-MA_SHORT):$L664),"")</f>
        <v>63994660.2</v>
      </c>
      <c r="AA664" s="48" t="n">
        <f aca="false">IF($U664=1,$G664-$H664,MAX($G664-$H664,ABS($G664-$I663),ABS($H664-$I663)))</f>
        <v>111</v>
      </c>
      <c r="AB664" s="48" t="n">
        <f aca="false">IF($U664&gt;=ATR_PER,AVERAGE(INDEX($AA$544:$AA664,122-ATR_PER):$AA664),"")</f>
        <v>128.785714285714</v>
      </c>
      <c r="AC664" s="48" t="n">
        <f aca="false">$O664-$P664</f>
        <v>16340537</v>
      </c>
      <c r="AD664" s="48" t="n">
        <f aca="false">$AC664*$I664</f>
        <v>72617346428</v>
      </c>
      <c r="AE664" s="49" t="n">
        <f aca="false">IF($Q664&gt;0,$O664*$I664/$Q664/1000000,"")</f>
        <v>290.144520424</v>
      </c>
      <c r="AF664" s="49" t="n">
        <f aca="false">IF($R664&gt;0,$P664*$I664/$R664/1000000,"")</f>
        <v>128.694340646536</v>
      </c>
      <c r="AG664" s="50" t="n">
        <f aca="false">IF(AND(ISNUMBER($AE664),ISNUMBER($AF664),$AF664&gt;0),$AE664/$AF664,"")</f>
        <v>2.25452431681431</v>
      </c>
      <c r="AH664" s="48" t="n">
        <f aca="false">IF($U664&gt;=5,SUM(INDEX($AD$634:$AD664,32-5):$AD664),"")</f>
        <v>253808303947</v>
      </c>
      <c r="AI664" s="48" t="n">
        <f aca="false">IF($U664&gt;=STRUCT_S,MAX(INDEX($G$514:$G664,152-STRUCT_S):$G664),"")</f>
        <v>4486</v>
      </c>
      <c r="AJ664" s="48" t="n">
        <f aca="false">IF($U664&gt;=STRUCT_S,MIN(INDEX($H$514:$H664,152-STRUCT_S):$H664),"")</f>
        <v>3778</v>
      </c>
      <c r="AK664" s="48" t="n">
        <f aca="false">IF($U664&gt;=STRUCT_L,MAX(INDEX($G$414:$G664,252-STRUCT_L):$G664),"")</f>
        <v>4486</v>
      </c>
      <c r="AL664" s="48" t="n">
        <f aca="false">IF($U664&gt;=STRUCT_L,MIN(INDEX($H$414:$H664,252-STRUCT_L):$H664),"")</f>
        <v>3440</v>
      </c>
      <c r="AM664" s="46" t="n">
        <f aca="false">IF($A664&lt;&gt;$A665,1,0)</f>
        <v>0</v>
      </c>
      <c r="AN664" s="47" t="str">
        <f aca="false">IF($AM664=1,$A664,"")</f>
        <v/>
      </c>
    </row>
    <row r="665" customFormat="false" ht="15" hidden="false" customHeight="false" outlineLevel="0" collapsed="false">
      <c r="A665" s="43" t="s">
        <v>142</v>
      </c>
      <c r="B665" s="44" t="s">
        <v>144</v>
      </c>
      <c r="C665" s="45" t="n">
        <v>46102</v>
      </c>
      <c r="D665" s="46" t="n">
        <v>20260321</v>
      </c>
      <c r="E665" s="47" t="s">
        <v>428</v>
      </c>
      <c r="F665" s="48" t="n">
        <v>4366</v>
      </c>
      <c r="G665" s="48" t="n">
        <v>4522</v>
      </c>
      <c r="H665" s="48" t="n">
        <v>4298</v>
      </c>
      <c r="I665" s="48" t="n">
        <v>4374</v>
      </c>
      <c r="J665" s="48" t="n">
        <v>4384</v>
      </c>
      <c r="K665" s="48" t="n">
        <v>4444</v>
      </c>
      <c r="L665" s="48" t="n">
        <v>85642558</v>
      </c>
      <c r="M665" s="48" t="n">
        <v>374600548692</v>
      </c>
      <c r="N665" s="48" t="n">
        <v>4180</v>
      </c>
      <c r="O665" s="48" t="n">
        <v>37035739</v>
      </c>
      <c r="P665" s="48" t="n">
        <v>48609842</v>
      </c>
      <c r="Q665" s="48" t="n">
        <v>1722</v>
      </c>
      <c r="R665" s="48" t="n">
        <v>1931</v>
      </c>
      <c r="S665" s="48" t="n">
        <v>48606819</v>
      </c>
      <c r="T665" s="48" t="n">
        <v>37032716</v>
      </c>
      <c r="U665" s="46" t="n">
        <f aca="false">IF($A665=$A664,$U664+1,1)</f>
        <v>141</v>
      </c>
      <c r="V665" s="48" t="n">
        <f aca="false">IF($U665&gt;=MA_SHORT,AVERAGE(INDEX($I$265:$I665,402-MA_SHORT):$I665),"")</f>
        <v>4157.8</v>
      </c>
      <c r="W665" s="48" t="n">
        <f aca="false">IF($U665&gt;=MA_MED,AVERAGE(INDEX($I$265:$I665,402-MA_MED):$I665),"")</f>
        <v>4117.56</v>
      </c>
      <c r="X665" s="48" t="n">
        <f aca="false">IF($U665&gt;=MA_LONG1,AVERAGE(INDEX($I$265:$I665,402-MA_LONG1):$I665),"")</f>
        <v>3816.01</v>
      </c>
      <c r="Y665" s="48" t="str">
        <f aca="false">IF($U665&gt;=MA_LONG2,AVERAGE(INDEX($I$265:$I665,402-MA_LONG2):$I665),"")</f>
        <v/>
      </c>
      <c r="Z665" s="48" t="n">
        <f aca="false">IF($U665&gt;=MA_SHORT,AVERAGE(INDEX($L$545:$L665,122-MA_SHORT):$L665),"")</f>
        <v>63424916.85</v>
      </c>
      <c r="AA665" s="48" t="n">
        <f aca="false">IF($U665=1,$G665-$H665,MAX($G665-$H665,ABS($G665-$I664),ABS($H665-$I664)))</f>
        <v>224</v>
      </c>
      <c r="AB665" s="48" t="n">
        <f aca="false">IF($U665&gt;=ATR_PER,AVERAGE(INDEX($AA$545:$AA665,122-ATR_PER):$AA665),"")</f>
        <v>139.142857142857</v>
      </c>
      <c r="AC665" s="48" t="n">
        <f aca="false">$O665-$P665</f>
        <v>-11574103</v>
      </c>
      <c r="AD665" s="48" t="n">
        <f aca="false">$AC665*$I665</f>
        <v>-50625126522</v>
      </c>
      <c r="AE665" s="49" t="n">
        <f aca="false">IF($Q665&gt;0,$O665*$I665/$Q665/1000000,"")</f>
        <v>94.0733579477352</v>
      </c>
      <c r="AF665" s="49" t="n">
        <f aca="false">IF($R665&gt;0,$P665*$I665/$R665/1000000,"")</f>
        <v>110.108466549974</v>
      </c>
      <c r="AG665" s="50" t="n">
        <f aca="false">IF(AND(ISNUMBER($AE665),ISNUMBER($AF665),$AF665&gt;0),$AE665/$AF665,"")</f>
        <v>0.854369885398766</v>
      </c>
      <c r="AH665" s="48" t="n">
        <f aca="false">IF($U665&gt;=5,SUM(INDEX($AD$635:$AD665,32-5):$AD665),"")</f>
        <v>163721911000</v>
      </c>
      <c r="AI665" s="48" t="n">
        <f aca="false">IF($U665&gt;=STRUCT_S,MAX(INDEX($G$515:$G665,152-STRUCT_S):$G665),"")</f>
        <v>4522</v>
      </c>
      <c r="AJ665" s="48" t="n">
        <f aca="false">IF($U665&gt;=STRUCT_S,MIN(INDEX($H$515:$H665,152-STRUCT_S):$H665),"")</f>
        <v>3858</v>
      </c>
      <c r="AK665" s="48" t="n">
        <f aca="false">IF($U665&gt;=STRUCT_L,MAX(INDEX($G$415:$G665,252-STRUCT_L):$G665),"")</f>
        <v>4522</v>
      </c>
      <c r="AL665" s="48" t="n">
        <f aca="false">IF($U665&gt;=STRUCT_L,MIN(INDEX($H$415:$H665,252-STRUCT_L):$H665),"")</f>
        <v>3613</v>
      </c>
      <c r="AM665" s="46" t="n">
        <f aca="false">IF($A665&lt;&gt;$A666,1,0)</f>
        <v>0</v>
      </c>
      <c r="AN665" s="47" t="str">
        <f aca="false">IF($AM665=1,$A665,"")</f>
        <v/>
      </c>
    </row>
    <row r="666" customFormat="false" ht="15" hidden="false" customHeight="false" outlineLevel="0" collapsed="false">
      <c r="A666" s="43" t="s">
        <v>142</v>
      </c>
      <c r="B666" s="44" t="s">
        <v>144</v>
      </c>
      <c r="C666" s="45" t="n">
        <v>46103</v>
      </c>
      <c r="D666" s="46" t="n">
        <v>20260322</v>
      </c>
      <c r="E666" s="47" t="s">
        <v>429</v>
      </c>
      <c r="F666" s="48" t="n">
        <v>4264</v>
      </c>
      <c r="G666" s="48" t="n">
        <v>4480</v>
      </c>
      <c r="H666" s="48" t="n">
        <v>4253</v>
      </c>
      <c r="I666" s="48" t="n">
        <v>4358</v>
      </c>
      <c r="J666" s="48" t="n">
        <v>4360</v>
      </c>
      <c r="K666" s="48" t="n">
        <v>4374</v>
      </c>
      <c r="L666" s="48" t="n">
        <v>57001816</v>
      </c>
      <c r="M666" s="48" t="n">
        <v>248413914128</v>
      </c>
      <c r="N666" s="48" t="n">
        <v>1868</v>
      </c>
      <c r="O666" s="48" t="n">
        <v>29700139</v>
      </c>
      <c r="P666" s="48" t="n">
        <v>26148257</v>
      </c>
      <c r="Q666" s="48" t="n">
        <v>1006</v>
      </c>
      <c r="R666" s="48" t="n">
        <v>942</v>
      </c>
      <c r="S666" s="48" t="n">
        <v>27301677</v>
      </c>
      <c r="T666" s="48" t="n">
        <v>30853559</v>
      </c>
      <c r="U666" s="46" t="n">
        <f aca="false">IF($A666=$A665,$U665+1,1)</f>
        <v>142</v>
      </c>
      <c r="V666" s="48" t="n">
        <f aca="false">IF($U666&gt;=MA_SHORT,AVERAGE(INDEX($I$266:$I666,402-MA_SHORT):$I666),"")</f>
        <v>4172.9</v>
      </c>
      <c r="W666" s="48" t="n">
        <f aca="false">IF($U666&gt;=MA_MED,AVERAGE(INDEX($I$266:$I666,402-MA_MED):$I666),"")</f>
        <v>4126.2</v>
      </c>
      <c r="X666" s="48" t="n">
        <f aca="false">IF($U666&gt;=MA_LONG1,AVERAGE(INDEX($I$266:$I666,402-MA_LONG1):$I666),"")</f>
        <v>3825.86</v>
      </c>
      <c r="Y666" s="48" t="str">
        <f aca="false">IF($U666&gt;=MA_LONG2,AVERAGE(INDEX($I$266:$I666,402-MA_LONG2):$I666),"")</f>
        <v/>
      </c>
      <c r="Z666" s="48" t="n">
        <f aca="false">IF($U666&gt;=MA_SHORT,AVERAGE(INDEX($L$546:$L666,122-MA_SHORT):$L666),"")</f>
        <v>63440788.6</v>
      </c>
      <c r="AA666" s="48" t="n">
        <f aca="false">IF($U666=1,$G666-$H666,MAX($G666-$H666,ABS($G666-$I665),ABS($H666-$I665)))</f>
        <v>227</v>
      </c>
      <c r="AB666" s="48" t="n">
        <f aca="false">IF($U666&gt;=ATR_PER,AVERAGE(INDEX($AA$546:$AA666,122-ATR_PER):$AA666),"")</f>
        <v>148.785714285714</v>
      </c>
      <c r="AC666" s="48" t="n">
        <f aca="false">$O666-$P666</f>
        <v>3551882</v>
      </c>
      <c r="AD666" s="48" t="n">
        <f aca="false">$AC666*$I666</f>
        <v>15479101756</v>
      </c>
      <c r="AE666" s="49" t="n">
        <f aca="false">IF($Q666&gt;0,$O666*$I666/$Q666/1000000,"")</f>
        <v>128.661238332008</v>
      </c>
      <c r="AF666" s="49" t="n">
        <f aca="false">IF($R666&gt;0,$P666*$I666/$R666/1000000,"")</f>
        <v>120.970386418259</v>
      </c>
      <c r="AG666" s="50" t="n">
        <f aca="false">IF(AND(ISNUMBER($AE666),ISNUMBER($AF666),$AF666&gt;0),$AE666/$AF666,"")</f>
        <v>1.06357631930808</v>
      </c>
      <c r="AH666" s="48" t="n">
        <f aca="false">IF($U666&gt;=5,SUM(INDEX($AD$636:$AD666,32-5):$AD666),"")</f>
        <v>77387872019</v>
      </c>
      <c r="AI666" s="48" t="n">
        <f aca="false">IF($U666&gt;=STRUCT_S,MAX(INDEX($G$516:$G666,152-STRUCT_S):$G666),"")</f>
        <v>4522</v>
      </c>
      <c r="AJ666" s="48" t="n">
        <f aca="false">IF($U666&gt;=STRUCT_S,MIN(INDEX($H$516:$H666,152-STRUCT_S):$H666),"")</f>
        <v>3921</v>
      </c>
      <c r="AK666" s="48" t="n">
        <f aca="false">IF($U666&gt;=STRUCT_L,MAX(INDEX($G$416:$G666,252-STRUCT_L):$G666),"")</f>
        <v>4522</v>
      </c>
      <c r="AL666" s="48" t="n">
        <f aca="false">IF($U666&gt;=STRUCT_L,MIN(INDEX($H$416:$H666,252-STRUCT_L):$H666),"")</f>
        <v>3640</v>
      </c>
      <c r="AM666" s="46" t="n">
        <f aca="false">IF($A666&lt;&gt;$A667,1,0)</f>
        <v>0</v>
      </c>
      <c r="AN666" s="47" t="str">
        <f aca="false">IF($AM666=1,$A666,"")</f>
        <v/>
      </c>
    </row>
    <row r="667" customFormat="false" ht="15" hidden="false" customHeight="false" outlineLevel="0" collapsed="false">
      <c r="A667" s="43" t="s">
        <v>142</v>
      </c>
      <c r="B667" s="44" t="s">
        <v>144</v>
      </c>
      <c r="C667" s="45" t="n">
        <v>46104</v>
      </c>
      <c r="D667" s="46" t="n">
        <v>20260323</v>
      </c>
      <c r="E667" s="47" t="s">
        <v>430</v>
      </c>
      <c r="F667" s="48" t="n">
        <v>4363</v>
      </c>
      <c r="G667" s="48" t="n">
        <v>4434</v>
      </c>
      <c r="H667" s="48" t="n">
        <v>4177</v>
      </c>
      <c r="I667" s="48" t="n">
        <v>4251</v>
      </c>
      <c r="J667" s="48" t="n">
        <v>4259</v>
      </c>
      <c r="K667" s="48" t="n">
        <v>4358</v>
      </c>
      <c r="L667" s="48" t="n">
        <v>57397311</v>
      </c>
      <c r="M667" s="48" t="n">
        <v>243995969061</v>
      </c>
      <c r="N667" s="48" t="n">
        <v>3139</v>
      </c>
      <c r="O667" s="48" t="n">
        <v>27870308</v>
      </c>
      <c r="P667" s="48" t="n">
        <v>29303719</v>
      </c>
      <c r="Q667" s="48" t="n">
        <v>1095</v>
      </c>
      <c r="R667" s="48" t="n">
        <v>949</v>
      </c>
      <c r="S667" s="48" t="n">
        <v>29527003</v>
      </c>
      <c r="T667" s="48" t="n">
        <v>28093592</v>
      </c>
      <c r="U667" s="46" t="n">
        <f aca="false">IF($A667=$A666,$U666+1,1)</f>
        <v>143</v>
      </c>
      <c r="V667" s="48" t="n">
        <f aca="false">IF($U667&gt;=MA_SHORT,AVERAGE(INDEX($I$267:$I667,402-MA_SHORT):$I667),"")</f>
        <v>4184</v>
      </c>
      <c r="W667" s="48" t="n">
        <f aca="false">IF($U667&gt;=MA_MED,AVERAGE(INDEX($I$267:$I667,402-MA_MED):$I667),"")</f>
        <v>4132.6</v>
      </c>
      <c r="X667" s="48" t="n">
        <f aca="false">IF($U667&gt;=MA_LONG1,AVERAGE(INDEX($I$267:$I667,402-MA_LONG1):$I667),"")</f>
        <v>3834.51</v>
      </c>
      <c r="Y667" s="48" t="str">
        <f aca="false">IF($U667&gt;=MA_LONG2,AVERAGE(INDEX($I$267:$I667,402-MA_LONG2):$I667),"")</f>
        <v/>
      </c>
      <c r="Z667" s="48" t="n">
        <f aca="false">IF($U667&gt;=MA_SHORT,AVERAGE(INDEX($L$547:$L667,122-MA_SHORT):$L667),"")</f>
        <v>63709372.35</v>
      </c>
      <c r="AA667" s="48" t="n">
        <f aca="false">IF($U667=1,$G667-$H667,MAX($G667-$H667,ABS($G667-$I666),ABS($H667-$I666)))</f>
        <v>257</v>
      </c>
      <c r="AB667" s="48" t="n">
        <f aca="false">IF($U667&gt;=ATR_PER,AVERAGE(INDEX($AA$547:$AA667,122-ATR_PER):$AA667),"")</f>
        <v>164.571428571429</v>
      </c>
      <c r="AC667" s="48" t="n">
        <f aca="false">$O667-$P667</f>
        <v>-1433411</v>
      </c>
      <c r="AD667" s="48" t="n">
        <f aca="false">$AC667*$I667</f>
        <v>-6093430161</v>
      </c>
      <c r="AE667" s="49" t="n">
        <f aca="false">IF($Q667&gt;0,$O667*$I667/$Q667/1000000,"")</f>
        <v>108.197880646575</v>
      </c>
      <c r="AF667" s="49" t="n">
        <f aca="false">IF($R667&gt;0,$P667*$I667/$R667/1000000,"")</f>
        <v>131.264604287671</v>
      </c>
      <c r="AG667" s="50" t="n">
        <f aca="false">IF(AND(ISNUMBER($AE667),ISNUMBER($AF667),$AF667&gt;0),$AE667/$AF667,"")</f>
        <v>0.824273087430757</v>
      </c>
      <c r="AH667" s="48" t="n">
        <f aca="false">IF($U667&gt;=5,SUM(INDEX($AD$637:$AD667,32-5):$AD667),"")</f>
        <v>72424726317</v>
      </c>
      <c r="AI667" s="48" t="n">
        <f aca="false">IF($U667&gt;=STRUCT_S,MAX(INDEX($G$517:$G667,152-STRUCT_S):$G667),"")</f>
        <v>4522</v>
      </c>
      <c r="AJ667" s="48" t="n">
        <f aca="false">IF($U667&gt;=STRUCT_S,MIN(INDEX($H$517:$H667,152-STRUCT_S):$H667),"")</f>
        <v>3921</v>
      </c>
      <c r="AK667" s="48" t="n">
        <f aca="false">IF($U667&gt;=STRUCT_L,MAX(INDEX($G$417:$G667,252-STRUCT_L):$G667),"")</f>
        <v>4522</v>
      </c>
      <c r="AL667" s="48" t="n">
        <f aca="false">IF($U667&gt;=STRUCT_L,MIN(INDEX($H$417:$H667,252-STRUCT_L):$H667),"")</f>
        <v>3640</v>
      </c>
      <c r="AM667" s="46" t="n">
        <f aca="false">IF($A667&lt;&gt;$A668,1,0)</f>
        <v>0</v>
      </c>
      <c r="AN667" s="47" t="str">
        <f aca="false">IF($AM667=1,$A667,"")</f>
        <v/>
      </c>
    </row>
    <row r="668" customFormat="false" ht="15" hidden="false" customHeight="false" outlineLevel="0" collapsed="false">
      <c r="A668" s="43" t="s">
        <v>142</v>
      </c>
      <c r="B668" s="44" t="s">
        <v>144</v>
      </c>
      <c r="C668" s="45" t="n">
        <v>46105</v>
      </c>
      <c r="D668" s="46" t="n">
        <v>20260324</v>
      </c>
      <c r="E668" s="47" t="s">
        <v>431</v>
      </c>
      <c r="F668" s="48" t="n">
        <v>4323</v>
      </c>
      <c r="G668" s="48" t="n">
        <v>4415</v>
      </c>
      <c r="H668" s="48" t="n">
        <v>4205</v>
      </c>
      <c r="I668" s="48" t="n">
        <v>4367</v>
      </c>
      <c r="J668" s="48" t="n">
        <v>4241</v>
      </c>
      <c r="K668" s="48" t="n">
        <v>4251</v>
      </c>
      <c r="L668" s="48" t="n">
        <v>66299071</v>
      </c>
      <c r="M668" s="48" t="n">
        <v>289528043057</v>
      </c>
      <c r="N668" s="48" t="n">
        <v>2045</v>
      </c>
      <c r="O668" s="48" t="n">
        <v>42657688</v>
      </c>
      <c r="P668" s="48" t="n">
        <v>28694194</v>
      </c>
      <c r="Q668" s="48" t="n">
        <v>887</v>
      </c>
      <c r="R668" s="48" t="n">
        <v>1166</v>
      </c>
      <c r="S668" s="48" t="n">
        <v>23641383</v>
      </c>
      <c r="T668" s="48" t="n">
        <v>37604877</v>
      </c>
      <c r="U668" s="46" t="n">
        <f aca="false">IF($A668=$A667,$U667+1,1)</f>
        <v>144</v>
      </c>
      <c r="V668" s="48" t="n">
        <f aca="false">IF($U668&gt;=MA_SHORT,AVERAGE(INDEX($I$268:$I668,402-MA_SHORT):$I668),"")</f>
        <v>4198.15</v>
      </c>
      <c r="W668" s="48" t="n">
        <f aca="false">IF($U668&gt;=MA_MED,AVERAGE(INDEX($I$268:$I668,402-MA_MED):$I668),"")</f>
        <v>4142.9</v>
      </c>
      <c r="X668" s="48" t="n">
        <f aca="false">IF($U668&gt;=MA_LONG1,AVERAGE(INDEX($I$268:$I668,402-MA_LONG1):$I668),"")</f>
        <v>3844.36</v>
      </c>
      <c r="Y668" s="48" t="str">
        <f aca="false">IF($U668&gt;=MA_LONG2,AVERAGE(INDEX($I$268:$I668,402-MA_LONG2):$I668),"")</f>
        <v/>
      </c>
      <c r="Z668" s="48" t="n">
        <f aca="false">IF($U668&gt;=MA_SHORT,AVERAGE(INDEX($L$548:$L668,122-MA_SHORT):$L668),"")</f>
        <v>64318073</v>
      </c>
      <c r="AA668" s="48" t="n">
        <f aca="false">IF($U668=1,$G668-$H668,MAX($G668-$H668,ABS($G668-$I667),ABS($H668-$I667)))</f>
        <v>210</v>
      </c>
      <c r="AB668" s="48" t="n">
        <f aca="false">IF($U668&gt;=ATR_PER,AVERAGE(INDEX($AA$548:$AA668,122-ATR_PER):$AA668),"")</f>
        <v>175</v>
      </c>
      <c r="AC668" s="48" t="n">
        <f aca="false">$O668-$P668</f>
        <v>13963494</v>
      </c>
      <c r="AD668" s="48" t="n">
        <f aca="false">$AC668*$I668</f>
        <v>60978578298</v>
      </c>
      <c r="AE668" s="49" t="n">
        <f aca="false">IF($Q668&gt;0,$O668*$I668/$Q668/1000000,"")</f>
        <v>210.018177560316</v>
      </c>
      <c r="AF668" s="49" t="n">
        <f aca="false">IF($R668&gt;0,$P668*$I668/$R668/1000000,"")</f>
        <v>107.467877528302</v>
      </c>
      <c r="AG668" s="50" t="n">
        <f aca="false">IF(AND(ISNUMBER($AE668),ISNUMBER($AF668),$AF668&gt;0),$AE668/$AF668,"")</f>
        <v>1.95424141976757</v>
      </c>
      <c r="AH668" s="48" t="n">
        <f aca="false">IF($U668&gt;=5,SUM(INDEX($AD$638:$AD668,32-5):$AD668),"")</f>
        <v>92356469799</v>
      </c>
      <c r="AI668" s="48" t="n">
        <f aca="false">IF($U668&gt;=STRUCT_S,MAX(INDEX($G$518:$G668,152-STRUCT_S):$G668),"")</f>
        <v>4522</v>
      </c>
      <c r="AJ668" s="48" t="n">
        <f aca="false">IF($U668&gt;=STRUCT_S,MIN(INDEX($H$518:$H668,152-STRUCT_S):$H668),"")</f>
        <v>3921</v>
      </c>
      <c r="AK668" s="48" t="n">
        <f aca="false">IF($U668&gt;=STRUCT_L,MAX(INDEX($G$418:$G668,252-STRUCT_L):$G668),"")</f>
        <v>4522</v>
      </c>
      <c r="AL668" s="48" t="n">
        <f aca="false">IF($U668&gt;=STRUCT_L,MIN(INDEX($H$418:$H668,252-STRUCT_L):$H668),"")</f>
        <v>3744</v>
      </c>
      <c r="AM668" s="46" t="n">
        <f aca="false">IF($A668&lt;&gt;$A669,1,0)</f>
        <v>0</v>
      </c>
      <c r="AN668" s="47" t="str">
        <f aca="false">IF($AM668=1,$A668,"")</f>
        <v/>
      </c>
    </row>
    <row r="669" customFormat="false" ht="15" hidden="false" customHeight="false" outlineLevel="0" collapsed="false">
      <c r="A669" s="43" t="s">
        <v>142</v>
      </c>
      <c r="B669" s="44" t="s">
        <v>144</v>
      </c>
      <c r="C669" s="45" t="n">
        <v>46106</v>
      </c>
      <c r="D669" s="46" t="n">
        <v>20260325</v>
      </c>
      <c r="E669" s="47" t="s">
        <v>432</v>
      </c>
      <c r="F669" s="48" t="n">
        <v>4354</v>
      </c>
      <c r="G669" s="48" t="n">
        <v>4477</v>
      </c>
      <c r="H669" s="48" t="n">
        <v>4324</v>
      </c>
      <c r="I669" s="48" t="n">
        <v>4433</v>
      </c>
      <c r="J669" s="48" t="n">
        <v>4395</v>
      </c>
      <c r="K669" s="48" t="n">
        <v>4367</v>
      </c>
      <c r="L669" s="48" t="n">
        <v>54563995</v>
      </c>
      <c r="M669" s="48" t="n">
        <v>241882189835</v>
      </c>
      <c r="N669" s="48" t="n">
        <v>1308</v>
      </c>
      <c r="O669" s="48" t="n">
        <v>29687990</v>
      </c>
      <c r="P669" s="48" t="n">
        <v>28244621</v>
      </c>
      <c r="Q669" s="48" t="n">
        <v>522</v>
      </c>
      <c r="R669" s="48" t="n">
        <v>607</v>
      </c>
      <c r="S669" s="48" t="n">
        <v>24876005</v>
      </c>
      <c r="T669" s="48" t="n">
        <v>26319374</v>
      </c>
      <c r="U669" s="46" t="n">
        <f aca="false">IF($A669=$A668,$U668+1,1)</f>
        <v>145</v>
      </c>
      <c r="V669" s="48" t="n">
        <f aca="false">IF($U669&gt;=MA_SHORT,AVERAGE(INDEX($I$269:$I669,402-MA_SHORT):$I669),"")</f>
        <v>4213</v>
      </c>
      <c r="W669" s="48" t="n">
        <f aca="false">IF($U669&gt;=MA_MED,AVERAGE(INDEX($I$269:$I669,402-MA_MED):$I669),"")</f>
        <v>4154.08</v>
      </c>
      <c r="X669" s="48" t="n">
        <f aca="false">IF($U669&gt;=MA_LONG1,AVERAGE(INDEX($I$269:$I669,402-MA_LONG1):$I669),"")</f>
        <v>3854.46</v>
      </c>
      <c r="Y669" s="48" t="str">
        <f aca="false">IF($U669&gt;=MA_LONG2,AVERAGE(INDEX($I$269:$I669,402-MA_LONG2):$I669),"")</f>
        <v/>
      </c>
      <c r="Z669" s="48" t="n">
        <f aca="false">IF($U669&gt;=MA_SHORT,AVERAGE(INDEX($L$549:$L669,122-MA_SHORT):$L669),"")</f>
        <v>64008487.5</v>
      </c>
      <c r="AA669" s="48" t="n">
        <f aca="false">IF($U669=1,$G669-$H669,MAX($G669-$H669,ABS($G669-$I668),ABS($H669-$I668)))</f>
        <v>153</v>
      </c>
      <c r="AB669" s="48" t="n">
        <f aca="false">IF($U669&gt;=ATR_PER,AVERAGE(INDEX($AA$549:$AA669,122-ATR_PER):$AA669),"")</f>
        <v>170.5</v>
      </c>
      <c r="AC669" s="48" t="n">
        <f aca="false">$O669-$P669</f>
        <v>1443369</v>
      </c>
      <c r="AD669" s="48" t="n">
        <f aca="false">$AC669*$I669</f>
        <v>6398454777</v>
      </c>
      <c r="AE669" s="49" t="n">
        <f aca="false">IF($Q669&gt;0,$O669*$I669/$Q669/1000000,"")</f>
        <v>252.120420823755</v>
      </c>
      <c r="AF669" s="49" t="n">
        <f aca="false">IF($R669&gt;0,$P669*$I669/$R669/1000000,"")</f>
        <v>206.274143151565</v>
      </c>
      <c r="AG669" s="50" t="n">
        <f aca="false">IF(AND(ISNUMBER($AE669),ISNUMBER($AF669),$AF669&gt;0),$AE669/$AF669,"")</f>
        <v>1.22225896552872</v>
      </c>
      <c r="AH669" s="48" t="n">
        <f aca="false">IF($U669&gt;=5,SUM(INDEX($AD$639:$AD669,32-5):$AD669),"")</f>
        <v>26137578148</v>
      </c>
      <c r="AI669" s="48" t="n">
        <f aca="false">IF($U669&gt;=STRUCT_S,MAX(INDEX($G$519:$G669,152-STRUCT_S):$G669),"")</f>
        <v>4522</v>
      </c>
      <c r="AJ669" s="48" t="n">
        <f aca="false">IF($U669&gt;=STRUCT_S,MIN(INDEX($H$519:$H669,152-STRUCT_S):$H669),"")</f>
        <v>3921</v>
      </c>
      <c r="AK669" s="48" t="n">
        <f aca="false">IF($U669&gt;=STRUCT_L,MAX(INDEX($G$419:$G669,252-STRUCT_L):$G669),"")</f>
        <v>4522</v>
      </c>
      <c r="AL669" s="48" t="n">
        <f aca="false">IF($U669&gt;=STRUCT_L,MIN(INDEX($H$419:$H669,252-STRUCT_L):$H669),"")</f>
        <v>3762</v>
      </c>
      <c r="AM669" s="46" t="n">
        <f aca="false">IF($A669&lt;&gt;$A670,1,0)</f>
        <v>0</v>
      </c>
      <c r="AN669" s="47" t="str">
        <f aca="false">IF($AM669=1,$A669,"")</f>
        <v/>
      </c>
    </row>
    <row r="670" customFormat="false" ht="15" hidden="false" customHeight="false" outlineLevel="0" collapsed="false">
      <c r="A670" s="43" t="s">
        <v>142</v>
      </c>
      <c r="B670" s="44" t="s">
        <v>144</v>
      </c>
      <c r="C670" s="45" t="n">
        <v>46109</v>
      </c>
      <c r="D670" s="46" t="n">
        <v>20260328</v>
      </c>
      <c r="E670" s="47" t="s">
        <v>433</v>
      </c>
      <c r="F670" s="48" t="n">
        <v>4447</v>
      </c>
      <c r="G670" s="48" t="n">
        <v>4531</v>
      </c>
      <c r="H670" s="48" t="n">
        <v>4297</v>
      </c>
      <c r="I670" s="48" t="n">
        <v>4394</v>
      </c>
      <c r="J670" s="48" t="n">
        <v>4431</v>
      </c>
      <c r="K670" s="48" t="n">
        <v>4433</v>
      </c>
      <c r="L670" s="48" t="n">
        <v>95860247</v>
      </c>
      <c r="M670" s="48" t="n">
        <v>421209925318</v>
      </c>
      <c r="N670" s="48" t="n">
        <v>2256</v>
      </c>
      <c r="O670" s="48" t="n">
        <v>43250723</v>
      </c>
      <c r="P670" s="48" t="n">
        <v>55894225</v>
      </c>
      <c r="Q670" s="48" t="n">
        <v>1348</v>
      </c>
      <c r="R670" s="48" t="n">
        <v>714</v>
      </c>
      <c r="S670" s="48" t="n">
        <v>52609524</v>
      </c>
      <c r="T670" s="48" t="n">
        <v>39966022</v>
      </c>
      <c r="U670" s="46" t="n">
        <f aca="false">IF($A670=$A669,$U669+1,1)</f>
        <v>146</v>
      </c>
      <c r="V670" s="48" t="n">
        <f aca="false">IF($U670&gt;=MA_SHORT,AVERAGE(INDEX($I$270:$I670,402-MA_SHORT):$I670),"")</f>
        <v>4227.65</v>
      </c>
      <c r="W670" s="48" t="n">
        <f aca="false">IF($U670&gt;=MA_MED,AVERAGE(INDEX($I$270:$I670,402-MA_MED):$I670),"")</f>
        <v>4161.08</v>
      </c>
      <c r="X670" s="48" t="n">
        <f aca="false">IF($U670&gt;=MA_LONG1,AVERAGE(INDEX($I$270:$I670,402-MA_LONG1):$I670),"")</f>
        <v>3864.14</v>
      </c>
      <c r="Y670" s="48" t="str">
        <f aca="false">IF($U670&gt;=MA_LONG2,AVERAGE(INDEX($I$270:$I670,402-MA_LONG2):$I670),"")</f>
        <v/>
      </c>
      <c r="Z670" s="48" t="n">
        <f aca="false">IF($U670&gt;=MA_SHORT,AVERAGE(INDEX($L$550:$L670,122-MA_SHORT):$L670),"")</f>
        <v>65705973</v>
      </c>
      <c r="AA670" s="48" t="n">
        <f aca="false">IF($U670=1,$G670-$H670,MAX($G670-$H670,ABS($G670-$I669),ABS($H670-$I669)))</f>
        <v>234</v>
      </c>
      <c r="AB670" s="48" t="n">
        <f aca="false">IF($U670&gt;=ATR_PER,AVERAGE(INDEX($AA$550:$AA670,122-ATR_PER):$AA670),"")</f>
        <v>177.285714285714</v>
      </c>
      <c r="AC670" s="48" t="n">
        <f aca="false">$O670-$P670</f>
        <v>-12643502</v>
      </c>
      <c r="AD670" s="48" t="n">
        <f aca="false">$AC670*$I670</f>
        <v>-55555547788</v>
      </c>
      <c r="AE670" s="49" t="n">
        <f aca="false">IF($Q670&gt;0,$O670*$I670/$Q670/1000000,"")</f>
        <v>140.98195612908</v>
      </c>
      <c r="AF670" s="49" t="n">
        <f aca="false">IF($R670&gt;0,$P670*$I670/$R670/1000000,"")</f>
        <v>343.976505112045</v>
      </c>
      <c r="AG670" s="50" t="n">
        <f aca="false">IF(AND(ISNUMBER($AE670),ISNUMBER($AF670),$AF670&gt;0),$AE670/$AF670,"")</f>
        <v>0.409859260832822</v>
      </c>
      <c r="AH670" s="48" t="n">
        <f aca="false">IF($U670&gt;=5,SUM(INDEX($AD$640:$AD670,32-5):$AD670),"")</f>
        <v>21207156882</v>
      </c>
      <c r="AI670" s="48" t="n">
        <f aca="false">IF($U670&gt;=STRUCT_S,MAX(INDEX($G$520:$G670,152-STRUCT_S):$G670),"")</f>
        <v>4531</v>
      </c>
      <c r="AJ670" s="48" t="n">
        <f aca="false">IF($U670&gt;=STRUCT_S,MIN(INDEX($H$520:$H670,152-STRUCT_S):$H670),"")</f>
        <v>3921</v>
      </c>
      <c r="AK670" s="48" t="n">
        <f aca="false">IF($U670&gt;=STRUCT_L,MAX(INDEX($G$420:$G670,252-STRUCT_L):$G670),"")</f>
        <v>4531</v>
      </c>
      <c r="AL670" s="48" t="n">
        <f aca="false">IF($U670&gt;=STRUCT_L,MIN(INDEX($H$420:$H670,252-STRUCT_L):$H670),"")</f>
        <v>3775</v>
      </c>
      <c r="AM670" s="46" t="n">
        <f aca="false">IF($A670&lt;&gt;$A671,1,0)</f>
        <v>0</v>
      </c>
      <c r="AN670" s="47" t="str">
        <f aca="false">IF($AM670=1,$A670,"")</f>
        <v/>
      </c>
    </row>
    <row r="671" customFormat="false" ht="15" hidden="false" customHeight="false" outlineLevel="0" collapsed="false">
      <c r="A671" s="43" t="s">
        <v>142</v>
      </c>
      <c r="B671" s="44" t="s">
        <v>144</v>
      </c>
      <c r="C671" s="45" t="n">
        <v>46110</v>
      </c>
      <c r="D671" s="46" t="n">
        <v>20260329</v>
      </c>
      <c r="E671" s="47" t="s">
        <v>434</v>
      </c>
      <c r="F671" s="48" t="n">
        <v>4317</v>
      </c>
      <c r="G671" s="48" t="n">
        <v>4411</v>
      </c>
      <c r="H671" s="48" t="n">
        <v>4316</v>
      </c>
      <c r="I671" s="48" t="n">
        <v>4333</v>
      </c>
      <c r="J671" s="48" t="n">
        <v>4353</v>
      </c>
      <c r="K671" s="48" t="n">
        <v>4394</v>
      </c>
      <c r="L671" s="48" t="n">
        <v>78914917</v>
      </c>
      <c r="M671" s="48" t="n">
        <v>341938335361</v>
      </c>
      <c r="N671" s="48" t="n">
        <v>1824</v>
      </c>
      <c r="O671" s="48" t="n">
        <v>38265043</v>
      </c>
      <c r="P671" s="48" t="n">
        <v>41077456</v>
      </c>
      <c r="Q671" s="48" t="n">
        <v>769</v>
      </c>
      <c r="R671" s="48" t="n">
        <v>511</v>
      </c>
      <c r="S671" s="48" t="n">
        <v>40649874</v>
      </c>
      <c r="T671" s="48" t="n">
        <v>37837461</v>
      </c>
      <c r="U671" s="46" t="n">
        <f aca="false">IF($A671=$A670,$U670+1,1)</f>
        <v>147</v>
      </c>
      <c r="V671" s="48" t="n">
        <f aca="false">IF($U671&gt;=MA_SHORT,AVERAGE(INDEX($I$271:$I671,402-MA_SHORT):$I671),"")</f>
        <v>4239.1</v>
      </c>
      <c r="W671" s="48" t="n">
        <f aca="false">IF($U671&gt;=MA_MED,AVERAGE(INDEX($I$271:$I671,402-MA_MED):$I671),"")</f>
        <v>4165.94</v>
      </c>
      <c r="X671" s="48" t="n">
        <f aca="false">IF($U671&gt;=MA_LONG1,AVERAGE(INDEX($I$271:$I671,402-MA_LONG1):$I671),"")</f>
        <v>3873.64</v>
      </c>
      <c r="Y671" s="48" t="str">
        <f aca="false">IF($U671&gt;=MA_LONG2,AVERAGE(INDEX($I$271:$I671,402-MA_LONG2):$I671),"")</f>
        <v/>
      </c>
      <c r="Z671" s="48" t="n">
        <f aca="false">IF($U671&gt;=MA_SHORT,AVERAGE(INDEX($L$551:$L671,122-MA_SHORT):$L671),"")</f>
        <v>66272183.1</v>
      </c>
      <c r="AA671" s="48" t="n">
        <f aca="false">IF($U671=1,$G671-$H671,MAX($G671-$H671,ABS($G671-$I670),ABS($H671-$I670)))</f>
        <v>95</v>
      </c>
      <c r="AB671" s="48" t="n">
        <f aca="false">IF($U671&gt;=ATR_PER,AVERAGE(INDEX($AA$551:$AA671,122-ATR_PER):$AA671),"")</f>
        <v>175.071428571429</v>
      </c>
      <c r="AC671" s="48" t="n">
        <f aca="false">$O671-$P671</f>
        <v>-2812413</v>
      </c>
      <c r="AD671" s="48" t="n">
        <f aca="false">$AC671*$I671</f>
        <v>-12186185529</v>
      </c>
      <c r="AE671" s="49" t="n">
        <f aca="false">IF($Q671&gt;0,$O671*$I671/$Q671/1000000,"")</f>
        <v>215.60784306762</v>
      </c>
      <c r="AF671" s="49" t="n">
        <f aca="false">IF($R671&gt;0,$P671*$I671/$R671/1000000,"")</f>
        <v>348.314318684932</v>
      </c>
      <c r="AG671" s="50" t="n">
        <f aca="false">IF(AND(ISNUMBER($AE671),ISNUMBER($AF671),$AF671&gt;0),$AE671/$AF671,"")</f>
        <v>0.619003674272285</v>
      </c>
      <c r="AH671" s="48" t="n">
        <f aca="false">IF($U671&gt;=5,SUM(INDEX($AD$641:$AD671,32-5):$AD671),"")</f>
        <v>-6458130403</v>
      </c>
      <c r="AI671" s="48" t="n">
        <f aca="false">IF($U671&gt;=STRUCT_S,MAX(INDEX($G$521:$G671,152-STRUCT_S):$G671),"")</f>
        <v>4531</v>
      </c>
      <c r="AJ671" s="48" t="n">
        <f aca="false">IF($U671&gt;=STRUCT_S,MIN(INDEX($H$521:$H671,152-STRUCT_S):$H671),"")</f>
        <v>3921</v>
      </c>
      <c r="AK671" s="48" t="n">
        <f aca="false">IF($U671&gt;=STRUCT_L,MAX(INDEX($G$421:$G671,252-STRUCT_L):$G671),"")</f>
        <v>4531</v>
      </c>
      <c r="AL671" s="48" t="n">
        <f aca="false">IF($U671&gt;=STRUCT_L,MIN(INDEX($H$421:$H671,252-STRUCT_L):$H671),"")</f>
        <v>3775</v>
      </c>
      <c r="AM671" s="46" t="n">
        <f aca="false">IF($A671&lt;&gt;$A672,1,0)</f>
        <v>0</v>
      </c>
      <c r="AN671" s="47" t="str">
        <f aca="false">IF($AM671=1,$A671,"")</f>
        <v/>
      </c>
    </row>
    <row r="672" customFormat="false" ht="15" hidden="false" customHeight="false" outlineLevel="0" collapsed="false">
      <c r="A672" s="43" t="s">
        <v>142</v>
      </c>
      <c r="B672" s="44" t="s">
        <v>144</v>
      </c>
      <c r="C672" s="45" t="n">
        <v>46111</v>
      </c>
      <c r="D672" s="46" t="n">
        <v>20260330</v>
      </c>
      <c r="E672" s="47" t="s">
        <v>435</v>
      </c>
      <c r="F672" s="48" t="n">
        <v>4341</v>
      </c>
      <c r="G672" s="48" t="n">
        <v>4432</v>
      </c>
      <c r="H672" s="48" t="n">
        <v>4167</v>
      </c>
      <c r="I672" s="48" t="n">
        <v>4265</v>
      </c>
      <c r="J672" s="48" t="n">
        <v>4182</v>
      </c>
      <c r="K672" s="48" t="n">
        <v>4333</v>
      </c>
      <c r="L672" s="48" t="n">
        <v>72299938</v>
      </c>
      <c r="M672" s="48" t="n">
        <v>308359235570</v>
      </c>
      <c r="N672" s="48" t="n">
        <v>4115</v>
      </c>
      <c r="O672" s="48" t="n">
        <v>27341051</v>
      </c>
      <c r="P672" s="48" t="n">
        <v>46149610</v>
      </c>
      <c r="Q672" s="48" t="n">
        <v>1905</v>
      </c>
      <c r="R672" s="48" t="n">
        <v>1925</v>
      </c>
      <c r="S672" s="48" t="n">
        <v>44958887</v>
      </c>
      <c r="T672" s="48" t="n">
        <v>26150328</v>
      </c>
      <c r="U672" s="46" t="n">
        <f aca="false">IF($A672=$A671,$U671+1,1)</f>
        <v>148</v>
      </c>
      <c r="V672" s="48" t="n">
        <f aca="false">IF($U672&gt;=MA_SHORT,AVERAGE(INDEX($I$272:$I672,402-MA_SHORT):$I672),"")</f>
        <v>4246.45</v>
      </c>
      <c r="W672" s="48" t="n">
        <f aca="false">IF($U672&gt;=MA_MED,AVERAGE(INDEX($I$272:$I672,402-MA_MED):$I672),"")</f>
        <v>4167.14</v>
      </c>
      <c r="X672" s="48" t="n">
        <f aca="false">IF($U672&gt;=MA_LONG1,AVERAGE(INDEX($I$272:$I672,402-MA_LONG1):$I672),"")</f>
        <v>3881.08</v>
      </c>
      <c r="Y672" s="48" t="str">
        <f aca="false">IF($U672&gt;=MA_LONG2,AVERAGE(INDEX($I$272:$I672,402-MA_LONG2):$I672),"")</f>
        <v/>
      </c>
      <c r="Z672" s="48" t="n">
        <f aca="false">IF($U672&gt;=MA_SHORT,AVERAGE(INDEX($L$552:$L672,122-MA_SHORT):$L672),"")</f>
        <v>67334607.45</v>
      </c>
      <c r="AA672" s="48" t="n">
        <f aca="false">IF($U672=1,$G672-$H672,MAX($G672-$H672,ABS($G672-$I671),ABS($H672-$I671)))</f>
        <v>265</v>
      </c>
      <c r="AB672" s="48" t="n">
        <f aca="false">IF($U672&gt;=ATR_PER,AVERAGE(INDEX($AA$552:$AA672,122-ATR_PER):$AA672),"")</f>
        <v>179.928571428571</v>
      </c>
      <c r="AC672" s="48" t="n">
        <f aca="false">$O672-$P672</f>
        <v>-18808559</v>
      </c>
      <c r="AD672" s="48" t="n">
        <f aca="false">$AC672*$I672</f>
        <v>-80218504135</v>
      </c>
      <c r="AE672" s="49" t="n">
        <f aca="false">IF($Q672&gt;0,$O672*$I672/$Q672/1000000,"")</f>
        <v>61.2123792729659</v>
      </c>
      <c r="AF672" s="49" t="n">
        <f aca="false">IF($R672&gt;0,$P672*$I672/$R672/1000000,"")</f>
        <v>102.248356701299</v>
      </c>
      <c r="AG672" s="50" t="n">
        <f aca="false">IF(AND(ISNUMBER($AE672),ISNUMBER($AF672),$AF672&gt;0),$AE672/$AF672,"")</f>
        <v>0.598663697371563</v>
      </c>
      <c r="AH672" s="48" t="n">
        <f aca="false">IF($U672&gt;=5,SUM(INDEX($AD$642:$AD672,32-5):$AD672),"")</f>
        <v>-80583204377</v>
      </c>
      <c r="AI672" s="48" t="n">
        <f aca="false">IF($U672&gt;=STRUCT_S,MAX(INDEX($G$522:$G672,152-STRUCT_S):$G672),"")</f>
        <v>4531</v>
      </c>
      <c r="AJ672" s="48" t="n">
        <f aca="false">IF($U672&gt;=STRUCT_S,MIN(INDEX($H$522:$H672,152-STRUCT_S):$H672),"")</f>
        <v>3921</v>
      </c>
      <c r="AK672" s="48" t="n">
        <f aca="false">IF($U672&gt;=STRUCT_L,MAX(INDEX($G$422:$G672,252-STRUCT_L):$G672),"")</f>
        <v>4531</v>
      </c>
      <c r="AL672" s="48" t="n">
        <f aca="false">IF($U672&gt;=STRUCT_L,MIN(INDEX($H$422:$H672,252-STRUCT_L):$H672),"")</f>
        <v>3775</v>
      </c>
      <c r="AM672" s="46" t="n">
        <f aca="false">IF($A672&lt;&gt;$A673,1,0)</f>
        <v>0</v>
      </c>
      <c r="AN672" s="47" t="str">
        <f aca="false">IF($AM672=1,$A672,"")</f>
        <v/>
      </c>
    </row>
    <row r="673" customFormat="false" ht="15" hidden="false" customHeight="false" outlineLevel="0" collapsed="false">
      <c r="A673" s="43" t="s">
        <v>142</v>
      </c>
      <c r="B673" s="44" t="s">
        <v>144</v>
      </c>
      <c r="C673" s="45" t="n">
        <v>46112</v>
      </c>
      <c r="D673" s="46" t="n">
        <v>20260331</v>
      </c>
      <c r="E673" s="47" t="s">
        <v>436</v>
      </c>
      <c r="F673" s="48" t="n">
        <v>4308</v>
      </c>
      <c r="G673" s="48" t="n">
        <v>4323</v>
      </c>
      <c r="H673" s="48" t="n">
        <v>4245</v>
      </c>
      <c r="I673" s="48" t="n">
        <v>4303</v>
      </c>
      <c r="J673" s="48" t="n">
        <v>4297</v>
      </c>
      <c r="K673" s="48" t="n">
        <v>4265</v>
      </c>
      <c r="L673" s="48" t="n">
        <v>141848858</v>
      </c>
      <c r="M673" s="48" t="n">
        <v>610375635974</v>
      </c>
      <c r="N673" s="48" t="n">
        <v>5088</v>
      </c>
      <c r="O673" s="48" t="n">
        <v>90435242</v>
      </c>
      <c r="P673" s="48" t="n">
        <v>48899425</v>
      </c>
      <c r="Q673" s="48" t="n">
        <v>2301</v>
      </c>
      <c r="R673" s="48" t="n">
        <v>1954</v>
      </c>
      <c r="S673" s="48" t="n">
        <v>51413616</v>
      </c>
      <c r="T673" s="48" t="n">
        <v>92949433</v>
      </c>
      <c r="U673" s="46" t="n">
        <f aca="false">IF($A673=$A672,$U672+1,1)</f>
        <v>149</v>
      </c>
      <c r="V673" s="48" t="n">
        <f aca="false">IF($U673&gt;=MA_SHORT,AVERAGE(INDEX($I$273:$I673,402-MA_SHORT):$I673),"")</f>
        <v>4256.3</v>
      </c>
      <c r="W673" s="48" t="n">
        <f aca="false">IF($U673&gt;=MA_MED,AVERAGE(INDEX($I$273:$I673,402-MA_MED):$I673),"")</f>
        <v>4169.86</v>
      </c>
      <c r="X673" s="48" t="n">
        <f aca="false">IF($U673&gt;=MA_LONG1,AVERAGE(INDEX($I$273:$I673,402-MA_LONG1):$I673),"")</f>
        <v>3888.71</v>
      </c>
      <c r="Y673" s="48" t="str">
        <f aca="false">IF($U673&gt;=MA_LONG2,AVERAGE(INDEX($I$273:$I673,402-MA_LONG2):$I673),"")</f>
        <v/>
      </c>
      <c r="Z673" s="48" t="n">
        <f aca="false">IF($U673&gt;=MA_SHORT,AVERAGE(INDEX($L$553:$L673,122-MA_SHORT):$L673),"")</f>
        <v>71881940.95</v>
      </c>
      <c r="AA673" s="48" t="n">
        <f aca="false">IF($U673=1,$G673-$H673,MAX($G673-$H673,ABS($G673-$I672),ABS($H673-$I672)))</f>
        <v>78</v>
      </c>
      <c r="AB673" s="48" t="n">
        <f aca="false">IF($U673&gt;=ATR_PER,AVERAGE(INDEX($AA$553:$AA673,122-ATR_PER):$AA673),"")</f>
        <v>174.285714285714</v>
      </c>
      <c r="AC673" s="48" t="n">
        <f aca="false">$O673-$P673</f>
        <v>41535817</v>
      </c>
      <c r="AD673" s="48" t="n">
        <f aca="false">$AC673*$I673</f>
        <v>178728620551</v>
      </c>
      <c r="AE673" s="49" t="n">
        <f aca="false">IF($Q673&gt;0,$O673*$I673/$Q673/1000000,"")</f>
        <v>169.119011875706</v>
      </c>
      <c r="AF673" s="49" t="n">
        <f aca="false">IF($R673&gt;0,$P673*$I673/$R673/1000000,"")</f>
        <v>107.683841235926</v>
      </c>
      <c r="AG673" s="50" t="n">
        <f aca="false">IF(AND(ISNUMBER($AE673),ISNUMBER($AF673),$AF673&gt;0),$AE673/$AF673,"")</f>
        <v>1.57051429383152</v>
      </c>
      <c r="AH673" s="48" t="n">
        <f aca="false">IF($U673&gt;=5,SUM(INDEX($AD$643:$AD673,32-5):$AD673),"")</f>
        <v>37166837876</v>
      </c>
      <c r="AI673" s="48" t="n">
        <f aca="false">IF($U673&gt;=STRUCT_S,MAX(INDEX($G$523:$G673,152-STRUCT_S):$G673),"")</f>
        <v>4531</v>
      </c>
      <c r="AJ673" s="48" t="n">
        <f aca="false">IF($U673&gt;=STRUCT_S,MIN(INDEX($H$523:$H673,152-STRUCT_S):$H673),"")</f>
        <v>3921</v>
      </c>
      <c r="AK673" s="48" t="n">
        <f aca="false">IF($U673&gt;=STRUCT_L,MAX(INDEX($G$423:$G673,252-STRUCT_L):$G673),"")</f>
        <v>4531</v>
      </c>
      <c r="AL673" s="48" t="n">
        <f aca="false">IF($U673&gt;=STRUCT_L,MIN(INDEX($H$423:$H673,252-STRUCT_L):$H673),"")</f>
        <v>3775</v>
      </c>
      <c r="AM673" s="46" t="n">
        <f aca="false">IF($A673&lt;&gt;$A674,1,0)</f>
        <v>0</v>
      </c>
      <c r="AN673" s="47" t="str">
        <f aca="false">IF($AM673=1,$A673,"")</f>
        <v/>
      </c>
    </row>
    <row r="674" customFormat="false" ht="15" hidden="false" customHeight="false" outlineLevel="0" collapsed="false">
      <c r="A674" s="43" t="s">
        <v>142</v>
      </c>
      <c r="B674" s="44" t="s">
        <v>144</v>
      </c>
      <c r="C674" s="45" t="n">
        <v>46113</v>
      </c>
      <c r="D674" s="46" t="n">
        <v>20260401</v>
      </c>
      <c r="E674" s="47" t="s">
        <v>437</v>
      </c>
      <c r="F674" s="48" t="n">
        <v>4254</v>
      </c>
      <c r="G674" s="48" t="n">
        <v>4365</v>
      </c>
      <c r="H674" s="48" t="n">
        <v>4247</v>
      </c>
      <c r="I674" s="48" t="n">
        <v>4309</v>
      </c>
      <c r="J674" s="48" t="n">
        <v>4323</v>
      </c>
      <c r="K674" s="48" t="n">
        <v>4303</v>
      </c>
      <c r="L674" s="48" t="n">
        <v>50446039</v>
      </c>
      <c r="M674" s="48" t="n">
        <v>217371982051</v>
      </c>
      <c r="N674" s="48" t="n">
        <v>2002</v>
      </c>
      <c r="O674" s="48" t="n">
        <v>32137282</v>
      </c>
      <c r="P674" s="48" t="n">
        <v>18205024</v>
      </c>
      <c r="Q674" s="48" t="n">
        <v>814</v>
      </c>
      <c r="R674" s="48" t="n">
        <v>820</v>
      </c>
      <c r="S674" s="48" t="n">
        <v>18308757</v>
      </c>
      <c r="T674" s="48" t="n">
        <v>32241015</v>
      </c>
      <c r="U674" s="46" t="n">
        <f aca="false">IF($A674=$A673,$U673+1,1)</f>
        <v>150</v>
      </c>
      <c r="V674" s="48" t="n">
        <f aca="false">IF($U674&gt;=MA_SHORT,AVERAGE(INDEX($I$274:$I674,402-MA_SHORT):$I674),"")</f>
        <v>4268.05</v>
      </c>
      <c r="W674" s="48" t="n">
        <f aca="false">IF($U674&gt;=MA_MED,AVERAGE(INDEX($I$274:$I674,402-MA_MED):$I674),"")</f>
        <v>4174.96</v>
      </c>
      <c r="X674" s="48" t="n">
        <f aca="false">IF($U674&gt;=MA_LONG1,AVERAGE(INDEX($I$274:$I674,402-MA_LONG1):$I674),"")</f>
        <v>3896.64</v>
      </c>
      <c r="Y674" s="48" t="str">
        <f aca="false">IF($U674&gt;=MA_LONG2,AVERAGE(INDEX($I$274:$I674,402-MA_LONG2):$I674),"")</f>
        <v/>
      </c>
      <c r="Z674" s="48" t="n">
        <f aca="false">IF($U674&gt;=MA_SHORT,AVERAGE(INDEX($L$554:$L674,122-MA_SHORT):$L674),"")</f>
        <v>70670412.7</v>
      </c>
      <c r="AA674" s="48" t="n">
        <f aca="false">IF($U674=1,$G674-$H674,MAX($G674-$H674,ABS($G674-$I673),ABS($H674-$I673)))</f>
        <v>118</v>
      </c>
      <c r="AB674" s="48" t="n">
        <f aca="false">IF($U674&gt;=ATR_PER,AVERAGE(INDEX($AA$554:$AA674,122-ATR_PER):$AA674),"")</f>
        <v>169</v>
      </c>
      <c r="AC674" s="48" t="n">
        <f aca="false">$O674-$P674</f>
        <v>13932258</v>
      </c>
      <c r="AD674" s="48" t="n">
        <f aca="false">$AC674*$I674</f>
        <v>60034099722</v>
      </c>
      <c r="AE674" s="49" t="n">
        <f aca="false">IF($Q674&gt;0,$O674*$I674/$Q674/1000000,"")</f>
        <v>170.122295009828</v>
      </c>
      <c r="AF674" s="49" t="n">
        <f aca="false">IF($R674&gt;0,$P674*$I674/$R674/1000000,"")</f>
        <v>95.665180995122</v>
      </c>
      <c r="AG674" s="50" t="n">
        <f aca="false">IF(AND(ISNUMBER($AE674),ISNUMBER($AF674),$AF674&gt;0),$AE674/$AF674,"")</f>
        <v>1.77830944592581</v>
      </c>
      <c r="AH674" s="48" t="n">
        <f aca="false">IF($U674&gt;=5,SUM(INDEX($AD$644:$AD674,32-5):$AD674),"")</f>
        <v>90802482821</v>
      </c>
      <c r="AI674" s="48" t="n">
        <f aca="false">IF($U674&gt;=STRUCT_S,MAX(INDEX($G$524:$G674,152-STRUCT_S):$G674),"")</f>
        <v>4531</v>
      </c>
      <c r="AJ674" s="48" t="n">
        <f aca="false">IF($U674&gt;=STRUCT_S,MIN(INDEX($H$524:$H674,152-STRUCT_S):$H674),"")</f>
        <v>3921</v>
      </c>
      <c r="AK674" s="48" t="n">
        <f aca="false">IF($U674&gt;=STRUCT_L,MAX(INDEX($G$424:$G674,252-STRUCT_L):$G674),"")</f>
        <v>4531</v>
      </c>
      <c r="AL674" s="48" t="n">
        <f aca="false">IF($U674&gt;=STRUCT_L,MIN(INDEX($H$424:$H674,252-STRUCT_L):$H674),"")</f>
        <v>3775</v>
      </c>
      <c r="AM674" s="46" t="n">
        <f aca="false">IF($A674&lt;&gt;$A675,1,0)</f>
        <v>0</v>
      </c>
      <c r="AN674" s="47" t="str">
        <f aca="false">IF($AM674=1,$A674,"")</f>
        <v/>
      </c>
    </row>
    <row r="675" customFormat="false" ht="15" hidden="false" customHeight="false" outlineLevel="0" collapsed="false">
      <c r="A675" s="43" t="s">
        <v>142</v>
      </c>
      <c r="B675" s="44" t="s">
        <v>144</v>
      </c>
      <c r="C675" s="45" t="n">
        <v>46116</v>
      </c>
      <c r="D675" s="46" t="n">
        <v>20260404</v>
      </c>
      <c r="E675" s="47" t="s">
        <v>438</v>
      </c>
      <c r="F675" s="48" t="n">
        <v>4263</v>
      </c>
      <c r="G675" s="48" t="n">
        <v>4480</v>
      </c>
      <c r="H675" s="48" t="n">
        <v>4238</v>
      </c>
      <c r="I675" s="48" t="n">
        <v>4407</v>
      </c>
      <c r="J675" s="48" t="n">
        <v>4347</v>
      </c>
      <c r="K675" s="48" t="n">
        <v>4309</v>
      </c>
      <c r="L675" s="48" t="n">
        <v>66286852</v>
      </c>
      <c r="M675" s="48" t="n">
        <v>292126156764</v>
      </c>
      <c r="N675" s="48" t="n">
        <v>2476</v>
      </c>
      <c r="O675" s="48" t="n">
        <v>33853067</v>
      </c>
      <c r="P675" s="48" t="n">
        <v>32529618</v>
      </c>
      <c r="Q675" s="48" t="n">
        <v>695</v>
      </c>
      <c r="R675" s="48" t="n">
        <v>1089</v>
      </c>
      <c r="S675" s="48" t="n">
        <v>32433785</v>
      </c>
      <c r="T675" s="48" t="n">
        <v>33757234</v>
      </c>
      <c r="U675" s="46" t="n">
        <f aca="false">IF($A675=$A674,$U674+1,1)</f>
        <v>151</v>
      </c>
      <c r="V675" s="48" t="n">
        <f aca="false">IF($U675&gt;=MA_SHORT,AVERAGE(INDEX($I$275:$I675,402-MA_SHORT):$I675),"")</f>
        <v>4289.3</v>
      </c>
      <c r="W675" s="48" t="n">
        <f aca="false">IF($U675&gt;=MA_MED,AVERAGE(INDEX($I$275:$I675,402-MA_MED):$I675),"")</f>
        <v>4179.38</v>
      </c>
      <c r="X675" s="48" t="n">
        <f aca="false">IF($U675&gt;=MA_LONG1,AVERAGE(INDEX($I$275:$I675,402-MA_LONG1):$I675),"")</f>
        <v>3907.27</v>
      </c>
      <c r="Y675" s="48" t="str">
        <f aca="false">IF($U675&gt;=MA_LONG2,AVERAGE(INDEX($I$275:$I675,402-MA_LONG2):$I675),"")</f>
        <v/>
      </c>
      <c r="Z675" s="48" t="n">
        <f aca="false">IF($U675&gt;=MA_SHORT,AVERAGE(INDEX($L$555:$L675,122-MA_SHORT):$L675),"")</f>
        <v>69992507.3</v>
      </c>
      <c r="AA675" s="48" t="n">
        <f aca="false">IF($U675=1,$G675-$H675,MAX($G675-$H675,ABS($G675-$I674),ABS($H675-$I674)))</f>
        <v>242</v>
      </c>
      <c r="AB675" s="48" t="n">
        <f aca="false">IF($U675&gt;=ATR_PER,AVERAGE(INDEX($AA$555:$AA675,122-ATR_PER):$AA675),"")</f>
        <v>179</v>
      </c>
      <c r="AC675" s="48" t="n">
        <f aca="false">$O675-$P675</f>
        <v>1323449</v>
      </c>
      <c r="AD675" s="48" t="n">
        <f aca="false">$AC675*$I675</f>
        <v>5832439743</v>
      </c>
      <c r="AE675" s="49" t="n">
        <f aca="false">IF($Q675&gt;0,$O675*$I675/$Q675/1000000,"")</f>
        <v>214.662541394245</v>
      </c>
      <c r="AF675" s="49" t="n">
        <f aca="false">IF($R675&gt;0,$P675*$I675/$R675/1000000,"")</f>
        <v>131.641897636364</v>
      </c>
      <c r="AG675" s="50" t="n">
        <f aca="false">IF(AND(ISNUMBER($AE675),ISNUMBER($AF675),$AF675&gt;0),$AE675/$AF675,"")</f>
        <v>1.63065517322768</v>
      </c>
      <c r="AH675" s="48" t="n">
        <f aca="false">IF($U675&gt;=5,SUM(INDEX($AD$645:$AD675,32-5):$AD675),"")</f>
        <v>152190470352</v>
      </c>
      <c r="AI675" s="48" t="n">
        <f aca="false">IF($U675&gt;=STRUCT_S,MAX(INDEX($G$525:$G675,152-STRUCT_S):$G675),"")</f>
        <v>4531</v>
      </c>
      <c r="AJ675" s="48" t="n">
        <f aca="false">IF($U675&gt;=STRUCT_S,MIN(INDEX($H$525:$H675,152-STRUCT_S):$H675),"")</f>
        <v>3954</v>
      </c>
      <c r="AK675" s="48" t="n">
        <f aca="false">IF($U675&gt;=STRUCT_L,MAX(INDEX($G$425:$G675,252-STRUCT_L):$G675),"")</f>
        <v>4531</v>
      </c>
      <c r="AL675" s="48" t="n">
        <f aca="false">IF($U675&gt;=STRUCT_L,MIN(INDEX($H$425:$H675,252-STRUCT_L):$H675),"")</f>
        <v>3775</v>
      </c>
      <c r="AM675" s="46" t="n">
        <f aca="false">IF($A675&lt;&gt;$A676,1,0)</f>
        <v>0</v>
      </c>
      <c r="AN675" s="47" t="str">
        <f aca="false">IF($AM675=1,$A675,"")</f>
        <v/>
      </c>
    </row>
    <row r="676" customFormat="false" ht="15" hidden="false" customHeight="false" outlineLevel="0" collapsed="false">
      <c r="A676" s="43" t="s">
        <v>142</v>
      </c>
      <c r="B676" s="44" t="s">
        <v>144</v>
      </c>
      <c r="C676" s="45" t="n">
        <v>46117</v>
      </c>
      <c r="D676" s="46" t="n">
        <v>20260405</v>
      </c>
      <c r="E676" s="47" t="s">
        <v>439</v>
      </c>
      <c r="F676" s="48" t="n">
        <v>4387</v>
      </c>
      <c r="G676" s="48" t="n">
        <v>4611</v>
      </c>
      <c r="H676" s="48" t="n">
        <v>4352</v>
      </c>
      <c r="I676" s="48" t="n">
        <v>4555</v>
      </c>
      <c r="J676" s="48" t="n">
        <v>4363</v>
      </c>
      <c r="K676" s="48" t="n">
        <v>4407</v>
      </c>
      <c r="L676" s="48" t="n">
        <v>126835838</v>
      </c>
      <c r="M676" s="48" t="n">
        <v>577737242090</v>
      </c>
      <c r="N676" s="48" t="n">
        <v>8398</v>
      </c>
      <c r="O676" s="48" t="n">
        <v>85562706</v>
      </c>
      <c r="P676" s="48" t="n">
        <v>40490170</v>
      </c>
      <c r="Q676" s="48" t="n">
        <v>2850</v>
      </c>
      <c r="R676" s="48" t="n">
        <v>2796</v>
      </c>
      <c r="S676" s="48" t="n">
        <v>41273132</v>
      </c>
      <c r="T676" s="48" t="n">
        <v>86345668</v>
      </c>
      <c r="U676" s="46" t="n">
        <f aca="false">IF($A676=$A675,$U675+1,1)</f>
        <v>152</v>
      </c>
      <c r="V676" s="48" t="n">
        <f aca="false">IF($U676&gt;=MA_SHORT,AVERAGE(INDEX($I$276:$I676,402-MA_SHORT):$I676),"")</f>
        <v>4312.4</v>
      </c>
      <c r="W676" s="48" t="n">
        <f aca="false">IF($U676&gt;=MA_MED,AVERAGE(INDEX($I$276:$I676,402-MA_MED):$I676),"")</f>
        <v>4186.84</v>
      </c>
      <c r="X676" s="48" t="n">
        <f aca="false">IF($U676&gt;=MA_LONG1,AVERAGE(INDEX($I$276:$I676,402-MA_LONG1):$I676),"")</f>
        <v>3919.19</v>
      </c>
      <c r="Y676" s="48" t="str">
        <f aca="false">IF($U676&gt;=MA_LONG2,AVERAGE(INDEX($I$276:$I676,402-MA_LONG2):$I676),"")</f>
        <v/>
      </c>
      <c r="Z676" s="48" t="n">
        <f aca="false">IF($U676&gt;=MA_SHORT,AVERAGE(INDEX($L$556:$L676,122-MA_SHORT):$L676),"")</f>
        <v>72369108.95</v>
      </c>
      <c r="AA676" s="48" t="n">
        <f aca="false">IF($U676=1,$G676-$H676,MAX($G676-$H676,ABS($G676-$I675),ABS($H676-$I675)))</f>
        <v>259</v>
      </c>
      <c r="AB676" s="48" t="n">
        <f aca="false">IF($U676&gt;=ATR_PER,AVERAGE(INDEX($AA$556:$AA676,122-ATR_PER):$AA676),"")</f>
        <v>189.357142857143</v>
      </c>
      <c r="AC676" s="48" t="n">
        <f aca="false">$O676-$P676</f>
        <v>45072536</v>
      </c>
      <c r="AD676" s="48" t="n">
        <f aca="false">$AC676*$I676</f>
        <v>205305401480</v>
      </c>
      <c r="AE676" s="49" t="n">
        <f aca="false">IF($Q676&gt;0,$O676*$I676/$Q676/1000000,"")</f>
        <v>136.750219589474</v>
      </c>
      <c r="AF676" s="49" t="n">
        <f aca="false">IF($R676&gt;0,$P676*$I676/$R676/1000000,"")</f>
        <v>65.9630630722461</v>
      </c>
      <c r="AG676" s="50" t="n">
        <f aca="false">IF(AND(ISNUMBER($AE676),ISNUMBER($AF676),$AF676&gt;0),$AE676/$AF676,"")</f>
        <v>2.07313325398031</v>
      </c>
      <c r="AH676" s="48" t="n">
        <f aca="false">IF($U676&gt;=5,SUM(INDEX($AD$646:$AD676,32-5):$AD676),"")</f>
        <v>369682057361</v>
      </c>
      <c r="AI676" s="48" t="n">
        <f aca="false">IF($U676&gt;=STRUCT_S,MAX(INDEX($G$526:$G676,152-STRUCT_S):$G676),"")</f>
        <v>4611</v>
      </c>
      <c r="AJ676" s="48" t="n">
        <f aca="false">IF($U676&gt;=STRUCT_S,MIN(INDEX($H$526:$H676,152-STRUCT_S):$H676),"")</f>
        <v>3954</v>
      </c>
      <c r="AK676" s="48" t="n">
        <f aca="false">IF($U676&gt;=STRUCT_L,MAX(INDEX($G$426:$G676,252-STRUCT_L):$G676),"")</f>
        <v>4611</v>
      </c>
      <c r="AL676" s="48" t="n">
        <f aca="false">IF($U676&gt;=STRUCT_L,MIN(INDEX($H$426:$H676,252-STRUCT_L):$H676),"")</f>
        <v>3775</v>
      </c>
      <c r="AM676" s="46" t="n">
        <f aca="false">IF($A676&lt;&gt;$A677,1,0)</f>
        <v>0</v>
      </c>
      <c r="AN676" s="47" t="str">
        <f aca="false">IF($AM676=1,$A676,"")</f>
        <v/>
      </c>
    </row>
    <row r="677" customFormat="false" ht="15" hidden="false" customHeight="false" outlineLevel="0" collapsed="false">
      <c r="A677" s="43" t="s">
        <v>142</v>
      </c>
      <c r="B677" s="44" t="s">
        <v>144</v>
      </c>
      <c r="C677" s="45" t="n">
        <v>46118</v>
      </c>
      <c r="D677" s="46" t="n">
        <v>20260406</v>
      </c>
      <c r="E677" s="47" t="s">
        <v>440</v>
      </c>
      <c r="F677" s="48" t="n">
        <v>4598</v>
      </c>
      <c r="G677" s="48" t="n">
        <v>4639</v>
      </c>
      <c r="H677" s="48" t="n">
        <v>4530</v>
      </c>
      <c r="I677" s="48" t="n">
        <v>4614</v>
      </c>
      <c r="J677" s="48" t="n">
        <v>4593</v>
      </c>
      <c r="K677" s="48" t="n">
        <v>4555</v>
      </c>
      <c r="L677" s="48" t="n">
        <v>54738408</v>
      </c>
      <c r="M677" s="48" t="n">
        <v>252563014512</v>
      </c>
      <c r="N677" s="48" t="n">
        <v>2889</v>
      </c>
      <c r="O677" s="48" t="n">
        <v>25267517</v>
      </c>
      <c r="P677" s="48" t="n">
        <v>28881765</v>
      </c>
      <c r="Q677" s="48" t="n">
        <v>821</v>
      </c>
      <c r="R677" s="48" t="n">
        <v>1515</v>
      </c>
      <c r="S677" s="48" t="n">
        <v>29470891</v>
      </c>
      <c r="T677" s="48" t="n">
        <v>25856643</v>
      </c>
      <c r="U677" s="46" t="n">
        <f aca="false">IF($A677=$A676,$U676+1,1)</f>
        <v>153</v>
      </c>
      <c r="V677" s="48" t="n">
        <f aca="false">IF($U677&gt;=MA_SHORT,AVERAGE(INDEX($I$277:$I677,402-MA_SHORT):$I677),"")</f>
        <v>4341</v>
      </c>
      <c r="W677" s="48" t="n">
        <f aca="false">IF($U677&gt;=MA_MED,AVERAGE(INDEX($I$277:$I677,402-MA_MED):$I677),"")</f>
        <v>4193.64</v>
      </c>
      <c r="X677" s="48" t="n">
        <f aca="false">IF($U677&gt;=MA_LONG1,AVERAGE(INDEX($I$277:$I677,402-MA_LONG1):$I677),"")</f>
        <v>3931.79</v>
      </c>
      <c r="Y677" s="48" t="str">
        <f aca="false">IF($U677&gt;=MA_LONG2,AVERAGE(INDEX($I$277:$I677,402-MA_LONG2):$I677),"")</f>
        <v/>
      </c>
      <c r="Z677" s="48" t="n">
        <f aca="false">IF($U677&gt;=MA_SHORT,AVERAGE(INDEX($L$557:$L677,122-MA_SHORT):$L677),"")</f>
        <v>72417647.25</v>
      </c>
      <c r="AA677" s="48" t="n">
        <f aca="false">IF($U677=1,$G677-$H677,MAX($G677-$H677,ABS($G677-$I676),ABS($H677-$I676)))</f>
        <v>109</v>
      </c>
      <c r="AB677" s="48" t="n">
        <f aca="false">IF($U677&gt;=ATR_PER,AVERAGE(INDEX($AA$557:$AA677,122-ATR_PER):$AA677),"")</f>
        <v>184.428571428571</v>
      </c>
      <c r="AC677" s="48" t="n">
        <f aca="false">$O677-$P677</f>
        <v>-3614248</v>
      </c>
      <c r="AD677" s="48" t="n">
        <f aca="false">$AC677*$I677</f>
        <v>-16676140272</v>
      </c>
      <c r="AE677" s="49" t="n">
        <f aca="false">IF($Q677&gt;0,$O677*$I677/$Q677/1000000,"")</f>
        <v>142.002830009744</v>
      </c>
      <c r="AF677" s="49" t="n">
        <f aca="false">IF($R677&gt;0,$P677*$I677/$R677/1000000,"")</f>
        <v>87.9607021188119</v>
      </c>
      <c r="AG677" s="50" t="n">
        <f aca="false">IF(AND(ISNUMBER($AE677),ISNUMBER($AF677),$AF677&gt;0),$AE677/$AF677,"")</f>
        <v>1.6143894556223</v>
      </c>
      <c r="AH677" s="48" t="n">
        <f aca="false">IF($U677&gt;=5,SUM(INDEX($AD$647:$AD677,32-5):$AD677),"")</f>
        <v>433224421224</v>
      </c>
      <c r="AI677" s="48" t="n">
        <f aca="false">IF($U677&gt;=STRUCT_S,MAX(INDEX($G$527:$G677,152-STRUCT_S):$G677),"")</f>
        <v>4639</v>
      </c>
      <c r="AJ677" s="48" t="n">
        <f aca="false">IF($U677&gt;=STRUCT_S,MIN(INDEX($H$527:$H677,152-STRUCT_S):$H677),"")</f>
        <v>3954</v>
      </c>
      <c r="AK677" s="48" t="n">
        <f aca="false">IF($U677&gt;=STRUCT_L,MAX(INDEX($G$427:$G677,252-STRUCT_L):$G677),"")</f>
        <v>4639</v>
      </c>
      <c r="AL677" s="48" t="n">
        <f aca="false">IF($U677&gt;=STRUCT_L,MIN(INDEX($H$427:$H677,252-STRUCT_L):$H677),"")</f>
        <v>3775</v>
      </c>
      <c r="AM677" s="46" t="n">
        <f aca="false">IF($A677&lt;&gt;$A678,1,0)</f>
        <v>0</v>
      </c>
      <c r="AN677" s="47" t="str">
        <f aca="false">IF($AM677=1,$A677,"")</f>
        <v/>
      </c>
    </row>
    <row r="678" customFormat="false" ht="15" hidden="false" customHeight="false" outlineLevel="0" collapsed="false">
      <c r="A678" s="43" t="s">
        <v>142</v>
      </c>
      <c r="B678" s="44" t="s">
        <v>144</v>
      </c>
      <c r="C678" s="45" t="n">
        <v>46119</v>
      </c>
      <c r="D678" s="46" t="n">
        <v>20260407</v>
      </c>
      <c r="E678" s="47" t="s">
        <v>441</v>
      </c>
      <c r="F678" s="48" t="n">
        <v>4561</v>
      </c>
      <c r="G678" s="48" t="n">
        <v>4760</v>
      </c>
      <c r="H678" s="48" t="n">
        <v>4546</v>
      </c>
      <c r="I678" s="48" t="n">
        <v>4690</v>
      </c>
      <c r="J678" s="48" t="n">
        <v>4595</v>
      </c>
      <c r="K678" s="48" t="n">
        <v>4614</v>
      </c>
      <c r="L678" s="48" t="n">
        <v>54971697</v>
      </c>
      <c r="M678" s="48" t="n">
        <v>257817258930</v>
      </c>
      <c r="N678" s="48" t="n">
        <v>1293</v>
      </c>
      <c r="O678" s="48" t="n">
        <v>31194758</v>
      </c>
      <c r="P678" s="48" t="n">
        <v>29319383</v>
      </c>
      <c r="Q678" s="48" t="n">
        <v>513</v>
      </c>
      <c r="R678" s="48" t="n">
        <v>527</v>
      </c>
      <c r="S678" s="48" t="n">
        <v>23776939</v>
      </c>
      <c r="T678" s="48" t="n">
        <v>25652314</v>
      </c>
      <c r="U678" s="46" t="n">
        <f aca="false">IF($A678=$A677,$U677+1,1)</f>
        <v>154</v>
      </c>
      <c r="V678" s="48" t="n">
        <f aca="false">IF($U678&gt;=MA_SHORT,AVERAGE(INDEX($I$278:$I678,402-MA_SHORT):$I678),"")</f>
        <v>4372.35</v>
      </c>
      <c r="W678" s="48" t="n">
        <f aca="false">IF($U678&gt;=MA_MED,AVERAGE(INDEX($I$278:$I678,402-MA_MED):$I678),"")</f>
        <v>4201.26</v>
      </c>
      <c r="X678" s="48" t="n">
        <f aca="false">IF($U678&gt;=MA_LONG1,AVERAGE(INDEX($I$278:$I678,402-MA_LONG1):$I678),"")</f>
        <v>3945.33</v>
      </c>
      <c r="Y678" s="48" t="str">
        <f aca="false">IF($U678&gt;=MA_LONG2,AVERAGE(INDEX($I$278:$I678,402-MA_LONG2):$I678),"")</f>
        <v/>
      </c>
      <c r="Z678" s="48" t="n">
        <f aca="false">IF($U678&gt;=MA_SHORT,AVERAGE(INDEX($L$558:$L678,122-MA_SHORT):$L678),"")</f>
        <v>70448275.4</v>
      </c>
      <c r="AA678" s="48" t="n">
        <f aca="false">IF($U678=1,$G678-$H678,MAX($G678-$H678,ABS($G678-$I677),ABS($H678-$I677)))</f>
        <v>214</v>
      </c>
      <c r="AB678" s="48" t="n">
        <f aca="false">IF($U678&gt;=ATR_PER,AVERAGE(INDEX($AA$558:$AA678,122-ATR_PER):$AA678),"")</f>
        <v>191.785714285714</v>
      </c>
      <c r="AC678" s="48" t="n">
        <f aca="false">$O678-$P678</f>
        <v>1875375</v>
      </c>
      <c r="AD678" s="48" t="n">
        <f aca="false">$AC678*$I678</f>
        <v>8795508750</v>
      </c>
      <c r="AE678" s="49" t="n">
        <f aca="false">IF($Q678&gt;0,$O678*$I678/$Q678/1000000,"")</f>
        <v>285.19184214425</v>
      </c>
      <c r="AF678" s="49" t="n">
        <f aca="false">IF($R678&gt;0,$P678*$I678/$R678/1000000,"")</f>
        <v>260.925818349146</v>
      </c>
      <c r="AG678" s="50" t="n">
        <f aca="false">IF(AND(ISNUMBER($AE678),ISNUMBER($AF678),$AF678&gt;0),$AE678/$AF678,"")</f>
        <v>1.09299970370365</v>
      </c>
      <c r="AH678" s="48" t="n">
        <f aca="false">IF($U678&gt;=5,SUM(INDEX($AD$648:$AD678,32-5):$AD678),"")</f>
        <v>263291309423</v>
      </c>
      <c r="AI678" s="48" t="n">
        <f aca="false">IF($U678&gt;=STRUCT_S,MAX(INDEX($G$528:$G678,152-STRUCT_S):$G678),"")</f>
        <v>4760</v>
      </c>
      <c r="AJ678" s="48" t="n">
        <f aca="false">IF($U678&gt;=STRUCT_S,MIN(INDEX($H$528:$H678,152-STRUCT_S):$H678),"")</f>
        <v>4051</v>
      </c>
      <c r="AK678" s="48" t="n">
        <f aca="false">IF($U678&gt;=STRUCT_L,MAX(INDEX($G$428:$G678,252-STRUCT_L):$G678),"")</f>
        <v>4760</v>
      </c>
      <c r="AL678" s="48" t="n">
        <f aca="false">IF($U678&gt;=STRUCT_L,MIN(INDEX($H$428:$H678,252-STRUCT_L):$H678),"")</f>
        <v>3778</v>
      </c>
      <c r="AM678" s="46" t="n">
        <f aca="false">IF($A678&lt;&gt;$A679,1,0)</f>
        <v>0</v>
      </c>
      <c r="AN678" s="47" t="str">
        <f aca="false">IF($AM678=1,$A678,"")</f>
        <v/>
      </c>
    </row>
    <row r="679" customFormat="false" ht="15" hidden="false" customHeight="false" outlineLevel="0" collapsed="false">
      <c r="A679" s="43" t="s">
        <v>142</v>
      </c>
      <c r="B679" s="44" t="s">
        <v>144</v>
      </c>
      <c r="C679" s="45" t="n">
        <v>46120</v>
      </c>
      <c r="D679" s="46" t="n">
        <v>20260408</v>
      </c>
      <c r="E679" s="47" t="s">
        <v>442</v>
      </c>
      <c r="F679" s="48" t="n">
        <v>4666</v>
      </c>
      <c r="G679" s="48" t="n">
        <v>4725</v>
      </c>
      <c r="H679" s="48" t="n">
        <v>4626</v>
      </c>
      <c r="I679" s="48" t="n">
        <v>4661</v>
      </c>
      <c r="J679" s="48" t="n">
        <v>4670</v>
      </c>
      <c r="K679" s="48" t="n">
        <v>4690</v>
      </c>
      <c r="L679" s="48" t="n">
        <v>63711633</v>
      </c>
      <c r="M679" s="48" t="n">
        <v>296959921413</v>
      </c>
      <c r="N679" s="48" t="n">
        <v>3616</v>
      </c>
      <c r="O679" s="48" t="n">
        <v>32110256</v>
      </c>
      <c r="P679" s="48" t="n">
        <v>34635661</v>
      </c>
      <c r="Q679" s="48" t="n">
        <v>1281</v>
      </c>
      <c r="R679" s="48" t="n">
        <v>1051</v>
      </c>
      <c r="S679" s="48" t="n">
        <v>31601377</v>
      </c>
      <c r="T679" s="48" t="n">
        <v>29075972</v>
      </c>
      <c r="U679" s="46" t="n">
        <f aca="false">IF($A679=$A678,$U678+1,1)</f>
        <v>155</v>
      </c>
      <c r="V679" s="48" t="n">
        <f aca="false">IF($U679&gt;=MA_SHORT,AVERAGE(INDEX($I$279:$I679,402-MA_SHORT):$I679),"")</f>
        <v>4395.65</v>
      </c>
      <c r="W679" s="48" t="n">
        <f aca="false">IF($U679&gt;=MA_MED,AVERAGE(INDEX($I$279:$I679,402-MA_MED):$I679),"")</f>
        <v>4208.7</v>
      </c>
      <c r="X679" s="48" t="n">
        <f aca="false">IF($U679&gt;=MA_LONG1,AVERAGE(INDEX($I$279:$I679,402-MA_LONG1):$I679),"")</f>
        <v>3958.99</v>
      </c>
      <c r="Y679" s="48" t="str">
        <f aca="false">IF($U679&gt;=MA_LONG2,AVERAGE(INDEX($I$279:$I679,402-MA_LONG2):$I679),"")</f>
        <v/>
      </c>
      <c r="Z679" s="48" t="n">
        <f aca="false">IF($U679&gt;=MA_SHORT,AVERAGE(INDEX($L$559:$L679,122-MA_SHORT):$L679),"")</f>
        <v>70626559.7</v>
      </c>
      <c r="AA679" s="48" t="n">
        <f aca="false">IF($U679=1,$G679-$H679,MAX($G679-$H679,ABS($G679-$I678),ABS($H679-$I678)))</f>
        <v>99</v>
      </c>
      <c r="AB679" s="48" t="n">
        <f aca="false">IF($U679&gt;=ATR_PER,AVERAGE(INDEX($AA$559:$AA679,122-ATR_PER):$AA679),"")</f>
        <v>182.857142857143</v>
      </c>
      <c r="AC679" s="48" t="n">
        <f aca="false">$O679-$P679</f>
        <v>-2525405</v>
      </c>
      <c r="AD679" s="48" t="n">
        <f aca="false">$AC679*$I679</f>
        <v>-11770912705</v>
      </c>
      <c r="AE679" s="49" t="n">
        <f aca="false">IF($Q679&gt;0,$O679*$I679/$Q679/1000000,"")</f>
        <v>116.835209380172</v>
      </c>
      <c r="AF679" s="49" t="n">
        <f aca="false">IF($R679&gt;0,$P679*$I679/$R679/1000000,"")</f>
        <v>153.603059867745</v>
      </c>
      <c r="AG679" s="50" t="n">
        <f aca="false">IF(AND(ISNUMBER($AE679),ISNUMBER($AF679),$AF679&gt;0),$AE679/$AF679,"")</f>
        <v>0.760630741866529</v>
      </c>
      <c r="AH679" s="48" t="n">
        <f aca="false">IF($U679&gt;=5,SUM(INDEX($AD$649:$AD679,32-5):$AD679),"")</f>
        <v>191486296996</v>
      </c>
      <c r="AI679" s="48" t="n">
        <f aca="false">IF($U679&gt;=STRUCT_S,MAX(INDEX($G$529:$G679,152-STRUCT_S):$G679),"")</f>
        <v>4760</v>
      </c>
      <c r="AJ679" s="48" t="n">
        <f aca="false">IF($U679&gt;=STRUCT_S,MIN(INDEX($H$529:$H679,152-STRUCT_S):$H679),"")</f>
        <v>4098</v>
      </c>
      <c r="AK679" s="48" t="n">
        <f aca="false">IF($U679&gt;=STRUCT_L,MAX(INDEX($G$429:$G679,252-STRUCT_L):$G679),"")</f>
        <v>4760</v>
      </c>
      <c r="AL679" s="48" t="n">
        <f aca="false">IF($U679&gt;=STRUCT_L,MIN(INDEX($H$429:$H679,252-STRUCT_L):$H679),"")</f>
        <v>3778</v>
      </c>
      <c r="AM679" s="46" t="n">
        <f aca="false">IF($A679&lt;&gt;$A680,1,0)</f>
        <v>0</v>
      </c>
      <c r="AN679" s="47" t="str">
        <f aca="false">IF($AM679=1,$A679,"")</f>
        <v/>
      </c>
    </row>
    <row r="680" customFormat="false" ht="15" hidden="false" customHeight="false" outlineLevel="0" collapsed="false">
      <c r="A680" s="43" t="s">
        <v>142</v>
      </c>
      <c r="B680" s="44" t="s">
        <v>144</v>
      </c>
      <c r="C680" s="45" t="n">
        <v>46123</v>
      </c>
      <c r="D680" s="46" t="n">
        <v>20260411</v>
      </c>
      <c r="E680" s="47" t="s">
        <v>443</v>
      </c>
      <c r="F680" s="48" t="n">
        <v>4683</v>
      </c>
      <c r="G680" s="48" t="n">
        <v>4691</v>
      </c>
      <c r="H680" s="48" t="n">
        <v>4629</v>
      </c>
      <c r="I680" s="48" t="n">
        <v>4659</v>
      </c>
      <c r="J680" s="48" t="n">
        <v>4638</v>
      </c>
      <c r="K680" s="48" t="n">
        <v>4661</v>
      </c>
      <c r="L680" s="48" t="n">
        <v>86790606</v>
      </c>
      <c r="M680" s="48" t="n">
        <v>404357433354</v>
      </c>
      <c r="N680" s="48" t="n">
        <v>2135</v>
      </c>
      <c r="O680" s="48" t="n">
        <v>45292316</v>
      </c>
      <c r="P680" s="48" t="n">
        <v>41635076</v>
      </c>
      <c r="Q680" s="48" t="n">
        <v>763</v>
      </c>
      <c r="R680" s="48" t="n">
        <v>757</v>
      </c>
      <c r="S680" s="48" t="n">
        <v>41498290</v>
      </c>
      <c r="T680" s="48" t="n">
        <v>45155530</v>
      </c>
      <c r="U680" s="46" t="n">
        <f aca="false">IF($A680=$A679,$U679+1,1)</f>
        <v>156</v>
      </c>
      <c r="V680" s="48" t="n">
        <f aca="false">IF($U680&gt;=MA_SHORT,AVERAGE(INDEX($I$280:$I680,402-MA_SHORT):$I680),"")</f>
        <v>4418.95</v>
      </c>
      <c r="W680" s="48" t="n">
        <f aca="false">IF($U680&gt;=MA_MED,AVERAGE(INDEX($I$280:$I680,402-MA_MED):$I680),"")</f>
        <v>4215.12</v>
      </c>
      <c r="X680" s="48" t="n">
        <f aca="false">IF($U680&gt;=MA_LONG1,AVERAGE(INDEX($I$280:$I680,402-MA_LONG1):$I680),"")</f>
        <v>3972.35</v>
      </c>
      <c r="Y680" s="48" t="str">
        <f aca="false">IF($U680&gt;=MA_LONG2,AVERAGE(INDEX($I$280:$I680,402-MA_LONG2):$I680),"")</f>
        <v/>
      </c>
      <c r="Z680" s="48" t="n">
        <f aca="false">IF($U680&gt;=MA_SHORT,AVERAGE(INDEX($L$560:$L680,122-MA_SHORT):$L680),"")</f>
        <v>72202875.3</v>
      </c>
      <c r="AA680" s="48" t="n">
        <f aca="false">IF($U680=1,$G680-$H680,MAX($G680-$H680,ABS($G680-$I679),ABS($H680-$I679)))</f>
        <v>62</v>
      </c>
      <c r="AB680" s="48" t="n">
        <f aca="false">IF($U680&gt;=ATR_PER,AVERAGE(INDEX($AA$560:$AA680,122-ATR_PER):$AA680),"")</f>
        <v>171.071428571429</v>
      </c>
      <c r="AC680" s="48" t="n">
        <f aca="false">$O680-$P680</f>
        <v>3657240</v>
      </c>
      <c r="AD680" s="48" t="n">
        <f aca="false">$AC680*$I680</f>
        <v>17039081160</v>
      </c>
      <c r="AE680" s="49" t="n">
        <f aca="false">IF($Q680&gt;0,$O680*$I680/$Q680/1000000,"")</f>
        <v>276.562123517693</v>
      </c>
      <c r="AF680" s="49" t="n">
        <f aca="false">IF($R680&gt;0,$P680*$I680/$R680/1000000,"")</f>
        <v>256.245467746367</v>
      </c>
      <c r="AG680" s="50" t="n">
        <f aca="false">IF(AND(ISNUMBER($AE680),ISNUMBER($AF680),$AF680&gt;0),$AE680/$AF680,"")</f>
        <v>1.07928591264465</v>
      </c>
      <c r="AH680" s="48" t="n">
        <f aca="false">IF($U680&gt;=5,SUM(INDEX($AD$650:$AD680,32-5):$AD680),"")</f>
        <v>202692938413</v>
      </c>
      <c r="AI680" s="48" t="n">
        <f aca="false">IF($U680&gt;=STRUCT_S,MAX(INDEX($G$530:$G680,152-STRUCT_S):$G680),"")</f>
        <v>4760</v>
      </c>
      <c r="AJ680" s="48" t="n">
        <f aca="false">IF($U680&gt;=STRUCT_S,MIN(INDEX($H$530:$H680,152-STRUCT_S):$H680),"")</f>
        <v>4167</v>
      </c>
      <c r="AK680" s="48" t="n">
        <f aca="false">IF($U680&gt;=STRUCT_L,MAX(INDEX($G$430:$G680,252-STRUCT_L):$G680),"")</f>
        <v>4760</v>
      </c>
      <c r="AL680" s="48" t="n">
        <f aca="false">IF($U680&gt;=STRUCT_L,MIN(INDEX($H$430:$H680,252-STRUCT_L):$H680),"")</f>
        <v>3778</v>
      </c>
      <c r="AM680" s="46" t="n">
        <f aca="false">IF($A680&lt;&gt;$A681,1,0)</f>
        <v>0</v>
      </c>
      <c r="AN680" s="47" t="str">
        <f aca="false">IF($AM680=1,$A680,"")</f>
        <v/>
      </c>
    </row>
    <row r="681" customFormat="false" ht="15" hidden="false" customHeight="false" outlineLevel="0" collapsed="false">
      <c r="A681" s="43" t="s">
        <v>142</v>
      </c>
      <c r="B681" s="44" t="s">
        <v>144</v>
      </c>
      <c r="C681" s="45" t="n">
        <v>46124</v>
      </c>
      <c r="D681" s="46" t="n">
        <v>20260412</v>
      </c>
      <c r="E681" s="47" t="s">
        <v>444</v>
      </c>
      <c r="F681" s="48" t="n">
        <v>4677</v>
      </c>
      <c r="G681" s="48" t="n">
        <v>4829</v>
      </c>
      <c r="H681" s="48" t="n">
        <v>4603</v>
      </c>
      <c r="I681" s="48" t="n">
        <v>4771</v>
      </c>
      <c r="J681" s="48" t="n">
        <v>4682</v>
      </c>
      <c r="K681" s="48" t="n">
        <v>4659</v>
      </c>
      <c r="L681" s="48" t="n">
        <v>90633510</v>
      </c>
      <c r="M681" s="48" t="n">
        <v>432412476210</v>
      </c>
      <c r="N681" s="48" t="n">
        <v>2475</v>
      </c>
      <c r="O681" s="48" t="n">
        <v>56747869</v>
      </c>
      <c r="P681" s="48" t="n">
        <v>37595190</v>
      </c>
      <c r="Q681" s="48" t="n">
        <v>863</v>
      </c>
      <c r="R681" s="48" t="n">
        <v>954</v>
      </c>
      <c r="S681" s="48" t="n">
        <v>33885641</v>
      </c>
      <c r="T681" s="48" t="n">
        <v>53038320</v>
      </c>
      <c r="U681" s="46" t="n">
        <f aca="false">IF($A681=$A680,$U680+1,1)</f>
        <v>157</v>
      </c>
      <c r="V681" s="48" t="n">
        <f aca="false">IF($U681&gt;=MA_SHORT,AVERAGE(INDEX($I$281:$I681,402-MA_SHORT):$I681),"")</f>
        <v>4444.65</v>
      </c>
      <c r="W681" s="48" t="n">
        <f aca="false">IF($U681&gt;=MA_MED,AVERAGE(INDEX($I$281:$I681,402-MA_MED):$I681),"")</f>
        <v>4225.16</v>
      </c>
      <c r="X681" s="48" t="n">
        <f aca="false">IF($U681&gt;=MA_LONG1,AVERAGE(INDEX($I$281:$I681,402-MA_LONG1):$I681),"")</f>
        <v>3986.58</v>
      </c>
      <c r="Y681" s="48" t="str">
        <f aca="false">IF($U681&gt;=MA_LONG2,AVERAGE(INDEX($I$281:$I681,402-MA_LONG2):$I681),"")</f>
        <v/>
      </c>
      <c r="Z681" s="48" t="n">
        <f aca="false">IF($U681&gt;=MA_SHORT,AVERAGE(INDEX($L$561:$L681,122-MA_SHORT):$L681),"")</f>
        <v>73368671.4</v>
      </c>
      <c r="AA681" s="48" t="n">
        <f aca="false">IF($U681=1,$G681-$H681,MAX($G681-$H681,ABS($G681-$I680),ABS($H681-$I680)))</f>
        <v>226</v>
      </c>
      <c r="AB681" s="48" t="n">
        <f aca="false">IF($U681&gt;=ATR_PER,AVERAGE(INDEX($AA$561:$AA681,122-ATR_PER):$AA681),"")</f>
        <v>168.857142857143</v>
      </c>
      <c r="AC681" s="48" t="n">
        <f aca="false">$O681-$P681</f>
        <v>19152679</v>
      </c>
      <c r="AD681" s="48" t="n">
        <f aca="false">$AC681*$I681</f>
        <v>91377431509</v>
      </c>
      <c r="AE681" s="49" t="n">
        <f aca="false">IF($Q681&gt;0,$O681*$I681/$Q681/1000000,"")</f>
        <v>313.724314019699</v>
      </c>
      <c r="AF681" s="49" t="n">
        <f aca="false">IF($R681&gt;0,$P681*$I681/$R681/1000000,"")</f>
        <v>188.015357955975</v>
      </c>
      <c r="AG681" s="50" t="n">
        <f aca="false">IF(AND(ISNUMBER($AE681),ISNUMBER($AF681),$AF681&gt;0),$AE681/$AF681,"")</f>
        <v>1.66861004032</v>
      </c>
      <c r="AH681" s="48" t="n">
        <f aca="false">IF($U681&gt;=5,SUM(INDEX($AD$651:$AD681,32-5):$AD681),"")</f>
        <v>88764968442</v>
      </c>
      <c r="AI681" s="48" t="n">
        <f aca="false">IF($U681&gt;=STRUCT_S,MAX(INDEX($G$531:$G681,152-STRUCT_S):$G681),"")</f>
        <v>4829</v>
      </c>
      <c r="AJ681" s="48" t="n">
        <f aca="false">IF($U681&gt;=STRUCT_S,MIN(INDEX($H$531:$H681,152-STRUCT_S):$H681),"")</f>
        <v>4167</v>
      </c>
      <c r="AK681" s="48" t="n">
        <f aca="false">IF($U681&gt;=STRUCT_L,MAX(INDEX($G$431:$G681,252-STRUCT_L):$G681),"")</f>
        <v>4829</v>
      </c>
      <c r="AL681" s="48" t="n">
        <f aca="false">IF($U681&gt;=STRUCT_L,MIN(INDEX($H$431:$H681,252-STRUCT_L):$H681),"")</f>
        <v>3778</v>
      </c>
      <c r="AM681" s="46" t="n">
        <f aca="false">IF($A681&lt;&gt;$A682,1,0)</f>
        <v>0</v>
      </c>
      <c r="AN681" s="47" t="str">
        <f aca="false">IF($AM681=1,$A681,"")</f>
        <v/>
      </c>
    </row>
    <row r="682" customFormat="false" ht="15" hidden="false" customHeight="false" outlineLevel="0" collapsed="false">
      <c r="A682" s="43" t="s">
        <v>142</v>
      </c>
      <c r="B682" s="44" t="s">
        <v>144</v>
      </c>
      <c r="C682" s="45" t="n">
        <v>46125</v>
      </c>
      <c r="D682" s="46" t="n">
        <v>20260413</v>
      </c>
      <c r="E682" s="47" t="s">
        <v>445</v>
      </c>
      <c r="F682" s="48" t="n">
        <v>4768</v>
      </c>
      <c r="G682" s="48" t="n">
        <v>4791</v>
      </c>
      <c r="H682" s="48" t="n">
        <v>4740</v>
      </c>
      <c r="I682" s="48" t="n">
        <v>4760</v>
      </c>
      <c r="J682" s="48" t="n">
        <v>4776</v>
      </c>
      <c r="K682" s="48" t="n">
        <v>4771</v>
      </c>
      <c r="L682" s="48" t="n">
        <v>50719556</v>
      </c>
      <c r="M682" s="48" t="n">
        <v>241425086560</v>
      </c>
      <c r="N682" s="48" t="n">
        <v>1304</v>
      </c>
      <c r="O682" s="48" t="n">
        <v>32216805</v>
      </c>
      <c r="P682" s="48" t="n">
        <v>14540956</v>
      </c>
      <c r="Q682" s="48" t="n">
        <v>647</v>
      </c>
      <c r="R682" s="48" t="n">
        <v>499</v>
      </c>
      <c r="S682" s="48" t="n">
        <v>18502751</v>
      </c>
      <c r="T682" s="48" t="n">
        <v>36178600</v>
      </c>
      <c r="U682" s="46" t="n">
        <f aca="false">IF($A682=$A681,$U681+1,1)</f>
        <v>158</v>
      </c>
      <c r="V682" s="48" t="n">
        <f aca="false">IF($U682&gt;=MA_SHORT,AVERAGE(INDEX($I$282:$I682,402-MA_SHORT):$I682),"")</f>
        <v>4468.2</v>
      </c>
      <c r="W682" s="48" t="n">
        <f aca="false">IF($U682&gt;=MA_MED,AVERAGE(INDEX($I$282:$I682,402-MA_MED):$I682),"")</f>
        <v>4236.08</v>
      </c>
      <c r="X682" s="48" t="n">
        <f aca="false">IF($U682&gt;=MA_LONG1,AVERAGE(INDEX($I$282:$I682,402-MA_LONG1):$I682),"")</f>
        <v>4000.46</v>
      </c>
      <c r="Y682" s="48" t="str">
        <f aca="false">IF($U682&gt;=MA_LONG2,AVERAGE(INDEX($I$282:$I682,402-MA_LONG2):$I682),"")</f>
        <v/>
      </c>
      <c r="Z682" s="48" t="n">
        <f aca="false">IF($U682&gt;=MA_SHORT,AVERAGE(INDEX($L$562:$L682,122-MA_SHORT):$L682),"")</f>
        <v>73290456.9</v>
      </c>
      <c r="AA682" s="48" t="n">
        <f aca="false">IF($U682=1,$G682-$H682,MAX($G682-$H682,ABS($G682-$I681),ABS($H682-$I681)))</f>
        <v>51</v>
      </c>
      <c r="AB682" s="48" t="n">
        <f aca="false">IF($U682&gt;=ATR_PER,AVERAGE(INDEX($AA$562:$AA682,122-ATR_PER):$AA682),"")</f>
        <v>157.5</v>
      </c>
      <c r="AC682" s="48" t="n">
        <f aca="false">$O682-$P682</f>
        <v>17675849</v>
      </c>
      <c r="AD682" s="48" t="n">
        <f aca="false">$AC682*$I682</f>
        <v>84137041240</v>
      </c>
      <c r="AE682" s="49" t="n">
        <f aca="false">IF($Q682&gt;0,$O682*$I682/$Q682/1000000,"")</f>
        <v>237.020080061824</v>
      </c>
      <c r="AF682" s="49" t="n">
        <f aca="false">IF($R682&gt;0,$P682*$I682/$R682/1000000,"")</f>
        <v>138.707315751503</v>
      </c>
      <c r="AG682" s="50" t="n">
        <f aca="false">IF(AND(ISNUMBER($AE682),ISNUMBER($AF682),$AF682&gt;0),$AE682/$AF682,"")</f>
        <v>1.70877850802369</v>
      </c>
      <c r="AH682" s="48" t="n">
        <f aca="false">IF($U682&gt;=5,SUM(INDEX($AD$652:$AD682,32-5):$AD682),"")</f>
        <v>189578149954</v>
      </c>
      <c r="AI682" s="48" t="n">
        <f aca="false">IF($U682&gt;=STRUCT_S,MAX(INDEX($G$532:$G682,152-STRUCT_S):$G682),"")</f>
        <v>4829</v>
      </c>
      <c r="AJ682" s="48" t="n">
        <f aca="false">IF($U682&gt;=STRUCT_S,MIN(INDEX($H$532:$H682,152-STRUCT_S):$H682),"")</f>
        <v>4167</v>
      </c>
      <c r="AK682" s="48" t="n">
        <f aca="false">IF($U682&gt;=STRUCT_L,MAX(INDEX($G$432:$G682,252-STRUCT_L):$G682),"")</f>
        <v>4829</v>
      </c>
      <c r="AL682" s="48" t="n">
        <f aca="false">IF($U682&gt;=STRUCT_L,MIN(INDEX($H$432:$H682,252-STRUCT_L):$H682),"")</f>
        <v>3778</v>
      </c>
      <c r="AM682" s="46" t="n">
        <f aca="false">IF($A682&lt;&gt;$A683,1,0)</f>
        <v>0</v>
      </c>
      <c r="AN682" s="47" t="str">
        <f aca="false">IF($AM682=1,$A682,"")</f>
        <v/>
      </c>
    </row>
    <row r="683" customFormat="false" ht="15" hidden="false" customHeight="false" outlineLevel="0" collapsed="false">
      <c r="A683" s="43" t="s">
        <v>142</v>
      </c>
      <c r="B683" s="44" t="s">
        <v>144</v>
      </c>
      <c r="C683" s="45" t="n">
        <v>46126</v>
      </c>
      <c r="D683" s="46" t="n">
        <v>20260414</v>
      </c>
      <c r="E683" s="47" t="s">
        <v>446</v>
      </c>
      <c r="F683" s="48" t="n">
        <v>4711</v>
      </c>
      <c r="G683" s="48" t="n">
        <v>4803</v>
      </c>
      <c r="H683" s="48" t="n">
        <v>4487</v>
      </c>
      <c r="I683" s="48" t="n">
        <v>4527</v>
      </c>
      <c r="J683" s="48" t="n">
        <v>4604</v>
      </c>
      <c r="K683" s="48" t="n">
        <v>4760</v>
      </c>
      <c r="L683" s="48" t="n">
        <v>64720446</v>
      </c>
      <c r="M683" s="48" t="n">
        <v>292989459042</v>
      </c>
      <c r="N683" s="48" t="n">
        <v>2559</v>
      </c>
      <c r="O683" s="48" t="n">
        <v>17724396</v>
      </c>
      <c r="P683" s="48" t="n">
        <v>44183781</v>
      </c>
      <c r="Q683" s="48" t="n">
        <v>1087</v>
      </c>
      <c r="R683" s="48" t="n">
        <v>840</v>
      </c>
      <c r="S683" s="48" t="n">
        <v>46996050</v>
      </c>
      <c r="T683" s="48" t="n">
        <v>20536665</v>
      </c>
      <c r="U683" s="46" t="n">
        <f aca="false">IF($A683=$A682,$U682+1,1)</f>
        <v>159</v>
      </c>
      <c r="V683" s="48" t="n">
        <f aca="false">IF($U683&gt;=MA_SHORT,AVERAGE(INDEX($I$283:$I683,402-MA_SHORT):$I683),"")</f>
        <v>4473.75</v>
      </c>
      <c r="W683" s="48" t="n">
        <f aca="false">IF($U683&gt;=MA_MED,AVERAGE(INDEX($I$283:$I683,402-MA_MED):$I683),"")</f>
        <v>4244.6</v>
      </c>
      <c r="X683" s="48" t="n">
        <f aca="false">IF($U683&gt;=MA_LONG1,AVERAGE(INDEX($I$283:$I683,402-MA_LONG1):$I683),"")</f>
        <v>4013.2</v>
      </c>
      <c r="Y683" s="48" t="str">
        <f aca="false">IF($U683&gt;=MA_LONG2,AVERAGE(INDEX($I$283:$I683,402-MA_LONG2):$I683),"")</f>
        <v/>
      </c>
      <c r="Z683" s="48" t="n">
        <f aca="false">IF($U683&gt;=MA_SHORT,AVERAGE(INDEX($L$563:$L683,122-MA_SHORT):$L683),"")</f>
        <v>73580700.65</v>
      </c>
      <c r="AA683" s="48" t="n">
        <f aca="false">IF($U683=1,$G683-$H683,MAX($G683-$H683,ABS($G683-$I682),ABS($H683-$I682)))</f>
        <v>316</v>
      </c>
      <c r="AB683" s="48" t="n">
        <f aca="false">IF($U683&gt;=ATR_PER,AVERAGE(INDEX($AA$563:$AA683,122-ATR_PER):$AA683),"")</f>
        <v>169.142857142857</v>
      </c>
      <c r="AC683" s="48" t="n">
        <f aca="false">$O683-$P683</f>
        <v>-26459385</v>
      </c>
      <c r="AD683" s="48" t="n">
        <f aca="false">$AC683*$I683</f>
        <v>-119781635895</v>
      </c>
      <c r="AE683" s="49" t="n">
        <f aca="false">IF($Q683&gt;0,$O683*$I683/$Q683/1000000,"")</f>
        <v>73.8163207838087</v>
      </c>
      <c r="AF683" s="49" t="n">
        <f aca="false">IF($R683&gt;0,$P683*$I683/$R683/1000000,"")</f>
        <v>238.119019746429</v>
      </c>
      <c r="AG683" s="50" t="n">
        <f aca="false">IF(AND(ISNUMBER($AE683),ISNUMBER($AF683),$AF683&gt;0),$AE683/$AF683,"")</f>
        <v>0.309997583823481</v>
      </c>
      <c r="AH683" s="48" t="n">
        <f aca="false">IF($U683&gt;=5,SUM(INDEX($AD$653:$AD683,32-5):$AD683),"")</f>
        <v>61001005309</v>
      </c>
      <c r="AI683" s="48" t="n">
        <f aca="false">IF($U683&gt;=STRUCT_S,MAX(INDEX($G$533:$G683,152-STRUCT_S):$G683),"")</f>
        <v>4829</v>
      </c>
      <c r="AJ683" s="48" t="n">
        <f aca="false">IF($U683&gt;=STRUCT_S,MIN(INDEX($H$533:$H683,152-STRUCT_S):$H683),"")</f>
        <v>4167</v>
      </c>
      <c r="AK683" s="48" t="n">
        <f aca="false">IF($U683&gt;=STRUCT_L,MAX(INDEX($G$433:$G683,252-STRUCT_L):$G683),"")</f>
        <v>4829</v>
      </c>
      <c r="AL683" s="48" t="n">
        <f aca="false">IF($U683&gt;=STRUCT_L,MIN(INDEX($H$433:$H683,252-STRUCT_L):$H683),"")</f>
        <v>3778</v>
      </c>
      <c r="AM683" s="46" t="n">
        <f aca="false">IF($A683&lt;&gt;$A684,1,0)</f>
        <v>0</v>
      </c>
      <c r="AN683" s="47" t="str">
        <f aca="false">IF($AM683=1,$A683,"")</f>
        <v/>
      </c>
    </row>
    <row r="684" customFormat="false" ht="15" hidden="false" customHeight="false" outlineLevel="0" collapsed="false">
      <c r="A684" s="43" t="s">
        <v>142</v>
      </c>
      <c r="B684" s="44" t="s">
        <v>144</v>
      </c>
      <c r="C684" s="45" t="n">
        <v>46127</v>
      </c>
      <c r="D684" s="46" t="n">
        <v>20260415</v>
      </c>
      <c r="E684" s="47" t="s">
        <v>447</v>
      </c>
      <c r="F684" s="48" t="n">
        <v>4720</v>
      </c>
      <c r="G684" s="48" t="n">
        <v>4791</v>
      </c>
      <c r="H684" s="48" t="n">
        <v>4486</v>
      </c>
      <c r="I684" s="48" t="n">
        <v>4748</v>
      </c>
      <c r="J684" s="48" t="n">
        <v>4694</v>
      </c>
      <c r="K684" s="48" t="n">
        <v>4527</v>
      </c>
      <c r="L684" s="48" t="n">
        <v>64681011</v>
      </c>
      <c r="M684" s="48" t="n">
        <v>307105440228</v>
      </c>
      <c r="N684" s="48" t="n">
        <v>2202</v>
      </c>
      <c r="O684" s="48" t="n">
        <v>46718757</v>
      </c>
      <c r="P684" s="48" t="n">
        <v>14487637</v>
      </c>
      <c r="Q684" s="48" t="n">
        <v>658</v>
      </c>
      <c r="R684" s="48" t="n">
        <v>1042</v>
      </c>
      <c r="S684" s="48" t="n">
        <v>17962254</v>
      </c>
      <c r="T684" s="48" t="n">
        <v>50193374</v>
      </c>
      <c r="U684" s="46" t="n">
        <f aca="false">IF($A684=$A683,$U683+1,1)</f>
        <v>160</v>
      </c>
      <c r="V684" s="48" t="n">
        <f aca="false">IF($U684&gt;=MA_SHORT,AVERAGE(INDEX($I$284:$I684,402-MA_SHORT):$I684),"")</f>
        <v>4488.95</v>
      </c>
      <c r="W684" s="48" t="n">
        <f aca="false">IF($U684&gt;=MA_MED,AVERAGE(INDEX($I$284:$I684,402-MA_MED):$I684),"")</f>
        <v>4258.8</v>
      </c>
      <c r="X684" s="48" t="n">
        <f aca="false">IF($U684&gt;=MA_LONG1,AVERAGE(INDEX($I$284:$I684,402-MA_LONG1):$I684),"")</f>
        <v>4026.75</v>
      </c>
      <c r="Y684" s="48" t="str">
        <f aca="false">IF($U684&gt;=MA_LONG2,AVERAGE(INDEX($I$284:$I684,402-MA_LONG2):$I684),"")</f>
        <v/>
      </c>
      <c r="Z684" s="48" t="n">
        <f aca="false">IF($U684&gt;=MA_SHORT,AVERAGE(INDEX($L$564:$L684,122-MA_SHORT):$L684),"")</f>
        <v>74218215.35</v>
      </c>
      <c r="AA684" s="48" t="n">
        <f aca="false">IF($U684=1,$G684-$H684,MAX($G684-$H684,ABS($G684-$I683),ABS($H684-$I683)))</f>
        <v>305</v>
      </c>
      <c r="AB684" s="48" t="n">
        <f aca="false">IF($U684&gt;=ATR_PER,AVERAGE(INDEX($AA$564:$AA684,122-ATR_PER):$AA684),"")</f>
        <v>174.214285714286</v>
      </c>
      <c r="AC684" s="48" t="n">
        <f aca="false">$O684-$P684</f>
        <v>32231120</v>
      </c>
      <c r="AD684" s="48" t="n">
        <f aca="false">$AC684*$I684</f>
        <v>153033357760</v>
      </c>
      <c r="AE684" s="49" t="n">
        <f aca="false">IF($Q684&gt;0,$O684*$I684/$Q684/1000000,"")</f>
        <v>337.113462364742</v>
      </c>
      <c r="AF684" s="49" t="n">
        <f aca="false">IF($R684&gt;0,$P684*$I684/$R684/1000000,"")</f>
        <v>66.0146837581574</v>
      </c>
      <c r="AG684" s="50" t="n">
        <f aca="false">IF(AND(ISNUMBER($AE684),ISNUMBER($AF684),$AF684&gt;0),$AE684/$AF684,"")</f>
        <v>5.10664360068353</v>
      </c>
      <c r="AH684" s="48" t="n">
        <f aca="false">IF($U684&gt;=5,SUM(INDEX($AD$654:$AD684,32-5):$AD684),"")</f>
        <v>225805275774</v>
      </c>
      <c r="AI684" s="48" t="n">
        <f aca="false">IF($U684&gt;=STRUCT_S,MAX(INDEX($G$534:$G684,152-STRUCT_S):$G684),"")</f>
        <v>4829</v>
      </c>
      <c r="AJ684" s="48" t="n">
        <f aca="false">IF($U684&gt;=STRUCT_S,MIN(INDEX($H$534:$H684,152-STRUCT_S):$H684),"")</f>
        <v>4167</v>
      </c>
      <c r="AK684" s="48" t="n">
        <f aca="false">IF($U684&gt;=STRUCT_L,MAX(INDEX($G$434:$G684,252-STRUCT_L):$G684),"")</f>
        <v>4829</v>
      </c>
      <c r="AL684" s="48" t="n">
        <f aca="false">IF($U684&gt;=STRUCT_L,MIN(INDEX($H$434:$H684,252-STRUCT_L):$H684),"")</f>
        <v>3778</v>
      </c>
      <c r="AM684" s="46" t="n">
        <f aca="false">IF($A684&lt;&gt;$A685,1,0)</f>
        <v>0</v>
      </c>
      <c r="AN684" s="47" t="str">
        <f aca="false">IF($AM684=1,$A684,"")</f>
        <v/>
      </c>
    </row>
    <row r="685" customFormat="false" ht="15" hidden="false" customHeight="false" outlineLevel="0" collapsed="false">
      <c r="A685" s="43" t="s">
        <v>142</v>
      </c>
      <c r="B685" s="44" t="s">
        <v>144</v>
      </c>
      <c r="C685" s="45" t="n">
        <v>46130</v>
      </c>
      <c r="D685" s="46" t="n">
        <v>20260418</v>
      </c>
      <c r="E685" s="47" t="s">
        <v>448</v>
      </c>
      <c r="F685" s="48" t="n">
        <v>4630</v>
      </c>
      <c r="G685" s="48" t="n">
        <v>4813</v>
      </c>
      <c r="H685" s="48" t="n">
        <v>4603</v>
      </c>
      <c r="I685" s="48" t="n">
        <v>4667</v>
      </c>
      <c r="J685" s="48" t="n">
        <v>4716</v>
      </c>
      <c r="K685" s="48" t="n">
        <v>4748</v>
      </c>
      <c r="L685" s="48" t="n">
        <v>55148256</v>
      </c>
      <c r="M685" s="48" t="n">
        <v>257376910752</v>
      </c>
      <c r="N685" s="48" t="n">
        <v>1253</v>
      </c>
      <c r="O685" s="48" t="n">
        <v>28079061</v>
      </c>
      <c r="P685" s="48" t="n">
        <v>28824507</v>
      </c>
      <c r="Q685" s="48" t="n">
        <v>599</v>
      </c>
      <c r="R685" s="48" t="n">
        <v>532</v>
      </c>
      <c r="S685" s="48" t="n">
        <v>27069195</v>
      </c>
      <c r="T685" s="48" t="n">
        <v>26323749</v>
      </c>
      <c r="U685" s="46" t="n">
        <f aca="false">IF($A685=$A684,$U684+1,1)</f>
        <v>161</v>
      </c>
      <c r="V685" s="48" t="n">
        <f aca="false">IF($U685&gt;=MA_SHORT,AVERAGE(INDEX($I$285:$I685,402-MA_SHORT):$I685),"")</f>
        <v>4503.6</v>
      </c>
      <c r="W685" s="48" t="n">
        <f aca="false">IF($U685&gt;=MA_MED,AVERAGE(INDEX($I$285:$I685,402-MA_MED):$I685),"")</f>
        <v>4270.34</v>
      </c>
      <c r="X685" s="48" t="n">
        <f aca="false">IF($U685&gt;=MA_LONG1,AVERAGE(INDEX($I$285:$I685,402-MA_LONG1):$I685),"")</f>
        <v>4038.31</v>
      </c>
      <c r="Y685" s="48" t="str">
        <f aca="false">IF($U685&gt;=MA_LONG2,AVERAGE(INDEX($I$285:$I685,402-MA_LONG2):$I685),"")</f>
        <v/>
      </c>
      <c r="Z685" s="48" t="n">
        <f aca="false">IF($U685&gt;=MA_SHORT,AVERAGE(INDEX($L$565:$L685,122-MA_SHORT):$L685),"")</f>
        <v>72693500.25</v>
      </c>
      <c r="AA685" s="48" t="n">
        <f aca="false">IF($U685=1,$G685-$H685,MAX($G685-$H685,ABS($G685-$I684),ABS($H685-$I684)))</f>
        <v>210</v>
      </c>
      <c r="AB685" s="48" t="n">
        <f aca="false">IF($U685&gt;=ATR_PER,AVERAGE(INDEX($AA$565:$AA685,122-ATR_PER):$AA685),"")</f>
        <v>182.428571428571</v>
      </c>
      <c r="AC685" s="48" t="n">
        <f aca="false">$O685-$P685</f>
        <v>-745446</v>
      </c>
      <c r="AD685" s="48" t="n">
        <f aca="false">$AC685*$I685</f>
        <v>-3478996482</v>
      </c>
      <c r="AE685" s="49" t="n">
        <f aca="false">IF($Q685&gt;0,$O685*$I685/$Q685/1000000,"")</f>
        <v>218.772917674457</v>
      </c>
      <c r="AF685" s="49" t="n">
        <f aca="false">IF($R685&gt;0,$P685*$I685/$R685/1000000,"")</f>
        <v>252.864613099624</v>
      </c>
      <c r="AG685" s="50" t="n">
        <f aca="false">IF(AND(ISNUMBER($AE685),ISNUMBER($AF685),$AF685&gt;0),$AE685/$AF685,"")</f>
        <v>0.86517806897822</v>
      </c>
      <c r="AH685" s="48" t="n">
        <f aca="false">IF($U685&gt;=5,SUM(INDEX($AD$655:$AD685,32-5):$AD685),"")</f>
        <v>205287198132</v>
      </c>
      <c r="AI685" s="48" t="n">
        <f aca="false">IF($U685&gt;=STRUCT_S,MAX(INDEX($G$535:$G685,152-STRUCT_S):$G685),"")</f>
        <v>4829</v>
      </c>
      <c r="AJ685" s="48" t="n">
        <f aca="false">IF($U685&gt;=STRUCT_S,MIN(INDEX($H$535:$H685,152-STRUCT_S):$H685),"")</f>
        <v>4167</v>
      </c>
      <c r="AK685" s="48" t="n">
        <f aca="false">IF($U685&gt;=STRUCT_L,MAX(INDEX($G$435:$G685,252-STRUCT_L):$G685),"")</f>
        <v>4829</v>
      </c>
      <c r="AL685" s="48" t="n">
        <f aca="false">IF($U685&gt;=STRUCT_L,MIN(INDEX($H$435:$H685,252-STRUCT_L):$H685),"")</f>
        <v>3778</v>
      </c>
      <c r="AM685" s="46" t="n">
        <f aca="false">IF($A685&lt;&gt;$A686,1,0)</f>
        <v>0</v>
      </c>
      <c r="AN685" s="47" t="str">
        <f aca="false">IF($AM685=1,$A685,"")</f>
        <v/>
      </c>
    </row>
    <row r="686" customFormat="false" ht="15" hidden="false" customHeight="false" outlineLevel="0" collapsed="false">
      <c r="A686" s="43" t="s">
        <v>142</v>
      </c>
      <c r="B686" s="44" t="s">
        <v>144</v>
      </c>
      <c r="C686" s="45" t="n">
        <v>46131</v>
      </c>
      <c r="D686" s="46" t="n">
        <v>20260419</v>
      </c>
      <c r="E686" s="47" t="s">
        <v>449</v>
      </c>
      <c r="F686" s="48" t="n">
        <v>4623</v>
      </c>
      <c r="G686" s="48" t="n">
        <v>4802</v>
      </c>
      <c r="H686" s="48" t="n">
        <v>4586</v>
      </c>
      <c r="I686" s="48" t="n">
        <v>4720</v>
      </c>
      <c r="J686" s="48" t="n">
        <v>4611</v>
      </c>
      <c r="K686" s="48" t="n">
        <v>4667</v>
      </c>
      <c r="L686" s="48" t="n">
        <v>53436270</v>
      </c>
      <c r="M686" s="48" t="n">
        <v>252219194400</v>
      </c>
      <c r="N686" s="48" t="n">
        <v>1725</v>
      </c>
      <c r="O686" s="48" t="n">
        <v>30499717</v>
      </c>
      <c r="P686" s="48" t="n">
        <v>20541143</v>
      </c>
      <c r="Q686" s="48" t="n">
        <v>863</v>
      </c>
      <c r="R686" s="48" t="n">
        <v>767</v>
      </c>
      <c r="S686" s="48" t="n">
        <v>22936553</v>
      </c>
      <c r="T686" s="48" t="n">
        <v>32895127</v>
      </c>
      <c r="U686" s="46" t="n">
        <f aca="false">IF($A686=$A685,$U685+1,1)</f>
        <v>162</v>
      </c>
      <c r="V686" s="48" t="n">
        <f aca="false">IF($U686&gt;=MA_SHORT,AVERAGE(INDEX($I$286:$I686,402-MA_SHORT):$I686),"")</f>
        <v>4521.7</v>
      </c>
      <c r="W686" s="48" t="n">
        <f aca="false">IF($U686&gt;=MA_MED,AVERAGE(INDEX($I$286:$I686,402-MA_MED):$I686),"")</f>
        <v>4280.1</v>
      </c>
      <c r="X686" s="48" t="n">
        <f aca="false">IF($U686&gt;=MA_LONG1,AVERAGE(INDEX($I$286:$I686,402-MA_LONG1):$I686),"")</f>
        <v>4051.02</v>
      </c>
      <c r="Y686" s="48" t="str">
        <f aca="false">IF($U686&gt;=MA_LONG2,AVERAGE(INDEX($I$286:$I686,402-MA_LONG2):$I686),"")</f>
        <v/>
      </c>
      <c r="Z686" s="48" t="n">
        <f aca="false">IF($U686&gt;=MA_SHORT,AVERAGE(INDEX($L$566:$L686,122-MA_SHORT):$L686),"")</f>
        <v>72515222.95</v>
      </c>
      <c r="AA686" s="48" t="n">
        <f aca="false">IF($U686=1,$G686-$H686,MAX($G686-$H686,ABS($G686-$I685),ABS($H686-$I685)))</f>
        <v>216</v>
      </c>
      <c r="AB686" s="48" t="n">
        <f aca="false">IF($U686&gt;=ATR_PER,AVERAGE(INDEX($AA$566:$AA686,122-ATR_PER):$AA686),"")</f>
        <v>178.928571428571</v>
      </c>
      <c r="AC686" s="48" t="n">
        <f aca="false">$O686-$P686</f>
        <v>9958574</v>
      </c>
      <c r="AD686" s="48" t="n">
        <f aca="false">$AC686*$I686</f>
        <v>47004469280</v>
      </c>
      <c r="AE686" s="49" t="n">
        <f aca="false">IF($Q686&gt;0,$O686*$I686/$Q686/1000000,"")</f>
        <v>166.811893673233</v>
      </c>
      <c r="AF686" s="49" t="n">
        <f aca="false">IF($R686&gt;0,$P686*$I686/$R686/1000000,"")</f>
        <v>126.407033846154</v>
      </c>
      <c r="AG686" s="50" t="n">
        <f aca="false">IF(AND(ISNUMBER($AE686),ISNUMBER($AF686),$AF686&gt;0),$AE686/$AF686,"")</f>
        <v>1.3196409139404</v>
      </c>
      <c r="AH686" s="48" t="n">
        <f aca="false">IF($U686&gt;=5,SUM(INDEX($AD$656:$AD686,32-5):$AD686),"")</f>
        <v>160914235903</v>
      </c>
      <c r="AI686" s="48" t="n">
        <f aca="false">IF($U686&gt;=STRUCT_S,MAX(INDEX($G$536:$G686,152-STRUCT_S):$G686),"")</f>
        <v>4829</v>
      </c>
      <c r="AJ686" s="48" t="n">
        <f aca="false">IF($U686&gt;=STRUCT_S,MIN(INDEX($H$536:$H686,152-STRUCT_S):$H686),"")</f>
        <v>4167</v>
      </c>
      <c r="AK686" s="48" t="n">
        <f aca="false">IF($U686&gt;=STRUCT_L,MAX(INDEX($G$436:$G686,252-STRUCT_L):$G686),"")</f>
        <v>4829</v>
      </c>
      <c r="AL686" s="48" t="n">
        <f aca="false">IF($U686&gt;=STRUCT_L,MIN(INDEX($H$436:$H686,252-STRUCT_L):$H686),"")</f>
        <v>3778</v>
      </c>
      <c r="AM686" s="46" t="n">
        <f aca="false">IF($A686&lt;&gt;$A687,1,0)</f>
        <v>0</v>
      </c>
      <c r="AN686" s="47" t="str">
        <f aca="false">IF($AM686=1,$A686,"")</f>
        <v/>
      </c>
    </row>
    <row r="687" customFormat="false" ht="15" hidden="false" customHeight="false" outlineLevel="0" collapsed="false">
      <c r="A687" s="43" t="s">
        <v>142</v>
      </c>
      <c r="B687" s="44" t="s">
        <v>144</v>
      </c>
      <c r="C687" s="45" t="n">
        <v>46132</v>
      </c>
      <c r="D687" s="46" t="n">
        <v>20260420</v>
      </c>
      <c r="E687" s="47" t="s">
        <v>450</v>
      </c>
      <c r="F687" s="48" t="n">
        <v>4718</v>
      </c>
      <c r="G687" s="48" t="n">
        <v>4734</v>
      </c>
      <c r="H687" s="48" t="n">
        <v>4702</v>
      </c>
      <c r="I687" s="48" t="n">
        <v>4716</v>
      </c>
      <c r="J687" s="48" t="n">
        <v>4703</v>
      </c>
      <c r="K687" s="48" t="n">
        <v>4720</v>
      </c>
      <c r="L687" s="48" t="n">
        <v>50281874</v>
      </c>
      <c r="M687" s="48" t="n">
        <v>237129317784</v>
      </c>
      <c r="N687" s="48" t="n">
        <v>2329</v>
      </c>
      <c r="O687" s="48" t="n">
        <v>28402690</v>
      </c>
      <c r="P687" s="48" t="n">
        <v>25697536</v>
      </c>
      <c r="Q687" s="48" t="n">
        <v>919</v>
      </c>
      <c r="R687" s="48" t="n">
        <v>981</v>
      </c>
      <c r="S687" s="48" t="n">
        <v>21879184</v>
      </c>
      <c r="T687" s="48" t="n">
        <v>24584338</v>
      </c>
      <c r="U687" s="46" t="n">
        <f aca="false">IF($A687=$A686,$U686+1,1)</f>
        <v>163</v>
      </c>
      <c r="V687" s="48" t="n">
        <f aca="false">IF($U687&gt;=MA_SHORT,AVERAGE(INDEX($I$287:$I687,402-MA_SHORT):$I687),"")</f>
        <v>4544.95</v>
      </c>
      <c r="W687" s="48" t="n">
        <f aca="false">IF($U687&gt;=MA_MED,AVERAGE(INDEX($I$287:$I687,402-MA_MED):$I687),"")</f>
        <v>4289</v>
      </c>
      <c r="X687" s="48" t="n">
        <f aca="false">IF($U687&gt;=MA_LONG1,AVERAGE(INDEX($I$287:$I687,402-MA_LONG1):$I687),"")</f>
        <v>4065.04</v>
      </c>
      <c r="Y687" s="48" t="str">
        <f aca="false">IF($U687&gt;=MA_LONG2,AVERAGE(INDEX($I$287:$I687,402-MA_LONG2):$I687),"")</f>
        <v/>
      </c>
      <c r="Z687" s="48" t="n">
        <f aca="false">IF($U687&gt;=MA_SHORT,AVERAGE(INDEX($L$567:$L687,122-MA_SHORT):$L687),"")</f>
        <v>72159451.1</v>
      </c>
      <c r="AA687" s="48" t="n">
        <f aca="false">IF($U687=1,$G687-$H687,MAX($G687-$H687,ABS($G687-$I686),ABS($H687-$I686)))</f>
        <v>32</v>
      </c>
      <c r="AB687" s="48" t="n">
        <f aca="false">IF($U687&gt;=ATR_PER,AVERAGE(INDEX($AA$567:$AA687,122-ATR_PER):$AA687),"")</f>
        <v>175.642857142857</v>
      </c>
      <c r="AC687" s="48" t="n">
        <f aca="false">$O687-$P687</f>
        <v>2705154</v>
      </c>
      <c r="AD687" s="48" t="n">
        <f aca="false">$AC687*$I687</f>
        <v>12757506264</v>
      </c>
      <c r="AE687" s="49" t="n">
        <f aca="false">IF($Q687&gt;0,$O687*$I687/$Q687/1000000,"")</f>
        <v>145.753086006529</v>
      </c>
      <c r="AF687" s="49" t="n">
        <f aca="false">IF($R687&gt;0,$P687*$I687/$R687/1000000,"")</f>
        <v>123.536778568807</v>
      </c>
      <c r="AG687" s="50" t="n">
        <f aca="false">IF(AND(ISNUMBER($AE687),ISNUMBER($AF687),$AF687&gt;0),$AE687/$AF687,"")</f>
        <v>1.17983557362513</v>
      </c>
      <c r="AH687" s="48" t="n">
        <f aca="false">IF($U687&gt;=5,SUM(INDEX($AD$657:$AD687,32-5):$AD687),"")</f>
        <v>89534700927</v>
      </c>
      <c r="AI687" s="48" t="n">
        <f aca="false">IF($U687&gt;=STRUCT_S,MAX(INDEX($G$537:$G687,152-STRUCT_S):$G687),"")</f>
        <v>4829</v>
      </c>
      <c r="AJ687" s="48" t="n">
        <f aca="false">IF($U687&gt;=STRUCT_S,MIN(INDEX($H$537:$H687,152-STRUCT_S):$H687),"")</f>
        <v>4167</v>
      </c>
      <c r="AK687" s="48" t="n">
        <f aca="false">IF($U687&gt;=STRUCT_L,MAX(INDEX($G$437:$G687,252-STRUCT_L):$G687),"")</f>
        <v>4829</v>
      </c>
      <c r="AL687" s="48" t="n">
        <f aca="false">IF($U687&gt;=STRUCT_L,MIN(INDEX($H$437:$H687,252-STRUCT_L):$H687),"")</f>
        <v>3778</v>
      </c>
      <c r="AM687" s="46" t="n">
        <f aca="false">IF($A687&lt;&gt;$A688,1,0)</f>
        <v>0</v>
      </c>
      <c r="AN687" s="47" t="str">
        <f aca="false">IF($AM687=1,$A687,"")</f>
        <v/>
      </c>
    </row>
    <row r="688" customFormat="false" ht="15" hidden="false" customHeight="false" outlineLevel="0" collapsed="false">
      <c r="A688" s="43" t="s">
        <v>142</v>
      </c>
      <c r="B688" s="44" t="s">
        <v>144</v>
      </c>
      <c r="C688" s="45" t="n">
        <v>46133</v>
      </c>
      <c r="D688" s="46" t="n">
        <v>20260421</v>
      </c>
      <c r="E688" s="47" t="s">
        <v>451</v>
      </c>
      <c r="F688" s="48" t="n">
        <v>4687</v>
      </c>
      <c r="G688" s="48" t="n">
        <v>4780</v>
      </c>
      <c r="H688" s="48" t="n">
        <v>4685</v>
      </c>
      <c r="I688" s="48" t="n">
        <v>4749</v>
      </c>
      <c r="J688" s="48" t="n">
        <v>4733</v>
      </c>
      <c r="K688" s="48" t="n">
        <v>4716</v>
      </c>
      <c r="L688" s="48" t="n">
        <v>52127888</v>
      </c>
      <c r="M688" s="48" t="n">
        <v>247555340112</v>
      </c>
      <c r="N688" s="48" t="n">
        <v>1400</v>
      </c>
      <c r="O688" s="48" t="n">
        <v>29344845</v>
      </c>
      <c r="P688" s="48" t="n">
        <v>21170901</v>
      </c>
      <c r="Q688" s="48" t="n">
        <v>406</v>
      </c>
      <c r="R688" s="48" t="n">
        <v>841</v>
      </c>
      <c r="S688" s="48" t="n">
        <v>22783043</v>
      </c>
      <c r="T688" s="48" t="n">
        <v>30956987</v>
      </c>
      <c r="U688" s="46" t="n">
        <f aca="false">IF($A688=$A687,$U687+1,1)</f>
        <v>164</v>
      </c>
      <c r="V688" s="48" t="n">
        <f aca="false">IF($U688&gt;=MA_SHORT,AVERAGE(INDEX($I$288:$I688,402-MA_SHORT):$I688),"")</f>
        <v>4564.05</v>
      </c>
      <c r="W688" s="48" t="n">
        <f aca="false">IF($U688&gt;=MA_MED,AVERAGE(INDEX($I$288:$I688,402-MA_MED):$I688),"")</f>
        <v>4300.16</v>
      </c>
      <c r="X688" s="48" t="n">
        <f aca="false">IF($U688&gt;=MA_LONG1,AVERAGE(INDEX($I$288:$I688,402-MA_LONG1):$I688),"")</f>
        <v>4078.79</v>
      </c>
      <c r="Y688" s="48" t="str">
        <f aca="false">IF($U688&gt;=MA_LONG2,AVERAGE(INDEX($I$288:$I688,402-MA_LONG2):$I688),"")</f>
        <v/>
      </c>
      <c r="Z688" s="48" t="n">
        <f aca="false">IF($U688&gt;=MA_SHORT,AVERAGE(INDEX($L$568:$L688,122-MA_SHORT):$L688),"")</f>
        <v>71450891.95</v>
      </c>
      <c r="AA688" s="48" t="n">
        <f aca="false">IF($U688=1,$G688-$H688,MAX($G688-$H688,ABS($G688-$I687),ABS($H688-$I687)))</f>
        <v>95</v>
      </c>
      <c r="AB688" s="48" t="n">
        <f aca="false">IF($U688&gt;=ATR_PER,AVERAGE(INDEX($AA$568:$AA688,122-ATR_PER):$AA688),"")</f>
        <v>174</v>
      </c>
      <c r="AC688" s="48" t="n">
        <f aca="false">$O688-$P688</f>
        <v>8173944</v>
      </c>
      <c r="AD688" s="48" t="n">
        <f aca="false">$AC688*$I688</f>
        <v>38818060056</v>
      </c>
      <c r="AE688" s="49" t="n">
        <f aca="false">IF($Q688&gt;0,$O688*$I688/$Q688/1000000,"")</f>
        <v>343.24795296798</v>
      </c>
      <c r="AF688" s="49" t="n">
        <f aca="false">IF($R688&gt;0,$P688*$I688/$R688/1000000,"")</f>
        <v>119.548880914388</v>
      </c>
      <c r="AG688" s="50" t="n">
        <f aca="false">IF(AND(ISNUMBER($AE688),ISNUMBER($AF688),$AF688&gt;0),$AE688/$AF688,"")</f>
        <v>2.87119335908958</v>
      </c>
      <c r="AH688" s="48" t="n">
        <f aca="false">IF($U688&gt;=5,SUM(INDEX($AD$658:$AD688,32-5):$AD688),"")</f>
        <v>248134396878</v>
      </c>
      <c r="AI688" s="48" t="n">
        <f aca="false">IF($U688&gt;=STRUCT_S,MAX(INDEX($G$538:$G688,152-STRUCT_S):$G688),"")</f>
        <v>4829</v>
      </c>
      <c r="AJ688" s="48" t="n">
        <f aca="false">IF($U688&gt;=STRUCT_S,MIN(INDEX($H$538:$H688,152-STRUCT_S):$H688),"")</f>
        <v>4167</v>
      </c>
      <c r="AK688" s="48" t="n">
        <f aca="false">IF($U688&gt;=STRUCT_L,MAX(INDEX($G$438:$G688,252-STRUCT_L):$G688),"")</f>
        <v>4829</v>
      </c>
      <c r="AL688" s="48" t="n">
        <f aca="false">IF($U688&gt;=STRUCT_L,MIN(INDEX($H$438:$H688,252-STRUCT_L):$H688),"")</f>
        <v>3778</v>
      </c>
      <c r="AM688" s="46" t="n">
        <f aca="false">IF($A688&lt;&gt;$A689,1,0)</f>
        <v>0</v>
      </c>
      <c r="AN688" s="47" t="str">
        <f aca="false">IF($AM688=1,$A688,"")</f>
        <v/>
      </c>
    </row>
    <row r="689" customFormat="false" ht="15" hidden="false" customHeight="false" outlineLevel="0" collapsed="false">
      <c r="A689" s="43" t="s">
        <v>142</v>
      </c>
      <c r="B689" s="44" t="s">
        <v>144</v>
      </c>
      <c r="C689" s="45" t="n">
        <v>46134</v>
      </c>
      <c r="D689" s="46" t="n">
        <v>20260422</v>
      </c>
      <c r="E689" s="47" t="s">
        <v>452</v>
      </c>
      <c r="F689" s="48" t="n">
        <v>4816</v>
      </c>
      <c r="G689" s="48" t="n">
        <v>4826</v>
      </c>
      <c r="H689" s="48" t="n">
        <v>4720</v>
      </c>
      <c r="I689" s="48" t="n">
        <v>4796</v>
      </c>
      <c r="J689" s="48" t="n">
        <v>4746</v>
      </c>
      <c r="K689" s="48" t="n">
        <v>4749</v>
      </c>
      <c r="L689" s="48" t="n">
        <v>234886536</v>
      </c>
      <c r="M689" s="48" t="n">
        <v>1126515826656</v>
      </c>
      <c r="N689" s="48" t="n">
        <v>7915</v>
      </c>
      <c r="O689" s="48" t="n">
        <v>154646633</v>
      </c>
      <c r="P689" s="48" t="n">
        <v>80881611</v>
      </c>
      <c r="Q689" s="48" t="n">
        <v>2546</v>
      </c>
      <c r="R689" s="48" t="n">
        <v>4476</v>
      </c>
      <c r="S689" s="48" t="n">
        <v>80239903</v>
      </c>
      <c r="T689" s="48" t="n">
        <v>154004925</v>
      </c>
      <c r="U689" s="46" t="n">
        <f aca="false">IF($A689=$A688,$U688+1,1)</f>
        <v>165</v>
      </c>
      <c r="V689" s="48" t="n">
        <f aca="false">IF($U689&gt;=MA_SHORT,AVERAGE(INDEX($I$289:$I689,402-MA_SHORT):$I689),"")</f>
        <v>4582.2</v>
      </c>
      <c r="W689" s="48" t="n">
        <f aca="false">IF($U689&gt;=MA_MED,AVERAGE(INDEX($I$289:$I689,402-MA_MED):$I689),"")</f>
        <v>4314.82</v>
      </c>
      <c r="X689" s="48" t="n">
        <f aca="false">IF($U689&gt;=MA_LONG1,AVERAGE(INDEX($I$289:$I689,402-MA_LONG1):$I689),"")</f>
        <v>4092.4</v>
      </c>
      <c r="Y689" s="48" t="str">
        <f aca="false">IF($U689&gt;=MA_LONG2,AVERAGE(INDEX($I$289:$I689,402-MA_LONG2):$I689),"")</f>
        <v/>
      </c>
      <c r="Z689" s="48" t="n">
        <f aca="false">IF($U689&gt;=MA_SHORT,AVERAGE(INDEX($L$569:$L689,122-MA_SHORT):$L689),"")</f>
        <v>80467019</v>
      </c>
      <c r="AA689" s="48" t="n">
        <f aca="false">IF($U689=1,$G689-$H689,MAX($G689-$H689,ABS($G689-$I688),ABS($H689-$I688)))</f>
        <v>106</v>
      </c>
      <c r="AB689" s="48" t="n">
        <f aca="false">IF($U689&gt;=ATR_PER,AVERAGE(INDEX($AA$569:$AA689,122-ATR_PER):$AA689),"")</f>
        <v>164.285714285714</v>
      </c>
      <c r="AC689" s="48" t="n">
        <f aca="false">$O689-$P689</f>
        <v>73765022</v>
      </c>
      <c r="AD689" s="48" t="n">
        <f aca="false">$AC689*$I689</f>
        <v>353777045512</v>
      </c>
      <c r="AE689" s="49" t="n">
        <f aca="false">IF($Q689&gt;0,$O689*$I689/$Q689/1000000,"")</f>
        <v>291.313924535742</v>
      </c>
      <c r="AF689" s="49" t="n">
        <f aca="false">IF($R689&gt;0,$P689*$I689/$R689/1000000,"")</f>
        <v>86.6640318042896</v>
      </c>
      <c r="AG689" s="50" t="n">
        <f aca="false">IF(AND(ISNUMBER($AE689),ISNUMBER($AF689),$AF689&gt;0),$AE689/$AF689,"")</f>
        <v>3.36141670853263</v>
      </c>
      <c r="AH689" s="48" t="n">
        <f aca="false">IF($U689&gt;=5,SUM(INDEX($AD$659:$AD689,32-5):$AD689),"")</f>
        <v>448878084630</v>
      </c>
      <c r="AI689" s="48" t="n">
        <f aca="false">IF($U689&gt;=STRUCT_S,MAX(INDEX($G$539:$G689,152-STRUCT_S):$G689),"")</f>
        <v>4829</v>
      </c>
      <c r="AJ689" s="48" t="n">
        <f aca="false">IF($U689&gt;=STRUCT_S,MIN(INDEX($H$539:$H689,152-STRUCT_S):$H689),"")</f>
        <v>4167</v>
      </c>
      <c r="AK689" s="48" t="n">
        <f aca="false">IF($U689&gt;=STRUCT_L,MAX(INDEX($G$439:$G689,252-STRUCT_L):$G689),"")</f>
        <v>4829</v>
      </c>
      <c r="AL689" s="48" t="n">
        <f aca="false">IF($U689&gt;=STRUCT_L,MIN(INDEX($H$439:$H689,252-STRUCT_L):$H689),"")</f>
        <v>3778</v>
      </c>
      <c r="AM689" s="46" t="n">
        <f aca="false">IF($A689&lt;&gt;$A690,1,0)</f>
        <v>0</v>
      </c>
      <c r="AN689" s="47" t="str">
        <f aca="false">IF($AM689=1,$A689,"")</f>
        <v/>
      </c>
    </row>
    <row r="690" customFormat="false" ht="15" hidden="false" customHeight="false" outlineLevel="0" collapsed="false">
      <c r="A690" s="43" t="s">
        <v>142</v>
      </c>
      <c r="B690" s="44" t="s">
        <v>144</v>
      </c>
      <c r="C690" s="45" t="n">
        <v>46137</v>
      </c>
      <c r="D690" s="46" t="n">
        <v>20260425</v>
      </c>
      <c r="E690" s="47" t="s">
        <v>453</v>
      </c>
      <c r="F690" s="48" t="n">
        <v>4715</v>
      </c>
      <c r="G690" s="48" t="n">
        <v>4893</v>
      </c>
      <c r="H690" s="48" t="n">
        <v>4612</v>
      </c>
      <c r="I690" s="48" t="n">
        <v>4707</v>
      </c>
      <c r="J690" s="48" t="n">
        <v>4701</v>
      </c>
      <c r="K690" s="48" t="n">
        <v>4796</v>
      </c>
      <c r="L690" s="48" t="n">
        <v>55597698</v>
      </c>
      <c r="M690" s="48" t="n">
        <v>261698364486</v>
      </c>
      <c r="N690" s="48" t="n">
        <v>3271</v>
      </c>
      <c r="O690" s="48" t="n">
        <v>22027028</v>
      </c>
      <c r="P690" s="48" t="n">
        <v>33700529</v>
      </c>
      <c r="Q690" s="48" t="n">
        <v>1370</v>
      </c>
      <c r="R690" s="48" t="n">
        <v>1154</v>
      </c>
      <c r="S690" s="48" t="n">
        <v>33570670</v>
      </c>
      <c r="T690" s="48" t="n">
        <v>21897169</v>
      </c>
      <c r="U690" s="46" t="n">
        <f aca="false">IF($A690=$A689,$U689+1,1)</f>
        <v>166</v>
      </c>
      <c r="V690" s="48" t="n">
        <f aca="false">IF($U690&gt;=MA_SHORT,AVERAGE(INDEX($I$290:$I690,402-MA_SHORT):$I690),"")</f>
        <v>4597.85</v>
      </c>
      <c r="W690" s="48" t="n">
        <f aca="false">IF($U690&gt;=MA_MED,AVERAGE(INDEX($I$290:$I690,402-MA_MED):$I690),"")</f>
        <v>4330.58</v>
      </c>
      <c r="X690" s="48" t="n">
        <f aca="false">IF($U690&gt;=MA_LONG1,AVERAGE(INDEX($I$290:$I690,402-MA_LONG1):$I690),"")</f>
        <v>4104.48</v>
      </c>
      <c r="Y690" s="48" t="str">
        <f aca="false">IF($U690&gt;=MA_LONG2,AVERAGE(INDEX($I$290:$I690,402-MA_LONG2):$I690),"")</f>
        <v/>
      </c>
      <c r="Z690" s="48" t="n">
        <f aca="false">IF($U690&gt;=MA_SHORT,AVERAGE(INDEX($L$570:$L690,122-MA_SHORT):$L690),"")</f>
        <v>78453891.55</v>
      </c>
      <c r="AA690" s="48" t="n">
        <f aca="false">IF($U690=1,$G690-$H690,MAX($G690-$H690,ABS($G690-$I689),ABS($H690-$I689)))</f>
        <v>281</v>
      </c>
      <c r="AB690" s="48" t="n">
        <f aca="false">IF($U690&gt;=ATR_PER,AVERAGE(INDEX($AA$570:$AA690,122-ATR_PER):$AA690),"")</f>
        <v>165.857142857143</v>
      </c>
      <c r="AC690" s="48" t="n">
        <f aca="false">$O690-$P690</f>
        <v>-11673501</v>
      </c>
      <c r="AD690" s="48" t="n">
        <f aca="false">$AC690*$I690</f>
        <v>-54947169207</v>
      </c>
      <c r="AE690" s="49" t="n">
        <f aca="false">IF($Q690&gt;0,$O690*$I690/$Q690/1000000,"")</f>
        <v>75.6797232087591</v>
      </c>
      <c r="AF690" s="49" t="n">
        <f aca="false">IF($R690&gt;0,$P690*$I690/$R690/1000000,"")</f>
        <v>137.459610054593</v>
      </c>
      <c r="AG690" s="50" t="n">
        <f aca="false">IF(AND(ISNUMBER($AE690),ISNUMBER($AF690),$AF690&gt;0),$AE690/$AF690,"")</f>
        <v>0.550559711166812</v>
      </c>
      <c r="AH690" s="48" t="n">
        <f aca="false">IF($U690&gt;=5,SUM(INDEX($AD$660:$AD690,32-5):$AD690),"")</f>
        <v>397409911905</v>
      </c>
      <c r="AI690" s="48" t="n">
        <f aca="false">IF($U690&gt;=STRUCT_S,MAX(INDEX($G$540:$G690,152-STRUCT_S):$G690),"")</f>
        <v>4893</v>
      </c>
      <c r="AJ690" s="48" t="n">
        <f aca="false">IF($U690&gt;=STRUCT_S,MIN(INDEX($H$540:$H690,152-STRUCT_S):$H690),"")</f>
        <v>4167</v>
      </c>
      <c r="AK690" s="48" t="n">
        <f aca="false">IF($U690&gt;=STRUCT_L,MAX(INDEX($G$440:$G690,252-STRUCT_L):$G690),"")</f>
        <v>4893</v>
      </c>
      <c r="AL690" s="48" t="n">
        <f aca="false">IF($U690&gt;=STRUCT_L,MIN(INDEX($H$440:$H690,252-STRUCT_L):$H690),"")</f>
        <v>3778</v>
      </c>
      <c r="AM690" s="46" t="n">
        <f aca="false">IF($A690&lt;&gt;$A691,1,0)</f>
        <v>0</v>
      </c>
      <c r="AN690" s="47" t="str">
        <f aca="false">IF($AM690=1,$A690,"")</f>
        <v/>
      </c>
    </row>
    <row r="691" customFormat="false" ht="15" hidden="false" customHeight="false" outlineLevel="0" collapsed="false">
      <c r="A691" s="43" t="s">
        <v>142</v>
      </c>
      <c r="B691" s="44" t="s">
        <v>144</v>
      </c>
      <c r="C691" s="45" t="n">
        <v>46138</v>
      </c>
      <c r="D691" s="46" t="n">
        <v>20260426</v>
      </c>
      <c r="E691" s="47" t="s">
        <v>454</v>
      </c>
      <c r="F691" s="48" t="n">
        <v>4683</v>
      </c>
      <c r="G691" s="48" t="n">
        <v>4769</v>
      </c>
      <c r="H691" s="48" t="n">
        <v>4590</v>
      </c>
      <c r="I691" s="48" t="n">
        <v>4651</v>
      </c>
      <c r="J691" s="48" t="n">
        <v>4756</v>
      </c>
      <c r="K691" s="48" t="n">
        <v>4707</v>
      </c>
      <c r="L691" s="48" t="n">
        <v>180808333</v>
      </c>
      <c r="M691" s="48" t="n">
        <v>840939556783</v>
      </c>
      <c r="N691" s="48" t="n">
        <v>10942</v>
      </c>
      <c r="O691" s="48" t="n">
        <v>92257663</v>
      </c>
      <c r="P691" s="48" t="n">
        <v>89591953</v>
      </c>
      <c r="Q691" s="48" t="n">
        <v>3679</v>
      </c>
      <c r="R691" s="48" t="n">
        <v>4088</v>
      </c>
      <c r="S691" s="48" t="n">
        <v>88550670</v>
      </c>
      <c r="T691" s="48" t="n">
        <v>91216380</v>
      </c>
      <c r="U691" s="46" t="n">
        <f aca="false">IF($A691=$A690,$U690+1,1)</f>
        <v>167</v>
      </c>
      <c r="V691" s="48" t="n">
        <f aca="false">IF($U691&gt;=MA_SHORT,AVERAGE(INDEX($I$291:$I691,402-MA_SHORT):$I691),"")</f>
        <v>4613.75</v>
      </c>
      <c r="W691" s="48" t="n">
        <f aca="false">IF($U691&gt;=MA_MED,AVERAGE(INDEX($I$291:$I691,402-MA_MED):$I691),"")</f>
        <v>4347.04</v>
      </c>
      <c r="X691" s="48" t="n">
        <f aca="false">IF($U691&gt;=MA_LONG1,AVERAGE(INDEX($I$291:$I691,402-MA_LONG1):$I691),"")</f>
        <v>4115.05</v>
      </c>
      <c r="Y691" s="48" t="str">
        <f aca="false">IF($U691&gt;=MA_LONG2,AVERAGE(INDEX($I$291:$I691,402-MA_LONG2):$I691),"")</f>
        <v/>
      </c>
      <c r="Z691" s="48" t="n">
        <f aca="false">IF($U691&gt;=MA_SHORT,AVERAGE(INDEX($L$571:$L691,122-MA_SHORT):$L691),"")</f>
        <v>83548562.35</v>
      </c>
      <c r="AA691" s="48" t="n">
        <f aca="false">IF($U691=1,$G691-$H691,MAX($G691-$H691,ABS($G691-$I690),ABS($H691-$I690)))</f>
        <v>179</v>
      </c>
      <c r="AB691" s="48" t="n">
        <f aca="false">IF($U691&gt;=ATR_PER,AVERAGE(INDEX($AA$571:$AA691,122-ATR_PER):$AA691),"")</f>
        <v>170.857142857143</v>
      </c>
      <c r="AC691" s="48" t="n">
        <f aca="false">$O691-$P691</f>
        <v>2665710</v>
      </c>
      <c r="AD691" s="48" t="n">
        <f aca="false">$AC691*$I691</f>
        <v>12398217210</v>
      </c>
      <c r="AE691" s="49" t="n">
        <f aca="false">IF($Q691&gt;0,$O691*$I691/$Q691/1000000,"")</f>
        <v>116.632343194618</v>
      </c>
      <c r="AF691" s="49" t="n">
        <f aca="false">IF($R691&gt;0,$P691*$I691/$R691/1000000,"")</f>
        <v>101.930570793297</v>
      </c>
      <c r="AG691" s="50" t="n">
        <f aca="false">IF(AND(ISNUMBER($AE691),ISNUMBER($AF691),$AF691&gt;0),$AE691/$AF691,"")</f>
        <v>1.14423319998015</v>
      </c>
      <c r="AH691" s="48" t="n">
        <f aca="false">IF($U691&gt;=5,SUM(INDEX($AD$661:$AD691,32-5):$AD691),"")</f>
        <v>362803659835</v>
      </c>
      <c r="AI691" s="48" t="n">
        <f aca="false">IF($U691&gt;=STRUCT_S,MAX(INDEX($G$541:$G691,152-STRUCT_S):$G691),"")</f>
        <v>4893</v>
      </c>
      <c r="AJ691" s="48" t="n">
        <f aca="false">IF($U691&gt;=STRUCT_S,MIN(INDEX($H$541:$H691,152-STRUCT_S):$H691),"")</f>
        <v>4167</v>
      </c>
      <c r="AK691" s="48" t="n">
        <f aca="false">IF($U691&gt;=STRUCT_L,MAX(INDEX($G$441:$G691,252-STRUCT_L):$G691),"")</f>
        <v>4893</v>
      </c>
      <c r="AL691" s="48" t="n">
        <f aca="false">IF($U691&gt;=STRUCT_L,MIN(INDEX($H$441:$H691,252-STRUCT_L):$H691),"")</f>
        <v>3778</v>
      </c>
      <c r="AM691" s="46" t="n">
        <f aca="false">IF($A691&lt;&gt;$A692,1,0)</f>
        <v>0</v>
      </c>
      <c r="AN691" s="47" t="str">
        <f aca="false">IF($AM691=1,$A691,"")</f>
        <v/>
      </c>
    </row>
    <row r="692" customFormat="false" ht="15" hidden="false" customHeight="false" outlineLevel="0" collapsed="false">
      <c r="A692" s="43" t="s">
        <v>142</v>
      </c>
      <c r="B692" s="44" t="s">
        <v>144</v>
      </c>
      <c r="C692" s="45" t="n">
        <v>46139</v>
      </c>
      <c r="D692" s="46" t="n">
        <v>20260427</v>
      </c>
      <c r="E692" s="47" t="s">
        <v>455</v>
      </c>
      <c r="F692" s="48" t="n">
        <v>4627</v>
      </c>
      <c r="G692" s="48" t="n">
        <v>4741</v>
      </c>
      <c r="H692" s="48" t="n">
        <v>4606</v>
      </c>
      <c r="I692" s="48" t="n">
        <v>4696</v>
      </c>
      <c r="J692" s="48" t="n">
        <v>4620</v>
      </c>
      <c r="K692" s="48" t="n">
        <v>4651</v>
      </c>
      <c r="L692" s="48" t="n">
        <v>52931694</v>
      </c>
      <c r="M692" s="48" t="n">
        <v>248567235024</v>
      </c>
      <c r="N692" s="48" t="n">
        <v>1217</v>
      </c>
      <c r="O692" s="48" t="n">
        <v>29066910</v>
      </c>
      <c r="P692" s="48" t="n">
        <v>22219376</v>
      </c>
      <c r="Q692" s="48" t="n">
        <v>416</v>
      </c>
      <c r="R692" s="48" t="n">
        <v>529</v>
      </c>
      <c r="S692" s="48" t="n">
        <v>23864784</v>
      </c>
      <c r="T692" s="48" t="n">
        <v>30712318</v>
      </c>
      <c r="U692" s="46" t="n">
        <f aca="false">IF($A692=$A691,$U691+1,1)</f>
        <v>168</v>
      </c>
      <c r="V692" s="48" t="n">
        <f aca="false">IF($U692&gt;=MA_SHORT,AVERAGE(INDEX($I$292:$I692,402-MA_SHORT):$I692),"")</f>
        <v>4635.3</v>
      </c>
      <c r="W692" s="48" t="n">
        <f aca="false">IF($U692&gt;=MA_MED,AVERAGE(INDEX($I$292:$I692,402-MA_MED):$I692),"")</f>
        <v>4361.86</v>
      </c>
      <c r="X692" s="48" t="n">
        <f aca="false">IF($U692&gt;=MA_LONG1,AVERAGE(INDEX($I$292:$I692,402-MA_LONG1):$I692),"")</f>
        <v>4126.83</v>
      </c>
      <c r="Y692" s="48" t="str">
        <f aca="false">IF($U692&gt;=MA_LONG2,AVERAGE(INDEX($I$292:$I692,402-MA_LONG2):$I692),"")</f>
        <v/>
      </c>
      <c r="Z692" s="48" t="n">
        <f aca="false">IF($U692&gt;=MA_SHORT,AVERAGE(INDEX($L$572:$L692,122-MA_SHORT):$L692),"")</f>
        <v>82580150.15</v>
      </c>
      <c r="AA692" s="48" t="n">
        <f aca="false">IF($U692=1,$G692-$H692,MAX($G692-$H692,ABS($G692-$I691),ABS($H692-$I691)))</f>
        <v>135</v>
      </c>
      <c r="AB692" s="48" t="n">
        <f aca="false">IF($U692&gt;=ATR_PER,AVERAGE(INDEX($AA$572:$AA692,122-ATR_PER):$AA692),"")</f>
        <v>165.214285714286</v>
      </c>
      <c r="AC692" s="48" t="n">
        <f aca="false">$O692-$P692</f>
        <v>6847534</v>
      </c>
      <c r="AD692" s="48" t="n">
        <f aca="false">$AC692*$I692</f>
        <v>32156019664</v>
      </c>
      <c r="AE692" s="49" t="n">
        <f aca="false">IF($Q692&gt;0,$O692*$I692/$Q692/1000000,"")</f>
        <v>328.120695576923</v>
      </c>
      <c r="AF692" s="49" t="n">
        <f aca="false">IF($R692&gt;0,$P692*$I692/$R692/1000000,"")</f>
        <v>197.244214926276</v>
      </c>
      <c r="AG692" s="50" t="n">
        <f aca="false">IF(AND(ISNUMBER($AE692),ISNUMBER($AF692),$AF692&gt;0),$AE692/$AF692,"")</f>
        <v>1.66352506561252</v>
      </c>
      <c r="AH692" s="48" t="n">
        <f aca="false">IF($U692&gt;=5,SUM(INDEX($AD$662:$AD692,32-5):$AD692),"")</f>
        <v>382202173235</v>
      </c>
      <c r="AI692" s="48" t="n">
        <f aca="false">IF($U692&gt;=STRUCT_S,MAX(INDEX($G$542:$G692,152-STRUCT_S):$G692),"")</f>
        <v>4893</v>
      </c>
      <c r="AJ692" s="48" t="n">
        <f aca="false">IF($U692&gt;=STRUCT_S,MIN(INDEX($H$542:$H692,152-STRUCT_S):$H692),"")</f>
        <v>4238</v>
      </c>
      <c r="AK692" s="48" t="n">
        <f aca="false">IF($U692&gt;=STRUCT_L,MAX(INDEX($G$442:$G692,252-STRUCT_L):$G692),"")</f>
        <v>4893</v>
      </c>
      <c r="AL692" s="48" t="n">
        <f aca="false">IF($U692&gt;=STRUCT_L,MIN(INDEX($H$442:$H692,252-STRUCT_L):$H692),"")</f>
        <v>3778</v>
      </c>
      <c r="AM692" s="46" t="n">
        <f aca="false">IF($A692&lt;&gt;$A693,1,0)</f>
        <v>0</v>
      </c>
      <c r="AN692" s="47" t="str">
        <f aca="false">IF($AM692=1,$A692,"")</f>
        <v/>
      </c>
    </row>
    <row r="693" customFormat="false" ht="15" hidden="false" customHeight="false" outlineLevel="0" collapsed="false">
      <c r="A693" s="43" t="s">
        <v>142</v>
      </c>
      <c r="B693" s="44" t="s">
        <v>144</v>
      </c>
      <c r="C693" s="45" t="n">
        <v>46140</v>
      </c>
      <c r="D693" s="46" t="n">
        <v>20260428</v>
      </c>
      <c r="E693" s="47" t="s">
        <v>456</v>
      </c>
      <c r="F693" s="48" t="n">
        <v>4770</v>
      </c>
      <c r="G693" s="48" t="n">
        <v>4819</v>
      </c>
      <c r="H693" s="48" t="n">
        <v>4654</v>
      </c>
      <c r="I693" s="48" t="n">
        <v>4777</v>
      </c>
      <c r="J693" s="48" t="n">
        <v>4750</v>
      </c>
      <c r="K693" s="48" t="n">
        <v>4696</v>
      </c>
      <c r="L693" s="48" t="n">
        <v>55204959</v>
      </c>
      <c r="M693" s="48" t="n">
        <v>263714089143</v>
      </c>
      <c r="N693" s="48" t="n">
        <v>1710</v>
      </c>
      <c r="O693" s="48" t="n">
        <v>37665371</v>
      </c>
      <c r="P693" s="48" t="n">
        <v>17323612</v>
      </c>
      <c r="Q693" s="48" t="n">
        <v>635</v>
      </c>
      <c r="R693" s="48" t="n">
        <v>671</v>
      </c>
      <c r="S693" s="48" t="n">
        <v>17539588</v>
      </c>
      <c r="T693" s="48" t="n">
        <v>37881347</v>
      </c>
      <c r="U693" s="46" t="n">
        <f aca="false">IF($A693=$A692,$U692+1,1)</f>
        <v>169</v>
      </c>
      <c r="V693" s="48" t="n">
        <f aca="false">IF($U693&gt;=MA_SHORT,AVERAGE(INDEX($I$293:$I693,402-MA_SHORT):$I693),"")</f>
        <v>4659</v>
      </c>
      <c r="W693" s="48" t="n">
        <f aca="false">IF($U693&gt;=MA_MED,AVERAGE(INDEX($I$293:$I693,402-MA_MED):$I693),"")</f>
        <v>4378.48</v>
      </c>
      <c r="X693" s="48" t="n">
        <f aca="false">IF($U693&gt;=MA_LONG1,AVERAGE(INDEX($I$293:$I693,402-MA_LONG1):$I693),"")</f>
        <v>4139.28</v>
      </c>
      <c r="Y693" s="48" t="str">
        <f aca="false">IF($U693&gt;=MA_LONG2,AVERAGE(INDEX($I$293:$I693,402-MA_LONG2):$I693),"")</f>
        <v/>
      </c>
      <c r="Z693" s="48" t="n">
        <f aca="false">IF($U693&gt;=MA_SHORT,AVERAGE(INDEX($L$573:$L693,122-MA_SHORT):$L693),"")</f>
        <v>78247955.2</v>
      </c>
      <c r="AA693" s="48" t="n">
        <f aca="false">IF($U693=1,$G693-$H693,MAX($G693-$H693,ABS($G693-$I692),ABS($H693-$I692)))</f>
        <v>165</v>
      </c>
      <c r="AB693" s="48" t="n">
        <f aca="false">IF($U693&gt;=ATR_PER,AVERAGE(INDEX($AA$573:$AA693,122-ATR_PER):$AA693),"")</f>
        <v>169.928571428571</v>
      </c>
      <c r="AC693" s="48" t="n">
        <f aca="false">$O693-$P693</f>
        <v>20341759</v>
      </c>
      <c r="AD693" s="48" t="n">
        <f aca="false">$AC693*$I693</f>
        <v>97172582743</v>
      </c>
      <c r="AE693" s="49" t="n">
        <f aca="false">IF($Q693&gt;0,$O693*$I693/$Q693/1000000,"")</f>
        <v>283.350357900787</v>
      </c>
      <c r="AF693" s="49" t="n">
        <f aca="false">IF($R693&gt;0,$P693*$I693/$R693/1000000,"")</f>
        <v>123.33069228614</v>
      </c>
      <c r="AG693" s="50" t="n">
        <f aca="false">IF(AND(ISNUMBER($AE693),ISNUMBER($AF693),$AF693&gt;0),$AE693/$AF693,"")</f>
        <v>2.29748453242592</v>
      </c>
      <c r="AH693" s="48" t="n">
        <f aca="false">IF($U693&gt;=5,SUM(INDEX($AD$663:$AD693,32-5):$AD693),"")</f>
        <v>440556695922</v>
      </c>
      <c r="AI693" s="48" t="n">
        <f aca="false">IF($U693&gt;=STRUCT_S,MAX(INDEX($G$543:$G693,152-STRUCT_S):$G693),"")</f>
        <v>4893</v>
      </c>
      <c r="AJ693" s="48" t="n">
        <f aca="false">IF($U693&gt;=STRUCT_S,MIN(INDEX($H$543:$H693,152-STRUCT_S):$H693),"")</f>
        <v>4238</v>
      </c>
      <c r="AK693" s="48" t="n">
        <f aca="false">IF($U693&gt;=STRUCT_L,MAX(INDEX($G$443:$G693,252-STRUCT_L):$G693),"")</f>
        <v>4893</v>
      </c>
      <c r="AL693" s="48" t="n">
        <f aca="false">IF($U693&gt;=STRUCT_L,MIN(INDEX($H$443:$H693,252-STRUCT_L):$H693),"")</f>
        <v>3778</v>
      </c>
      <c r="AM693" s="46" t="n">
        <f aca="false">IF($A693&lt;&gt;$A694,1,0)</f>
        <v>0</v>
      </c>
      <c r="AN693" s="47" t="str">
        <f aca="false">IF($AM693=1,$A693,"")</f>
        <v/>
      </c>
    </row>
    <row r="694" customFormat="false" ht="15" hidden="false" customHeight="false" outlineLevel="0" collapsed="false">
      <c r="A694" s="43" t="s">
        <v>142</v>
      </c>
      <c r="B694" s="44" t="s">
        <v>144</v>
      </c>
      <c r="C694" s="45" t="n">
        <v>46141</v>
      </c>
      <c r="D694" s="46" t="n">
        <v>20260429</v>
      </c>
      <c r="E694" s="47" t="s">
        <v>457</v>
      </c>
      <c r="F694" s="48" t="n">
        <v>4863</v>
      </c>
      <c r="G694" s="48" t="n">
        <v>4870</v>
      </c>
      <c r="H694" s="48" t="n">
        <v>4712</v>
      </c>
      <c r="I694" s="48" t="n">
        <v>4805</v>
      </c>
      <c r="J694" s="48" t="n">
        <v>4857</v>
      </c>
      <c r="K694" s="48" t="n">
        <v>4777</v>
      </c>
      <c r="L694" s="48" t="n">
        <v>51786889</v>
      </c>
      <c r="M694" s="48" t="n">
        <v>248836001645</v>
      </c>
      <c r="N694" s="48" t="n">
        <v>1340</v>
      </c>
      <c r="O694" s="48" t="n">
        <v>28963871</v>
      </c>
      <c r="P694" s="48" t="n">
        <v>22231415</v>
      </c>
      <c r="Q694" s="48" t="n">
        <v>437</v>
      </c>
      <c r="R694" s="48" t="n">
        <v>518</v>
      </c>
      <c r="S694" s="48" t="n">
        <v>22823018</v>
      </c>
      <c r="T694" s="48" t="n">
        <v>29555474</v>
      </c>
      <c r="U694" s="46" t="n">
        <f aca="false">IF($A694=$A693,$U693+1,1)</f>
        <v>170</v>
      </c>
      <c r="V694" s="48" t="n">
        <f aca="false">IF($U694&gt;=MA_SHORT,AVERAGE(INDEX($I$294:$I694,402-MA_SHORT):$I694),"")</f>
        <v>4683.8</v>
      </c>
      <c r="W694" s="48" t="n">
        <f aca="false">IF($U694&gt;=MA_MED,AVERAGE(INDEX($I$294:$I694,402-MA_MED):$I694),"")</f>
        <v>4396.26</v>
      </c>
      <c r="X694" s="48" t="n">
        <f aca="false">IF($U694&gt;=MA_LONG1,AVERAGE(INDEX($I$294:$I694,402-MA_LONG1):$I694),"")</f>
        <v>4150.86</v>
      </c>
      <c r="Y694" s="48" t="str">
        <f aca="false">IF($U694&gt;=MA_LONG2,AVERAGE(INDEX($I$294:$I694,402-MA_LONG2):$I694),"")</f>
        <v/>
      </c>
      <c r="Z694" s="48" t="n">
        <f aca="false">IF($U694&gt;=MA_SHORT,AVERAGE(INDEX($L$574:$L694,122-MA_SHORT):$L694),"")</f>
        <v>78314997.7</v>
      </c>
      <c r="AA694" s="48" t="n">
        <f aca="false">IF($U694=1,$G694-$H694,MAX($G694-$H694,ABS($G694-$I693),ABS($H694-$I693)))</f>
        <v>158</v>
      </c>
      <c r="AB694" s="48" t="n">
        <f aca="false">IF($U694&gt;=ATR_PER,AVERAGE(INDEX($AA$574:$AA694,122-ATR_PER):$AA694),"")</f>
        <v>176.785714285714</v>
      </c>
      <c r="AC694" s="48" t="n">
        <f aca="false">$O694-$P694</f>
        <v>6732456</v>
      </c>
      <c r="AD694" s="48" t="n">
        <f aca="false">$AC694*$I694</f>
        <v>32349451080</v>
      </c>
      <c r="AE694" s="49" t="n">
        <f aca="false">IF($Q694&gt;0,$O694*$I694/$Q694/1000000,"")</f>
        <v>318.470023237986</v>
      </c>
      <c r="AF694" s="49" t="n">
        <f aca="false">IF($R694&gt;0,$P694*$I694/$R694/1000000,"")</f>
        <v>206.219978909266</v>
      </c>
      <c r="AG694" s="50" t="n">
        <f aca="false">IF(AND(ISNUMBER($AE694),ISNUMBER($AF694),$AF694&gt;0),$AE694/$AF694,"")</f>
        <v>1.5443218689209</v>
      </c>
      <c r="AH694" s="48" t="n">
        <f aca="false">IF($U694&gt;=5,SUM(INDEX($AD$664:$AD694,32-5):$AD694),"")</f>
        <v>119129101490</v>
      </c>
      <c r="AI694" s="48" t="n">
        <f aca="false">IF($U694&gt;=STRUCT_S,MAX(INDEX($G$544:$G694,152-STRUCT_S):$G694),"")</f>
        <v>4893</v>
      </c>
      <c r="AJ694" s="48" t="n">
        <f aca="false">IF($U694&gt;=STRUCT_S,MIN(INDEX($H$544:$H694,152-STRUCT_S):$H694),"")</f>
        <v>4238</v>
      </c>
      <c r="AK694" s="48" t="n">
        <f aca="false">IF($U694&gt;=STRUCT_L,MAX(INDEX($G$444:$G694,252-STRUCT_L):$G694),"")</f>
        <v>4893</v>
      </c>
      <c r="AL694" s="48" t="n">
        <f aca="false">IF($U694&gt;=STRUCT_L,MIN(INDEX($H$444:$H694,252-STRUCT_L):$H694),"")</f>
        <v>3778</v>
      </c>
      <c r="AM694" s="46" t="n">
        <f aca="false">IF($A694&lt;&gt;$A695,1,0)</f>
        <v>0</v>
      </c>
      <c r="AN694" s="47" t="str">
        <f aca="false">IF($AM694=1,$A694,"")</f>
        <v/>
      </c>
    </row>
    <row r="695" customFormat="false" ht="15" hidden="false" customHeight="false" outlineLevel="0" collapsed="false">
      <c r="A695" s="43" t="s">
        <v>142</v>
      </c>
      <c r="B695" s="44" t="s">
        <v>144</v>
      </c>
      <c r="C695" s="45" t="n">
        <v>46144</v>
      </c>
      <c r="D695" s="46" t="n">
        <v>20260502</v>
      </c>
      <c r="E695" s="47" t="s">
        <v>458</v>
      </c>
      <c r="F695" s="48" t="n">
        <v>4663</v>
      </c>
      <c r="G695" s="48" t="n">
        <v>4847</v>
      </c>
      <c r="H695" s="48" t="n">
        <v>4660</v>
      </c>
      <c r="I695" s="48" t="n">
        <v>4701</v>
      </c>
      <c r="J695" s="48" t="n">
        <v>4694</v>
      </c>
      <c r="K695" s="48" t="n">
        <v>4805</v>
      </c>
      <c r="L695" s="48" t="n">
        <v>56524304</v>
      </c>
      <c r="M695" s="48" t="n">
        <v>265720753104</v>
      </c>
      <c r="N695" s="48" t="n">
        <v>1374</v>
      </c>
      <c r="O695" s="48" t="n">
        <v>28384413</v>
      </c>
      <c r="P695" s="48" t="n">
        <v>29440766</v>
      </c>
      <c r="Q695" s="48" t="n">
        <v>810</v>
      </c>
      <c r="R695" s="48" t="n">
        <v>409</v>
      </c>
      <c r="S695" s="48" t="n">
        <v>28139891</v>
      </c>
      <c r="T695" s="48" t="n">
        <v>27083538</v>
      </c>
      <c r="U695" s="46" t="n">
        <f aca="false">IF($A695=$A694,$U694+1,1)</f>
        <v>171</v>
      </c>
      <c r="V695" s="48" t="n">
        <f aca="false">IF($U695&gt;=MA_SHORT,AVERAGE(INDEX($I$295:$I695,402-MA_SHORT):$I695),"")</f>
        <v>4698.5</v>
      </c>
      <c r="W695" s="48" t="n">
        <f aca="false">IF($U695&gt;=MA_MED,AVERAGE(INDEX($I$295:$I695,402-MA_MED):$I695),"")</f>
        <v>4410.92</v>
      </c>
      <c r="X695" s="48" t="n">
        <f aca="false">IF($U695&gt;=MA_LONG1,AVERAGE(INDEX($I$295:$I695,402-MA_LONG1):$I695),"")</f>
        <v>4163.19</v>
      </c>
      <c r="Y695" s="48" t="str">
        <f aca="false">IF($U695&gt;=MA_LONG2,AVERAGE(INDEX($I$295:$I695,402-MA_LONG2):$I695),"")</f>
        <v/>
      </c>
      <c r="Z695" s="48" t="n">
        <f aca="false">IF($U695&gt;=MA_SHORT,AVERAGE(INDEX($L$575:$L695,122-MA_SHORT):$L695),"")</f>
        <v>77826870.3</v>
      </c>
      <c r="AA695" s="48" t="n">
        <f aca="false">IF($U695=1,$G695-$H695,MAX($G695-$H695,ABS($G695-$I694),ABS($H695-$I694)))</f>
        <v>187</v>
      </c>
      <c r="AB695" s="48" t="n">
        <f aca="false">IF($U695&gt;=ATR_PER,AVERAGE(INDEX($AA$575:$AA695,122-ATR_PER):$AA695),"")</f>
        <v>174</v>
      </c>
      <c r="AC695" s="48" t="n">
        <f aca="false">$O695-$P695</f>
        <v>-1056353</v>
      </c>
      <c r="AD695" s="48" t="n">
        <f aca="false">$AC695*$I695</f>
        <v>-4965915453</v>
      </c>
      <c r="AE695" s="49" t="n">
        <f aca="false">IF($Q695&gt;0,$O695*$I695/$Q695/1000000,"")</f>
        <v>164.734722855556</v>
      </c>
      <c r="AF695" s="49" t="n">
        <f aca="false">IF($R695&gt;0,$P695*$I695/$R695/1000000,"")</f>
        <v>338.388853217604</v>
      </c>
      <c r="AG695" s="50" t="n">
        <f aca="false">IF(AND(ISNUMBER($AE695),ISNUMBER($AF695),$AF695&gt;0),$AE695/$AF695,"")</f>
        <v>0.4868207722836</v>
      </c>
      <c r="AH695" s="48" t="n">
        <f aca="false">IF($U695&gt;=5,SUM(INDEX($AD$665:$AD695,32-5):$AD695),"")</f>
        <v>169110355244</v>
      </c>
      <c r="AI695" s="48" t="n">
        <f aca="false">IF($U695&gt;=STRUCT_S,MAX(INDEX($G$545:$G695,152-STRUCT_S):$G695),"")</f>
        <v>4893</v>
      </c>
      <c r="AJ695" s="48" t="n">
        <f aca="false">IF($U695&gt;=STRUCT_S,MIN(INDEX($H$545:$H695,152-STRUCT_S):$H695),"")</f>
        <v>4352</v>
      </c>
      <c r="AK695" s="48" t="n">
        <f aca="false">IF($U695&gt;=STRUCT_L,MAX(INDEX($G$445:$G695,252-STRUCT_L):$G695),"")</f>
        <v>4893</v>
      </c>
      <c r="AL695" s="48" t="n">
        <f aca="false">IF($U695&gt;=STRUCT_L,MIN(INDEX($H$445:$H695,252-STRUCT_L):$H695),"")</f>
        <v>3778</v>
      </c>
      <c r="AM695" s="46" t="n">
        <f aca="false">IF($A695&lt;&gt;$A696,1,0)</f>
        <v>0</v>
      </c>
      <c r="AN695" s="47" t="str">
        <f aca="false">IF($AM695=1,$A695,"")</f>
        <v/>
      </c>
    </row>
    <row r="696" customFormat="false" ht="15" hidden="false" customHeight="false" outlineLevel="0" collapsed="false">
      <c r="A696" s="43" t="s">
        <v>142</v>
      </c>
      <c r="B696" s="44" t="s">
        <v>144</v>
      </c>
      <c r="C696" s="45" t="n">
        <v>46145</v>
      </c>
      <c r="D696" s="46" t="n">
        <v>20260503</v>
      </c>
      <c r="E696" s="47" t="s">
        <v>459</v>
      </c>
      <c r="F696" s="48" t="n">
        <v>4579</v>
      </c>
      <c r="G696" s="48" t="n">
        <v>4783</v>
      </c>
      <c r="H696" s="48" t="n">
        <v>4487</v>
      </c>
      <c r="I696" s="48" t="n">
        <v>4567</v>
      </c>
      <c r="J696" s="48" t="n">
        <v>4681</v>
      </c>
      <c r="K696" s="48" t="n">
        <v>4701</v>
      </c>
      <c r="L696" s="48" t="n">
        <v>58583571</v>
      </c>
      <c r="M696" s="48" t="n">
        <v>267551168757</v>
      </c>
      <c r="N696" s="48" t="n">
        <v>1822</v>
      </c>
      <c r="O696" s="48" t="n">
        <v>22868572</v>
      </c>
      <c r="P696" s="48" t="n">
        <v>31436856</v>
      </c>
      <c r="Q696" s="48" t="n">
        <v>1088</v>
      </c>
      <c r="R696" s="48" t="n">
        <v>635</v>
      </c>
      <c r="S696" s="48" t="n">
        <v>35714999</v>
      </c>
      <c r="T696" s="48" t="n">
        <v>27146715</v>
      </c>
      <c r="U696" s="46" t="n">
        <f aca="false">IF($A696=$A695,$U695+1,1)</f>
        <v>172</v>
      </c>
      <c r="V696" s="48" t="n">
        <f aca="false">IF($U696&gt;=MA_SHORT,AVERAGE(INDEX($I$296:$I696,402-MA_SHORT):$I696),"")</f>
        <v>4699.1</v>
      </c>
      <c r="W696" s="48" t="n">
        <f aca="false">IF($U696&gt;=MA_MED,AVERAGE(INDEX($I$296:$I696,402-MA_MED):$I696),"")</f>
        <v>4421.14</v>
      </c>
      <c r="X696" s="48" t="n">
        <f aca="false">IF($U696&gt;=MA_LONG1,AVERAGE(INDEX($I$296:$I696,402-MA_LONG1):$I696),"")</f>
        <v>4174.29</v>
      </c>
      <c r="Y696" s="48" t="str">
        <f aca="false">IF($U696&gt;=MA_LONG2,AVERAGE(INDEX($I$296:$I696,402-MA_LONG2):$I696),"")</f>
        <v/>
      </c>
      <c r="Z696" s="48" t="n">
        <f aca="false">IF($U696&gt;=MA_SHORT,AVERAGE(INDEX($L$576:$L696,122-MA_SHORT):$L696),"")</f>
        <v>74414256.95</v>
      </c>
      <c r="AA696" s="48" t="n">
        <f aca="false">IF($U696=1,$G696-$H696,MAX($G696-$H696,ABS($G696-$I695),ABS($H696-$I695)))</f>
        <v>296</v>
      </c>
      <c r="AB696" s="48" t="n">
        <f aca="false">IF($U696&gt;=ATR_PER,AVERAGE(INDEX($AA$576:$AA696,122-ATR_PER):$AA696),"")</f>
        <v>191.5</v>
      </c>
      <c r="AC696" s="48" t="n">
        <f aca="false">$O696-$P696</f>
        <v>-8568284</v>
      </c>
      <c r="AD696" s="48" t="n">
        <f aca="false">$AC696*$I696</f>
        <v>-39131353028</v>
      </c>
      <c r="AE696" s="49" t="n">
        <f aca="false">IF($Q696&gt;0,$O696*$I696/$Q696/1000000,"")</f>
        <v>95.9933532389706</v>
      </c>
      <c r="AF696" s="49" t="n">
        <f aca="false">IF($R696&gt;0,$P696*$I696/$R696/1000000,"")</f>
        <v>226.097828900787</v>
      </c>
      <c r="AG696" s="50" t="n">
        <f aca="false">IF(AND(ISNUMBER($AE696),ISNUMBER($AF696),$AF696&gt;0),$AE696/$AF696,"")</f>
        <v>0.424565568389836</v>
      </c>
      <c r="AH696" s="48" t="n">
        <f aca="false">IF($U696&gt;=5,SUM(INDEX($AD$666:$AD696,32-5):$AD696),"")</f>
        <v>117580785006</v>
      </c>
      <c r="AI696" s="48" t="n">
        <f aca="false">IF($U696&gt;=STRUCT_S,MAX(INDEX($G$546:$G696,152-STRUCT_S):$G696),"")</f>
        <v>4893</v>
      </c>
      <c r="AJ696" s="48" t="n">
        <f aca="false">IF($U696&gt;=STRUCT_S,MIN(INDEX($H$546:$H696,152-STRUCT_S):$H696),"")</f>
        <v>4486</v>
      </c>
      <c r="AK696" s="48" t="n">
        <f aca="false">IF($U696&gt;=STRUCT_L,MAX(INDEX($G$446:$G696,252-STRUCT_L):$G696),"")</f>
        <v>4893</v>
      </c>
      <c r="AL696" s="48" t="n">
        <f aca="false">IF($U696&gt;=STRUCT_L,MIN(INDEX($H$446:$H696,252-STRUCT_L):$H696),"")</f>
        <v>3778</v>
      </c>
      <c r="AM696" s="46" t="n">
        <f aca="false">IF($A696&lt;&gt;$A697,1,0)</f>
        <v>0</v>
      </c>
      <c r="AN696" s="47" t="str">
        <f aca="false">IF($AM696=1,$A696,"")</f>
        <v/>
      </c>
    </row>
    <row r="697" customFormat="false" ht="15" hidden="false" customHeight="false" outlineLevel="0" collapsed="false">
      <c r="A697" s="43" t="s">
        <v>142</v>
      </c>
      <c r="B697" s="44" t="s">
        <v>144</v>
      </c>
      <c r="C697" s="45" t="n">
        <v>46146</v>
      </c>
      <c r="D697" s="46" t="n">
        <v>20260504</v>
      </c>
      <c r="E697" s="47" t="s">
        <v>460</v>
      </c>
      <c r="F697" s="48" t="n">
        <v>4515</v>
      </c>
      <c r="G697" s="48" t="n">
        <v>4725</v>
      </c>
      <c r="H697" s="48" t="n">
        <v>4424</v>
      </c>
      <c r="I697" s="48" t="n">
        <v>4581</v>
      </c>
      <c r="J697" s="48" t="n">
        <v>4616</v>
      </c>
      <c r="K697" s="48" t="n">
        <v>4567</v>
      </c>
      <c r="L697" s="48" t="n">
        <v>50947643</v>
      </c>
      <c r="M697" s="48" t="n">
        <v>233391152583</v>
      </c>
      <c r="N697" s="48" t="n">
        <v>2347</v>
      </c>
      <c r="O697" s="48" t="n">
        <v>28013784</v>
      </c>
      <c r="P697" s="48" t="n">
        <v>23985515</v>
      </c>
      <c r="Q697" s="48" t="n">
        <v>710</v>
      </c>
      <c r="R697" s="48" t="n">
        <v>1344</v>
      </c>
      <c r="S697" s="48" t="n">
        <v>22933859</v>
      </c>
      <c r="T697" s="48" t="n">
        <v>26962128</v>
      </c>
      <c r="U697" s="46" t="n">
        <f aca="false">IF($A697=$A696,$U696+1,1)</f>
        <v>173</v>
      </c>
      <c r="V697" s="48" t="n">
        <f aca="false">IF($U697&gt;=MA_SHORT,AVERAGE(INDEX($I$297:$I697,402-MA_SHORT):$I697),"")</f>
        <v>4697.45</v>
      </c>
      <c r="W697" s="48" t="n">
        <f aca="false">IF($U697&gt;=MA_MED,AVERAGE(INDEX($I$297:$I697,402-MA_MED):$I697),"")</f>
        <v>4432.18</v>
      </c>
      <c r="X697" s="48" t="n">
        <f aca="false">IF($U697&gt;=MA_LONG1,AVERAGE(INDEX($I$297:$I697,402-MA_LONG1):$I697),"")</f>
        <v>4186.64</v>
      </c>
      <c r="Y697" s="48" t="str">
        <f aca="false">IF($U697&gt;=MA_LONG2,AVERAGE(INDEX($I$297:$I697,402-MA_LONG2):$I697),"")</f>
        <v/>
      </c>
      <c r="Z697" s="48" t="n">
        <f aca="false">IF($U697&gt;=MA_SHORT,AVERAGE(INDEX($L$577:$L697,122-MA_SHORT):$L697),"")</f>
        <v>74224718.7</v>
      </c>
      <c r="AA697" s="48" t="n">
        <f aca="false">IF($U697=1,$G697-$H697,MAX($G697-$H697,ABS($G697-$I696),ABS($H697-$I696)))</f>
        <v>301</v>
      </c>
      <c r="AB697" s="48" t="n">
        <f aca="false">IF($U697&gt;=ATR_PER,AVERAGE(INDEX($AA$577:$AA697,122-ATR_PER):$AA697),"")</f>
        <v>190.428571428571</v>
      </c>
      <c r="AC697" s="48" t="n">
        <f aca="false">$O697-$P697</f>
        <v>4028269</v>
      </c>
      <c r="AD697" s="48" t="n">
        <f aca="false">$AC697*$I697</f>
        <v>18453500289</v>
      </c>
      <c r="AE697" s="49" t="n">
        <f aca="false">IF($Q697&gt;0,$O697*$I697/$Q697/1000000,"")</f>
        <v>180.748090850704</v>
      </c>
      <c r="AF697" s="49" t="n">
        <f aca="false">IF($R697&gt;0,$P697*$I697/$R697/1000000,"")</f>
        <v>81.7541995647322</v>
      </c>
      <c r="AG697" s="50" t="n">
        <f aca="false">IF(AND(ISNUMBER($AE697),ISNUMBER($AF697),$AF697&gt;0),$AE697/$AF697,"")</f>
        <v>2.21087224647817</v>
      </c>
      <c r="AH697" s="48" t="n">
        <f aca="false">IF($U697&gt;=5,SUM(INDEX($AD$667:$AD697,32-5):$AD697),"")</f>
        <v>103878265631</v>
      </c>
      <c r="AI697" s="48" t="n">
        <f aca="false">IF($U697&gt;=STRUCT_S,MAX(INDEX($G$547:$G697,152-STRUCT_S):$G697),"")</f>
        <v>4893</v>
      </c>
      <c r="AJ697" s="48" t="n">
        <f aca="false">IF($U697&gt;=STRUCT_S,MIN(INDEX($H$547:$H697,152-STRUCT_S):$H697),"")</f>
        <v>4424</v>
      </c>
      <c r="AK697" s="48" t="n">
        <f aca="false">IF($U697&gt;=STRUCT_L,MAX(INDEX($G$447:$G697,252-STRUCT_L):$G697),"")</f>
        <v>4893</v>
      </c>
      <c r="AL697" s="48" t="n">
        <f aca="false">IF($U697&gt;=STRUCT_L,MIN(INDEX($H$447:$H697,252-STRUCT_L):$H697),"")</f>
        <v>3778</v>
      </c>
      <c r="AM697" s="46" t="n">
        <f aca="false">IF($A697&lt;&gt;$A698,1,0)</f>
        <v>0</v>
      </c>
      <c r="AN697" s="47" t="str">
        <f aca="false">IF($AM697=1,$A697,"")</f>
        <v/>
      </c>
    </row>
    <row r="698" customFormat="false" ht="15" hidden="false" customHeight="false" outlineLevel="0" collapsed="false">
      <c r="A698" s="43" t="s">
        <v>142</v>
      </c>
      <c r="B698" s="44" t="s">
        <v>144</v>
      </c>
      <c r="C698" s="45" t="n">
        <v>46147</v>
      </c>
      <c r="D698" s="46" t="n">
        <v>20260505</v>
      </c>
      <c r="E698" s="47" t="s">
        <v>461</v>
      </c>
      <c r="F698" s="48" t="n">
        <v>4579</v>
      </c>
      <c r="G698" s="48" t="n">
        <v>4622</v>
      </c>
      <c r="H698" s="48" t="n">
        <v>4336</v>
      </c>
      <c r="I698" s="48" t="n">
        <v>4375</v>
      </c>
      <c r="J698" s="48" t="n">
        <v>4478</v>
      </c>
      <c r="K698" s="48" t="n">
        <v>4581</v>
      </c>
      <c r="L698" s="48" t="n">
        <v>63525420</v>
      </c>
      <c r="M698" s="48" t="n">
        <v>277923712500</v>
      </c>
      <c r="N698" s="48" t="n">
        <v>5083</v>
      </c>
      <c r="O698" s="48" t="n">
        <v>22235453</v>
      </c>
      <c r="P698" s="48" t="n">
        <v>37889786</v>
      </c>
      <c r="Q698" s="48" t="n">
        <v>1882</v>
      </c>
      <c r="R698" s="48" t="n">
        <v>1966</v>
      </c>
      <c r="S698" s="48" t="n">
        <v>41289967</v>
      </c>
      <c r="T698" s="48" t="n">
        <v>25635634</v>
      </c>
      <c r="U698" s="46" t="n">
        <f aca="false">IF($A698=$A697,$U697+1,1)</f>
        <v>174</v>
      </c>
      <c r="V698" s="48" t="n">
        <f aca="false">IF($U698&gt;=MA_SHORT,AVERAGE(INDEX($I$298:$I698,402-MA_SHORT):$I698),"")</f>
        <v>4681.7</v>
      </c>
      <c r="W698" s="48" t="n">
        <f aca="false">IF($U698&gt;=MA_MED,AVERAGE(INDEX($I$298:$I698,402-MA_MED):$I698),"")</f>
        <v>4438</v>
      </c>
      <c r="X698" s="48" t="n">
        <f aca="false">IF($U698&gt;=MA_LONG1,AVERAGE(INDEX($I$298:$I698,402-MA_LONG1):$I698),"")</f>
        <v>4196.27</v>
      </c>
      <c r="Y698" s="48" t="str">
        <f aca="false">IF($U698&gt;=MA_LONG2,AVERAGE(INDEX($I$298:$I698,402-MA_LONG2):$I698),"")</f>
        <v/>
      </c>
      <c r="Z698" s="48" t="n">
        <f aca="false">IF($U698&gt;=MA_SHORT,AVERAGE(INDEX($L$578:$L698,122-MA_SHORT):$L698),"")</f>
        <v>74652404.85</v>
      </c>
      <c r="AA698" s="48" t="n">
        <f aca="false">IF($U698=1,$G698-$H698,MAX($G698-$H698,ABS($G698-$I697),ABS($H698-$I697)))</f>
        <v>286</v>
      </c>
      <c r="AB698" s="48" t="n">
        <f aca="false">IF($U698&gt;=ATR_PER,AVERAGE(INDEX($AA$578:$AA698,122-ATR_PER):$AA698),"")</f>
        <v>189.071428571429</v>
      </c>
      <c r="AC698" s="48" t="n">
        <f aca="false">$O698-$P698</f>
        <v>-15654333</v>
      </c>
      <c r="AD698" s="48" t="n">
        <f aca="false">$AC698*$I698</f>
        <v>-68487706875</v>
      </c>
      <c r="AE698" s="49" t="n">
        <f aca="false">IF($Q698&gt;0,$O698*$I698/$Q698/1000000,"")</f>
        <v>51.6897486052072</v>
      </c>
      <c r="AF698" s="49" t="n">
        <f aca="false">IF($R698&gt;0,$P698*$I698/$R698/1000000,"")</f>
        <v>84.3173009918616</v>
      </c>
      <c r="AG698" s="50" t="n">
        <f aca="false">IF(AND(ISNUMBER($AE698),ISNUMBER($AF698),$AF698&gt;0),$AE698/$AF698,"")</f>
        <v>0.613038463010057</v>
      </c>
      <c r="AH698" s="48" t="n">
        <f aca="false">IF($U698&gt;=5,SUM(INDEX($AD$668:$AD698,32-5):$AD698),"")</f>
        <v>-61782023987</v>
      </c>
      <c r="AI698" s="48" t="n">
        <f aca="false">IF($U698&gt;=STRUCT_S,MAX(INDEX($G$548:$G698,152-STRUCT_S):$G698),"")</f>
        <v>4893</v>
      </c>
      <c r="AJ698" s="48" t="n">
        <f aca="false">IF($U698&gt;=STRUCT_S,MIN(INDEX($H$548:$H698,152-STRUCT_S):$H698),"")</f>
        <v>4336</v>
      </c>
      <c r="AK698" s="48" t="n">
        <f aca="false">IF($U698&gt;=STRUCT_L,MAX(INDEX($G$448:$G698,252-STRUCT_L):$G698),"")</f>
        <v>4893</v>
      </c>
      <c r="AL698" s="48" t="n">
        <f aca="false">IF($U698&gt;=STRUCT_L,MIN(INDEX($H$448:$H698,252-STRUCT_L):$H698),"")</f>
        <v>3778</v>
      </c>
      <c r="AM698" s="46" t="n">
        <f aca="false">IF($A698&lt;&gt;$A699,1,0)</f>
        <v>0</v>
      </c>
      <c r="AN698" s="47" t="str">
        <f aca="false">IF($AM698=1,$A698,"")</f>
        <v/>
      </c>
    </row>
    <row r="699" customFormat="false" ht="15" hidden="false" customHeight="false" outlineLevel="0" collapsed="false">
      <c r="A699" s="43" t="s">
        <v>142</v>
      </c>
      <c r="B699" s="44" t="s">
        <v>144</v>
      </c>
      <c r="C699" s="45" t="n">
        <v>46148</v>
      </c>
      <c r="D699" s="46" t="n">
        <v>20260506</v>
      </c>
      <c r="E699" s="47" t="s">
        <v>462</v>
      </c>
      <c r="F699" s="48" t="n">
        <v>4168</v>
      </c>
      <c r="G699" s="48" t="n">
        <v>4437</v>
      </c>
      <c r="H699" s="48" t="n">
        <v>4164</v>
      </c>
      <c r="I699" s="48" t="n">
        <v>4224</v>
      </c>
      <c r="J699" s="48" t="n">
        <v>4174</v>
      </c>
      <c r="K699" s="48" t="n">
        <v>4375</v>
      </c>
      <c r="L699" s="48" t="n">
        <v>60387477</v>
      </c>
      <c r="M699" s="48" t="n">
        <v>255076702848</v>
      </c>
      <c r="N699" s="48" t="n">
        <v>3313</v>
      </c>
      <c r="O699" s="48" t="n">
        <v>24192226</v>
      </c>
      <c r="P699" s="48" t="n">
        <v>36589166</v>
      </c>
      <c r="Q699" s="48" t="n">
        <v>1119</v>
      </c>
      <c r="R699" s="48" t="n">
        <v>1162</v>
      </c>
      <c r="S699" s="48" t="n">
        <v>36195251</v>
      </c>
      <c r="T699" s="48" t="n">
        <v>23798311</v>
      </c>
      <c r="U699" s="46" t="n">
        <f aca="false">IF($A699=$A698,$U698+1,1)</f>
        <v>175</v>
      </c>
      <c r="V699" s="48" t="n">
        <f aca="false">IF($U699&gt;=MA_SHORT,AVERAGE(INDEX($I$299:$I699,402-MA_SHORT):$I699),"")</f>
        <v>4659.85</v>
      </c>
      <c r="W699" s="48" t="n">
        <f aca="false">IF($U699&gt;=MA_MED,AVERAGE(INDEX($I$299:$I699,402-MA_MED):$I699),"")</f>
        <v>4439.76</v>
      </c>
      <c r="X699" s="48" t="n">
        <f aca="false">IF($U699&gt;=MA_LONG1,AVERAGE(INDEX($I$299:$I699,402-MA_LONG1):$I699),"")</f>
        <v>4204.7</v>
      </c>
      <c r="Y699" s="48" t="str">
        <f aca="false">IF($U699&gt;=MA_LONG2,AVERAGE(INDEX($I$299:$I699,402-MA_LONG2):$I699),"")</f>
        <v/>
      </c>
      <c r="Z699" s="48" t="n">
        <f aca="false">IF($U699&gt;=MA_SHORT,AVERAGE(INDEX($L$579:$L699,122-MA_SHORT):$L699),"")</f>
        <v>74486197.05</v>
      </c>
      <c r="AA699" s="48" t="n">
        <f aca="false">IF($U699=1,$G699-$H699,MAX($G699-$H699,ABS($G699-$I698),ABS($H699-$I698)))</f>
        <v>273</v>
      </c>
      <c r="AB699" s="48" t="n">
        <f aca="false">IF($U699&gt;=ATR_PER,AVERAGE(INDEX($AA$579:$AA699,122-ATR_PER):$AA699),"")</f>
        <v>193.571428571429</v>
      </c>
      <c r="AC699" s="48" t="n">
        <f aca="false">$O699-$P699</f>
        <v>-12396940</v>
      </c>
      <c r="AD699" s="48" t="n">
        <f aca="false">$AC699*$I699</f>
        <v>-52364674560</v>
      </c>
      <c r="AE699" s="49" t="n">
        <f aca="false">IF($Q699&gt;0,$O699*$I699/$Q699/1000000,"")</f>
        <v>91.3207887613941</v>
      </c>
      <c r="AF699" s="49" t="n">
        <f aca="false">IF($R699&gt;0,$P699*$I699/$R699/1000000,"")</f>
        <v>133.005711862306</v>
      </c>
      <c r="AG699" s="50" t="n">
        <f aca="false">IF(AND(ISNUMBER($AE699),ISNUMBER($AF699),$AF699&gt;0),$AE699/$AF699,"")</f>
        <v>0.686592985239112</v>
      </c>
      <c r="AH699" s="48" t="n">
        <f aca="false">IF($U699&gt;=5,SUM(INDEX($AD$669:$AD699,32-5):$AD699),"")</f>
        <v>-146496149627</v>
      </c>
      <c r="AI699" s="48" t="n">
        <f aca="false">IF($U699&gt;=STRUCT_S,MAX(INDEX($G$549:$G699,152-STRUCT_S):$G699),"")</f>
        <v>4893</v>
      </c>
      <c r="AJ699" s="48" t="n">
        <f aca="false">IF($U699&gt;=STRUCT_S,MIN(INDEX($H$549:$H699,152-STRUCT_S):$H699),"")</f>
        <v>4164</v>
      </c>
      <c r="AK699" s="48" t="n">
        <f aca="false">IF($U699&gt;=STRUCT_L,MAX(INDEX($G$449:$G699,252-STRUCT_L):$G699),"")</f>
        <v>4893</v>
      </c>
      <c r="AL699" s="48" t="n">
        <f aca="false">IF($U699&gt;=STRUCT_L,MIN(INDEX($H$449:$H699,252-STRUCT_L):$H699),"")</f>
        <v>3778</v>
      </c>
      <c r="AM699" s="46" t="n">
        <f aca="false">IF($A699&lt;&gt;$A700,1,0)</f>
        <v>0</v>
      </c>
      <c r="AN699" s="47" t="str">
        <f aca="false">IF($AM699=1,$A699,"")</f>
        <v/>
      </c>
    </row>
    <row r="700" customFormat="false" ht="15" hidden="false" customHeight="false" outlineLevel="0" collapsed="false">
      <c r="A700" s="43" t="s">
        <v>142</v>
      </c>
      <c r="B700" s="44" t="s">
        <v>144</v>
      </c>
      <c r="C700" s="45" t="n">
        <v>46151</v>
      </c>
      <c r="D700" s="46" t="n">
        <v>20260509</v>
      </c>
      <c r="E700" s="47" t="s">
        <v>463</v>
      </c>
      <c r="F700" s="48" t="n">
        <v>4207</v>
      </c>
      <c r="G700" s="48" t="n">
        <v>4349</v>
      </c>
      <c r="H700" s="48" t="n">
        <v>4174</v>
      </c>
      <c r="I700" s="48" t="n">
        <v>4298</v>
      </c>
      <c r="J700" s="48" t="n">
        <v>4283</v>
      </c>
      <c r="K700" s="48" t="n">
        <v>4224</v>
      </c>
      <c r="L700" s="48" t="n">
        <v>55286069</v>
      </c>
      <c r="M700" s="48" t="n">
        <v>237619524562</v>
      </c>
      <c r="N700" s="48" t="n">
        <v>2924</v>
      </c>
      <c r="O700" s="48" t="n">
        <v>34465462</v>
      </c>
      <c r="P700" s="48" t="n">
        <v>22825669</v>
      </c>
      <c r="Q700" s="48" t="n">
        <v>1365</v>
      </c>
      <c r="R700" s="48" t="n">
        <v>1061</v>
      </c>
      <c r="S700" s="48" t="n">
        <v>20820607</v>
      </c>
      <c r="T700" s="48" t="n">
        <v>32460400</v>
      </c>
      <c r="U700" s="46" t="n">
        <f aca="false">IF($A700=$A699,$U699+1,1)</f>
        <v>176</v>
      </c>
      <c r="V700" s="48" t="n">
        <f aca="false">IF($U700&gt;=MA_SHORT,AVERAGE(INDEX($I$300:$I700,402-MA_SHORT):$I700),"")</f>
        <v>4641.8</v>
      </c>
      <c r="W700" s="48" t="n">
        <f aca="false">IF($U700&gt;=MA_MED,AVERAGE(INDEX($I$300:$I700,402-MA_MED):$I700),"")</f>
        <v>4443.7</v>
      </c>
      <c r="X700" s="48" t="n">
        <f aca="false">IF($U700&gt;=MA_LONG1,AVERAGE(INDEX($I$300:$I700,402-MA_LONG1):$I700),"")</f>
        <v>4213.85</v>
      </c>
      <c r="Y700" s="48" t="str">
        <f aca="false">IF($U700&gt;=MA_LONG2,AVERAGE(INDEX($I$300:$I700,402-MA_LONG2):$I700),"")</f>
        <v/>
      </c>
      <c r="Z700" s="48" t="n">
        <f aca="false">IF($U700&gt;=MA_SHORT,AVERAGE(INDEX($L$580:$L700,122-MA_SHORT):$L700),"")</f>
        <v>72910970.2</v>
      </c>
      <c r="AA700" s="48" t="n">
        <f aca="false">IF($U700=1,$G700-$H700,MAX($G700-$H700,ABS($G700-$I699),ABS($H700-$I699)))</f>
        <v>175</v>
      </c>
      <c r="AB700" s="48" t="n">
        <f aca="false">IF($U700&gt;=ATR_PER,AVERAGE(INDEX($AA$580:$AA700,122-ATR_PER):$AA700),"")</f>
        <v>190.642857142857</v>
      </c>
      <c r="AC700" s="48" t="n">
        <f aca="false">$O700-$P700</f>
        <v>11639793</v>
      </c>
      <c r="AD700" s="48" t="n">
        <f aca="false">$AC700*$I700</f>
        <v>50027830314</v>
      </c>
      <c r="AE700" s="49" t="n">
        <f aca="false">IF($Q700&gt;0,$O700*$I700/$Q700/1000000,"")</f>
        <v>108.522018810256</v>
      </c>
      <c r="AF700" s="49" t="n">
        <f aca="false">IF($R700&gt;0,$P700*$I700/$R700/1000000,"")</f>
        <v>92.4643971366635</v>
      </c>
      <c r="AG700" s="50" t="n">
        <f aca="false">IF(AND(ISNUMBER($AE700),ISNUMBER($AF700),$AF700&gt;0),$AE700/$AF700,"")</f>
        <v>1.17366275205212</v>
      </c>
      <c r="AH700" s="48" t="n">
        <f aca="false">IF($U700&gt;=5,SUM(INDEX($AD$670:$AD700,32-5):$AD700),"")</f>
        <v>-91502403860</v>
      </c>
      <c r="AI700" s="48" t="n">
        <f aca="false">IF($U700&gt;=STRUCT_S,MAX(INDEX($G$550:$G700,152-STRUCT_S):$G700),"")</f>
        <v>4893</v>
      </c>
      <c r="AJ700" s="48" t="n">
        <f aca="false">IF($U700&gt;=STRUCT_S,MIN(INDEX($H$550:$H700,152-STRUCT_S):$H700),"")</f>
        <v>4164</v>
      </c>
      <c r="AK700" s="48" t="n">
        <f aca="false">IF($U700&gt;=STRUCT_L,MAX(INDEX($G$450:$G700,252-STRUCT_L):$G700),"")</f>
        <v>4893</v>
      </c>
      <c r="AL700" s="48" t="n">
        <f aca="false">IF($U700&gt;=STRUCT_L,MIN(INDEX($H$450:$H700,252-STRUCT_L):$H700),"")</f>
        <v>3778</v>
      </c>
      <c r="AM700" s="46" t="n">
        <f aca="false">IF($A700&lt;&gt;$A701,1,0)</f>
        <v>0</v>
      </c>
      <c r="AN700" s="47" t="str">
        <f aca="false">IF($AM700=1,$A700,"")</f>
        <v/>
      </c>
    </row>
    <row r="701" customFormat="false" ht="15" hidden="false" customHeight="false" outlineLevel="0" collapsed="false">
      <c r="A701" s="43" t="s">
        <v>142</v>
      </c>
      <c r="B701" s="44" t="s">
        <v>144</v>
      </c>
      <c r="C701" s="45" t="n">
        <v>46152</v>
      </c>
      <c r="D701" s="46" t="n">
        <v>20260510</v>
      </c>
      <c r="E701" s="47" t="s">
        <v>464</v>
      </c>
      <c r="F701" s="48" t="n">
        <v>4127</v>
      </c>
      <c r="G701" s="48" t="n">
        <v>4394</v>
      </c>
      <c r="H701" s="48" t="n">
        <v>4066</v>
      </c>
      <c r="I701" s="48" t="n">
        <v>4159</v>
      </c>
      <c r="J701" s="48" t="n">
        <v>4153</v>
      </c>
      <c r="K701" s="48" t="n">
        <v>4298</v>
      </c>
      <c r="L701" s="48" t="n">
        <v>76029853</v>
      </c>
      <c r="M701" s="48" t="n">
        <v>316208158627</v>
      </c>
      <c r="N701" s="48" t="n">
        <v>2143</v>
      </c>
      <c r="O701" s="48" t="n">
        <v>30746383</v>
      </c>
      <c r="P701" s="48" t="n">
        <v>47279383</v>
      </c>
      <c r="Q701" s="48" t="n">
        <v>1130</v>
      </c>
      <c r="R701" s="48" t="n">
        <v>1047</v>
      </c>
      <c r="S701" s="48" t="n">
        <v>45283470</v>
      </c>
      <c r="T701" s="48" t="n">
        <v>28750470</v>
      </c>
      <c r="U701" s="46" t="n">
        <f aca="false">IF($A701=$A700,$U700+1,1)</f>
        <v>177</v>
      </c>
      <c r="V701" s="48" t="n">
        <f aca="false">IF($U701&gt;=MA_SHORT,AVERAGE(INDEX($I$301:$I701,402-MA_SHORT):$I701),"")</f>
        <v>4611.2</v>
      </c>
      <c r="W701" s="48" t="n">
        <f aca="false">IF($U701&gt;=MA_MED,AVERAGE(INDEX($I$301:$I701,402-MA_MED):$I701),"")</f>
        <v>4444.8</v>
      </c>
      <c r="X701" s="48" t="n">
        <f aca="false">IF($U701&gt;=MA_LONG1,AVERAGE(INDEX($I$301:$I701,402-MA_LONG1):$I701),"")</f>
        <v>4220.57</v>
      </c>
      <c r="Y701" s="48" t="str">
        <f aca="false">IF($U701&gt;=MA_LONG2,AVERAGE(INDEX($I$301:$I701,402-MA_LONG2):$I701),"")</f>
        <v/>
      </c>
      <c r="Z701" s="48" t="n">
        <f aca="false">IF($U701&gt;=MA_SHORT,AVERAGE(INDEX($L$581:$L701,122-MA_SHORT):$L701),"")</f>
        <v>72180787.35</v>
      </c>
      <c r="AA701" s="48" t="n">
        <f aca="false">IF($U701=1,$G701-$H701,MAX($G701-$H701,ABS($G701-$I700),ABS($H701-$I700)))</f>
        <v>328</v>
      </c>
      <c r="AB701" s="48" t="n">
        <f aca="false">IF($U701&gt;=ATR_PER,AVERAGE(INDEX($AA$581:$AA701,122-ATR_PER):$AA701),"")</f>
        <v>211.785714285714</v>
      </c>
      <c r="AC701" s="48" t="n">
        <f aca="false">$O701-$P701</f>
        <v>-16533000</v>
      </c>
      <c r="AD701" s="48" t="n">
        <f aca="false">$AC701*$I701</f>
        <v>-68760747000</v>
      </c>
      <c r="AE701" s="49" t="n">
        <f aca="false">IF($Q701&gt;0,$O701*$I701/$Q701/1000000,"")</f>
        <v>113.163014953097</v>
      </c>
      <c r="AF701" s="49" t="n">
        <f aca="false">IF($R701&gt;0,$P701*$I701/$R701/1000000,"")</f>
        <v>187.807978889207</v>
      </c>
      <c r="AG701" s="50" t="n">
        <f aca="false">IF(AND(ISNUMBER($AE701),ISNUMBER($AF701),$AF701&gt;0),$AE701/$AF701,"")</f>
        <v>0.60254636476257</v>
      </c>
      <c r="AH701" s="48" t="n">
        <f aca="false">IF($U701&gt;=5,SUM(INDEX($AD$671:$AD701,32-5):$AD701),"")</f>
        <v>-121131797832</v>
      </c>
      <c r="AI701" s="48" t="n">
        <f aca="false">IF($U701&gt;=STRUCT_S,MAX(INDEX($G$551:$G701,152-STRUCT_S):$G701),"")</f>
        <v>4893</v>
      </c>
      <c r="AJ701" s="48" t="n">
        <f aca="false">IF($U701&gt;=STRUCT_S,MIN(INDEX($H$551:$H701,152-STRUCT_S):$H701),"")</f>
        <v>4066</v>
      </c>
      <c r="AK701" s="48" t="n">
        <f aca="false">IF($U701&gt;=STRUCT_L,MAX(INDEX($G$451:$G701,252-STRUCT_L):$G701),"")</f>
        <v>4893</v>
      </c>
      <c r="AL701" s="48" t="n">
        <f aca="false">IF($U701&gt;=STRUCT_L,MIN(INDEX($H$451:$H701,252-STRUCT_L):$H701),"")</f>
        <v>3778</v>
      </c>
      <c r="AM701" s="46" t="n">
        <f aca="false">IF($A701&lt;&gt;$A702,1,0)</f>
        <v>0</v>
      </c>
      <c r="AN701" s="47" t="str">
        <f aca="false">IF($AM701=1,$A701,"")</f>
        <v/>
      </c>
    </row>
    <row r="702" customFormat="false" ht="15" hidden="false" customHeight="false" outlineLevel="0" collapsed="false">
      <c r="A702" s="43" t="s">
        <v>142</v>
      </c>
      <c r="B702" s="44" t="s">
        <v>144</v>
      </c>
      <c r="C702" s="45" t="n">
        <v>46153</v>
      </c>
      <c r="D702" s="46" t="n">
        <v>20260511</v>
      </c>
      <c r="E702" s="47" t="s">
        <v>465</v>
      </c>
      <c r="F702" s="48" t="n">
        <v>4312</v>
      </c>
      <c r="G702" s="48" t="n">
        <v>4323</v>
      </c>
      <c r="H702" s="48" t="n">
        <v>4076</v>
      </c>
      <c r="I702" s="48" t="n">
        <v>4238</v>
      </c>
      <c r="J702" s="48" t="n">
        <v>4240</v>
      </c>
      <c r="K702" s="48" t="n">
        <v>4159</v>
      </c>
      <c r="L702" s="48" t="n">
        <v>55729116</v>
      </c>
      <c r="M702" s="48" t="n">
        <v>236179993608</v>
      </c>
      <c r="N702" s="48" t="n">
        <v>1616</v>
      </c>
      <c r="O702" s="48" t="n">
        <v>37880252</v>
      </c>
      <c r="P702" s="48" t="n">
        <v>20036570</v>
      </c>
      <c r="Q702" s="48" t="n">
        <v>552</v>
      </c>
      <c r="R702" s="48" t="n">
        <v>715</v>
      </c>
      <c r="S702" s="48" t="n">
        <v>17848864</v>
      </c>
      <c r="T702" s="48" t="n">
        <v>35692546</v>
      </c>
      <c r="U702" s="46" t="n">
        <f aca="false">IF($A702=$A701,$U701+1,1)</f>
        <v>178</v>
      </c>
      <c r="V702" s="48" t="n">
        <f aca="false">IF($U702&gt;=MA_SHORT,AVERAGE(INDEX($I$302:$I702,402-MA_SHORT):$I702),"")</f>
        <v>4585.1</v>
      </c>
      <c r="W702" s="48" t="n">
        <f aca="false">IF($U702&gt;=MA_MED,AVERAGE(INDEX($I$302:$I702,402-MA_MED):$I702),"")</f>
        <v>4447.2</v>
      </c>
      <c r="X702" s="48" t="n">
        <f aca="false">IF($U702&gt;=MA_LONG1,AVERAGE(INDEX($I$302:$I702,402-MA_LONG1):$I702),"")</f>
        <v>4228.31</v>
      </c>
      <c r="Y702" s="48" t="str">
        <f aca="false">IF($U702&gt;=MA_LONG2,AVERAGE(INDEX($I$302:$I702,402-MA_LONG2):$I702),"")</f>
        <v/>
      </c>
      <c r="Z702" s="48" t="n">
        <f aca="false">IF($U702&gt;=MA_SHORT,AVERAGE(INDEX($L$582:$L702,122-MA_SHORT):$L702),"")</f>
        <v>72431265.35</v>
      </c>
      <c r="AA702" s="48" t="n">
        <f aca="false">IF($U702=1,$G702-$H702,MAX($G702-$H702,ABS($G702-$I701),ABS($H702-$I701)))</f>
        <v>247</v>
      </c>
      <c r="AB702" s="48" t="n">
        <f aca="false">IF($U702&gt;=ATR_PER,AVERAGE(INDEX($AA$582:$AA702,122-ATR_PER):$AA702),"")</f>
        <v>222.642857142857</v>
      </c>
      <c r="AC702" s="48" t="n">
        <f aca="false">$O702-$P702</f>
        <v>17843682</v>
      </c>
      <c r="AD702" s="48" t="n">
        <f aca="false">$AC702*$I702</f>
        <v>75621524316</v>
      </c>
      <c r="AE702" s="49" t="n">
        <f aca="false">IF($Q702&gt;0,$O702*$I702/$Q702/1000000,"")</f>
        <v>290.827007202899</v>
      </c>
      <c r="AF702" s="49" t="n">
        <f aca="false">IF($R702&gt;0,$P702*$I702/$R702/1000000,"")</f>
        <v>118.762214909091</v>
      </c>
      <c r="AG702" s="50" t="n">
        <f aca="false">IF(AND(ISNUMBER($AE702),ISNUMBER($AF702),$AF702&gt;0),$AE702/$AF702,"")</f>
        <v>2.44881764309901</v>
      </c>
      <c r="AH702" s="48" t="n">
        <f aca="false">IF($U702&gt;=5,SUM(INDEX($AD$672:$AD702,32-5):$AD702),"")</f>
        <v>-63963773805</v>
      </c>
      <c r="AI702" s="48" t="n">
        <f aca="false">IF($U702&gt;=STRUCT_S,MAX(INDEX($G$552:$G702,152-STRUCT_S):$G702),"")</f>
        <v>4893</v>
      </c>
      <c r="AJ702" s="48" t="n">
        <f aca="false">IF($U702&gt;=STRUCT_S,MIN(INDEX($H$552:$H702,152-STRUCT_S):$H702),"")</f>
        <v>4066</v>
      </c>
      <c r="AK702" s="48" t="n">
        <f aca="false">IF($U702&gt;=STRUCT_L,MAX(INDEX($G$452:$G702,252-STRUCT_L):$G702),"")</f>
        <v>4893</v>
      </c>
      <c r="AL702" s="48" t="n">
        <f aca="false">IF($U702&gt;=STRUCT_L,MIN(INDEX($H$452:$H702,252-STRUCT_L):$H702),"")</f>
        <v>3778</v>
      </c>
      <c r="AM702" s="46" t="n">
        <f aca="false">IF($A702&lt;&gt;$A703,1,0)</f>
        <v>0</v>
      </c>
      <c r="AN702" s="47" t="str">
        <f aca="false">IF($AM702=1,$A702,"")</f>
        <v/>
      </c>
    </row>
    <row r="703" customFormat="false" ht="15" hidden="false" customHeight="false" outlineLevel="0" collapsed="false">
      <c r="A703" s="43" t="s">
        <v>142</v>
      </c>
      <c r="B703" s="44" t="s">
        <v>144</v>
      </c>
      <c r="C703" s="45" t="n">
        <v>46154</v>
      </c>
      <c r="D703" s="46" t="n">
        <v>20260512</v>
      </c>
      <c r="E703" s="47" t="s">
        <v>466</v>
      </c>
      <c r="F703" s="48" t="n">
        <v>4262</v>
      </c>
      <c r="G703" s="48" t="n">
        <v>4278</v>
      </c>
      <c r="H703" s="48" t="n">
        <v>4174</v>
      </c>
      <c r="I703" s="48" t="n">
        <v>4213</v>
      </c>
      <c r="J703" s="48" t="n">
        <v>4176</v>
      </c>
      <c r="K703" s="48" t="n">
        <v>4238</v>
      </c>
      <c r="L703" s="48" t="n">
        <v>141389690</v>
      </c>
      <c r="M703" s="48" t="n">
        <v>595674763970</v>
      </c>
      <c r="N703" s="48" t="n">
        <v>9019</v>
      </c>
      <c r="O703" s="48" t="n">
        <v>63659441</v>
      </c>
      <c r="P703" s="48" t="n">
        <v>70670987</v>
      </c>
      <c r="Q703" s="48" t="n">
        <v>3976</v>
      </c>
      <c r="R703" s="48" t="n">
        <v>3193</v>
      </c>
      <c r="S703" s="48" t="n">
        <v>77730249</v>
      </c>
      <c r="T703" s="48" t="n">
        <v>70718703</v>
      </c>
      <c r="U703" s="46" t="n">
        <f aca="false">IF($A703=$A702,$U702+1,1)</f>
        <v>179</v>
      </c>
      <c r="V703" s="48" t="n">
        <f aca="false">IF($U703&gt;=MA_SHORT,AVERAGE(INDEX($I$303:$I703,402-MA_SHORT):$I703),"")</f>
        <v>4569.4</v>
      </c>
      <c r="W703" s="48" t="n">
        <f aca="false">IF($U703&gt;=MA_MED,AVERAGE(INDEX($I$303:$I703,402-MA_MED):$I703),"")</f>
        <v>4449.34</v>
      </c>
      <c r="X703" s="48" t="n">
        <f aca="false">IF($U703&gt;=MA_LONG1,AVERAGE(INDEX($I$303:$I703,402-MA_LONG1):$I703),"")</f>
        <v>4235.33</v>
      </c>
      <c r="Y703" s="48" t="str">
        <f aca="false">IF($U703&gt;=MA_LONG2,AVERAGE(INDEX($I$303:$I703,402-MA_LONG2):$I703),"")</f>
        <v/>
      </c>
      <c r="Z703" s="48" t="n">
        <f aca="false">IF($U703&gt;=MA_SHORT,AVERAGE(INDEX($L$583:$L703,122-MA_SHORT):$L703),"")</f>
        <v>76264727.55</v>
      </c>
      <c r="AA703" s="48" t="n">
        <f aca="false">IF($U703=1,$G703-$H703,MAX($G703-$H703,ABS($G703-$I702),ABS($H703-$I702)))</f>
        <v>104</v>
      </c>
      <c r="AB703" s="48" t="n">
        <f aca="false">IF($U703&gt;=ATR_PER,AVERAGE(INDEX($AA$583:$AA703,122-ATR_PER):$AA703),"")</f>
        <v>222.5</v>
      </c>
      <c r="AC703" s="48" t="n">
        <f aca="false">$O703-$P703</f>
        <v>-7011546</v>
      </c>
      <c r="AD703" s="48" t="n">
        <f aca="false">$AC703*$I703</f>
        <v>-29539643298</v>
      </c>
      <c r="AE703" s="49" t="n">
        <f aca="false">IF($Q703&gt;0,$O703*$I703/$Q703/1000000,"")</f>
        <v>67.4540304157445</v>
      </c>
      <c r="AF703" s="49" t="n">
        <f aca="false">IF($R703&gt;0,$P703*$I703/$R703/1000000,"")</f>
        <v>93.2467485847166</v>
      </c>
      <c r="AG703" s="50" t="n">
        <f aca="false">IF(AND(ISNUMBER($AE703),ISNUMBER($AF703),$AF703&gt;0),$AE703/$AF703,"")</f>
        <v>0.723392841461503</v>
      </c>
      <c r="AH703" s="48" t="n">
        <f aca="false">IF($U703&gt;=5,SUM(INDEX($AD$673:$AD703,32-5):$AD703),"")</f>
        <v>-25015710228</v>
      </c>
      <c r="AI703" s="48" t="n">
        <f aca="false">IF($U703&gt;=STRUCT_S,MAX(INDEX($G$553:$G703,152-STRUCT_S):$G703),"")</f>
        <v>4893</v>
      </c>
      <c r="AJ703" s="48" t="n">
        <f aca="false">IF($U703&gt;=STRUCT_S,MIN(INDEX($H$553:$H703,152-STRUCT_S):$H703),"")</f>
        <v>4066</v>
      </c>
      <c r="AK703" s="48" t="n">
        <f aca="false">IF($U703&gt;=STRUCT_L,MAX(INDEX($G$453:$G703,252-STRUCT_L):$G703),"")</f>
        <v>4893</v>
      </c>
      <c r="AL703" s="48" t="n">
        <f aca="false">IF($U703&gt;=STRUCT_L,MIN(INDEX($H$453:$H703,252-STRUCT_L):$H703),"")</f>
        <v>3778</v>
      </c>
      <c r="AM703" s="46" t="n">
        <f aca="false">IF($A703&lt;&gt;$A704,1,0)</f>
        <v>0</v>
      </c>
      <c r="AN703" s="47" t="str">
        <f aca="false">IF($AM703=1,$A703,"")</f>
        <v/>
      </c>
    </row>
    <row r="704" customFormat="false" ht="15" hidden="false" customHeight="false" outlineLevel="0" collapsed="false">
      <c r="A704" s="43" t="s">
        <v>142</v>
      </c>
      <c r="B704" s="44" t="s">
        <v>144</v>
      </c>
      <c r="C704" s="45" t="n">
        <v>46155</v>
      </c>
      <c r="D704" s="46" t="n">
        <v>20260513</v>
      </c>
      <c r="E704" s="47" t="s">
        <v>467</v>
      </c>
      <c r="F704" s="48" t="n">
        <v>4225</v>
      </c>
      <c r="G704" s="48" t="n">
        <v>4254</v>
      </c>
      <c r="H704" s="48" t="n">
        <v>4131</v>
      </c>
      <c r="I704" s="48" t="n">
        <v>4171</v>
      </c>
      <c r="J704" s="48" t="n">
        <v>4216</v>
      </c>
      <c r="K704" s="48" t="n">
        <v>4213</v>
      </c>
      <c r="L704" s="48" t="n">
        <v>60260641</v>
      </c>
      <c r="M704" s="48" t="n">
        <v>251347133611</v>
      </c>
      <c r="N704" s="48" t="n">
        <v>1679</v>
      </c>
      <c r="O704" s="48" t="n">
        <v>31387178</v>
      </c>
      <c r="P704" s="48" t="n">
        <v>32546727</v>
      </c>
      <c r="Q704" s="48" t="n">
        <v>964</v>
      </c>
      <c r="R704" s="48" t="n">
        <v>524</v>
      </c>
      <c r="S704" s="48" t="n">
        <v>28873463</v>
      </c>
      <c r="T704" s="48" t="n">
        <v>27713914</v>
      </c>
      <c r="U704" s="46" t="n">
        <f aca="false">IF($A704=$A703,$U703+1,1)</f>
        <v>180</v>
      </c>
      <c r="V704" s="48" t="n">
        <f aca="false">IF($U704&gt;=MA_SHORT,AVERAGE(INDEX($I$304:$I704,402-MA_SHORT):$I704),"")</f>
        <v>4540.55</v>
      </c>
      <c r="W704" s="48" t="n">
        <f aca="false">IF($U704&gt;=MA_MED,AVERAGE(INDEX($I$304:$I704,402-MA_MED):$I704),"")</f>
        <v>4451.28</v>
      </c>
      <c r="X704" s="48" t="n">
        <f aca="false">IF($U704&gt;=MA_LONG1,AVERAGE(INDEX($I$304:$I704,402-MA_LONG1):$I704),"")</f>
        <v>4242.1</v>
      </c>
      <c r="Y704" s="48" t="str">
        <f aca="false">IF($U704&gt;=MA_LONG2,AVERAGE(INDEX($I$304:$I704,402-MA_LONG2):$I704),"")</f>
        <v/>
      </c>
      <c r="Z704" s="48" t="n">
        <f aca="false">IF($U704&gt;=MA_SHORT,AVERAGE(INDEX($L$584:$L704,122-MA_SHORT):$L704),"")</f>
        <v>76043709.05</v>
      </c>
      <c r="AA704" s="48" t="n">
        <f aca="false">IF($U704=1,$G704-$H704,MAX($G704-$H704,ABS($G704-$I703),ABS($H704-$I703)))</f>
        <v>123</v>
      </c>
      <c r="AB704" s="48" t="n">
        <f aca="false">IF($U704&gt;=ATR_PER,AVERAGE(INDEX($AA$584:$AA704,122-ATR_PER):$AA704),"")</f>
        <v>211.214285714286</v>
      </c>
      <c r="AC704" s="48" t="n">
        <f aca="false">$O704-$P704</f>
        <v>-1159549</v>
      </c>
      <c r="AD704" s="48" t="n">
        <f aca="false">$AC704*$I704</f>
        <v>-4836478879</v>
      </c>
      <c r="AE704" s="49" t="n">
        <f aca="false">IF($Q704&gt;0,$O704*$I704/$Q704/1000000,"")</f>
        <v>135.804895682573</v>
      </c>
      <c r="AF704" s="49" t="n">
        <f aca="false">IF($R704&gt;0,$P704*$I704/$R704/1000000,"")</f>
        <v>259.069462437023</v>
      </c>
      <c r="AG704" s="50" t="n">
        <f aca="false">IF(AND(ISNUMBER($AE704),ISNUMBER($AF704),$AF704&gt;0),$AE704/$AF704,"")</f>
        <v>0.524202638184674</v>
      </c>
      <c r="AH704" s="48" t="n">
        <f aca="false">IF($U704&gt;=5,SUM(INDEX($AD$674:$AD704,32-5):$AD704),"")</f>
        <v>22512485453</v>
      </c>
      <c r="AI704" s="48" t="n">
        <f aca="false">IF($U704&gt;=STRUCT_S,MAX(INDEX($G$554:$G704,152-STRUCT_S):$G704),"")</f>
        <v>4893</v>
      </c>
      <c r="AJ704" s="48" t="n">
        <f aca="false">IF($U704&gt;=STRUCT_S,MIN(INDEX($H$554:$H704,152-STRUCT_S):$H704),"")</f>
        <v>4066</v>
      </c>
      <c r="AK704" s="48" t="n">
        <f aca="false">IF($U704&gt;=STRUCT_L,MAX(INDEX($G$454:$G704,252-STRUCT_L):$G704),"")</f>
        <v>4893</v>
      </c>
      <c r="AL704" s="48" t="n">
        <f aca="false">IF($U704&gt;=STRUCT_L,MIN(INDEX($H$454:$H704,252-STRUCT_L):$H704),"")</f>
        <v>3778</v>
      </c>
      <c r="AM704" s="46" t="n">
        <f aca="false">IF($A704&lt;&gt;$A705,1,0)</f>
        <v>0</v>
      </c>
      <c r="AN704" s="47" t="str">
        <f aca="false">IF($AM704=1,$A704,"")</f>
        <v/>
      </c>
    </row>
    <row r="705" customFormat="false" ht="15" hidden="false" customHeight="false" outlineLevel="0" collapsed="false">
      <c r="A705" s="43" t="s">
        <v>142</v>
      </c>
      <c r="B705" s="44" t="s">
        <v>144</v>
      </c>
      <c r="C705" s="45" t="n">
        <v>46158</v>
      </c>
      <c r="D705" s="46" t="n">
        <v>20260516</v>
      </c>
      <c r="E705" s="47" t="s">
        <v>468</v>
      </c>
      <c r="F705" s="48" t="n">
        <v>4163</v>
      </c>
      <c r="G705" s="48" t="n">
        <v>4272</v>
      </c>
      <c r="H705" s="48" t="n">
        <v>4111</v>
      </c>
      <c r="I705" s="48" t="n">
        <v>4211</v>
      </c>
      <c r="J705" s="48" t="n">
        <v>4255</v>
      </c>
      <c r="K705" s="48" t="n">
        <v>4171</v>
      </c>
      <c r="L705" s="48" t="n">
        <v>54900837</v>
      </c>
      <c r="M705" s="48" t="n">
        <v>231187424607</v>
      </c>
      <c r="N705" s="48" t="n">
        <v>3259</v>
      </c>
      <c r="O705" s="48" t="n">
        <v>32954980</v>
      </c>
      <c r="P705" s="48" t="n">
        <v>22226189</v>
      </c>
      <c r="Q705" s="48" t="n">
        <v>1199</v>
      </c>
      <c r="R705" s="48" t="n">
        <v>1840</v>
      </c>
      <c r="S705" s="48" t="n">
        <v>21945857</v>
      </c>
      <c r="T705" s="48" t="n">
        <v>32674648</v>
      </c>
      <c r="U705" s="46" t="n">
        <f aca="false">IF($A705=$A704,$U704+1,1)</f>
        <v>181</v>
      </c>
      <c r="V705" s="48" t="n">
        <f aca="false">IF($U705&gt;=MA_SHORT,AVERAGE(INDEX($I$305:$I705,402-MA_SHORT):$I705),"")</f>
        <v>4517.75</v>
      </c>
      <c r="W705" s="48" t="n">
        <f aca="false">IF($U705&gt;=MA_MED,AVERAGE(INDEX($I$305:$I705,402-MA_MED):$I705),"")</f>
        <v>4455.86</v>
      </c>
      <c r="X705" s="48" t="n">
        <f aca="false">IF($U705&gt;=MA_LONG1,AVERAGE(INDEX($I$305:$I705,402-MA_LONG1):$I705),"")</f>
        <v>4247.56</v>
      </c>
      <c r="Y705" s="48" t="str">
        <f aca="false">IF($U705&gt;=MA_LONG2,AVERAGE(INDEX($I$305:$I705,402-MA_LONG2):$I705),"")</f>
        <v/>
      </c>
      <c r="Z705" s="48" t="n">
        <f aca="false">IF($U705&gt;=MA_SHORT,AVERAGE(INDEX($L$585:$L705,122-MA_SHORT):$L705),"")</f>
        <v>76031338.1</v>
      </c>
      <c r="AA705" s="48" t="n">
        <f aca="false">IF($U705=1,$G705-$H705,MAX($G705-$H705,ABS($G705-$I704),ABS($H705-$I704)))</f>
        <v>161</v>
      </c>
      <c r="AB705" s="48" t="n">
        <f aca="false">IF($U705&gt;=ATR_PER,AVERAGE(INDEX($AA$585:$AA705,122-ATR_PER):$AA705),"")</f>
        <v>209.928571428571</v>
      </c>
      <c r="AC705" s="48" t="n">
        <f aca="false">$O705-$P705</f>
        <v>10728791</v>
      </c>
      <c r="AD705" s="48" t="n">
        <f aca="false">$AC705*$I705</f>
        <v>45178938901</v>
      </c>
      <c r="AE705" s="49" t="n">
        <f aca="false">IF($Q705&gt;0,$O705*$I705/$Q705/1000000,"")</f>
        <v>115.740968123436</v>
      </c>
      <c r="AF705" s="49" t="n">
        <f aca="false">IF($R705&gt;0,$P705*$I705/$R705/1000000,"")</f>
        <v>50.866566238587</v>
      </c>
      <c r="AG705" s="50" t="n">
        <f aca="false">IF(AND(ISNUMBER($AE705),ISNUMBER($AF705),$AF705&gt;0),$AE705/$AF705,"")</f>
        <v>2.27538394434881</v>
      </c>
      <c r="AH705" s="48" t="n">
        <f aca="false">IF($U705&gt;=5,SUM(INDEX($AD$675:$AD705,32-5):$AD705),"")</f>
        <v>17663594040</v>
      </c>
      <c r="AI705" s="48" t="n">
        <f aca="false">IF($U705&gt;=STRUCT_S,MAX(INDEX($G$555:$G705,152-STRUCT_S):$G705),"")</f>
        <v>4893</v>
      </c>
      <c r="AJ705" s="48" t="n">
        <f aca="false">IF($U705&gt;=STRUCT_S,MIN(INDEX($H$555:$H705,152-STRUCT_S):$H705),"")</f>
        <v>4066</v>
      </c>
      <c r="AK705" s="48" t="n">
        <f aca="false">IF($U705&gt;=STRUCT_L,MAX(INDEX($G$455:$G705,252-STRUCT_L):$G705),"")</f>
        <v>4893</v>
      </c>
      <c r="AL705" s="48" t="n">
        <f aca="false">IF($U705&gt;=STRUCT_L,MIN(INDEX($H$455:$H705,252-STRUCT_L):$H705),"")</f>
        <v>3858</v>
      </c>
      <c r="AM705" s="46" t="n">
        <f aca="false">IF($A705&lt;&gt;$A706,1,0)</f>
        <v>0</v>
      </c>
      <c r="AN705" s="47" t="str">
        <f aca="false">IF($AM705=1,$A705,"")</f>
        <v/>
      </c>
    </row>
    <row r="706" customFormat="false" ht="15" hidden="false" customHeight="false" outlineLevel="0" collapsed="false">
      <c r="A706" s="43" t="s">
        <v>142</v>
      </c>
      <c r="B706" s="44" t="s">
        <v>144</v>
      </c>
      <c r="C706" s="45" t="n">
        <v>46159</v>
      </c>
      <c r="D706" s="46" t="n">
        <v>20260517</v>
      </c>
      <c r="E706" s="47" t="s">
        <v>469</v>
      </c>
      <c r="F706" s="48" t="n">
        <v>4137</v>
      </c>
      <c r="G706" s="48" t="n">
        <v>4222</v>
      </c>
      <c r="H706" s="48" t="n">
        <v>4115</v>
      </c>
      <c r="I706" s="48" t="n">
        <v>4126</v>
      </c>
      <c r="J706" s="48" t="n">
        <v>4181</v>
      </c>
      <c r="K706" s="48" t="n">
        <v>4211</v>
      </c>
      <c r="L706" s="48" t="n">
        <v>56086396</v>
      </c>
      <c r="M706" s="48" t="n">
        <v>231412469896</v>
      </c>
      <c r="N706" s="48" t="n">
        <v>1739</v>
      </c>
      <c r="O706" s="48" t="n">
        <v>22109975</v>
      </c>
      <c r="P706" s="48" t="n">
        <v>31040867</v>
      </c>
      <c r="Q706" s="48" t="n">
        <v>698</v>
      </c>
      <c r="R706" s="48" t="n">
        <v>612</v>
      </c>
      <c r="S706" s="48" t="n">
        <v>33976421</v>
      </c>
      <c r="T706" s="48" t="n">
        <v>25045529</v>
      </c>
      <c r="U706" s="46" t="n">
        <f aca="false">IF($A706=$A705,$U705+1,1)</f>
        <v>182</v>
      </c>
      <c r="V706" s="48" t="n">
        <f aca="false">IF($U706&gt;=MA_SHORT,AVERAGE(INDEX($I$306:$I706,402-MA_SHORT):$I706),"")</f>
        <v>4488.05</v>
      </c>
      <c r="W706" s="48" t="n">
        <f aca="false">IF($U706&gt;=MA_MED,AVERAGE(INDEX($I$306:$I706,402-MA_MED):$I706),"")</f>
        <v>4456.52</v>
      </c>
      <c r="X706" s="48" t="n">
        <f aca="false">IF($U706&gt;=MA_LONG1,AVERAGE(INDEX($I$306:$I706,402-MA_LONG1):$I706),"")</f>
        <v>4252.01</v>
      </c>
      <c r="Y706" s="48" t="str">
        <f aca="false">IF($U706&gt;=MA_LONG2,AVERAGE(INDEX($I$306:$I706,402-MA_LONG2):$I706),"")</f>
        <v/>
      </c>
      <c r="Z706" s="48" t="n">
        <f aca="false">IF($U706&gt;=MA_SHORT,AVERAGE(INDEX($L$586:$L706,122-MA_SHORT):$L706),"")</f>
        <v>76163844.4</v>
      </c>
      <c r="AA706" s="48" t="n">
        <f aca="false">IF($U706=1,$G706-$H706,MAX($G706-$H706,ABS($G706-$I705),ABS($H706-$I705)))</f>
        <v>107</v>
      </c>
      <c r="AB706" s="48" t="n">
        <f aca="false">IF($U706&gt;=ATR_PER,AVERAGE(INDEX($AA$586:$AA706,122-ATR_PER):$AA706),"")</f>
        <v>207.928571428571</v>
      </c>
      <c r="AC706" s="48" t="n">
        <f aca="false">$O706-$P706</f>
        <v>-8930892</v>
      </c>
      <c r="AD706" s="48" t="n">
        <f aca="false">$AC706*$I706</f>
        <v>-36848860392</v>
      </c>
      <c r="AE706" s="49" t="n">
        <f aca="false">IF($Q706&gt;0,$O706*$I706/$Q706/1000000,"")</f>
        <v>130.695926719198</v>
      </c>
      <c r="AF706" s="49" t="n">
        <f aca="false">IF($R706&gt;0,$P706*$I706/$R706/1000000,"")</f>
        <v>209.272250395425</v>
      </c>
      <c r="AG706" s="50" t="n">
        <f aca="false">IF(AND(ISNUMBER($AE706),ISNUMBER($AF706),$AF706&gt;0),$AE706/$AF706,"")</f>
        <v>0.624525834037932</v>
      </c>
      <c r="AH706" s="48" t="n">
        <f aca="false">IF($U706&gt;=5,SUM(INDEX($AD$676:$AD706,32-5):$AD706),"")</f>
        <v>49575480648</v>
      </c>
      <c r="AI706" s="48" t="n">
        <f aca="false">IF($U706&gt;=STRUCT_S,MAX(INDEX($G$556:$G706,152-STRUCT_S):$G706),"")</f>
        <v>4893</v>
      </c>
      <c r="AJ706" s="48" t="n">
        <f aca="false">IF($U706&gt;=STRUCT_S,MIN(INDEX($H$556:$H706,152-STRUCT_S):$H706),"")</f>
        <v>4066</v>
      </c>
      <c r="AK706" s="48" t="n">
        <f aca="false">IF($U706&gt;=STRUCT_L,MAX(INDEX($G$456:$G706,252-STRUCT_L):$G706),"")</f>
        <v>4893</v>
      </c>
      <c r="AL706" s="48" t="n">
        <f aca="false">IF($U706&gt;=STRUCT_L,MIN(INDEX($H$456:$H706,252-STRUCT_L):$H706),"")</f>
        <v>3921</v>
      </c>
      <c r="AM706" s="46" t="n">
        <f aca="false">IF($A706&lt;&gt;$A707,1,0)</f>
        <v>0</v>
      </c>
      <c r="AN706" s="47" t="str">
        <f aca="false">IF($AM706=1,$A706,"")</f>
        <v/>
      </c>
    </row>
    <row r="707" customFormat="false" ht="15" hidden="false" customHeight="false" outlineLevel="0" collapsed="false">
      <c r="A707" s="43" t="s">
        <v>142</v>
      </c>
      <c r="B707" s="44" t="s">
        <v>144</v>
      </c>
      <c r="C707" s="45" t="n">
        <v>46160</v>
      </c>
      <c r="D707" s="46" t="n">
        <v>20260518</v>
      </c>
      <c r="E707" s="47" t="s">
        <v>470</v>
      </c>
      <c r="F707" s="48" t="n">
        <v>4234</v>
      </c>
      <c r="G707" s="48" t="n">
        <v>4240</v>
      </c>
      <c r="H707" s="48" t="n">
        <v>4054</v>
      </c>
      <c r="I707" s="48" t="n">
        <v>4167</v>
      </c>
      <c r="J707" s="48" t="n">
        <v>4160</v>
      </c>
      <c r="K707" s="48" t="n">
        <v>4126</v>
      </c>
      <c r="L707" s="48" t="n">
        <v>59896233</v>
      </c>
      <c r="M707" s="48" t="n">
        <v>249587602911</v>
      </c>
      <c r="N707" s="48" t="n">
        <v>2357</v>
      </c>
      <c r="O707" s="48" t="n">
        <v>36800389</v>
      </c>
      <c r="P707" s="48" t="n">
        <v>27126589</v>
      </c>
      <c r="Q707" s="48" t="n">
        <v>765</v>
      </c>
      <c r="R707" s="48" t="n">
        <v>897</v>
      </c>
      <c r="S707" s="48" t="n">
        <v>23095844</v>
      </c>
      <c r="T707" s="48" t="n">
        <v>32769644</v>
      </c>
      <c r="U707" s="46" t="n">
        <f aca="false">IF($A707=$A706,$U706+1,1)</f>
        <v>183</v>
      </c>
      <c r="V707" s="48" t="n">
        <f aca="false">IF($U707&gt;=MA_SHORT,AVERAGE(INDEX($I$307:$I707,402-MA_SHORT):$I707),"")</f>
        <v>4460.6</v>
      </c>
      <c r="W707" s="48" t="n">
        <f aca="false">IF($U707&gt;=MA_MED,AVERAGE(INDEX($I$307:$I707,402-MA_MED):$I707),"")</f>
        <v>4459.02</v>
      </c>
      <c r="X707" s="48" t="n">
        <f aca="false">IF($U707&gt;=MA_LONG1,AVERAGE(INDEX($I$307:$I707,402-MA_LONG1):$I707),"")</f>
        <v>4256.27</v>
      </c>
      <c r="Y707" s="48" t="str">
        <f aca="false">IF($U707&gt;=MA_LONG2,AVERAGE(INDEX($I$307:$I707,402-MA_LONG2):$I707),"")</f>
        <v/>
      </c>
      <c r="Z707" s="48" t="n">
        <f aca="false">IF($U707&gt;=MA_SHORT,AVERAGE(INDEX($L$587:$L707,122-MA_SHORT):$L707),"")</f>
        <v>76644562.35</v>
      </c>
      <c r="AA707" s="48" t="n">
        <f aca="false">IF($U707=1,$G707-$H707,MAX($G707-$H707,ABS($G707-$I706),ABS($H707-$I706)))</f>
        <v>186</v>
      </c>
      <c r="AB707" s="48" t="n">
        <f aca="false">IF($U707&gt;=ATR_PER,AVERAGE(INDEX($AA$587:$AA707,122-ATR_PER):$AA707),"")</f>
        <v>209.428571428571</v>
      </c>
      <c r="AC707" s="48" t="n">
        <f aca="false">$O707-$P707</f>
        <v>9673800</v>
      </c>
      <c r="AD707" s="48" t="n">
        <f aca="false">$AC707*$I707</f>
        <v>40310724600</v>
      </c>
      <c r="AE707" s="49" t="n">
        <f aca="false">IF($Q707&gt;0,$O707*$I707/$Q707/1000000,"")</f>
        <v>200.453883611765</v>
      </c>
      <c r="AF707" s="49" t="n">
        <f aca="false">IF($R707&gt;0,$P707*$I707/$R707/1000000,"")</f>
        <v>126.016160939799</v>
      </c>
      <c r="AG707" s="50" t="n">
        <f aca="false">IF(AND(ISNUMBER($AE707),ISNUMBER($AF707),$AF707&gt;0),$AE707/$AF707,"")</f>
        <v>1.59069981276073</v>
      </c>
      <c r="AH707" s="48" t="n">
        <f aca="false">IF($U707&gt;=5,SUM(INDEX($AD$677:$AD707,32-5):$AD707),"")</f>
        <v>14264680932</v>
      </c>
      <c r="AI707" s="48" t="n">
        <f aca="false">IF($U707&gt;=STRUCT_S,MAX(INDEX($G$557:$G707,152-STRUCT_S):$G707),"")</f>
        <v>4893</v>
      </c>
      <c r="AJ707" s="48" t="n">
        <f aca="false">IF($U707&gt;=STRUCT_S,MIN(INDEX($H$557:$H707,152-STRUCT_S):$H707),"")</f>
        <v>4054</v>
      </c>
      <c r="AK707" s="48" t="n">
        <f aca="false">IF($U707&gt;=STRUCT_L,MAX(INDEX($G$457:$G707,252-STRUCT_L):$G707),"")</f>
        <v>4893</v>
      </c>
      <c r="AL707" s="48" t="n">
        <f aca="false">IF($U707&gt;=STRUCT_L,MIN(INDEX($H$457:$H707,252-STRUCT_L):$H707),"")</f>
        <v>3921</v>
      </c>
      <c r="AM707" s="46" t="n">
        <f aca="false">IF($A707&lt;&gt;$A708,1,0)</f>
        <v>0</v>
      </c>
      <c r="AN707" s="47" t="str">
        <f aca="false">IF($AM707=1,$A707,"")</f>
        <v/>
      </c>
    </row>
    <row r="708" customFormat="false" ht="15" hidden="false" customHeight="false" outlineLevel="0" collapsed="false">
      <c r="A708" s="43" t="s">
        <v>142</v>
      </c>
      <c r="B708" s="44" t="s">
        <v>144</v>
      </c>
      <c r="C708" s="45" t="n">
        <v>46161</v>
      </c>
      <c r="D708" s="46" t="n">
        <v>20260519</v>
      </c>
      <c r="E708" s="47" t="s">
        <v>471</v>
      </c>
      <c r="F708" s="48" t="n">
        <v>4226</v>
      </c>
      <c r="G708" s="48" t="n">
        <v>4256</v>
      </c>
      <c r="H708" s="48" t="n">
        <v>4108</v>
      </c>
      <c r="I708" s="48" t="n">
        <v>4197</v>
      </c>
      <c r="J708" s="48" t="n">
        <v>4172</v>
      </c>
      <c r="K708" s="48" t="n">
        <v>4167</v>
      </c>
      <c r="L708" s="48" t="n">
        <v>52188512</v>
      </c>
      <c r="M708" s="48" t="n">
        <v>219035184864</v>
      </c>
      <c r="N708" s="48" t="n">
        <v>1383</v>
      </c>
      <c r="O708" s="48" t="n">
        <v>24774450</v>
      </c>
      <c r="P708" s="48" t="n">
        <v>24520358</v>
      </c>
      <c r="Q708" s="48" t="n">
        <v>595</v>
      </c>
      <c r="R708" s="48" t="n">
        <v>829</v>
      </c>
      <c r="S708" s="48" t="n">
        <v>27414062</v>
      </c>
      <c r="T708" s="48" t="n">
        <v>27668154</v>
      </c>
      <c r="U708" s="46" t="n">
        <f aca="false">IF($A708=$A707,$U707+1,1)</f>
        <v>184</v>
      </c>
      <c r="V708" s="48" t="n">
        <f aca="false">IF($U708&gt;=MA_SHORT,AVERAGE(INDEX($I$308:$I708,402-MA_SHORT):$I708),"")</f>
        <v>4433</v>
      </c>
      <c r="W708" s="48" t="n">
        <f aca="false">IF($U708&gt;=MA_MED,AVERAGE(INDEX($I$308:$I708,402-MA_MED):$I708),"")</f>
        <v>4461.7</v>
      </c>
      <c r="X708" s="48" t="n">
        <f aca="false">IF($U708&gt;=MA_LONG1,AVERAGE(INDEX($I$308:$I708,402-MA_LONG1):$I708),"")</f>
        <v>4259.76</v>
      </c>
      <c r="Y708" s="48" t="str">
        <f aca="false">IF($U708&gt;=MA_LONG2,AVERAGE(INDEX($I$308:$I708,402-MA_LONG2):$I708),"")</f>
        <v/>
      </c>
      <c r="Z708" s="48" t="n">
        <f aca="false">IF($U708&gt;=MA_SHORT,AVERAGE(INDEX($L$588:$L708,122-MA_SHORT):$L708),"")</f>
        <v>76647593.55</v>
      </c>
      <c r="AA708" s="48" t="n">
        <f aca="false">IF($U708=1,$G708-$H708,MAX($G708-$H708,ABS($G708-$I707),ABS($H708-$I707)))</f>
        <v>148</v>
      </c>
      <c r="AB708" s="48" t="n">
        <f aca="false">IF($U708&gt;=ATR_PER,AVERAGE(INDEX($AA$588:$AA708,122-ATR_PER):$AA708),"")</f>
        <v>208.714285714286</v>
      </c>
      <c r="AC708" s="48" t="n">
        <f aca="false">$O708-$P708</f>
        <v>254092</v>
      </c>
      <c r="AD708" s="48" t="n">
        <f aca="false">$AC708*$I708</f>
        <v>1066424124</v>
      </c>
      <c r="AE708" s="49" t="n">
        <f aca="false">IF($Q708&gt;0,$O708*$I708/$Q708/1000000,"")</f>
        <v>174.753557394958</v>
      </c>
      <c r="AF708" s="49" t="n">
        <f aca="false">IF($R708&gt;0,$P708*$I708/$R708/1000000,"")</f>
        <v>124.139858294331</v>
      </c>
      <c r="AG708" s="50" t="n">
        <f aca="false">IF(AND(ISNUMBER($AE708),ISNUMBER($AF708),$AF708&gt;0),$AE708/$AF708,"")</f>
        <v>1.40771513513915</v>
      </c>
      <c r="AH708" s="48" t="n">
        <f aca="false">IF($U708&gt;=5,SUM(INDEX($AD$678:$AD708,32-5):$AD708),"")</f>
        <v>44870748354</v>
      </c>
      <c r="AI708" s="48" t="n">
        <f aca="false">IF($U708&gt;=STRUCT_S,MAX(INDEX($G$558:$G708,152-STRUCT_S):$G708),"")</f>
        <v>4893</v>
      </c>
      <c r="AJ708" s="48" t="n">
        <f aca="false">IF($U708&gt;=STRUCT_S,MIN(INDEX($H$558:$H708,152-STRUCT_S):$H708),"")</f>
        <v>4054</v>
      </c>
      <c r="AK708" s="48" t="n">
        <f aca="false">IF($U708&gt;=STRUCT_L,MAX(INDEX($G$458:$G708,252-STRUCT_L):$G708),"")</f>
        <v>4893</v>
      </c>
      <c r="AL708" s="48" t="n">
        <f aca="false">IF($U708&gt;=STRUCT_L,MIN(INDEX($H$458:$H708,252-STRUCT_L):$H708),"")</f>
        <v>3921</v>
      </c>
      <c r="AM708" s="46" t="n">
        <f aca="false">IF($A708&lt;&gt;$A709,1,0)</f>
        <v>0</v>
      </c>
      <c r="AN708" s="47" t="str">
        <f aca="false">IF($AM708=1,$A708,"")</f>
        <v/>
      </c>
    </row>
    <row r="709" customFormat="false" ht="15" hidden="false" customHeight="false" outlineLevel="0" collapsed="false">
      <c r="A709" s="43" t="s">
        <v>142</v>
      </c>
      <c r="B709" s="44" t="s">
        <v>144</v>
      </c>
      <c r="C709" s="45" t="n">
        <v>46162</v>
      </c>
      <c r="D709" s="46" t="n">
        <v>20260520</v>
      </c>
      <c r="E709" s="47" t="s">
        <v>472</v>
      </c>
      <c r="F709" s="48" t="n">
        <v>4061</v>
      </c>
      <c r="G709" s="48" t="n">
        <v>4263</v>
      </c>
      <c r="H709" s="48" t="n">
        <v>3972</v>
      </c>
      <c r="I709" s="48" t="n">
        <v>4036</v>
      </c>
      <c r="J709" s="48" t="n">
        <v>4249</v>
      </c>
      <c r="K709" s="48" t="n">
        <v>4197</v>
      </c>
      <c r="L709" s="48" t="n">
        <v>61542046</v>
      </c>
      <c r="M709" s="48" t="n">
        <v>248383697656</v>
      </c>
      <c r="N709" s="48" t="n">
        <v>2348</v>
      </c>
      <c r="O709" s="48" t="n">
        <v>22475860</v>
      </c>
      <c r="P709" s="48" t="n">
        <v>39799658</v>
      </c>
      <c r="Q709" s="48" t="n">
        <v>1155</v>
      </c>
      <c r="R709" s="48" t="n">
        <v>750</v>
      </c>
      <c r="S709" s="48" t="n">
        <v>39066186</v>
      </c>
      <c r="T709" s="48" t="n">
        <v>21742388</v>
      </c>
      <c r="U709" s="46" t="n">
        <f aca="false">IF($A709=$A708,$U708+1,1)</f>
        <v>185</v>
      </c>
      <c r="V709" s="48" t="n">
        <f aca="false">IF($U709&gt;=MA_SHORT,AVERAGE(INDEX($I$309:$I709,402-MA_SHORT):$I709),"")</f>
        <v>4395</v>
      </c>
      <c r="W709" s="48" t="n">
        <f aca="false">IF($U709&gt;=MA_MED,AVERAGE(INDEX($I$309:$I709,402-MA_MED):$I709),"")</f>
        <v>4458.52</v>
      </c>
      <c r="X709" s="48" t="n">
        <f aca="false">IF($U709&gt;=MA_LONG1,AVERAGE(INDEX($I$309:$I709,402-MA_LONG1):$I709),"")</f>
        <v>4262.15</v>
      </c>
      <c r="Y709" s="48" t="str">
        <f aca="false">IF($U709&gt;=MA_LONG2,AVERAGE(INDEX($I$309:$I709,402-MA_LONG2):$I709),"")</f>
        <v/>
      </c>
      <c r="Z709" s="48" t="n">
        <f aca="false">IF($U709&gt;=MA_SHORT,AVERAGE(INDEX($L$589:$L709,122-MA_SHORT):$L709),"")</f>
        <v>67980369.05</v>
      </c>
      <c r="AA709" s="48" t="n">
        <f aca="false">IF($U709=1,$G709-$H709,MAX($G709-$H709,ABS($G709-$I708),ABS($H709-$I708)))</f>
        <v>291</v>
      </c>
      <c r="AB709" s="48" t="n">
        <f aca="false">IF($U709&gt;=ATR_PER,AVERAGE(INDEX($AA$589:$AA709,122-ATR_PER):$AA709),"")</f>
        <v>216.142857142857</v>
      </c>
      <c r="AC709" s="48" t="n">
        <f aca="false">$O709-$P709</f>
        <v>-17323798</v>
      </c>
      <c r="AD709" s="48" t="n">
        <f aca="false">$AC709*$I709</f>
        <v>-69918848728</v>
      </c>
      <c r="AE709" s="49" t="n">
        <f aca="false">IF($Q709&gt;0,$O709*$I709/$Q709/1000000,"")</f>
        <v>78.5390224761905</v>
      </c>
      <c r="AF709" s="49" t="n">
        <f aca="false">IF($R709&gt;0,$P709*$I709/$R709/1000000,"")</f>
        <v>214.175226250667</v>
      </c>
      <c r="AG709" s="50" t="n">
        <f aca="false">IF(AND(ISNUMBER($AE709),ISNUMBER($AF709),$AF709&gt;0),$AE709/$AF709,"")</f>
        <v>0.366704515041669</v>
      </c>
      <c r="AH709" s="48" t="n">
        <f aca="false">IF($U709&gt;=5,SUM(INDEX($AD$679:$AD709,32-5):$AD709),"")</f>
        <v>-20211621495</v>
      </c>
      <c r="AI709" s="48" t="n">
        <f aca="false">IF($U709&gt;=STRUCT_S,MAX(INDEX($G$559:$G709,152-STRUCT_S):$G709),"")</f>
        <v>4893</v>
      </c>
      <c r="AJ709" s="48" t="n">
        <f aca="false">IF($U709&gt;=STRUCT_S,MIN(INDEX($H$559:$H709,152-STRUCT_S):$H709),"")</f>
        <v>3972</v>
      </c>
      <c r="AK709" s="48" t="n">
        <f aca="false">IF($U709&gt;=STRUCT_L,MAX(INDEX($G$459:$G709,252-STRUCT_L):$G709),"")</f>
        <v>4893</v>
      </c>
      <c r="AL709" s="48" t="n">
        <f aca="false">IF($U709&gt;=STRUCT_L,MIN(INDEX($H$459:$H709,252-STRUCT_L):$H709),"")</f>
        <v>3921</v>
      </c>
      <c r="AM709" s="46" t="n">
        <f aca="false">IF($A709&lt;&gt;$A710,1,0)</f>
        <v>0</v>
      </c>
      <c r="AN709" s="47" t="str">
        <f aca="false">IF($AM709=1,$A709,"")</f>
        <v/>
      </c>
    </row>
    <row r="710" customFormat="false" ht="15" hidden="false" customHeight="false" outlineLevel="0" collapsed="false">
      <c r="A710" s="43" t="s">
        <v>142</v>
      </c>
      <c r="B710" s="44" t="s">
        <v>144</v>
      </c>
      <c r="C710" s="45" t="n">
        <v>46165</v>
      </c>
      <c r="D710" s="46" t="n">
        <v>20260523</v>
      </c>
      <c r="E710" s="47" t="s">
        <v>473</v>
      </c>
      <c r="F710" s="48" t="n">
        <v>4011</v>
      </c>
      <c r="G710" s="48" t="n">
        <v>4085</v>
      </c>
      <c r="H710" s="48" t="n">
        <v>3936</v>
      </c>
      <c r="I710" s="48" t="n">
        <v>3984</v>
      </c>
      <c r="J710" s="48" t="n">
        <v>3985</v>
      </c>
      <c r="K710" s="48" t="n">
        <v>4036</v>
      </c>
      <c r="L710" s="48" t="n">
        <v>73678604</v>
      </c>
      <c r="M710" s="48" t="n">
        <v>293535558336</v>
      </c>
      <c r="N710" s="48" t="n">
        <v>3452</v>
      </c>
      <c r="O710" s="48" t="n">
        <v>33941172</v>
      </c>
      <c r="P710" s="48" t="n">
        <v>38193761</v>
      </c>
      <c r="Q710" s="48" t="n">
        <v>2057</v>
      </c>
      <c r="R710" s="48" t="n">
        <v>1175</v>
      </c>
      <c r="S710" s="48" t="n">
        <v>39737432</v>
      </c>
      <c r="T710" s="48" t="n">
        <v>35484843</v>
      </c>
      <c r="U710" s="46" t="n">
        <f aca="false">IF($A710=$A709,$U709+1,1)</f>
        <v>186</v>
      </c>
      <c r="V710" s="48" t="n">
        <f aca="false">IF($U710&gt;=MA_SHORT,AVERAGE(INDEX($I$310:$I710,402-MA_SHORT):$I710),"")</f>
        <v>4358.85</v>
      </c>
      <c r="W710" s="48" t="n">
        <f aca="false">IF($U710&gt;=MA_MED,AVERAGE(INDEX($I$310:$I710,402-MA_MED):$I710),"")</f>
        <v>4454.34</v>
      </c>
      <c r="X710" s="48" t="n">
        <f aca="false">IF($U710&gt;=MA_LONG1,AVERAGE(INDEX($I$310:$I710,402-MA_LONG1):$I710),"")</f>
        <v>4263.39</v>
      </c>
      <c r="Y710" s="48" t="str">
        <f aca="false">IF($U710&gt;=MA_LONG2,AVERAGE(INDEX($I$310:$I710,402-MA_LONG2):$I710),"")</f>
        <v/>
      </c>
      <c r="Z710" s="48" t="n">
        <f aca="false">IF($U710&gt;=MA_SHORT,AVERAGE(INDEX($L$590:$L710,122-MA_SHORT):$L710),"")</f>
        <v>68884414.35</v>
      </c>
      <c r="AA710" s="48" t="n">
        <f aca="false">IF($U710=1,$G710-$H710,MAX($G710-$H710,ABS($G710-$I709),ABS($H710-$I709)))</f>
        <v>149</v>
      </c>
      <c r="AB710" s="48" t="n">
        <f aca="false">IF($U710&gt;=ATR_PER,AVERAGE(INDEX($AA$590:$AA710,122-ATR_PER):$AA710),"")</f>
        <v>205.642857142857</v>
      </c>
      <c r="AC710" s="48" t="n">
        <f aca="false">$O710-$P710</f>
        <v>-4252589</v>
      </c>
      <c r="AD710" s="48" t="n">
        <f aca="false">$AC710*$I710</f>
        <v>-16942314576</v>
      </c>
      <c r="AE710" s="49" t="n">
        <f aca="false">IF($Q710&gt;0,$O710*$I710/$Q710/1000000,"")</f>
        <v>65.7373015303841</v>
      </c>
      <c r="AF710" s="49" t="n">
        <f aca="false">IF($R710&gt;0,$P710*$I710/$R710/1000000,"")</f>
        <v>129.501228786383</v>
      </c>
      <c r="AG710" s="50" t="n">
        <f aca="false">IF(AND(ISNUMBER($AE710),ISNUMBER($AF710),$AF710&gt;0),$AE710/$AF710,"")</f>
        <v>0.507619133396951</v>
      </c>
      <c r="AH710" s="48" t="n">
        <f aca="false">IF($U710&gt;=5,SUM(INDEX($AD$680:$AD710,32-5):$AD710),"")</f>
        <v>-82332874972</v>
      </c>
      <c r="AI710" s="48" t="n">
        <f aca="false">IF($U710&gt;=STRUCT_S,MAX(INDEX($G$560:$G710,152-STRUCT_S):$G710),"")</f>
        <v>4870</v>
      </c>
      <c r="AJ710" s="48" t="n">
        <f aca="false">IF($U710&gt;=STRUCT_S,MIN(INDEX($H$560:$H710,152-STRUCT_S):$H710),"")</f>
        <v>3936</v>
      </c>
      <c r="AK710" s="48" t="n">
        <f aca="false">IF($U710&gt;=STRUCT_L,MAX(INDEX($G$460:$G710,252-STRUCT_L):$G710),"")</f>
        <v>4893</v>
      </c>
      <c r="AL710" s="48" t="n">
        <f aca="false">IF($U710&gt;=STRUCT_L,MIN(INDEX($H$460:$H710,252-STRUCT_L):$H710),"")</f>
        <v>3921</v>
      </c>
      <c r="AM710" s="46" t="n">
        <f aca="false">IF($A710&lt;&gt;$A711,1,0)</f>
        <v>0</v>
      </c>
      <c r="AN710" s="47" t="str">
        <f aca="false">IF($AM710=1,$A710,"")</f>
        <v/>
      </c>
    </row>
    <row r="711" customFormat="false" ht="15" hidden="false" customHeight="false" outlineLevel="0" collapsed="false">
      <c r="A711" s="43" t="s">
        <v>142</v>
      </c>
      <c r="B711" s="44" t="s">
        <v>144</v>
      </c>
      <c r="C711" s="45" t="n">
        <v>46166</v>
      </c>
      <c r="D711" s="46" t="n">
        <v>20260524</v>
      </c>
      <c r="E711" s="47" t="s">
        <v>474</v>
      </c>
      <c r="F711" s="48" t="n">
        <v>3983</v>
      </c>
      <c r="G711" s="48" t="n">
        <v>4025</v>
      </c>
      <c r="H711" s="48" t="n">
        <v>3965</v>
      </c>
      <c r="I711" s="48" t="n">
        <v>4006</v>
      </c>
      <c r="J711" s="48" t="n">
        <v>3969</v>
      </c>
      <c r="K711" s="48" t="n">
        <v>3984</v>
      </c>
      <c r="L711" s="48" t="n">
        <v>51685034</v>
      </c>
      <c r="M711" s="48" t="n">
        <v>207050246204</v>
      </c>
      <c r="N711" s="48" t="n">
        <v>1211</v>
      </c>
      <c r="O711" s="48" t="n">
        <v>27238704</v>
      </c>
      <c r="P711" s="48" t="n">
        <v>21622170</v>
      </c>
      <c r="Q711" s="48" t="n">
        <v>422</v>
      </c>
      <c r="R711" s="48" t="n">
        <v>665</v>
      </c>
      <c r="S711" s="48" t="n">
        <v>24446330</v>
      </c>
      <c r="T711" s="48" t="n">
        <v>30062864</v>
      </c>
      <c r="U711" s="46" t="n">
        <f aca="false">IF($A711=$A710,$U710+1,1)</f>
        <v>187</v>
      </c>
      <c r="V711" s="48" t="n">
        <f aca="false">IF($U711&gt;=MA_SHORT,AVERAGE(INDEX($I$311:$I711,402-MA_SHORT):$I711),"")</f>
        <v>4326.6</v>
      </c>
      <c r="W711" s="48" t="n">
        <f aca="false">IF($U711&gt;=MA_MED,AVERAGE(INDEX($I$311:$I711,402-MA_MED):$I711),"")</f>
        <v>4449.32</v>
      </c>
      <c r="X711" s="48" t="n">
        <f aca="false">IF($U711&gt;=MA_LONG1,AVERAGE(INDEX($I$311:$I711,402-MA_LONG1):$I711),"")</f>
        <v>4264.97</v>
      </c>
      <c r="Y711" s="48" t="str">
        <f aca="false">IF($U711&gt;=MA_LONG2,AVERAGE(INDEX($I$311:$I711,402-MA_LONG2):$I711),"")</f>
        <v/>
      </c>
      <c r="Z711" s="48" t="n">
        <f aca="false">IF($U711&gt;=MA_SHORT,AVERAGE(INDEX($L$591:$L711,122-MA_SHORT):$L711),"")</f>
        <v>62428249.4</v>
      </c>
      <c r="AA711" s="48" t="n">
        <f aca="false">IF($U711=1,$G711-$H711,MAX($G711-$H711,ABS($G711-$I710),ABS($H711-$I710)))</f>
        <v>60</v>
      </c>
      <c r="AB711" s="48" t="n">
        <f aca="false">IF($U711&gt;=ATR_PER,AVERAGE(INDEX($AA$591:$AA711,122-ATR_PER):$AA711),"")</f>
        <v>188.428571428571</v>
      </c>
      <c r="AC711" s="48" t="n">
        <f aca="false">$O711-$P711</f>
        <v>5616534</v>
      </c>
      <c r="AD711" s="48" t="n">
        <f aca="false">$AC711*$I711</f>
        <v>22499835204</v>
      </c>
      <c r="AE711" s="49" t="n">
        <f aca="false">IF($Q711&gt;0,$O711*$I711/$Q711/1000000,"")</f>
        <v>258.574047924171</v>
      </c>
      <c r="AF711" s="49" t="n">
        <f aca="false">IF($R711&gt;0,$P711*$I711/$R711/1000000,"")</f>
        <v>130.253252661654</v>
      </c>
      <c r="AG711" s="50" t="n">
        <f aca="false">IF(AND(ISNUMBER($AE711),ISNUMBER($AF711),$AF711&gt;0),$AE711/$AF711,"")</f>
        <v>1.9851638453578</v>
      </c>
      <c r="AH711" s="48" t="n">
        <f aca="false">IF($U711&gt;=5,SUM(INDEX($AD$681:$AD711,32-5):$AD711),"")</f>
        <v>-22984179376</v>
      </c>
      <c r="AI711" s="48" t="n">
        <f aca="false">IF($U711&gt;=STRUCT_S,MAX(INDEX($G$561:$G711,152-STRUCT_S):$G711),"")</f>
        <v>4870</v>
      </c>
      <c r="AJ711" s="48" t="n">
        <f aca="false">IF($U711&gt;=STRUCT_S,MIN(INDEX($H$561:$H711,152-STRUCT_S):$H711),"")</f>
        <v>3936</v>
      </c>
      <c r="AK711" s="48" t="n">
        <f aca="false">IF($U711&gt;=STRUCT_L,MAX(INDEX($G$461:$G711,252-STRUCT_L):$G711),"")</f>
        <v>4893</v>
      </c>
      <c r="AL711" s="48" t="n">
        <f aca="false">IF($U711&gt;=STRUCT_L,MIN(INDEX($H$461:$H711,252-STRUCT_L):$H711),"")</f>
        <v>3921</v>
      </c>
      <c r="AM711" s="46" t="n">
        <f aca="false">IF($A711&lt;&gt;$A712,1,0)</f>
        <v>0</v>
      </c>
      <c r="AN711" s="47" t="str">
        <f aca="false">IF($AM711=1,$A711,"")</f>
        <v/>
      </c>
    </row>
    <row r="712" customFormat="false" ht="15" hidden="false" customHeight="false" outlineLevel="0" collapsed="false">
      <c r="A712" s="43" t="s">
        <v>142</v>
      </c>
      <c r="B712" s="44" t="s">
        <v>144</v>
      </c>
      <c r="C712" s="45" t="n">
        <v>46167</v>
      </c>
      <c r="D712" s="46" t="n">
        <v>20260525</v>
      </c>
      <c r="E712" s="47" t="s">
        <v>475</v>
      </c>
      <c r="F712" s="48" t="n">
        <v>3998</v>
      </c>
      <c r="G712" s="48" t="n">
        <v>4066</v>
      </c>
      <c r="H712" s="48" t="n">
        <v>3932</v>
      </c>
      <c r="I712" s="48" t="n">
        <v>3992</v>
      </c>
      <c r="J712" s="48" t="n">
        <v>3942</v>
      </c>
      <c r="K712" s="48" t="n">
        <v>4006</v>
      </c>
      <c r="L712" s="48" t="n">
        <v>51076501</v>
      </c>
      <c r="M712" s="48" t="n">
        <v>203897391992</v>
      </c>
      <c r="N712" s="48" t="n">
        <v>1144</v>
      </c>
      <c r="O712" s="48" t="n">
        <v>26264479</v>
      </c>
      <c r="P712" s="48" t="n">
        <v>22524404</v>
      </c>
      <c r="Q712" s="48" t="n">
        <v>492</v>
      </c>
      <c r="R712" s="48" t="n">
        <v>410</v>
      </c>
      <c r="S712" s="48" t="n">
        <v>24812022</v>
      </c>
      <c r="T712" s="48" t="n">
        <v>28552097</v>
      </c>
      <c r="U712" s="46" t="n">
        <f aca="false">IF($A712=$A711,$U711+1,1)</f>
        <v>188</v>
      </c>
      <c r="V712" s="48" t="n">
        <f aca="false">IF($U712&gt;=MA_SHORT,AVERAGE(INDEX($I$312:$I712,402-MA_SHORT):$I712),"")</f>
        <v>4291.4</v>
      </c>
      <c r="W712" s="48" t="n">
        <f aca="false">IF($U712&gt;=MA_MED,AVERAGE(INDEX($I$312:$I712,402-MA_MED):$I712),"")</f>
        <v>4443.38</v>
      </c>
      <c r="X712" s="48" t="n">
        <f aca="false">IF($U712&gt;=MA_LONG1,AVERAGE(INDEX($I$312:$I712,402-MA_LONG1):$I712),"")</f>
        <v>4265.49</v>
      </c>
      <c r="Y712" s="48" t="str">
        <f aca="false">IF($U712&gt;=MA_LONG2,AVERAGE(INDEX($I$312:$I712,402-MA_LONG2):$I712),"")</f>
        <v/>
      </c>
      <c r="Z712" s="48" t="n">
        <f aca="false">IF($U712&gt;=MA_SHORT,AVERAGE(INDEX($L$592:$L712,122-MA_SHORT):$L712),"")</f>
        <v>62335489.75</v>
      </c>
      <c r="AA712" s="48" t="n">
        <f aca="false">IF($U712=1,$G712-$H712,MAX($G712-$H712,ABS($G712-$I711),ABS($H712-$I711)))</f>
        <v>134</v>
      </c>
      <c r="AB712" s="48" t="n">
        <f aca="false">IF($U712&gt;=ATR_PER,AVERAGE(INDEX($AA$592:$AA712,122-ATR_PER):$AA712),"")</f>
        <v>177.571428571429</v>
      </c>
      <c r="AC712" s="48" t="n">
        <f aca="false">$O712-$P712</f>
        <v>3740075</v>
      </c>
      <c r="AD712" s="48" t="n">
        <f aca="false">$AC712*$I712</f>
        <v>14930379400</v>
      </c>
      <c r="AE712" s="49" t="n">
        <f aca="false">IF($Q712&gt;0,$O712*$I712/$Q712/1000000,"")</f>
        <v>213.105284894309</v>
      </c>
      <c r="AF712" s="49" t="n">
        <f aca="false">IF($R712&gt;0,$P712*$I712/$R712/1000000,"")</f>
        <v>219.310782360976</v>
      </c>
      <c r="AG712" s="50" t="n">
        <f aca="false">IF(AND(ISNUMBER($AE712),ISNUMBER($AF712),$AF712&gt;0),$AE712/$AF712,"")</f>
        <v>0.971704549134056</v>
      </c>
      <c r="AH712" s="48" t="n">
        <f aca="false">IF($U712&gt;=5,SUM(INDEX($AD$682:$AD712,32-5):$AD712),"")</f>
        <v>-48364524576</v>
      </c>
      <c r="AI712" s="48" t="n">
        <f aca="false">IF($U712&gt;=STRUCT_S,MAX(INDEX($G$562:$G712,152-STRUCT_S):$G712),"")</f>
        <v>4870</v>
      </c>
      <c r="AJ712" s="48" t="n">
        <f aca="false">IF($U712&gt;=STRUCT_S,MIN(INDEX($H$562:$H712,152-STRUCT_S):$H712),"")</f>
        <v>3932</v>
      </c>
      <c r="AK712" s="48" t="n">
        <f aca="false">IF($U712&gt;=STRUCT_L,MAX(INDEX($G$462:$G712,252-STRUCT_L):$G712),"")</f>
        <v>4893</v>
      </c>
      <c r="AL712" s="48" t="n">
        <f aca="false">IF($U712&gt;=STRUCT_L,MIN(INDEX($H$462:$H712,252-STRUCT_L):$H712),"")</f>
        <v>3921</v>
      </c>
      <c r="AM712" s="46" t="n">
        <f aca="false">IF($A712&lt;&gt;$A713,1,0)</f>
        <v>0</v>
      </c>
      <c r="AN712" s="47" t="str">
        <f aca="false">IF($AM712=1,$A712,"")</f>
        <v/>
      </c>
    </row>
    <row r="713" customFormat="false" ht="15" hidden="false" customHeight="false" outlineLevel="0" collapsed="false">
      <c r="A713" s="43" t="s">
        <v>142</v>
      </c>
      <c r="B713" s="44" t="s">
        <v>144</v>
      </c>
      <c r="C713" s="45" t="n">
        <v>46168</v>
      </c>
      <c r="D713" s="46" t="n">
        <v>20260526</v>
      </c>
      <c r="E713" s="47" t="s">
        <v>476</v>
      </c>
      <c r="F713" s="48" t="n">
        <v>4107</v>
      </c>
      <c r="G713" s="48" t="n">
        <v>4122</v>
      </c>
      <c r="H713" s="48" t="n">
        <v>3949</v>
      </c>
      <c r="I713" s="48" t="n">
        <v>4078</v>
      </c>
      <c r="J713" s="48" t="n">
        <v>4099</v>
      </c>
      <c r="K713" s="48" t="n">
        <v>3992</v>
      </c>
      <c r="L713" s="48" t="n">
        <v>56493977</v>
      </c>
      <c r="M713" s="48" t="n">
        <v>230382438206</v>
      </c>
      <c r="N713" s="48" t="n">
        <v>2373</v>
      </c>
      <c r="O713" s="48" t="n">
        <v>32703925</v>
      </c>
      <c r="P713" s="48" t="n">
        <v>23056693</v>
      </c>
      <c r="Q713" s="48" t="n">
        <v>794</v>
      </c>
      <c r="R713" s="48" t="n">
        <v>1312</v>
      </c>
      <c r="S713" s="48" t="n">
        <v>23790052</v>
      </c>
      <c r="T713" s="48" t="n">
        <v>33437284</v>
      </c>
      <c r="U713" s="46" t="n">
        <f aca="false">IF($A713=$A712,$U712+1,1)</f>
        <v>189</v>
      </c>
      <c r="V713" s="48" t="n">
        <f aca="false">IF($U713&gt;=MA_SHORT,AVERAGE(INDEX($I$313:$I713,402-MA_SHORT):$I713),"")</f>
        <v>4256.45</v>
      </c>
      <c r="W713" s="48" t="n">
        <f aca="false">IF($U713&gt;=MA_MED,AVERAGE(INDEX($I$313:$I713,402-MA_MED):$I713),"")</f>
        <v>4436.62</v>
      </c>
      <c r="X713" s="48" t="n">
        <f aca="false">IF($U713&gt;=MA_LONG1,AVERAGE(INDEX($I$313:$I713,402-MA_LONG1):$I713),"")</f>
        <v>4267.43</v>
      </c>
      <c r="Y713" s="48" t="str">
        <f aca="false">IF($U713&gt;=MA_LONG2,AVERAGE(INDEX($I$313:$I713,402-MA_LONG2):$I713),"")</f>
        <v/>
      </c>
      <c r="Z713" s="48" t="n">
        <f aca="false">IF($U713&gt;=MA_SHORT,AVERAGE(INDEX($L$593:$L713,122-MA_SHORT):$L713),"")</f>
        <v>62399940.65</v>
      </c>
      <c r="AA713" s="48" t="n">
        <f aca="false">IF($U713=1,$G713-$H713,MAX($G713-$H713,ABS($G713-$I712),ABS($H713-$I712)))</f>
        <v>173</v>
      </c>
      <c r="AB713" s="48" t="n">
        <f aca="false">IF($U713&gt;=ATR_PER,AVERAGE(INDEX($AA$593:$AA713,122-ATR_PER):$AA713),"")</f>
        <v>170.428571428571</v>
      </c>
      <c r="AC713" s="48" t="n">
        <f aca="false">$O713-$P713</f>
        <v>9647232</v>
      </c>
      <c r="AD713" s="48" t="n">
        <f aca="false">$AC713*$I713</f>
        <v>39341412096</v>
      </c>
      <c r="AE713" s="49" t="n">
        <f aca="false">IF($Q713&gt;0,$O713*$I713/$Q713/1000000,"")</f>
        <v>167.968017821159</v>
      </c>
      <c r="AF713" s="49" t="n">
        <f aca="false">IF($R713&gt;0,$P713*$I713/$R713/1000000,"")</f>
        <v>71.6655442484756</v>
      </c>
      <c r="AG713" s="50" t="n">
        <f aca="false">IF(AND(ISNUMBER($AE713),ISNUMBER($AF713),$AF713&gt;0),$AE713/$AF713,"")</f>
        <v>2.3437764909562</v>
      </c>
      <c r="AH713" s="48" t="n">
        <f aca="false">IF($U713&gt;=5,SUM(INDEX($AD$683:$AD713,32-5):$AD713),"")</f>
        <v>-10089536604</v>
      </c>
      <c r="AI713" s="48" t="n">
        <f aca="false">IF($U713&gt;=STRUCT_S,MAX(INDEX($G$563:$G713,152-STRUCT_S):$G713),"")</f>
        <v>4870</v>
      </c>
      <c r="AJ713" s="48" t="n">
        <f aca="false">IF($U713&gt;=STRUCT_S,MIN(INDEX($H$563:$H713,152-STRUCT_S):$H713),"")</f>
        <v>3932</v>
      </c>
      <c r="AK713" s="48" t="n">
        <f aca="false">IF($U713&gt;=STRUCT_L,MAX(INDEX($G$463:$G713,252-STRUCT_L):$G713),"")</f>
        <v>4893</v>
      </c>
      <c r="AL713" s="48" t="n">
        <f aca="false">IF($U713&gt;=STRUCT_L,MIN(INDEX($H$463:$H713,252-STRUCT_L):$H713),"")</f>
        <v>3921</v>
      </c>
      <c r="AM713" s="46" t="n">
        <f aca="false">IF($A713&lt;&gt;$A714,1,0)</f>
        <v>0</v>
      </c>
      <c r="AN713" s="47" t="str">
        <f aca="false">IF($AM713=1,$A713,"")</f>
        <v/>
      </c>
    </row>
    <row r="714" customFormat="false" ht="15" hidden="false" customHeight="false" outlineLevel="0" collapsed="false">
      <c r="A714" s="43" t="s">
        <v>142</v>
      </c>
      <c r="B714" s="44" t="s">
        <v>144</v>
      </c>
      <c r="C714" s="45" t="n">
        <v>46169</v>
      </c>
      <c r="D714" s="46" t="n">
        <v>20260527</v>
      </c>
      <c r="E714" s="47" t="s">
        <v>477</v>
      </c>
      <c r="F714" s="48" t="n">
        <v>4043</v>
      </c>
      <c r="G714" s="48" t="n">
        <v>4126</v>
      </c>
      <c r="H714" s="48" t="n">
        <v>3986</v>
      </c>
      <c r="I714" s="48" t="n">
        <v>4034</v>
      </c>
      <c r="J714" s="48" t="n">
        <v>4005</v>
      </c>
      <c r="K714" s="48" t="n">
        <v>4078</v>
      </c>
      <c r="L714" s="48" t="n">
        <v>53266158</v>
      </c>
      <c r="M714" s="48" t="n">
        <v>214875681372</v>
      </c>
      <c r="N714" s="48" t="n">
        <v>2032</v>
      </c>
      <c r="O714" s="48" t="n">
        <v>27462414</v>
      </c>
      <c r="P714" s="48" t="n">
        <v>24817236</v>
      </c>
      <c r="Q714" s="48" t="n">
        <v>979</v>
      </c>
      <c r="R714" s="48" t="n">
        <v>873</v>
      </c>
      <c r="S714" s="48" t="n">
        <v>25803744</v>
      </c>
      <c r="T714" s="48" t="n">
        <v>28448922</v>
      </c>
      <c r="U714" s="46" t="n">
        <f aca="false">IF($A714=$A713,$U713+1,1)</f>
        <v>190</v>
      </c>
      <c r="V714" s="48" t="n">
        <f aca="false">IF($U714&gt;=MA_SHORT,AVERAGE(INDEX($I$314:$I714,402-MA_SHORT):$I714),"")</f>
        <v>4217.9</v>
      </c>
      <c r="W714" s="48" t="n">
        <f aca="false">IF($U714&gt;=MA_MED,AVERAGE(INDEX($I$314:$I714,402-MA_MED):$I714),"")</f>
        <v>4428.42</v>
      </c>
      <c r="X714" s="48" t="n">
        <f aca="false">IF($U714&gt;=MA_LONG1,AVERAGE(INDEX($I$314:$I714,402-MA_LONG1):$I714),"")</f>
        <v>4268.1</v>
      </c>
      <c r="Y714" s="48" t="str">
        <f aca="false">IF($U714&gt;=MA_LONG2,AVERAGE(INDEX($I$314:$I714,402-MA_LONG2):$I714),"")</f>
        <v/>
      </c>
      <c r="Z714" s="48" t="n">
        <f aca="false">IF($U714&gt;=MA_SHORT,AVERAGE(INDEX($L$594:$L714,122-MA_SHORT):$L714),"")</f>
        <v>62473904.1</v>
      </c>
      <c r="AA714" s="48" t="n">
        <f aca="false">IF($U714=1,$G714-$H714,MAX($G714-$H714,ABS($G714-$I713),ABS($H714-$I713)))</f>
        <v>140</v>
      </c>
      <c r="AB714" s="48" t="n">
        <f aca="false">IF($U714&gt;=ATR_PER,AVERAGE(INDEX($AA$594:$AA714,122-ATR_PER):$AA714),"")</f>
        <v>167.928571428571</v>
      </c>
      <c r="AC714" s="48" t="n">
        <f aca="false">$O714-$P714</f>
        <v>2645178</v>
      </c>
      <c r="AD714" s="48" t="n">
        <f aca="false">$AC714*$I714</f>
        <v>10670648052</v>
      </c>
      <c r="AE714" s="49" t="n">
        <f aca="false">IF($Q714&gt;0,$O714*$I714/$Q714/1000000,"")</f>
        <v>113.15973245761</v>
      </c>
      <c r="AF714" s="49" t="n">
        <f aca="false">IF($R714&gt;0,$P714*$I714/$R714/1000000,"")</f>
        <v>114.676666694158</v>
      </c>
      <c r="AG714" s="50" t="n">
        <f aca="false">IF(AND(ISNUMBER($AE714),ISNUMBER($AF714),$AF714&gt;0),$AE714/$AF714,"")</f>
        <v>0.986772075956882</v>
      </c>
      <c r="AH714" s="48" t="n">
        <f aca="false">IF($U714&gt;=5,SUM(INDEX($AD$684:$AD714,32-5):$AD714),"")</f>
        <v>70499960176</v>
      </c>
      <c r="AI714" s="48" t="n">
        <f aca="false">IF($U714&gt;=STRUCT_S,MAX(INDEX($G$564:$G714,152-STRUCT_S):$G714),"")</f>
        <v>4847</v>
      </c>
      <c r="AJ714" s="48" t="n">
        <f aca="false">IF($U714&gt;=STRUCT_S,MIN(INDEX($H$564:$H714,152-STRUCT_S):$H714),"")</f>
        <v>3932</v>
      </c>
      <c r="AK714" s="48" t="n">
        <f aca="false">IF($U714&gt;=STRUCT_L,MAX(INDEX($G$464:$G714,252-STRUCT_L):$G714),"")</f>
        <v>4893</v>
      </c>
      <c r="AL714" s="48" t="n">
        <f aca="false">IF($U714&gt;=STRUCT_L,MIN(INDEX($H$464:$H714,252-STRUCT_L):$H714),"")</f>
        <v>3921</v>
      </c>
      <c r="AM714" s="46" t="n">
        <f aca="false">IF($A714&lt;&gt;$A715,1,0)</f>
        <v>0</v>
      </c>
      <c r="AN714" s="47" t="str">
        <f aca="false">IF($AM714=1,$A714,"")</f>
        <v/>
      </c>
    </row>
    <row r="715" customFormat="false" ht="15" hidden="false" customHeight="false" outlineLevel="0" collapsed="false">
      <c r="A715" s="43" t="s">
        <v>142</v>
      </c>
      <c r="B715" s="44" t="s">
        <v>144</v>
      </c>
      <c r="C715" s="45" t="n">
        <v>46172</v>
      </c>
      <c r="D715" s="46" t="n">
        <v>20260530</v>
      </c>
      <c r="E715" s="47" t="s">
        <v>478</v>
      </c>
      <c r="F715" s="48" t="n">
        <v>4048</v>
      </c>
      <c r="G715" s="48" t="n">
        <v>4160</v>
      </c>
      <c r="H715" s="48" t="n">
        <v>3978</v>
      </c>
      <c r="I715" s="48" t="n">
        <v>4103</v>
      </c>
      <c r="J715" s="48" t="n">
        <v>4088</v>
      </c>
      <c r="K715" s="48" t="n">
        <v>4034</v>
      </c>
      <c r="L715" s="48" t="n">
        <v>72063636</v>
      </c>
      <c r="M715" s="48" t="n">
        <v>295677098508</v>
      </c>
      <c r="N715" s="48" t="n">
        <v>1643</v>
      </c>
      <c r="O715" s="48" t="n">
        <v>40936130</v>
      </c>
      <c r="P715" s="48" t="n">
        <v>28102015</v>
      </c>
      <c r="Q715" s="48" t="n">
        <v>475</v>
      </c>
      <c r="R715" s="48" t="n">
        <v>688</v>
      </c>
      <c r="S715" s="48" t="n">
        <v>31127506</v>
      </c>
      <c r="T715" s="48" t="n">
        <v>43961621</v>
      </c>
      <c r="U715" s="46" t="n">
        <f aca="false">IF($A715=$A714,$U714+1,1)</f>
        <v>191</v>
      </c>
      <c r="V715" s="48" t="n">
        <f aca="false">IF($U715&gt;=MA_SHORT,AVERAGE(INDEX($I$315:$I715,402-MA_SHORT):$I715),"")</f>
        <v>4188</v>
      </c>
      <c r="W715" s="48" t="n">
        <f aca="false">IF($U715&gt;=MA_MED,AVERAGE(INDEX($I$315:$I715,402-MA_MED):$I715),"")</f>
        <v>4423</v>
      </c>
      <c r="X715" s="48" t="n">
        <f aca="false">IF($U715&gt;=MA_LONG1,AVERAGE(INDEX($I$315:$I715,402-MA_LONG1):$I715),"")</f>
        <v>4270.28</v>
      </c>
      <c r="Y715" s="48" t="str">
        <f aca="false">IF($U715&gt;=MA_LONG2,AVERAGE(INDEX($I$315:$I715,402-MA_LONG2):$I715),"")</f>
        <v/>
      </c>
      <c r="Z715" s="48" t="n">
        <f aca="false">IF($U715&gt;=MA_SHORT,AVERAGE(INDEX($L$595:$L715,122-MA_SHORT):$L715),"")</f>
        <v>63250870.7</v>
      </c>
      <c r="AA715" s="48" t="n">
        <f aca="false">IF($U715=1,$G715-$H715,MAX($G715-$H715,ABS($G715-$I714),ABS($H715-$I714)))</f>
        <v>182</v>
      </c>
      <c r="AB715" s="48" t="n">
        <f aca="false">IF($U715&gt;=ATR_PER,AVERAGE(INDEX($AA$595:$AA715,122-ATR_PER):$AA715),"")</f>
        <v>157.5</v>
      </c>
      <c r="AC715" s="48" t="n">
        <f aca="false">$O715-$P715</f>
        <v>12834115</v>
      </c>
      <c r="AD715" s="48" t="n">
        <f aca="false">$AC715*$I715</f>
        <v>52658373845</v>
      </c>
      <c r="AE715" s="49" t="n">
        <f aca="false">IF($Q715&gt;0,$O715*$I715/$Q715/1000000,"")</f>
        <v>353.601981873684</v>
      </c>
      <c r="AF715" s="49" t="n">
        <f aca="false">IF($R715&gt;0,$P715*$I715/$R715/1000000,"")</f>
        <v>167.590941199128</v>
      </c>
      <c r="AG715" s="50" t="n">
        <f aca="false">IF(AND(ISNUMBER($AE715),ISNUMBER($AF715),$AF715&gt;0),$AE715/$AF715,"")</f>
        <v>2.10991106884197</v>
      </c>
      <c r="AH715" s="48" t="n">
        <f aca="false">IF($U715&gt;=5,SUM(INDEX($AD$685:$AD715,32-5):$AD715),"")</f>
        <v>140100648597</v>
      </c>
      <c r="AI715" s="48" t="n">
        <f aca="false">IF($U715&gt;=STRUCT_S,MAX(INDEX($G$565:$G715,152-STRUCT_S):$G715),"")</f>
        <v>4783</v>
      </c>
      <c r="AJ715" s="48" t="n">
        <f aca="false">IF($U715&gt;=STRUCT_S,MIN(INDEX($H$565:$H715,152-STRUCT_S):$H715),"")</f>
        <v>3932</v>
      </c>
      <c r="AK715" s="48" t="n">
        <f aca="false">IF($U715&gt;=STRUCT_L,MAX(INDEX($G$465:$G715,252-STRUCT_L):$G715),"")</f>
        <v>4893</v>
      </c>
      <c r="AL715" s="48" t="n">
        <f aca="false">IF($U715&gt;=STRUCT_L,MIN(INDEX($H$465:$H715,252-STRUCT_L):$H715),"")</f>
        <v>3932</v>
      </c>
      <c r="AM715" s="46" t="n">
        <f aca="false">IF($A715&lt;&gt;$A716,1,0)</f>
        <v>0</v>
      </c>
      <c r="AN715" s="47" t="str">
        <f aca="false">IF($AM715=1,$A715,"")</f>
        <v/>
      </c>
    </row>
    <row r="716" customFormat="false" ht="15" hidden="false" customHeight="false" outlineLevel="0" collapsed="false">
      <c r="A716" s="43" t="s">
        <v>142</v>
      </c>
      <c r="B716" s="44" t="s">
        <v>144</v>
      </c>
      <c r="C716" s="45" t="n">
        <v>46173</v>
      </c>
      <c r="D716" s="46" t="n">
        <v>20260531</v>
      </c>
      <c r="E716" s="47" t="s">
        <v>479</v>
      </c>
      <c r="F716" s="48" t="n">
        <v>4106</v>
      </c>
      <c r="G716" s="48" t="n">
        <v>4153</v>
      </c>
      <c r="H716" s="48" t="n">
        <v>4087</v>
      </c>
      <c r="I716" s="48" t="n">
        <v>4137</v>
      </c>
      <c r="J716" s="48" t="n">
        <v>4090</v>
      </c>
      <c r="K716" s="48" t="n">
        <v>4103</v>
      </c>
      <c r="L716" s="48" t="n">
        <v>66350208</v>
      </c>
      <c r="M716" s="48" t="n">
        <v>274490810496</v>
      </c>
      <c r="N716" s="48" t="n">
        <v>2923</v>
      </c>
      <c r="O716" s="48" t="n">
        <v>34997722</v>
      </c>
      <c r="P716" s="48" t="n">
        <v>33846061</v>
      </c>
      <c r="Q716" s="48" t="n">
        <v>1282</v>
      </c>
      <c r="R716" s="48" t="n">
        <v>1097</v>
      </c>
      <c r="S716" s="48" t="n">
        <v>31352486</v>
      </c>
      <c r="T716" s="48" t="n">
        <v>32504147</v>
      </c>
      <c r="U716" s="46" t="n">
        <f aca="false">IF($A716=$A715,$U715+1,1)</f>
        <v>192</v>
      </c>
      <c r="V716" s="48" t="n">
        <f aca="false">IF($U716&gt;=MA_SHORT,AVERAGE(INDEX($I$316:$I716,402-MA_SHORT):$I716),"")</f>
        <v>4166.5</v>
      </c>
      <c r="W716" s="48" t="n">
        <f aca="false">IF($U716&gt;=MA_MED,AVERAGE(INDEX($I$316:$I716,402-MA_MED):$I716),"")</f>
        <v>4418.58</v>
      </c>
      <c r="X716" s="48" t="n">
        <f aca="false">IF($U716&gt;=MA_LONG1,AVERAGE(INDEX($I$316:$I716,402-MA_LONG1):$I716),"")</f>
        <v>4272.39</v>
      </c>
      <c r="Y716" s="48" t="str">
        <f aca="false">IF($U716&gt;=MA_LONG2,AVERAGE(INDEX($I$316:$I716,402-MA_LONG2):$I716),"")</f>
        <v/>
      </c>
      <c r="Z716" s="48" t="n">
        <f aca="false">IF($U716&gt;=MA_SHORT,AVERAGE(INDEX($L$596:$L716,122-MA_SHORT):$L716),"")</f>
        <v>63639202.55</v>
      </c>
      <c r="AA716" s="48" t="n">
        <f aca="false">IF($U716=1,$G716-$H716,MAX($G716-$H716,ABS($G716-$I715),ABS($H716-$I715)))</f>
        <v>66</v>
      </c>
      <c r="AB716" s="48" t="n">
        <f aca="false">IF($U716&gt;=ATR_PER,AVERAGE(INDEX($AA$596:$AA716,122-ATR_PER):$AA716),"")</f>
        <v>144.571428571429</v>
      </c>
      <c r="AC716" s="48" t="n">
        <f aca="false">$O716-$P716</f>
        <v>1151661</v>
      </c>
      <c r="AD716" s="48" t="n">
        <f aca="false">$AC716*$I716</f>
        <v>4764421557</v>
      </c>
      <c r="AE716" s="49" t="n">
        <f aca="false">IF($Q716&gt;0,$O716*$I716/$Q716/1000000,"")</f>
        <v>112.937266703588</v>
      </c>
      <c r="AF716" s="49" t="n">
        <f aca="false">IF($R716&gt;0,$P716*$I716/$R716/1000000,"")</f>
        <v>127.640067782133</v>
      </c>
      <c r="AG716" s="50" t="n">
        <f aca="false">IF(AND(ISNUMBER($AE716),ISNUMBER($AF716),$AF716&gt;0),$AE716/$AF716,"")</f>
        <v>0.884810456982513</v>
      </c>
      <c r="AH716" s="48" t="n">
        <f aca="false">IF($U716&gt;=5,SUM(INDEX($AD$686:$AD716,32-5):$AD716),"")</f>
        <v>122365234950</v>
      </c>
      <c r="AI716" s="48" t="n">
        <f aca="false">IF($U716&gt;=STRUCT_S,MAX(INDEX($G$566:$G716,152-STRUCT_S):$G716),"")</f>
        <v>4725</v>
      </c>
      <c r="AJ716" s="48" t="n">
        <f aca="false">IF($U716&gt;=STRUCT_S,MIN(INDEX($H$566:$H716,152-STRUCT_S):$H716),"")</f>
        <v>3932</v>
      </c>
      <c r="AK716" s="48" t="n">
        <f aca="false">IF($U716&gt;=STRUCT_L,MAX(INDEX($G$466:$G716,252-STRUCT_L):$G716),"")</f>
        <v>4893</v>
      </c>
      <c r="AL716" s="48" t="n">
        <f aca="false">IF($U716&gt;=STRUCT_L,MIN(INDEX($H$466:$H716,252-STRUCT_L):$H716),"")</f>
        <v>3932</v>
      </c>
      <c r="AM716" s="46" t="n">
        <f aca="false">IF($A716&lt;&gt;$A717,1,0)</f>
        <v>0</v>
      </c>
      <c r="AN716" s="47" t="str">
        <f aca="false">IF($AM716=1,$A716,"")</f>
        <v/>
      </c>
    </row>
    <row r="717" customFormat="false" ht="15" hidden="false" customHeight="false" outlineLevel="0" collapsed="false">
      <c r="A717" s="43" t="s">
        <v>142</v>
      </c>
      <c r="B717" s="44" t="s">
        <v>144</v>
      </c>
      <c r="C717" s="45" t="n">
        <v>46174</v>
      </c>
      <c r="D717" s="46" t="n">
        <v>20260601</v>
      </c>
      <c r="E717" s="47" t="s">
        <v>480</v>
      </c>
      <c r="F717" s="48" t="n">
        <v>4179</v>
      </c>
      <c r="G717" s="48" t="n">
        <v>4230</v>
      </c>
      <c r="H717" s="48" t="n">
        <v>4053</v>
      </c>
      <c r="I717" s="48" t="n">
        <v>4146</v>
      </c>
      <c r="J717" s="48" t="n">
        <v>4097</v>
      </c>
      <c r="K717" s="48" t="n">
        <v>4137</v>
      </c>
      <c r="L717" s="48" t="n">
        <v>50680502</v>
      </c>
      <c r="M717" s="48" t="n">
        <v>210121361292</v>
      </c>
      <c r="N717" s="48" t="n">
        <v>3531</v>
      </c>
      <c r="O717" s="48" t="n">
        <v>31397575</v>
      </c>
      <c r="P717" s="48" t="n">
        <v>18576146</v>
      </c>
      <c r="Q717" s="48" t="n">
        <v>1694</v>
      </c>
      <c r="R717" s="48" t="n">
        <v>1884</v>
      </c>
      <c r="S717" s="48" t="n">
        <v>19282927</v>
      </c>
      <c r="T717" s="48" t="n">
        <v>32104356</v>
      </c>
      <c r="U717" s="46" t="n">
        <f aca="false">IF($A717=$A716,$U716+1,1)</f>
        <v>193</v>
      </c>
      <c r="V717" s="48" t="n">
        <f aca="false">IF($U717&gt;=MA_SHORT,AVERAGE(INDEX($I$317:$I717,402-MA_SHORT):$I717),"")</f>
        <v>4144.75</v>
      </c>
      <c r="W717" s="48" t="n">
        <f aca="false">IF($U717&gt;=MA_MED,AVERAGE(INDEX($I$317:$I717,402-MA_MED):$I717),"")</f>
        <v>4416.48</v>
      </c>
      <c r="X717" s="48" t="n">
        <f aca="false">IF($U717&gt;=MA_LONG1,AVERAGE(INDEX($I$317:$I717,402-MA_LONG1):$I717),"")</f>
        <v>4274.54</v>
      </c>
      <c r="Y717" s="48" t="str">
        <f aca="false">IF($U717&gt;=MA_LONG2,AVERAGE(INDEX($I$317:$I717,402-MA_LONG2):$I717),"")</f>
        <v/>
      </c>
      <c r="Z717" s="48" t="n">
        <f aca="false">IF($U717&gt;=MA_SHORT,AVERAGE(INDEX($L$597:$L717,122-MA_SHORT):$L717),"")</f>
        <v>63625845.5</v>
      </c>
      <c r="AA717" s="48" t="n">
        <f aca="false">IF($U717=1,$G717-$H717,MAX($G717-$H717,ABS($G717-$I716),ABS($H717-$I716)))</f>
        <v>177</v>
      </c>
      <c r="AB717" s="48" t="n">
        <f aca="false">IF($U717&gt;=ATR_PER,AVERAGE(INDEX($AA$597:$AA717,122-ATR_PER):$AA717),"")</f>
        <v>149.785714285714</v>
      </c>
      <c r="AC717" s="48" t="n">
        <f aca="false">$O717-$P717</f>
        <v>12821429</v>
      </c>
      <c r="AD717" s="48" t="n">
        <f aca="false">$AC717*$I717</f>
        <v>53157644634</v>
      </c>
      <c r="AE717" s="49" t="n">
        <f aca="false">IF($Q717&gt;0,$O717*$I717/$Q717/1000000,"")</f>
        <v>76.8443600649351</v>
      </c>
      <c r="AF717" s="49" t="n">
        <f aca="false">IF($R717&gt;0,$P717*$I717/$R717/1000000,"")</f>
        <v>40.8793531401274</v>
      </c>
      <c r="AG717" s="50" t="n">
        <f aca="false">IF(AND(ISNUMBER($AE717),ISNUMBER($AF717),$AF717&gt;0),$AE717/$AF717,"")</f>
        <v>1.87978414926297</v>
      </c>
      <c r="AH717" s="48" t="n">
        <f aca="false">IF($U717&gt;=5,SUM(INDEX($AD$687:$AD717,32-5):$AD717),"")</f>
        <v>160592500184</v>
      </c>
      <c r="AI717" s="48" t="n">
        <f aca="false">IF($U717&gt;=STRUCT_S,MAX(INDEX($G$567:$G717,152-STRUCT_S):$G717),"")</f>
        <v>4622</v>
      </c>
      <c r="AJ717" s="48" t="n">
        <f aca="false">IF($U717&gt;=STRUCT_S,MIN(INDEX($H$567:$H717,152-STRUCT_S):$H717),"")</f>
        <v>3932</v>
      </c>
      <c r="AK717" s="48" t="n">
        <f aca="false">IF($U717&gt;=STRUCT_L,MAX(INDEX($G$467:$G717,252-STRUCT_L):$G717),"")</f>
        <v>4893</v>
      </c>
      <c r="AL717" s="48" t="n">
        <f aca="false">IF($U717&gt;=STRUCT_L,MIN(INDEX($H$467:$H717,252-STRUCT_L):$H717),"")</f>
        <v>3932</v>
      </c>
      <c r="AM717" s="46" t="n">
        <f aca="false">IF($A717&lt;&gt;$A718,1,0)</f>
        <v>0</v>
      </c>
      <c r="AN717" s="47" t="str">
        <f aca="false">IF($AM717=1,$A717,"")</f>
        <v/>
      </c>
    </row>
    <row r="718" customFormat="false" ht="15" hidden="false" customHeight="false" outlineLevel="0" collapsed="false">
      <c r="A718" s="43" t="s">
        <v>142</v>
      </c>
      <c r="B718" s="44" t="s">
        <v>144</v>
      </c>
      <c r="C718" s="45" t="n">
        <v>46175</v>
      </c>
      <c r="D718" s="46" t="n">
        <v>20260602</v>
      </c>
      <c r="E718" s="47" t="s">
        <v>481</v>
      </c>
      <c r="F718" s="48" t="n">
        <v>4159</v>
      </c>
      <c r="G718" s="48" t="n">
        <v>4166</v>
      </c>
      <c r="H718" s="48" t="n">
        <v>4096</v>
      </c>
      <c r="I718" s="48" t="n">
        <v>4115</v>
      </c>
      <c r="J718" s="48" t="n">
        <v>4132</v>
      </c>
      <c r="K718" s="48" t="n">
        <v>4146</v>
      </c>
      <c r="L718" s="48" t="n">
        <v>52271856</v>
      </c>
      <c r="M718" s="48" t="n">
        <v>215098687440</v>
      </c>
      <c r="N718" s="48" t="n">
        <v>5205</v>
      </c>
      <c r="O718" s="48" t="n">
        <v>28993289</v>
      </c>
      <c r="P718" s="48" t="n">
        <v>21102503</v>
      </c>
      <c r="Q718" s="48" t="n">
        <v>2190</v>
      </c>
      <c r="R718" s="48" t="n">
        <v>1852</v>
      </c>
      <c r="S718" s="48" t="n">
        <v>23278567</v>
      </c>
      <c r="T718" s="48" t="n">
        <v>31169353</v>
      </c>
      <c r="U718" s="46" t="n">
        <f aca="false">IF($A718=$A717,$U717+1,1)</f>
        <v>194</v>
      </c>
      <c r="V718" s="48" t="n">
        <f aca="false">IF($U718&gt;=MA_SHORT,AVERAGE(INDEX($I$318:$I718,402-MA_SHORT):$I718),"")</f>
        <v>4131.75</v>
      </c>
      <c r="W718" s="48" t="n">
        <f aca="false">IF($U718&gt;=MA_MED,AVERAGE(INDEX($I$318:$I718,402-MA_MED):$I718),"")</f>
        <v>4411.44</v>
      </c>
      <c r="X718" s="48" t="n">
        <f aca="false">IF($U718&gt;=MA_LONG1,AVERAGE(INDEX($I$318:$I718,402-MA_LONG1):$I718),"")</f>
        <v>4277.17</v>
      </c>
      <c r="Y718" s="48" t="str">
        <f aca="false">IF($U718&gt;=MA_LONG2,AVERAGE(INDEX($I$318:$I718,402-MA_LONG2):$I718),"")</f>
        <v/>
      </c>
      <c r="Z718" s="48" t="n">
        <f aca="false">IF($U718&gt;=MA_SHORT,AVERAGE(INDEX($L$598:$L718,122-MA_SHORT):$L718),"")</f>
        <v>63063167.3</v>
      </c>
      <c r="AA718" s="48" t="n">
        <f aca="false">IF($U718=1,$G718-$H718,MAX($G718-$H718,ABS($G718-$I717),ABS($H718-$I717)))</f>
        <v>70</v>
      </c>
      <c r="AB718" s="48" t="n">
        <f aca="false">IF($U718&gt;=ATR_PER,AVERAGE(INDEX($AA$598:$AA718,122-ATR_PER):$AA718),"")</f>
        <v>146</v>
      </c>
      <c r="AC718" s="48" t="n">
        <f aca="false">$O718-$P718</f>
        <v>7890786</v>
      </c>
      <c r="AD718" s="48" t="n">
        <f aca="false">$AC718*$I718</f>
        <v>32470584390</v>
      </c>
      <c r="AE718" s="49" t="n">
        <f aca="false">IF($Q718&gt;0,$O718*$I718/$Q718/1000000,"")</f>
        <v>54.4782576415525</v>
      </c>
      <c r="AF718" s="49" t="n">
        <f aca="false">IF($R718&gt;0,$P718*$I718/$R718/1000000,"")</f>
        <v>46.8881208666307</v>
      </c>
      <c r="AG718" s="50" t="n">
        <f aca="false">IF(AND(ISNUMBER($AE718),ISNUMBER($AF718),$AF718&gt;0),$AE718/$AF718,"")</f>
        <v>1.16187760640934</v>
      </c>
      <c r="AH718" s="48" t="n">
        <f aca="false">IF($U718&gt;=5,SUM(INDEX($AD$688:$AD718,32-5):$AD718),"")</f>
        <v>153721672478</v>
      </c>
      <c r="AI718" s="48" t="n">
        <f aca="false">IF($U718&gt;=STRUCT_S,MAX(INDEX($G$568:$G718,152-STRUCT_S):$G718),"")</f>
        <v>4437</v>
      </c>
      <c r="AJ718" s="48" t="n">
        <f aca="false">IF($U718&gt;=STRUCT_S,MIN(INDEX($H$568:$H718,152-STRUCT_S):$H718),"")</f>
        <v>3932</v>
      </c>
      <c r="AK718" s="48" t="n">
        <f aca="false">IF($U718&gt;=STRUCT_L,MAX(INDEX($G$468:$G718,252-STRUCT_L):$G718),"")</f>
        <v>4893</v>
      </c>
      <c r="AL718" s="48" t="n">
        <f aca="false">IF($U718&gt;=STRUCT_L,MIN(INDEX($H$468:$H718,252-STRUCT_L):$H718),"")</f>
        <v>3932</v>
      </c>
      <c r="AM718" s="46" t="n">
        <f aca="false">IF($A718&lt;&gt;$A719,1,0)</f>
        <v>0</v>
      </c>
      <c r="AN718" s="47" t="str">
        <f aca="false">IF($AM718=1,$A718,"")</f>
        <v/>
      </c>
    </row>
    <row r="719" customFormat="false" ht="15" hidden="false" customHeight="false" outlineLevel="0" collapsed="false">
      <c r="A719" s="43" t="s">
        <v>142</v>
      </c>
      <c r="B719" s="44" t="s">
        <v>144</v>
      </c>
      <c r="C719" s="45" t="n">
        <v>46176</v>
      </c>
      <c r="D719" s="46" t="n">
        <v>20260603</v>
      </c>
      <c r="E719" s="47" t="s">
        <v>482</v>
      </c>
      <c r="F719" s="48" t="n">
        <v>4070</v>
      </c>
      <c r="G719" s="48" t="n">
        <v>4193</v>
      </c>
      <c r="H719" s="48" t="n">
        <v>3962</v>
      </c>
      <c r="I719" s="48" t="n">
        <v>4038</v>
      </c>
      <c r="J719" s="48" t="n">
        <v>3971</v>
      </c>
      <c r="K719" s="48" t="n">
        <v>4115</v>
      </c>
      <c r="L719" s="48" t="n">
        <v>65515838</v>
      </c>
      <c r="M719" s="48" t="n">
        <v>264552953844</v>
      </c>
      <c r="N719" s="48" t="n">
        <v>1523</v>
      </c>
      <c r="O719" s="48" t="n">
        <v>27755524</v>
      </c>
      <c r="P719" s="48" t="n">
        <v>40953065</v>
      </c>
      <c r="Q719" s="48" t="n">
        <v>856</v>
      </c>
      <c r="R719" s="48" t="n">
        <v>535</v>
      </c>
      <c r="S719" s="48" t="n">
        <v>37760314</v>
      </c>
      <c r="T719" s="48" t="n">
        <v>24562773</v>
      </c>
      <c r="U719" s="46" t="n">
        <f aca="false">IF($A719=$A718,$U718+1,1)</f>
        <v>195</v>
      </c>
      <c r="V719" s="48" t="n">
        <f aca="false">IF($U719&gt;=MA_SHORT,AVERAGE(INDEX($I$319:$I719,402-MA_SHORT):$I719),"")</f>
        <v>4122.45</v>
      </c>
      <c r="W719" s="48" t="n">
        <f aca="false">IF($U719&gt;=MA_MED,AVERAGE(INDEX($I$319:$I719,402-MA_MED):$I719),"")</f>
        <v>4403.54</v>
      </c>
      <c r="X719" s="48" t="n">
        <f aca="false">IF($U719&gt;=MA_LONG1,AVERAGE(INDEX($I$319:$I719,402-MA_LONG1):$I719),"")</f>
        <v>4278.81</v>
      </c>
      <c r="Y719" s="48" t="str">
        <f aca="false">IF($U719&gt;=MA_LONG2,AVERAGE(INDEX($I$319:$I719,402-MA_LONG2):$I719),"")</f>
        <v/>
      </c>
      <c r="Z719" s="48" t="n">
        <f aca="false">IF($U719&gt;=MA_SHORT,AVERAGE(INDEX($L$599:$L719,122-MA_SHORT):$L719),"")</f>
        <v>63319585.35</v>
      </c>
      <c r="AA719" s="48" t="n">
        <f aca="false">IF($U719=1,$G719-$H719,MAX($G719-$H719,ABS($G719-$I718),ABS($H719-$I718)))</f>
        <v>231</v>
      </c>
      <c r="AB719" s="48" t="n">
        <f aca="false">IF($U719&gt;=ATR_PER,AVERAGE(INDEX($AA$599:$AA719,122-ATR_PER):$AA719),"")</f>
        <v>151</v>
      </c>
      <c r="AC719" s="48" t="n">
        <f aca="false">$O719-$P719</f>
        <v>-13197541</v>
      </c>
      <c r="AD719" s="48" t="n">
        <f aca="false">$AC719*$I719</f>
        <v>-53291670558</v>
      </c>
      <c r="AE719" s="49" t="n">
        <f aca="false">IF($Q719&gt;0,$O719*$I719/$Q719/1000000,"")</f>
        <v>130.930848028037</v>
      </c>
      <c r="AF719" s="49" t="n">
        <f aca="false">IF($R719&gt;0,$P719*$I719/$R719/1000000,"")</f>
        <v>309.099956018692</v>
      </c>
      <c r="AG719" s="50" t="n">
        <f aca="false">IF(AND(ISNUMBER($AE719),ISNUMBER($AF719),$AF719&gt;0),$AE719/$AF719,"")</f>
        <v>0.423587404263881</v>
      </c>
      <c r="AH719" s="48" t="n">
        <f aca="false">IF($U719&gt;=5,SUM(INDEX($AD$689:$AD719,32-5):$AD719),"")</f>
        <v>89759353868</v>
      </c>
      <c r="AI719" s="48" t="n">
        <f aca="false">IF($U719&gt;=STRUCT_S,MAX(INDEX($G$569:$G719,152-STRUCT_S):$G719),"")</f>
        <v>4394</v>
      </c>
      <c r="AJ719" s="48" t="n">
        <f aca="false">IF($U719&gt;=STRUCT_S,MIN(INDEX($H$569:$H719,152-STRUCT_S):$H719),"")</f>
        <v>3932</v>
      </c>
      <c r="AK719" s="48" t="n">
        <f aca="false">IF($U719&gt;=STRUCT_L,MAX(INDEX($G$469:$G719,252-STRUCT_L):$G719),"")</f>
        <v>4893</v>
      </c>
      <c r="AL719" s="48" t="n">
        <f aca="false">IF($U719&gt;=STRUCT_L,MIN(INDEX($H$469:$H719,252-STRUCT_L):$H719),"")</f>
        <v>3932</v>
      </c>
      <c r="AM719" s="46" t="n">
        <f aca="false">IF($A719&lt;&gt;$A720,1,0)</f>
        <v>0</v>
      </c>
      <c r="AN719" s="47" t="str">
        <f aca="false">IF($AM719=1,$A719,"")</f>
        <v/>
      </c>
    </row>
    <row r="720" customFormat="false" ht="15" hidden="false" customHeight="false" outlineLevel="0" collapsed="false">
      <c r="A720" s="43" t="s">
        <v>142</v>
      </c>
      <c r="B720" s="44" t="s">
        <v>144</v>
      </c>
      <c r="C720" s="45" t="n">
        <v>46179</v>
      </c>
      <c r="D720" s="46" t="n">
        <v>20260606</v>
      </c>
      <c r="E720" s="47" t="s">
        <v>483</v>
      </c>
      <c r="F720" s="48" t="n">
        <v>3939</v>
      </c>
      <c r="G720" s="48" t="n">
        <v>4094</v>
      </c>
      <c r="H720" s="48" t="n">
        <v>3936</v>
      </c>
      <c r="I720" s="48" t="n">
        <v>3992</v>
      </c>
      <c r="J720" s="48" t="n">
        <v>4045</v>
      </c>
      <c r="K720" s="48" t="n">
        <v>4038</v>
      </c>
      <c r="L720" s="48" t="n">
        <v>80737584</v>
      </c>
      <c r="M720" s="48" t="n">
        <v>322304435328</v>
      </c>
      <c r="N720" s="48" t="n">
        <v>2914</v>
      </c>
      <c r="O720" s="48" t="n">
        <v>36802145</v>
      </c>
      <c r="P720" s="48" t="n">
        <v>41758911</v>
      </c>
      <c r="Q720" s="48" t="n">
        <v>1736</v>
      </c>
      <c r="R720" s="48" t="n">
        <v>1212</v>
      </c>
      <c r="S720" s="48" t="n">
        <v>43935439</v>
      </c>
      <c r="T720" s="48" t="n">
        <v>38978673</v>
      </c>
      <c r="U720" s="46" t="n">
        <f aca="false">IF($A720=$A719,$U719+1,1)</f>
        <v>196</v>
      </c>
      <c r="V720" s="48" t="n">
        <f aca="false">IF($U720&gt;=MA_SHORT,AVERAGE(INDEX($I$320:$I720,402-MA_SHORT):$I720),"")</f>
        <v>4107.15</v>
      </c>
      <c r="W720" s="48" t="n">
        <f aca="false">IF($U720&gt;=MA_MED,AVERAGE(INDEX($I$320:$I720,402-MA_MED):$I720),"")</f>
        <v>4395.5</v>
      </c>
      <c r="X720" s="48" t="n">
        <f aca="false">IF($U720&gt;=MA_LONG1,AVERAGE(INDEX($I$320:$I720,402-MA_LONG1):$I720),"")</f>
        <v>4278.29</v>
      </c>
      <c r="Y720" s="48" t="str">
        <f aca="false">IF($U720&gt;=MA_LONG2,AVERAGE(INDEX($I$320:$I720,402-MA_LONG2):$I720),"")</f>
        <v/>
      </c>
      <c r="Z720" s="48" t="n">
        <f aca="false">IF($U720&gt;=MA_SHORT,AVERAGE(INDEX($L$600:$L720,122-MA_SHORT):$L720),"")</f>
        <v>64592161.1</v>
      </c>
      <c r="AA720" s="48" t="n">
        <f aca="false">IF($U720=1,$G720-$H720,MAX($G720-$H720,ABS($G720-$I719),ABS($H720-$I719)))</f>
        <v>158</v>
      </c>
      <c r="AB720" s="48" t="n">
        <f aca="false">IF($U720&gt;=ATR_PER,AVERAGE(INDEX($AA$600:$AA720,122-ATR_PER):$AA720),"")</f>
        <v>154.642857142857</v>
      </c>
      <c r="AC720" s="48" t="n">
        <f aca="false">$O720-$P720</f>
        <v>-4956766</v>
      </c>
      <c r="AD720" s="48" t="n">
        <f aca="false">$AC720*$I720</f>
        <v>-19787409872</v>
      </c>
      <c r="AE720" s="49" t="n">
        <f aca="false">IF($Q720&gt;0,$O720*$I720/$Q720/1000000,"")</f>
        <v>84.6279739861751</v>
      </c>
      <c r="AF720" s="49" t="n">
        <f aca="false">IF($R720&gt;0,$P720*$I720/$R720/1000000,"")</f>
        <v>137.542551742574</v>
      </c>
      <c r="AG720" s="50" t="n">
        <f aca="false">IF(AND(ISNUMBER($AE720),ISNUMBER($AF720),$AF720&gt;0),$AE720/$AF720,"")</f>
        <v>0.615285763670908</v>
      </c>
      <c r="AH720" s="48" t="n">
        <f aca="false">IF($U720&gt;=5,SUM(INDEX($AD$690:$AD720,32-5):$AD720),"")</f>
        <v>17313570151</v>
      </c>
      <c r="AI720" s="48" t="n">
        <f aca="false">IF($U720&gt;=STRUCT_S,MAX(INDEX($G$570:$G720,152-STRUCT_S):$G720),"")</f>
        <v>4394</v>
      </c>
      <c r="AJ720" s="48" t="n">
        <f aca="false">IF($U720&gt;=STRUCT_S,MIN(INDEX($H$570:$H720,152-STRUCT_S):$H720),"")</f>
        <v>3932</v>
      </c>
      <c r="AK720" s="48" t="n">
        <f aca="false">IF($U720&gt;=STRUCT_L,MAX(INDEX($G$470:$G720,252-STRUCT_L):$G720),"")</f>
        <v>4893</v>
      </c>
      <c r="AL720" s="48" t="n">
        <f aca="false">IF($U720&gt;=STRUCT_L,MIN(INDEX($H$470:$H720,252-STRUCT_L):$H720),"")</f>
        <v>3932</v>
      </c>
      <c r="AM720" s="46" t="n">
        <f aca="false">IF($A720&lt;&gt;$A721,1,0)</f>
        <v>0</v>
      </c>
      <c r="AN720" s="47" t="str">
        <f aca="false">IF($AM720=1,$A720,"")</f>
        <v/>
      </c>
    </row>
    <row r="721" customFormat="false" ht="15" hidden="false" customHeight="false" outlineLevel="0" collapsed="false">
      <c r="A721" s="43" t="s">
        <v>142</v>
      </c>
      <c r="B721" s="44" t="s">
        <v>144</v>
      </c>
      <c r="C721" s="45" t="n">
        <v>46180</v>
      </c>
      <c r="D721" s="46" t="n">
        <v>20260607</v>
      </c>
      <c r="E721" s="47" t="s">
        <v>484</v>
      </c>
      <c r="F721" s="48" t="n">
        <v>4104</v>
      </c>
      <c r="G721" s="48" t="n">
        <v>4169</v>
      </c>
      <c r="H721" s="48" t="n">
        <v>3950</v>
      </c>
      <c r="I721" s="48" t="n">
        <v>4126</v>
      </c>
      <c r="J721" s="48" t="n">
        <v>3982</v>
      </c>
      <c r="K721" s="48" t="n">
        <v>3992</v>
      </c>
      <c r="L721" s="48" t="n">
        <v>60228629</v>
      </c>
      <c r="M721" s="48" t="n">
        <v>248503323254</v>
      </c>
      <c r="N721" s="48" t="n">
        <v>1685</v>
      </c>
      <c r="O721" s="48" t="n">
        <v>39861445</v>
      </c>
      <c r="P721" s="48" t="n">
        <v>19218239</v>
      </c>
      <c r="Q721" s="48" t="n">
        <v>733</v>
      </c>
      <c r="R721" s="48" t="n">
        <v>954</v>
      </c>
      <c r="S721" s="48" t="n">
        <v>20367184</v>
      </c>
      <c r="T721" s="48" t="n">
        <v>41010390</v>
      </c>
      <c r="U721" s="46" t="n">
        <f aca="false">IF($A721=$A720,$U720+1,1)</f>
        <v>197</v>
      </c>
      <c r="V721" s="48" t="n">
        <f aca="false">IF($U721&gt;=MA_SHORT,AVERAGE(INDEX($I$321:$I721,402-MA_SHORT):$I721),"")</f>
        <v>4105.5</v>
      </c>
      <c r="W721" s="48" t="n">
        <f aca="false">IF($U721&gt;=MA_MED,AVERAGE(INDEX($I$321:$I721,402-MA_MED):$I721),"")</f>
        <v>4391.36</v>
      </c>
      <c r="X721" s="48" t="n">
        <f aca="false">IF($U721&gt;=MA_LONG1,AVERAGE(INDEX($I$321:$I721,402-MA_LONG1):$I721),"")</f>
        <v>4278.65</v>
      </c>
      <c r="Y721" s="48" t="str">
        <f aca="false">IF($U721&gt;=MA_LONG2,AVERAGE(INDEX($I$321:$I721,402-MA_LONG2):$I721),"")</f>
        <v/>
      </c>
      <c r="Z721" s="48" t="n">
        <f aca="false">IF($U721&gt;=MA_SHORT,AVERAGE(INDEX($L$601:$L721,122-MA_SHORT):$L721),"")</f>
        <v>63802099.9</v>
      </c>
      <c r="AA721" s="48" t="n">
        <f aca="false">IF($U721=1,$G721-$H721,MAX($G721-$H721,ABS($G721-$I720),ABS($H721-$I720)))</f>
        <v>219</v>
      </c>
      <c r="AB721" s="48" t="n">
        <f aca="false">IF($U721&gt;=ATR_PER,AVERAGE(INDEX($AA$601:$AA721,122-ATR_PER):$AA721),"")</f>
        <v>157</v>
      </c>
      <c r="AC721" s="48" t="n">
        <f aca="false">$O721-$P721</f>
        <v>20643206</v>
      </c>
      <c r="AD721" s="48" t="n">
        <f aca="false">$AC721*$I721</f>
        <v>85173867956</v>
      </c>
      <c r="AE721" s="49" t="n">
        <f aca="false">IF($Q721&gt;0,$O721*$I721/$Q721/1000000,"")</f>
        <v>224.376974174625</v>
      </c>
      <c r="AF721" s="49" t="n">
        <f aca="false">IF($R721&gt;0,$P721*$I721/$R721/1000000,"")</f>
        <v>83.1178764297694</v>
      </c>
      <c r="AG721" s="50" t="n">
        <f aca="false">IF(AND(ISNUMBER($AE721),ISNUMBER($AF721),$AF721&gt;0),$AE721/$AF721,"")</f>
        <v>2.69950320932721</v>
      </c>
      <c r="AH721" s="48" t="n">
        <f aca="false">IF($U721&gt;=5,SUM(INDEX($AD$691:$AD721,32-5):$AD721),"")</f>
        <v>97723016550</v>
      </c>
      <c r="AI721" s="48" t="n">
        <f aca="false">IF($U721&gt;=STRUCT_S,MAX(INDEX($G$571:$G721,152-STRUCT_S):$G721),"")</f>
        <v>4323</v>
      </c>
      <c r="AJ721" s="48" t="n">
        <f aca="false">IF($U721&gt;=STRUCT_S,MIN(INDEX($H$571:$H721,152-STRUCT_S):$H721),"")</f>
        <v>3932</v>
      </c>
      <c r="AK721" s="48" t="n">
        <f aca="false">IF($U721&gt;=STRUCT_L,MAX(INDEX($G$471:$G721,252-STRUCT_L):$G721),"")</f>
        <v>4893</v>
      </c>
      <c r="AL721" s="48" t="n">
        <f aca="false">IF($U721&gt;=STRUCT_L,MIN(INDEX($H$471:$H721,252-STRUCT_L):$H721),"")</f>
        <v>3932</v>
      </c>
      <c r="AM721" s="46" t="n">
        <f aca="false">IF($A721&lt;&gt;$A722,1,0)</f>
        <v>0</v>
      </c>
      <c r="AN721" s="47" t="str">
        <f aca="false">IF($AM721=1,$A721,"")</f>
        <v/>
      </c>
    </row>
    <row r="722" customFormat="false" ht="15" hidden="false" customHeight="false" outlineLevel="0" collapsed="false">
      <c r="A722" s="43" t="s">
        <v>142</v>
      </c>
      <c r="B722" s="44" t="s">
        <v>144</v>
      </c>
      <c r="C722" s="45" t="n">
        <v>46181</v>
      </c>
      <c r="D722" s="46" t="n">
        <v>20260608</v>
      </c>
      <c r="E722" s="47" t="s">
        <v>485</v>
      </c>
      <c r="F722" s="48" t="n">
        <v>4152</v>
      </c>
      <c r="G722" s="48" t="n">
        <v>4235</v>
      </c>
      <c r="H722" s="48" t="n">
        <v>4094</v>
      </c>
      <c r="I722" s="48" t="n">
        <v>4202</v>
      </c>
      <c r="J722" s="48" t="n">
        <v>4211</v>
      </c>
      <c r="K722" s="48" t="n">
        <v>4126</v>
      </c>
      <c r="L722" s="48" t="n">
        <v>55556469</v>
      </c>
      <c r="M722" s="48" t="n">
        <v>233448282738</v>
      </c>
      <c r="N722" s="48" t="n">
        <v>1605</v>
      </c>
      <c r="O722" s="48" t="n">
        <v>30338871</v>
      </c>
      <c r="P722" s="48" t="n">
        <v>21485626</v>
      </c>
      <c r="Q722" s="48" t="n">
        <v>610</v>
      </c>
      <c r="R722" s="48" t="n">
        <v>569</v>
      </c>
      <c r="S722" s="48" t="n">
        <v>25217598</v>
      </c>
      <c r="T722" s="48" t="n">
        <v>34070843</v>
      </c>
      <c r="U722" s="46" t="n">
        <f aca="false">IF($A722=$A721,$U721+1,1)</f>
        <v>198</v>
      </c>
      <c r="V722" s="48" t="n">
        <f aca="false">IF($U722&gt;=MA_SHORT,AVERAGE(INDEX($I$322:$I722,402-MA_SHORT):$I722),"")</f>
        <v>4103.7</v>
      </c>
      <c r="W722" s="48" t="n">
        <f aca="false">IF($U722&gt;=MA_MED,AVERAGE(INDEX($I$322:$I722,402-MA_MED):$I722),"")</f>
        <v>4390.1</v>
      </c>
      <c r="X722" s="48" t="n">
        <f aca="false">IF($U722&gt;=MA_LONG1,AVERAGE(INDEX($I$322:$I722,402-MA_LONG1):$I722),"")</f>
        <v>4278.62</v>
      </c>
      <c r="Y722" s="48" t="str">
        <f aca="false">IF($U722&gt;=MA_LONG2,AVERAGE(INDEX($I$322:$I722,402-MA_LONG2):$I722),"")</f>
        <v/>
      </c>
      <c r="Z722" s="48" t="n">
        <f aca="false">IF($U722&gt;=MA_SHORT,AVERAGE(INDEX($L$602:$L722,122-MA_SHORT):$L722),"")</f>
        <v>63793467.55</v>
      </c>
      <c r="AA722" s="48" t="n">
        <f aca="false">IF($U722=1,$G722-$H722,MAX($G722-$H722,ABS($G722-$I721),ABS($H722-$I721)))</f>
        <v>141</v>
      </c>
      <c r="AB722" s="48" t="n">
        <f aca="false">IF($U722&gt;=ATR_PER,AVERAGE(INDEX($AA$602:$AA722,122-ATR_PER):$AA722),"")</f>
        <v>156.5</v>
      </c>
      <c r="AC722" s="48" t="n">
        <f aca="false">$O722-$P722</f>
        <v>8853245</v>
      </c>
      <c r="AD722" s="48" t="n">
        <f aca="false">$AC722*$I722</f>
        <v>37201335490</v>
      </c>
      <c r="AE722" s="49" t="n">
        <f aca="false">IF($Q722&gt;0,$O722*$I722/$Q722/1000000,"")</f>
        <v>208.990058921311</v>
      </c>
      <c r="AF722" s="49" t="n">
        <f aca="false">IF($R722&gt;0,$P722*$I722/$R722/1000000,"")</f>
        <v>158.668893588752</v>
      </c>
      <c r="AG722" s="50" t="n">
        <f aca="false">IF(AND(ISNUMBER($AE722),ISNUMBER($AF722),$AF722&gt;0),$AE722/$AF722,"")</f>
        <v>1.31714575046439</v>
      </c>
      <c r="AH722" s="48" t="n">
        <f aca="false">IF($U722&gt;=5,SUM(INDEX($AD$692:$AD722,32-5):$AD722),"")</f>
        <v>81766707406</v>
      </c>
      <c r="AI722" s="48" t="n">
        <f aca="false">IF($U722&gt;=STRUCT_S,MAX(INDEX($G$572:$G722,152-STRUCT_S):$G722),"")</f>
        <v>4278</v>
      </c>
      <c r="AJ722" s="48" t="n">
        <f aca="false">IF($U722&gt;=STRUCT_S,MIN(INDEX($H$572:$H722,152-STRUCT_S):$H722),"")</f>
        <v>3932</v>
      </c>
      <c r="AK722" s="48" t="n">
        <f aca="false">IF($U722&gt;=STRUCT_L,MAX(INDEX($G$472:$G722,252-STRUCT_L):$G722),"")</f>
        <v>4893</v>
      </c>
      <c r="AL722" s="48" t="n">
        <f aca="false">IF($U722&gt;=STRUCT_L,MIN(INDEX($H$472:$H722,252-STRUCT_L):$H722),"")</f>
        <v>3932</v>
      </c>
      <c r="AM722" s="46" t="n">
        <f aca="false">IF($A722&lt;&gt;$A723,1,0)</f>
        <v>0</v>
      </c>
      <c r="AN722" s="47" t="str">
        <f aca="false">IF($AM722=1,$A722,"")</f>
        <v/>
      </c>
    </row>
    <row r="723" customFormat="false" ht="15" hidden="false" customHeight="false" outlineLevel="0" collapsed="false">
      <c r="A723" s="43" t="s">
        <v>142</v>
      </c>
      <c r="B723" s="44" t="s">
        <v>144</v>
      </c>
      <c r="C723" s="45" t="n">
        <v>46182</v>
      </c>
      <c r="D723" s="46" t="n">
        <v>20260609</v>
      </c>
      <c r="E723" s="47" t="s">
        <v>486</v>
      </c>
      <c r="F723" s="48" t="n">
        <v>4105</v>
      </c>
      <c r="G723" s="48" t="n">
        <v>4292</v>
      </c>
      <c r="H723" s="48" t="n">
        <v>4096</v>
      </c>
      <c r="I723" s="48" t="n">
        <v>4185</v>
      </c>
      <c r="J723" s="48" t="n">
        <v>4191</v>
      </c>
      <c r="K723" s="48" t="n">
        <v>4202</v>
      </c>
      <c r="L723" s="48" t="n">
        <v>51241872</v>
      </c>
      <c r="M723" s="48" t="n">
        <v>214447234320</v>
      </c>
      <c r="N723" s="48" t="n">
        <v>1274</v>
      </c>
      <c r="O723" s="48" t="n">
        <v>23693967</v>
      </c>
      <c r="P723" s="48" t="n">
        <v>27647162</v>
      </c>
      <c r="Q723" s="48" t="n">
        <v>468</v>
      </c>
      <c r="R723" s="48" t="n">
        <v>448</v>
      </c>
      <c r="S723" s="48" t="n">
        <v>27547905</v>
      </c>
      <c r="T723" s="48" t="n">
        <v>23594710</v>
      </c>
      <c r="U723" s="46" t="n">
        <f aca="false">IF($A723=$A722,$U722+1,1)</f>
        <v>199</v>
      </c>
      <c r="V723" s="48" t="n">
        <f aca="false">IF($U723&gt;=MA_SHORT,AVERAGE(INDEX($I$323:$I723,402-MA_SHORT):$I723),"")</f>
        <v>4102.3</v>
      </c>
      <c r="W723" s="48" t="n">
        <f aca="false">IF($U723&gt;=MA_MED,AVERAGE(INDEX($I$323:$I723,402-MA_MED):$I723),"")</f>
        <v>4387.74</v>
      </c>
      <c r="X723" s="48" t="n">
        <f aca="false">IF($U723&gt;=MA_LONG1,AVERAGE(INDEX($I$323:$I723,402-MA_LONG1):$I723),"")</f>
        <v>4278.8</v>
      </c>
      <c r="Y723" s="48" t="str">
        <f aca="false">IF($U723&gt;=MA_LONG2,AVERAGE(INDEX($I$323:$I723,402-MA_LONG2):$I723),"")</f>
        <v/>
      </c>
      <c r="Z723" s="48" t="n">
        <f aca="false">IF($U723&gt;=MA_SHORT,AVERAGE(INDEX($L$603:$L723,122-MA_SHORT):$L723),"")</f>
        <v>59286076.65</v>
      </c>
      <c r="AA723" s="48" t="n">
        <f aca="false">IF($U723=1,$G723-$H723,MAX($G723-$H723,ABS($G723-$I722),ABS($H723-$I722)))</f>
        <v>196</v>
      </c>
      <c r="AB723" s="48" t="n">
        <f aca="false">IF($U723&gt;=ATR_PER,AVERAGE(INDEX($AA$603:$AA723,122-ATR_PER):$AA723),"")</f>
        <v>149.714285714286</v>
      </c>
      <c r="AC723" s="48" t="n">
        <f aca="false">$O723-$P723</f>
        <v>-3953195</v>
      </c>
      <c r="AD723" s="48" t="n">
        <f aca="false">$AC723*$I723</f>
        <v>-16544121075</v>
      </c>
      <c r="AE723" s="49" t="n">
        <f aca="false">IF($Q723&gt;0,$O723*$I723/$Q723/1000000,"")</f>
        <v>211.878743365385</v>
      </c>
      <c r="AF723" s="49" t="n">
        <f aca="false">IF($R723&gt;0,$P723*$I723/$R723/1000000,"")</f>
        <v>258.266457522321</v>
      </c>
      <c r="AG723" s="50" t="n">
        <f aca="false">IF(AND(ISNUMBER($AE723),ISNUMBER($AF723),$AF723&gt;0),$AE723/$AF723,"")</f>
        <v>0.820388158021149</v>
      </c>
      <c r="AH723" s="48" t="n">
        <f aca="false">IF($U723&gt;=5,SUM(INDEX($AD$693:$AD723,32-5):$AD723),"")</f>
        <v>32752001941</v>
      </c>
      <c r="AI723" s="48" t="n">
        <f aca="false">IF($U723&gt;=STRUCT_S,MAX(INDEX($G$573:$G723,152-STRUCT_S):$G723),"")</f>
        <v>4292</v>
      </c>
      <c r="AJ723" s="48" t="n">
        <f aca="false">IF($U723&gt;=STRUCT_S,MIN(INDEX($H$573:$H723,152-STRUCT_S):$H723),"")</f>
        <v>3932</v>
      </c>
      <c r="AK723" s="48" t="n">
        <f aca="false">IF($U723&gt;=STRUCT_L,MAX(INDEX($G$473:$G723,252-STRUCT_L):$G723),"")</f>
        <v>4893</v>
      </c>
      <c r="AL723" s="48" t="n">
        <f aca="false">IF($U723&gt;=STRUCT_L,MIN(INDEX($H$473:$H723,252-STRUCT_L):$H723),"")</f>
        <v>3932</v>
      </c>
      <c r="AM723" s="46" t="n">
        <f aca="false">IF($A723&lt;&gt;$A724,1,0)</f>
        <v>0</v>
      </c>
      <c r="AN723" s="47" t="str">
        <f aca="false">IF($AM723=1,$A723,"")</f>
        <v/>
      </c>
    </row>
    <row r="724" customFormat="false" ht="15" hidden="false" customHeight="false" outlineLevel="0" collapsed="false">
      <c r="A724" s="43" t="s">
        <v>142</v>
      </c>
      <c r="B724" s="44" t="s">
        <v>144</v>
      </c>
      <c r="C724" s="45" t="n">
        <v>46183</v>
      </c>
      <c r="D724" s="46" t="n">
        <v>20260610</v>
      </c>
      <c r="E724" s="47" t="s">
        <v>487</v>
      </c>
      <c r="F724" s="48" t="n">
        <v>4120</v>
      </c>
      <c r="G724" s="48" t="n">
        <v>4198</v>
      </c>
      <c r="H724" s="48" t="n">
        <v>4082</v>
      </c>
      <c r="I724" s="48" t="n">
        <v>4095</v>
      </c>
      <c r="J724" s="48" t="n">
        <v>4153</v>
      </c>
      <c r="K724" s="48" t="n">
        <v>4185</v>
      </c>
      <c r="L724" s="48" t="n">
        <v>70856075</v>
      </c>
      <c r="M724" s="48" t="n">
        <v>290155627125</v>
      </c>
      <c r="N724" s="48" t="n">
        <v>1947</v>
      </c>
      <c r="O724" s="48" t="n">
        <v>29421527</v>
      </c>
      <c r="P724" s="48" t="n">
        <v>41348577</v>
      </c>
      <c r="Q724" s="48" t="n">
        <v>968</v>
      </c>
      <c r="R724" s="48" t="n">
        <v>881</v>
      </c>
      <c r="S724" s="48" t="n">
        <v>41434548</v>
      </c>
      <c r="T724" s="48" t="n">
        <v>29507498</v>
      </c>
      <c r="U724" s="46" t="n">
        <f aca="false">IF($A724=$A723,$U723+1,1)</f>
        <v>200</v>
      </c>
      <c r="V724" s="48" t="n">
        <f aca="false">IF($U724&gt;=MA_SHORT,AVERAGE(INDEX($I$324:$I724,402-MA_SHORT):$I724),"")</f>
        <v>4098.5</v>
      </c>
      <c r="W724" s="48" t="n">
        <f aca="false">IF($U724&gt;=MA_MED,AVERAGE(INDEX($I$324:$I724,402-MA_MED):$I724),"")</f>
        <v>4383.46</v>
      </c>
      <c r="X724" s="48" t="n">
        <f aca="false">IF($U724&gt;=MA_LONG1,AVERAGE(INDEX($I$324:$I724,402-MA_LONG1):$I724),"")</f>
        <v>4279.21</v>
      </c>
      <c r="Y724" s="48" t="n">
        <f aca="false">IF($U724&gt;=MA_LONG2,AVERAGE(INDEX($I$324:$I724,402-MA_LONG2):$I724),"")</f>
        <v>3909.71</v>
      </c>
      <c r="Z724" s="48" t="n">
        <f aca="false">IF($U724&gt;=MA_SHORT,AVERAGE(INDEX($L$604:$L724,122-MA_SHORT):$L724),"")</f>
        <v>59815848.35</v>
      </c>
      <c r="AA724" s="48" t="n">
        <f aca="false">IF($U724=1,$G724-$H724,MAX($G724-$H724,ABS($G724-$I723),ABS($H724-$I723)))</f>
        <v>116</v>
      </c>
      <c r="AB724" s="48" t="n">
        <f aca="false">IF($U724&gt;=ATR_PER,AVERAGE(INDEX($AA$604:$AA724,122-ATR_PER):$AA724),"")</f>
        <v>147.357142857143</v>
      </c>
      <c r="AC724" s="48" t="n">
        <f aca="false">$O724-$P724</f>
        <v>-11927050</v>
      </c>
      <c r="AD724" s="48" t="n">
        <f aca="false">$AC724*$I724</f>
        <v>-48841269750</v>
      </c>
      <c r="AE724" s="49" t="n">
        <f aca="false">IF($Q724&gt;0,$O724*$I724/$Q724/1000000,"")</f>
        <v>124.464001100207</v>
      </c>
      <c r="AF724" s="49" t="n">
        <f aca="false">IF($R724&gt;0,$P724*$I724/$R724/1000000,"")</f>
        <v>192.193442468785</v>
      </c>
      <c r="AG724" s="50" t="n">
        <f aca="false">IF(AND(ISNUMBER($AE724),ISNUMBER($AF724),$AF724&gt;0),$AE724/$AF724,"")</f>
        <v>0.647597542878816</v>
      </c>
      <c r="AH724" s="48" t="n">
        <f aca="false">IF($U724&gt;=5,SUM(INDEX($AD$694:$AD724,32-5):$AD724),"")</f>
        <v>37202402749</v>
      </c>
      <c r="AI724" s="48" t="n">
        <f aca="false">IF($U724&gt;=STRUCT_S,MAX(INDEX($G$574:$G724,152-STRUCT_S):$G724),"")</f>
        <v>4292</v>
      </c>
      <c r="AJ724" s="48" t="n">
        <f aca="false">IF($U724&gt;=STRUCT_S,MIN(INDEX($H$574:$H724,152-STRUCT_S):$H724),"")</f>
        <v>3932</v>
      </c>
      <c r="AK724" s="48" t="n">
        <f aca="false">IF($U724&gt;=STRUCT_L,MAX(INDEX($G$474:$G724,252-STRUCT_L):$G724),"")</f>
        <v>4893</v>
      </c>
      <c r="AL724" s="48" t="n">
        <f aca="false">IF($U724&gt;=STRUCT_L,MIN(INDEX($H$474:$H724,252-STRUCT_L):$H724),"")</f>
        <v>3932</v>
      </c>
      <c r="AM724" s="46" t="n">
        <f aca="false">IF($A724&lt;&gt;$A725,1,0)</f>
        <v>0</v>
      </c>
      <c r="AN724" s="47" t="str">
        <f aca="false">IF($AM724=1,$A724,"")</f>
        <v/>
      </c>
    </row>
    <row r="725" customFormat="false" ht="15" hidden="false" customHeight="false" outlineLevel="0" collapsed="false">
      <c r="A725" s="43" t="s">
        <v>142</v>
      </c>
      <c r="B725" s="44" t="s">
        <v>144</v>
      </c>
      <c r="C725" s="45" t="n">
        <v>46186</v>
      </c>
      <c r="D725" s="46" t="n">
        <v>20260613</v>
      </c>
      <c r="E725" s="47" t="s">
        <v>488</v>
      </c>
      <c r="F725" s="48" t="n">
        <v>3957</v>
      </c>
      <c r="G725" s="48" t="n">
        <v>4149</v>
      </c>
      <c r="H725" s="48" t="n">
        <v>3933</v>
      </c>
      <c r="I725" s="48" t="n">
        <v>3986</v>
      </c>
      <c r="J725" s="48" t="n">
        <v>4104</v>
      </c>
      <c r="K725" s="48" t="n">
        <v>4095</v>
      </c>
      <c r="L725" s="48" t="n">
        <v>58017236</v>
      </c>
      <c r="M725" s="48" t="n">
        <v>231256702696</v>
      </c>
      <c r="N725" s="48" t="n">
        <v>1579</v>
      </c>
      <c r="O725" s="48" t="n">
        <v>24327184</v>
      </c>
      <c r="P725" s="48" t="n">
        <v>37850784</v>
      </c>
      <c r="Q725" s="48" t="n">
        <v>769</v>
      </c>
      <c r="R725" s="48" t="n">
        <v>765</v>
      </c>
      <c r="S725" s="48" t="n">
        <v>33690052</v>
      </c>
      <c r="T725" s="48" t="n">
        <v>20166452</v>
      </c>
      <c r="U725" s="46" t="n">
        <f aca="false">IF($A725=$A724,$U724+1,1)</f>
        <v>201</v>
      </c>
      <c r="V725" s="48" t="n">
        <f aca="false">IF($U725&gt;=MA_SHORT,AVERAGE(INDEX($I$325:$I725,402-MA_SHORT):$I725),"")</f>
        <v>4087.25</v>
      </c>
      <c r="W725" s="48" t="n">
        <f aca="false">IF($U725&gt;=MA_MED,AVERAGE(INDEX($I$325:$I725,402-MA_MED):$I725),"")</f>
        <v>4375.04</v>
      </c>
      <c r="X725" s="48" t="n">
        <f aca="false">IF($U725&gt;=MA_LONG1,AVERAGE(INDEX($I$325:$I725,402-MA_LONG1):$I725),"")</f>
        <v>4277.21</v>
      </c>
      <c r="Y725" s="48" t="n">
        <f aca="false">IF($U725&gt;=MA_LONG2,AVERAGE(INDEX($I$325:$I725,402-MA_LONG2):$I725),"")</f>
        <v>3913.74</v>
      </c>
      <c r="Z725" s="48" t="n">
        <f aca="false">IF($U725&gt;=MA_SHORT,AVERAGE(INDEX($L$605:$L725,122-MA_SHORT):$L725),"")</f>
        <v>59971668.3</v>
      </c>
      <c r="AA725" s="48" t="n">
        <f aca="false">IF($U725=1,$G725-$H725,MAX($G725-$H725,ABS($G725-$I724),ABS($H725-$I724)))</f>
        <v>216</v>
      </c>
      <c r="AB725" s="48" t="n">
        <f aca="false">IF($U725&gt;=ATR_PER,AVERAGE(INDEX($AA$605:$AA725,122-ATR_PER):$AA725),"")</f>
        <v>158.5</v>
      </c>
      <c r="AC725" s="48" t="n">
        <f aca="false">$O725-$P725</f>
        <v>-13523600</v>
      </c>
      <c r="AD725" s="48" t="n">
        <f aca="false">$AC725*$I725</f>
        <v>-53905069600</v>
      </c>
      <c r="AE725" s="49" t="n">
        <f aca="false">IF($Q725&gt;0,$O725*$I725/$Q725/1000000,"")</f>
        <v>126.096430980494</v>
      </c>
      <c r="AF725" s="49" t="n">
        <f aca="false">IF($R725&gt;0,$P725*$I725/$R725/1000000,"")</f>
        <v>197.219901992157</v>
      </c>
      <c r="AG725" s="50" t="n">
        <f aca="false">IF(AND(ISNUMBER($AE725),ISNUMBER($AF725),$AF725&gt;0),$AE725/$AF725,"")</f>
        <v>0.639369707148059</v>
      </c>
      <c r="AH725" s="48" t="n">
        <f aca="false">IF($U725&gt;=5,SUM(INDEX($AD$695:$AD725,32-5):$AD725),"")</f>
        <v>3084743021</v>
      </c>
      <c r="AI725" s="48" t="n">
        <f aca="false">IF($U725&gt;=STRUCT_S,MAX(INDEX($G$575:$G725,152-STRUCT_S):$G725),"")</f>
        <v>4292</v>
      </c>
      <c r="AJ725" s="48" t="n">
        <f aca="false">IF($U725&gt;=STRUCT_S,MIN(INDEX($H$575:$H725,152-STRUCT_S):$H725),"")</f>
        <v>3932</v>
      </c>
      <c r="AK725" s="48" t="n">
        <f aca="false">IF($U725&gt;=STRUCT_L,MAX(INDEX($G$475:$G725,252-STRUCT_L):$G725),"")</f>
        <v>4893</v>
      </c>
      <c r="AL725" s="48" t="n">
        <f aca="false">IF($U725&gt;=STRUCT_L,MIN(INDEX($H$475:$H725,252-STRUCT_L):$H725),"")</f>
        <v>3932</v>
      </c>
      <c r="AM725" s="46" t="n">
        <f aca="false">IF($A725&lt;&gt;$A726,1,0)</f>
        <v>0</v>
      </c>
      <c r="AN725" s="47" t="str">
        <f aca="false">IF($AM725=1,$A725,"")</f>
        <v/>
      </c>
    </row>
    <row r="726" customFormat="false" ht="15" hidden="false" customHeight="false" outlineLevel="0" collapsed="false">
      <c r="A726" s="43" t="s">
        <v>142</v>
      </c>
      <c r="B726" s="44" t="s">
        <v>144</v>
      </c>
      <c r="C726" s="45" t="n">
        <v>46187</v>
      </c>
      <c r="D726" s="46" t="n">
        <v>20260614</v>
      </c>
      <c r="E726" s="47" t="s">
        <v>489</v>
      </c>
      <c r="F726" s="48" t="n">
        <v>4002</v>
      </c>
      <c r="G726" s="48" t="n">
        <v>4033</v>
      </c>
      <c r="H726" s="48" t="n">
        <v>3959</v>
      </c>
      <c r="I726" s="48" t="n">
        <v>4006</v>
      </c>
      <c r="J726" s="48" t="n">
        <v>3963</v>
      </c>
      <c r="K726" s="48" t="n">
        <v>3986</v>
      </c>
      <c r="L726" s="48" t="n">
        <v>52943163</v>
      </c>
      <c r="M726" s="48" t="n">
        <v>212090310978</v>
      </c>
      <c r="N726" s="48" t="n">
        <v>5754</v>
      </c>
      <c r="O726" s="48" t="n">
        <v>29934298</v>
      </c>
      <c r="P726" s="48" t="n">
        <v>25211562</v>
      </c>
      <c r="Q726" s="48" t="n">
        <v>2069</v>
      </c>
      <c r="R726" s="48" t="n">
        <v>2862</v>
      </c>
      <c r="S726" s="48" t="n">
        <v>23008865</v>
      </c>
      <c r="T726" s="48" t="n">
        <v>27731601</v>
      </c>
      <c r="U726" s="46" t="n">
        <f aca="false">IF($A726=$A725,$U725+1,1)</f>
        <v>202</v>
      </c>
      <c r="V726" s="48" t="n">
        <f aca="false">IF($U726&gt;=MA_SHORT,AVERAGE(INDEX($I$326:$I726,402-MA_SHORT):$I726),"")</f>
        <v>4081.25</v>
      </c>
      <c r="W726" s="48" t="n">
        <f aca="false">IF($U726&gt;=MA_MED,AVERAGE(INDEX($I$326:$I726,402-MA_MED):$I726),"")</f>
        <v>4364.06</v>
      </c>
      <c r="X726" s="48" t="n">
        <f aca="false">IF($U726&gt;=MA_LONG1,AVERAGE(INDEX($I$326:$I726,402-MA_LONG1):$I726),"")</f>
        <v>4275.45</v>
      </c>
      <c r="Y726" s="48" t="n">
        <f aca="false">IF($U726&gt;=MA_LONG2,AVERAGE(INDEX($I$326:$I726,402-MA_LONG2):$I726),"")</f>
        <v>3917.755</v>
      </c>
      <c r="Z726" s="48" t="n">
        <f aca="false">IF($U726&gt;=MA_SHORT,AVERAGE(INDEX($L$606:$L726,122-MA_SHORT):$L726),"")</f>
        <v>59814506.65</v>
      </c>
      <c r="AA726" s="48" t="n">
        <f aca="false">IF($U726=1,$G726-$H726,MAX($G726-$H726,ABS($G726-$I725),ABS($H726-$I725)))</f>
        <v>74</v>
      </c>
      <c r="AB726" s="48" t="n">
        <f aca="false">IF($U726&gt;=ATR_PER,AVERAGE(INDEX($AA$606:$AA726,122-ATR_PER):$AA726),"")</f>
        <v>154.214285714286</v>
      </c>
      <c r="AC726" s="48" t="n">
        <f aca="false">$O726-$P726</f>
        <v>4722736</v>
      </c>
      <c r="AD726" s="48" t="n">
        <f aca="false">$AC726*$I726</f>
        <v>18919280416</v>
      </c>
      <c r="AE726" s="49" t="n">
        <f aca="false">IF($Q726&gt;0,$O726*$I726/$Q726/1000000,"")</f>
        <v>57.9588196172064</v>
      </c>
      <c r="AF726" s="49" t="n">
        <f aca="false">IF($R726&gt;0,$P726*$I726/$R726/1000000,"")</f>
        <v>35.2891395429769</v>
      </c>
      <c r="AG726" s="50" t="n">
        <f aca="false">IF(AND(ISNUMBER($AE726),ISNUMBER($AF726),$AF726&gt;0),$AE726/$AF726,"")</f>
        <v>1.64239820998245</v>
      </c>
      <c r="AH726" s="48" t="n">
        <f aca="false">IF($U726&gt;=5,SUM(INDEX($AD$696:$AD726,32-5):$AD726),"")</f>
        <v>-63169844519</v>
      </c>
      <c r="AI726" s="48" t="n">
        <f aca="false">IF($U726&gt;=STRUCT_S,MAX(INDEX($G$576:$G726,152-STRUCT_S):$G726),"")</f>
        <v>4292</v>
      </c>
      <c r="AJ726" s="48" t="n">
        <f aca="false">IF($U726&gt;=STRUCT_S,MIN(INDEX($H$576:$H726,152-STRUCT_S):$H726),"")</f>
        <v>3932</v>
      </c>
      <c r="AK726" s="48" t="n">
        <f aca="false">IF($U726&gt;=STRUCT_L,MAX(INDEX($G$476:$G726,252-STRUCT_L):$G726),"")</f>
        <v>4893</v>
      </c>
      <c r="AL726" s="48" t="n">
        <f aca="false">IF($U726&gt;=STRUCT_L,MIN(INDEX($H$476:$H726,252-STRUCT_L):$H726),"")</f>
        <v>3932</v>
      </c>
      <c r="AM726" s="46" t="n">
        <f aca="false">IF($A726&lt;&gt;$A727,1,0)</f>
        <v>0</v>
      </c>
      <c r="AN726" s="47" t="str">
        <f aca="false">IF($AM726=1,$A726,"")</f>
        <v/>
      </c>
    </row>
    <row r="727" customFormat="false" ht="15" hidden="false" customHeight="false" outlineLevel="0" collapsed="false">
      <c r="A727" s="43" t="s">
        <v>142</v>
      </c>
      <c r="B727" s="44" t="s">
        <v>144</v>
      </c>
      <c r="C727" s="45" t="n">
        <v>46188</v>
      </c>
      <c r="D727" s="46" t="n">
        <v>20260615</v>
      </c>
      <c r="E727" s="47" t="s">
        <v>490</v>
      </c>
      <c r="F727" s="48" t="n">
        <v>4020</v>
      </c>
      <c r="G727" s="48" t="n">
        <v>4028</v>
      </c>
      <c r="H727" s="48" t="n">
        <v>3963</v>
      </c>
      <c r="I727" s="48" t="n">
        <v>3985</v>
      </c>
      <c r="J727" s="48" t="n">
        <v>3990</v>
      </c>
      <c r="K727" s="48" t="n">
        <v>4006</v>
      </c>
      <c r="L727" s="48" t="n">
        <v>55248516</v>
      </c>
      <c r="M727" s="48" t="n">
        <v>220165336260</v>
      </c>
      <c r="N727" s="48" t="n">
        <v>3524</v>
      </c>
      <c r="O727" s="48" t="n">
        <v>27117344</v>
      </c>
      <c r="P727" s="48" t="n">
        <v>27724449</v>
      </c>
      <c r="Q727" s="48" t="n">
        <v>2046</v>
      </c>
      <c r="R727" s="48" t="n">
        <v>1407</v>
      </c>
      <c r="S727" s="48" t="n">
        <v>28131172</v>
      </c>
      <c r="T727" s="48" t="n">
        <v>27524067</v>
      </c>
      <c r="U727" s="46" t="n">
        <f aca="false">IF($A727=$A726,$U726+1,1)</f>
        <v>203</v>
      </c>
      <c r="V727" s="48" t="n">
        <f aca="false">IF($U727&gt;=MA_SHORT,AVERAGE(INDEX($I$327:$I727,402-MA_SHORT):$I727),"")</f>
        <v>4072.15</v>
      </c>
      <c r="W727" s="48" t="n">
        <f aca="false">IF($U727&gt;=MA_MED,AVERAGE(INDEX($I$327:$I727,402-MA_MED):$I727),"")</f>
        <v>4351.48</v>
      </c>
      <c r="X727" s="48" t="n">
        <f aca="false">IF($U727&gt;=MA_LONG1,AVERAGE(INDEX($I$327:$I727,402-MA_LONG1):$I727),"")</f>
        <v>4272.56</v>
      </c>
      <c r="Y727" s="48" t="n">
        <f aca="false">IF($U727&gt;=MA_LONG2,AVERAGE(INDEX($I$327:$I727,402-MA_LONG2):$I727),"")</f>
        <v>3921.375</v>
      </c>
      <c r="Z727" s="48" t="n">
        <f aca="false">IF($U727&gt;=MA_SHORT,AVERAGE(INDEX($L$607:$L727,122-MA_SHORT):$L727),"")</f>
        <v>59582120.8</v>
      </c>
      <c r="AA727" s="48" t="n">
        <f aca="false">IF($U727=1,$G727-$H727,MAX($G727-$H727,ABS($G727-$I726),ABS($H727-$I726)))</f>
        <v>65</v>
      </c>
      <c r="AB727" s="48" t="n">
        <f aca="false">IF($U727&gt;=ATR_PER,AVERAGE(INDEX($AA$607:$AA727,122-ATR_PER):$AA727),"")</f>
        <v>146.5</v>
      </c>
      <c r="AC727" s="48" t="n">
        <f aca="false">$O727-$P727</f>
        <v>-607105</v>
      </c>
      <c r="AD727" s="48" t="n">
        <f aca="false">$AC727*$I727</f>
        <v>-2419313425</v>
      </c>
      <c r="AE727" s="49" t="n">
        <f aca="false">IF($Q727&gt;0,$O727*$I727/$Q727/1000000,"")</f>
        <v>52.8165277810362</v>
      </c>
      <c r="AF727" s="49" t="n">
        <f aca="false">IF($R727&gt;0,$P727*$I727/$R727/1000000,"")</f>
        <v>78.5230485181237</v>
      </c>
      <c r="AG727" s="50" t="n">
        <f aca="false">IF(AND(ISNUMBER($AE727),ISNUMBER($AF727),$AF727&gt;0),$AE727/$AF727,"")</f>
        <v>0.672624519523662</v>
      </c>
      <c r="AH727" s="48" t="n">
        <f aca="false">IF($U727&gt;=5,SUM(INDEX($AD$697:$AD727,32-5):$AD727),"")</f>
        <v>-102790493434</v>
      </c>
      <c r="AI727" s="48" t="n">
        <f aca="false">IF($U727&gt;=STRUCT_S,MAX(INDEX($G$577:$G727,152-STRUCT_S):$G727),"")</f>
        <v>4292</v>
      </c>
      <c r="AJ727" s="48" t="n">
        <f aca="false">IF($U727&gt;=STRUCT_S,MIN(INDEX($H$577:$H727,152-STRUCT_S):$H727),"")</f>
        <v>3932</v>
      </c>
      <c r="AK727" s="48" t="n">
        <f aca="false">IF($U727&gt;=STRUCT_L,MAX(INDEX($G$477:$G727,252-STRUCT_L):$G727),"")</f>
        <v>4893</v>
      </c>
      <c r="AL727" s="48" t="n">
        <f aca="false">IF($U727&gt;=STRUCT_L,MIN(INDEX($H$477:$H727,252-STRUCT_L):$H727),"")</f>
        <v>3932</v>
      </c>
      <c r="AM727" s="46" t="n">
        <f aca="false">IF($A727&lt;&gt;$A728,1,0)</f>
        <v>0</v>
      </c>
      <c r="AN727" s="47" t="str">
        <f aca="false">IF($AM727=1,$A727,"")</f>
        <v/>
      </c>
    </row>
    <row r="728" customFormat="false" ht="15" hidden="false" customHeight="false" outlineLevel="0" collapsed="false">
      <c r="A728" s="43" t="s">
        <v>142</v>
      </c>
      <c r="B728" s="44" t="s">
        <v>144</v>
      </c>
      <c r="C728" s="45" t="n">
        <v>46189</v>
      </c>
      <c r="D728" s="46" t="n">
        <v>20260616</v>
      </c>
      <c r="E728" s="47" t="s">
        <v>491</v>
      </c>
      <c r="F728" s="48" t="n">
        <v>3933</v>
      </c>
      <c r="G728" s="48" t="n">
        <v>4060</v>
      </c>
      <c r="H728" s="48" t="n">
        <v>3872</v>
      </c>
      <c r="I728" s="48" t="n">
        <v>3946</v>
      </c>
      <c r="J728" s="48" t="n">
        <v>4011</v>
      </c>
      <c r="K728" s="48" t="n">
        <v>3985</v>
      </c>
      <c r="L728" s="48" t="n">
        <v>52965121</v>
      </c>
      <c r="M728" s="48" t="n">
        <v>209000367466</v>
      </c>
      <c r="N728" s="48" t="n">
        <v>1239</v>
      </c>
      <c r="O728" s="48" t="n">
        <v>26941742</v>
      </c>
      <c r="P728" s="48" t="n">
        <v>23745067</v>
      </c>
      <c r="Q728" s="48" t="n">
        <v>507</v>
      </c>
      <c r="R728" s="48" t="n">
        <v>358</v>
      </c>
      <c r="S728" s="48" t="n">
        <v>26023379</v>
      </c>
      <c r="T728" s="48" t="n">
        <v>29220054</v>
      </c>
      <c r="U728" s="46" t="n">
        <f aca="false">IF($A728=$A727,$U727+1,1)</f>
        <v>204</v>
      </c>
      <c r="V728" s="48" t="n">
        <f aca="false">IF($U728&gt;=MA_SHORT,AVERAGE(INDEX($I$328:$I728,402-MA_SHORT):$I728),"")</f>
        <v>4059.6</v>
      </c>
      <c r="W728" s="48" t="n">
        <f aca="false">IF($U728&gt;=MA_MED,AVERAGE(INDEX($I$328:$I728,402-MA_MED):$I728),"")</f>
        <v>4336.6</v>
      </c>
      <c r="X728" s="48" t="n">
        <f aca="false">IF($U728&gt;=MA_LONG1,AVERAGE(INDEX($I$328:$I728,402-MA_LONG1):$I728),"")</f>
        <v>4268.93</v>
      </c>
      <c r="Y728" s="48" t="n">
        <f aca="false">IF($U728&gt;=MA_LONG2,AVERAGE(INDEX($I$328:$I728,402-MA_LONG2):$I728),"")</f>
        <v>3924.81</v>
      </c>
      <c r="Z728" s="48" t="n">
        <f aca="false">IF($U728&gt;=MA_SHORT,AVERAGE(INDEX($L$608:$L728,122-MA_SHORT):$L728),"")</f>
        <v>59620951.25</v>
      </c>
      <c r="AA728" s="48" t="n">
        <f aca="false">IF($U728=1,$G728-$H728,MAX($G728-$H728,ABS($G728-$I727),ABS($H728-$I727)))</f>
        <v>188</v>
      </c>
      <c r="AB728" s="48" t="n">
        <f aca="false">IF($U728&gt;=ATR_PER,AVERAGE(INDEX($AA$608:$AA728,122-ATR_PER):$AA728),"")</f>
        <v>149.928571428571</v>
      </c>
      <c r="AC728" s="48" t="n">
        <f aca="false">$O728-$P728</f>
        <v>3196675</v>
      </c>
      <c r="AD728" s="48" t="n">
        <f aca="false">$AC728*$I728</f>
        <v>12614079550</v>
      </c>
      <c r="AE728" s="49" t="n">
        <f aca="false">IF($Q728&gt;0,$O728*$I728/$Q728/1000000,"")</f>
        <v>209.688587637081</v>
      </c>
      <c r="AF728" s="49" t="n">
        <f aca="false">IF($R728&gt;0,$P728*$I728/$R728/1000000,"")</f>
        <v>261.726353022346</v>
      </c>
      <c r="AG728" s="50" t="n">
        <f aca="false">IF(AND(ISNUMBER($AE728),ISNUMBER($AF728),$AF728&gt;0),$AE728/$AF728,"")</f>
        <v>0.801174911183581</v>
      </c>
      <c r="AH728" s="48" t="n">
        <f aca="false">IF($U728&gt;=5,SUM(INDEX($AD$698:$AD728,32-5):$AD728),"")</f>
        <v>-73632292809</v>
      </c>
      <c r="AI728" s="48" t="n">
        <f aca="false">IF($U728&gt;=STRUCT_S,MAX(INDEX($G$578:$G728,152-STRUCT_S):$G728),"")</f>
        <v>4292</v>
      </c>
      <c r="AJ728" s="48" t="n">
        <f aca="false">IF($U728&gt;=STRUCT_S,MIN(INDEX($H$578:$H728,152-STRUCT_S):$H728),"")</f>
        <v>3872</v>
      </c>
      <c r="AK728" s="48" t="n">
        <f aca="false">IF($U728&gt;=STRUCT_L,MAX(INDEX($G$478:$G728,252-STRUCT_L):$G728),"")</f>
        <v>4893</v>
      </c>
      <c r="AL728" s="48" t="n">
        <f aca="false">IF($U728&gt;=STRUCT_L,MIN(INDEX($H$478:$H728,252-STRUCT_L):$H728),"")</f>
        <v>3872</v>
      </c>
      <c r="AM728" s="46" t="n">
        <f aca="false">IF($A728&lt;&gt;$A729,1,0)</f>
        <v>0</v>
      </c>
      <c r="AN728" s="47" t="str">
        <f aca="false">IF($AM728=1,$A728,"")</f>
        <v/>
      </c>
    </row>
    <row r="729" customFormat="false" ht="15" hidden="false" customHeight="false" outlineLevel="0" collapsed="false">
      <c r="A729" s="43" t="s">
        <v>142</v>
      </c>
      <c r="B729" s="44" t="s">
        <v>144</v>
      </c>
      <c r="C729" s="45" t="n">
        <v>46190</v>
      </c>
      <c r="D729" s="46" t="n">
        <v>20260617</v>
      </c>
      <c r="E729" s="47" t="s">
        <v>492</v>
      </c>
      <c r="F729" s="48" t="n">
        <v>3851</v>
      </c>
      <c r="G729" s="48" t="n">
        <v>4001</v>
      </c>
      <c r="H729" s="48" t="n">
        <v>3834</v>
      </c>
      <c r="I729" s="48" t="n">
        <v>3889</v>
      </c>
      <c r="J729" s="48" t="n">
        <v>3911</v>
      </c>
      <c r="K729" s="48" t="n">
        <v>3946</v>
      </c>
      <c r="L729" s="48" t="n">
        <v>54363382</v>
      </c>
      <c r="M729" s="48" t="n">
        <v>211419192598</v>
      </c>
      <c r="N729" s="48" t="n">
        <v>4546</v>
      </c>
      <c r="O729" s="48" t="n">
        <v>28596574</v>
      </c>
      <c r="P729" s="48" t="n">
        <v>28236655</v>
      </c>
      <c r="Q729" s="48" t="n">
        <v>2017</v>
      </c>
      <c r="R729" s="48" t="n">
        <v>1882</v>
      </c>
      <c r="S729" s="48" t="n">
        <v>25766808</v>
      </c>
      <c r="T729" s="48" t="n">
        <v>26126727</v>
      </c>
      <c r="U729" s="46" t="n">
        <f aca="false">IF($A729=$A728,$U728+1,1)</f>
        <v>205</v>
      </c>
      <c r="V729" s="48" t="n">
        <f aca="false">IF($U729&gt;=MA_SHORT,AVERAGE(INDEX($I$329:$I729,402-MA_SHORT):$I729),"")</f>
        <v>4052.25</v>
      </c>
      <c r="W729" s="48" t="n">
        <f aca="false">IF($U729&gt;=MA_MED,AVERAGE(INDEX($I$329:$I729,402-MA_MED):$I729),"")</f>
        <v>4321.16</v>
      </c>
      <c r="X729" s="48" t="n">
        <f aca="false">IF($U729&gt;=MA_LONG1,AVERAGE(INDEX($I$329:$I729,402-MA_LONG1):$I729),"")</f>
        <v>4264.93</v>
      </c>
      <c r="Y729" s="48" t="n">
        <f aca="false">IF($U729&gt;=MA_LONG2,AVERAGE(INDEX($I$329:$I729,402-MA_LONG2):$I729),"")</f>
        <v>3927.795</v>
      </c>
      <c r="Z729" s="48" t="n">
        <f aca="false">IF($U729&gt;=MA_SHORT,AVERAGE(INDEX($L$609:$L729,122-MA_SHORT):$L729),"")</f>
        <v>59262018.05</v>
      </c>
      <c r="AA729" s="48" t="n">
        <f aca="false">IF($U729=1,$G729-$H729,MAX($G729-$H729,ABS($G729-$I728),ABS($H729-$I728)))</f>
        <v>167</v>
      </c>
      <c r="AB729" s="48" t="n">
        <f aca="false">IF($U729&gt;=ATR_PER,AVERAGE(INDEX($AA$609:$AA729,122-ATR_PER):$AA729),"")</f>
        <v>148.857142857143</v>
      </c>
      <c r="AC729" s="48" t="n">
        <f aca="false">$O729-$P729</f>
        <v>359919</v>
      </c>
      <c r="AD729" s="48" t="n">
        <f aca="false">$AC729*$I729</f>
        <v>1399724991</v>
      </c>
      <c r="AE729" s="49" t="n">
        <f aca="false">IF($Q729&gt;0,$O729*$I729/$Q729/1000000,"")</f>
        <v>55.1373704938027</v>
      </c>
      <c r="AF729" s="49" t="n">
        <f aca="false">IF($R729&gt;0,$P729*$I729/$R729/1000000,"")</f>
        <v>58.3487520164718</v>
      </c>
      <c r="AG729" s="50" t="n">
        <f aca="false">IF(AND(ISNUMBER($AE729),ISNUMBER($AF729),$AF729&gt;0),$AE729/$AF729,"")</f>
        <v>0.944962292907951</v>
      </c>
      <c r="AH729" s="48" t="n">
        <f aca="false">IF($U729&gt;=5,SUM(INDEX($AD$699:$AD729,32-5):$AD729),"")</f>
        <v>-23391298068</v>
      </c>
      <c r="AI729" s="48" t="n">
        <f aca="false">IF($U729&gt;=STRUCT_S,MAX(INDEX($G$579:$G729,152-STRUCT_S):$G729),"")</f>
        <v>4292</v>
      </c>
      <c r="AJ729" s="48" t="n">
        <f aca="false">IF($U729&gt;=STRUCT_S,MIN(INDEX($H$579:$H729,152-STRUCT_S):$H729),"")</f>
        <v>3834</v>
      </c>
      <c r="AK729" s="48" t="n">
        <f aca="false">IF($U729&gt;=STRUCT_L,MAX(INDEX($G$479:$G729,252-STRUCT_L):$G729),"")</f>
        <v>4893</v>
      </c>
      <c r="AL729" s="48" t="n">
        <f aca="false">IF($U729&gt;=STRUCT_L,MIN(INDEX($H$479:$H729,252-STRUCT_L):$H729),"")</f>
        <v>3834</v>
      </c>
      <c r="AM729" s="46" t="n">
        <f aca="false">IF($A729&lt;&gt;$A730,1,0)</f>
        <v>0</v>
      </c>
      <c r="AN729" s="47" t="str">
        <f aca="false">IF($AM729=1,$A729,"")</f>
        <v/>
      </c>
    </row>
    <row r="730" customFormat="false" ht="15" hidden="false" customHeight="false" outlineLevel="0" collapsed="false">
      <c r="A730" s="43" t="s">
        <v>142</v>
      </c>
      <c r="B730" s="44" t="s">
        <v>144</v>
      </c>
      <c r="C730" s="45" t="n">
        <v>46193</v>
      </c>
      <c r="D730" s="46" t="n">
        <v>20260620</v>
      </c>
      <c r="E730" s="47" t="s">
        <v>493</v>
      </c>
      <c r="F730" s="48" t="n">
        <v>3847</v>
      </c>
      <c r="G730" s="48" t="n">
        <v>4013</v>
      </c>
      <c r="H730" s="48" t="n">
        <v>3828</v>
      </c>
      <c r="I730" s="48" t="n">
        <v>3951</v>
      </c>
      <c r="J730" s="48" t="n">
        <v>3909</v>
      </c>
      <c r="K730" s="48" t="n">
        <v>3889</v>
      </c>
      <c r="L730" s="48" t="n">
        <v>168229125</v>
      </c>
      <c r="M730" s="48" t="n">
        <v>664673272875</v>
      </c>
      <c r="N730" s="48" t="n">
        <v>9041</v>
      </c>
      <c r="O730" s="48" t="n">
        <v>110573719</v>
      </c>
      <c r="P730" s="48" t="n">
        <v>50089997</v>
      </c>
      <c r="Q730" s="48" t="n">
        <v>3524</v>
      </c>
      <c r="R730" s="48" t="n">
        <v>4475</v>
      </c>
      <c r="S730" s="48" t="n">
        <v>57655406</v>
      </c>
      <c r="T730" s="48" t="n">
        <v>118139128</v>
      </c>
      <c r="U730" s="46" t="n">
        <f aca="false">IF($A730=$A729,$U729+1,1)</f>
        <v>206</v>
      </c>
      <c r="V730" s="48" t="n">
        <f aca="false">IF($U730&gt;=MA_SHORT,AVERAGE(INDEX($I$330:$I730,402-MA_SHORT):$I730),"")</f>
        <v>4050.6</v>
      </c>
      <c r="W730" s="48" t="n">
        <f aca="false">IF($U730&gt;=MA_MED,AVERAGE(INDEX($I$330:$I730,402-MA_MED):$I730),"")</f>
        <v>4307</v>
      </c>
      <c r="X730" s="48" t="n">
        <f aca="false">IF($U730&gt;=MA_LONG1,AVERAGE(INDEX($I$330:$I730,402-MA_LONG1):$I730),"")</f>
        <v>4261.06</v>
      </c>
      <c r="Y730" s="48" t="n">
        <f aca="false">IF($U730&gt;=MA_LONG2,AVERAGE(INDEX($I$330:$I730,402-MA_LONG2):$I730),"")</f>
        <v>3931.08</v>
      </c>
      <c r="Z730" s="48" t="n">
        <f aca="false">IF($U730&gt;=MA_SHORT,AVERAGE(INDEX($L$610:$L730,122-MA_SHORT):$L730),"")</f>
        <v>63989544.1</v>
      </c>
      <c r="AA730" s="48" t="n">
        <f aca="false">IF($U730=1,$G730-$H730,MAX($G730-$H730,ABS($G730-$I729),ABS($H730-$I729)))</f>
        <v>185</v>
      </c>
      <c r="AB730" s="48" t="n">
        <f aca="false">IF($U730&gt;=ATR_PER,AVERAGE(INDEX($AA$610:$AA730,122-ATR_PER):$AA730),"")</f>
        <v>157.357142857143</v>
      </c>
      <c r="AC730" s="48" t="n">
        <f aca="false">$O730-$P730</f>
        <v>60483722</v>
      </c>
      <c r="AD730" s="48" t="n">
        <f aca="false">$AC730*$I730</f>
        <v>238971185622</v>
      </c>
      <c r="AE730" s="49" t="n">
        <f aca="false">IF($Q730&gt;0,$O730*$I730/$Q730/1000000,"")</f>
        <v>123.971839889047</v>
      </c>
      <c r="AF730" s="49" t="n">
        <f aca="false">IF($R730&gt;0,$P730*$I730/$R730/1000000,"")</f>
        <v>44.2247102004469</v>
      </c>
      <c r="AG730" s="50" t="n">
        <f aca="false">IF(AND(ISNUMBER($AE730),ISNUMBER($AF730),$AF730&gt;0),$AE730/$AF730,"")</f>
        <v>2.80322560231935</v>
      </c>
      <c r="AH730" s="48" t="n">
        <f aca="false">IF($U730&gt;=5,SUM(INDEX($AD$700:$AD730,32-5):$AD730),"")</f>
        <v>269484957154</v>
      </c>
      <c r="AI730" s="48" t="n">
        <f aca="false">IF($U730&gt;=STRUCT_S,MAX(INDEX($G$580:$G730,152-STRUCT_S):$G730),"")</f>
        <v>4292</v>
      </c>
      <c r="AJ730" s="48" t="n">
        <f aca="false">IF($U730&gt;=STRUCT_S,MIN(INDEX($H$580:$H730,152-STRUCT_S):$H730),"")</f>
        <v>3828</v>
      </c>
      <c r="AK730" s="48" t="n">
        <f aca="false">IF($U730&gt;=STRUCT_L,MAX(INDEX($G$480:$G730,252-STRUCT_L):$G730),"")</f>
        <v>4893</v>
      </c>
      <c r="AL730" s="48" t="n">
        <f aca="false">IF($U730&gt;=STRUCT_L,MIN(INDEX($H$480:$H730,252-STRUCT_L):$H730),"")</f>
        <v>3828</v>
      </c>
      <c r="AM730" s="46" t="n">
        <f aca="false">IF($A730&lt;&gt;$A731,1,0)</f>
        <v>0</v>
      </c>
      <c r="AN730" s="47" t="str">
        <f aca="false">IF($AM730=1,$A730,"")</f>
        <v/>
      </c>
    </row>
    <row r="731" customFormat="false" ht="15" hidden="false" customHeight="false" outlineLevel="0" collapsed="false">
      <c r="A731" s="43" t="s">
        <v>142</v>
      </c>
      <c r="B731" s="44" t="s">
        <v>144</v>
      </c>
      <c r="C731" s="45" t="n">
        <v>46194</v>
      </c>
      <c r="D731" s="46" t="n">
        <v>20260621</v>
      </c>
      <c r="E731" s="47" t="s">
        <v>494</v>
      </c>
      <c r="F731" s="48" t="n">
        <v>3928</v>
      </c>
      <c r="G731" s="48" t="n">
        <v>3961</v>
      </c>
      <c r="H731" s="48" t="n">
        <v>3862</v>
      </c>
      <c r="I731" s="48" t="n">
        <v>3872</v>
      </c>
      <c r="J731" s="48" t="n">
        <v>3892</v>
      </c>
      <c r="K731" s="48" t="n">
        <v>3951</v>
      </c>
      <c r="L731" s="48" t="n">
        <v>56029277</v>
      </c>
      <c r="M731" s="48" t="n">
        <v>216945360544</v>
      </c>
      <c r="N731" s="48" t="n">
        <v>1719</v>
      </c>
      <c r="O731" s="48" t="n">
        <v>25504714</v>
      </c>
      <c r="P731" s="48" t="n">
        <v>29273951</v>
      </c>
      <c r="Q731" s="48" t="n">
        <v>672</v>
      </c>
      <c r="R731" s="48" t="n">
        <v>867</v>
      </c>
      <c r="S731" s="48" t="n">
        <v>30524563</v>
      </c>
      <c r="T731" s="48" t="n">
        <v>26755326</v>
      </c>
      <c r="U731" s="46" t="n">
        <f aca="false">IF($A731=$A730,$U730+1,1)</f>
        <v>207</v>
      </c>
      <c r="V731" s="48" t="n">
        <f aca="false">IF($U731&gt;=MA_SHORT,AVERAGE(INDEX($I$331:$I731,402-MA_SHORT):$I731),"")</f>
        <v>4043.9</v>
      </c>
      <c r="W731" s="48" t="n">
        <f aca="false">IF($U731&gt;=MA_MED,AVERAGE(INDEX($I$331:$I731,402-MA_MED):$I731),"")</f>
        <v>4289.02</v>
      </c>
      <c r="X731" s="48" t="n">
        <f aca="false">IF($U731&gt;=MA_LONG1,AVERAGE(INDEX($I$331:$I731,402-MA_LONG1):$I731),"")</f>
        <v>4257.09</v>
      </c>
      <c r="Y731" s="48" t="n">
        <f aca="false">IF($U731&gt;=MA_LONG2,AVERAGE(INDEX($I$331:$I731,402-MA_LONG2):$I731),"")</f>
        <v>3933.67</v>
      </c>
      <c r="Z731" s="48" t="n">
        <f aca="false">IF($U731&gt;=MA_SHORT,AVERAGE(INDEX($L$611:$L731,122-MA_SHORT):$L731),"")</f>
        <v>64206756.25</v>
      </c>
      <c r="AA731" s="48" t="n">
        <f aca="false">IF($U731=1,$G731-$H731,MAX($G731-$H731,ABS($G731-$I730),ABS($H731-$I730)))</f>
        <v>99</v>
      </c>
      <c r="AB731" s="48" t="n">
        <f aca="false">IF($U731&gt;=ATR_PER,AVERAGE(INDEX($AA$611:$AA731,122-ATR_PER):$AA731),"")</f>
        <v>151.785714285714</v>
      </c>
      <c r="AC731" s="48" t="n">
        <f aca="false">$O731-$P731</f>
        <v>-3769237</v>
      </c>
      <c r="AD731" s="48" t="n">
        <f aca="false">$AC731*$I731</f>
        <v>-14594485664</v>
      </c>
      <c r="AE731" s="49" t="n">
        <f aca="false">IF($Q731&gt;0,$O731*$I731/$Q731/1000000,"")</f>
        <v>146.955733047619</v>
      </c>
      <c r="AF731" s="49" t="n">
        <f aca="false">IF($R731&gt;0,$P731*$I731/$R731/1000000,"")</f>
        <v>130.736722343714</v>
      </c>
      <c r="AG731" s="50" t="n">
        <f aca="false">IF(AND(ISNUMBER($AE731),ISNUMBER($AF731),$AF731&gt;0),$AE731/$AF731,"")</f>
        <v>1.12405856910857</v>
      </c>
      <c r="AH731" s="48" t="n">
        <f aca="false">IF($U731&gt;=5,SUM(INDEX($AD$701:$AD731,32-5):$AD731),"")</f>
        <v>235971191074</v>
      </c>
      <c r="AI731" s="48" t="n">
        <f aca="false">IF($U731&gt;=STRUCT_S,MAX(INDEX($G$581:$G731,152-STRUCT_S):$G731),"")</f>
        <v>4292</v>
      </c>
      <c r="AJ731" s="48" t="n">
        <f aca="false">IF($U731&gt;=STRUCT_S,MIN(INDEX($H$581:$H731,152-STRUCT_S):$H731),"")</f>
        <v>3828</v>
      </c>
      <c r="AK731" s="48" t="n">
        <f aca="false">IF($U731&gt;=STRUCT_L,MAX(INDEX($G$481:$G731,252-STRUCT_L):$G731),"")</f>
        <v>4893</v>
      </c>
      <c r="AL731" s="48" t="n">
        <f aca="false">IF($U731&gt;=STRUCT_L,MIN(INDEX($H$481:$H731,252-STRUCT_L):$H731),"")</f>
        <v>3828</v>
      </c>
      <c r="AM731" s="46" t="n">
        <f aca="false">IF($A731&lt;&gt;$A732,1,0)</f>
        <v>0</v>
      </c>
      <c r="AN731" s="47" t="str">
        <f aca="false">IF($AM731=1,$A731,"")</f>
        <v/>
      </c>
    </row>
    <row r="732" customFormat="false" ht="15" hidden="false" customHeight="false" outlineLevel="0" collapsed="false">
      <c r="A732" s="43" t="s">
        <v>142</v>
      </c>
      <c r="B732" s="44" t="s">
        <v>144</v>
      </c>
      <c r="C732" s="45" t="n">
        <v>46195</v>
      </c>
      <c r="D732" s="46" t="n">
        <v>20260622</v>
      </c>
      <c r="E732" s="47" t="s">
        <v>495</v>
      </c>
      <c r="F732" s="48" t="n">
        <v>3972</v>
      </c>
      <c r="G732" s="48" t="n">
        <v>3998</v>
      </c>
      <c r="H732" s="48" t="n">
        <v>3821</v>
      </c>
      <c r="I732" s="48" t="n">
        <v>3946</v>
      </c>
      <c r="J732" s="48" t="n">
        <v>3960</v>
      </c>
      <c r="K732" s="48" t="n">
        <v>3872</v>
      </c>
      <c r="L732" s="48" t="n">
        <v>61477909</v>
      </c>
      <c r="M732" s="48" t="n">
        <v>242591828914</v>
      </c>
      <c r="N732" s="48" t="n">
        <v>3183</v>
      </c>
      <c r="O732" s="48" t="n">
        <v>36614252</v>
      </c>
      <c r="P732" s="48" t="n">
        <v>28637189</v>
      </c>
      <c r="Q732" s="48" t="n">
        <v>1012</v>
      </c>
      <c r="R732" s="48" t="n">
        <v>1523</v>
      </c>
      <c r="S732" s="48" t="n">
        <v>24863657</v>
      </c>
      <c r="T732" s="48" t="n">
        <v>32840720</v>
      </c>
      <c r="U732" s="46" t="n">
        <f aca="false">IF($A732=$A731,$U731+1,1)</f>
        <v>208</v>
      </c>
      <c r="V732" s="48" t="n">
        <f aca="false">IF($U732&gt;=MA_SHORT,AVERAGE(INDEX($I$332:$I732,402-MA_SHORT):$I732),"")</f>
        <v>4041.6</v>
      </c>
      <c r="W732" s="48" t="n">
        <f aca="false">IF($U732&gt;=MA_MED,AVERAGE(INDEX($I$332:$I732,402-MA_MED):$I732),"")</f>
        <v>4272.74</v>
      </c>
      <c r="X732" s="48" t="n">
        <f aca="false">IF($U732&gt;=MA_LONG1,AVERAGE(INDEX($I$332:$I732,402-MA_LONG1):$I732),"")</f>
        <v>4254.41</v>
      </c>
      <c r="Y732" s="48" t="n">
        <f aca="false">IF($U732&gt;=MA_LONG2,AVERAGE(INDEX($I$332:$I732,402-MA_LONG2):$I732),"")</f>
        <v>3935.96</v>
      </c>
      <c r="Z732" s="48" t="n">
        <f aca="false">IF($U732&gt;=MA_SHORT,AVERAGE(INDEX($L$612:$L732,122-MA_SHORT):$L732),"")</f>
        <v>64726826.65</v>
      </c>
      <c r="AA732" s="48" t="n">
        <f aca="false">IF($U732=1,$G732-$H732,MAX($G732-$H732,ABS($G732-$I731),ABS($H732-$I731)))</f>
        <v>177</v>
      </c>
      <c r="AB732" s="48" t="n">
        <f aca="false">IF($U732&gt;=ATR_PER,AVERAGE(INDEX($AA$612:$AA732,122-ATR_PER):$AA732),"")</f>
        <v>159.428571428571</v>
      </c>
      <c r="AC732" s="48" t="n">
        <f aca="false">$O732-$P732</f>
        <v>7977063</v>
      </c>
      <c r="AD732" s="48" t="n">
        <f aca="false">$AC732*$I732</f>
        <v>31477490598</v>
      </c>
      <c r="AE732" s="49" t="n">
        <f aca="false">IF($Q732&gt;0,$O732*$I732/$Q732/1000000,"")</f>
        <v>142.766638727273</v>
      </c>
      <c r="AF732" s="49" t="n">
        <f aca="false">IF($R732&gt;0,$P732*$I732/$R732/1000000,"")</f>
        <v>74.197208006566</v>
      </c>
      <c r="AG732" s="50" t="n">
        <f aca="false">IF(AND(ISNUMBER($AE732),ISNUMBER($AF732),$AF732&gt;0),$AE732/$AF732,"")</f>
        <v>1.92415109089602</v>
      </c>
      <c r="AH732" s="48" t="n">
        <f aca="false">IF($U732&gt;=5,SUM(INDEX($AD$702:$AD732,32-5):$AD732),"")</f>
        <v>269867995097</v>
      </c>
      <c r="AI732" s="48" t="n">
        <f aca="false">IF($U732&gt;=STRUCT_S,MAX(INDEX($G$582:$G732,152-STRUCT_S):$G732),"")</f>
        <v>4292</v>
      </c>
      <c r="AJ732" s="48" t="n">
        <f aca="false">IF($U732&gt;=STRUCT_S,MIN(INDEX($H$582:$H732,152-STRUCT_S):$H732),"")</f>
        <v>3821</v>
      </c>
      <c r="AK732" s="48" t="n">
        <f aca="false">IF($U732&gt;=STRUCT_L,MAX(INDEX($G$482:$G732,252-STRUCT_L):$G732),"")</f>
        <v>4893</v>
      </c>
      <c r="AL732" s="48" t="n">
        <f aca="false">IF($U732&gt;=STRUCT_L,MIN(INDEX($H$482:$H732,252-STRUCT_L):$H732),"")</f>
        <v>3821</v>
      </c>
      <c r="AM732" s="46" t="n">
        <f aca="false">IF($A732&lt;&gt;$A733,1,0)</f>
        <v>0</v>
      </c>
      <c r="AN732" s="47" t="str">
        <f aca="false">IF($AM732=1,$A732,"")</f>
        <v/>
      </c>
    </row>
    <row r="733" customFormat="false" ht="15" hidden="false" customHeight="false" outlineLevel="0" collapsed="false">
      <c r="A733" s="43" t="s">
        <v>142</v>
      </c>
      <c r="B733" s="44" t="s">
        <v>144</v>
      </c>
      <c r="C733" s="45" t="n">
        <v>46196</v>
      </c>
      <c r="D733" s="46" t="n">
        <v>20260623</v>
      </c>
      <c r="E733" s="47" t="s">
        <v>496</v>
      </c>
      <c r="F733" s="48" t="n">
        <v>3975</v>
      </c>
      <c r="G733" s="48" t="n">
        <v>4000</v>
      </c>
      <c r="H733" s="48" t="n">
        <v>3884</v>
      </c>
      <c r="I733" s="48" t="n">
        <v>3938</v>
      </c>
      <c r="J733" s="48" t="n">
        <v>3999</v>
      </c>
      <c r="K733" s="48" t="n">
        <v>3946</v>
      </c>
      <c r="L733" s="48" t="n">
        <v>73630662</v>
      </c>
      <c r="M733" s="48" t="n">
        <v>289957546956</v>
      </c>
      <c r="N733" s="48" t="n">
        <v>2850</v>
      </c>
      <c r="O733" s="48" t="n">
        <v>36143585</v>
      </c>
      <c r="P733" s="48" t="n">
        <v>41671769</v>
      </c>
      <c r="Q733" s="48" t="n">
        <v>1177</v>
      </c>
      <c r="R733" s="48" t="n">
        <v>853</v>
      </c>
      <c r="S733" s="48" t="n">
        <v>37487077</v>
      </c>
      <c r="T733" s="48" t="n">
        <v>31958893</v>
      </c>
      <c r="U733" s="46" t="n">
        <f aca="false">IF($A733=$A732,$U732+1,1)</f>
        <v>209</v>
      </c>
      <c r="V733" s="48" t="n">
        <f aca="false">IF($U733&gt;=MA_SHORT,AVERAGE(INDEX($I$333:$I733,402-MA_SHORT):$I733),"")</f>
        <v>4034.6</v>
      </c>
      <c r="W733" s="48" t="n">
        <f aca="false">IF($U733&gt;=MA_MED,AVERAGE(INDEX($I$333:$I733,402-MA_MED):$I733),"")</f>
        <v>4260.96</v>
      </c>
      <c r="X733" s="48" t="n">
        <f aca="false">IF($U733&gt;=MA_LONG1,AVERAGE(INDEX($I$333:$I733,402-MA_LONG1):$I733),"")</f>
        <v>4252.78</v>
      </c>
      <c r="Y733" s="48" t="n">
        <f aca="false">IF($U733&gt;=MA_LONG2,AVERAGE(INDEX($I$333:$I733,402-MA_LONG2):$I733),"")</f>
        <v>3937.785</v>
      </c>
      <c r="Z733" s="48" t="n">
        <f aca="false">IF($U733&gt;=MA_SHORT,AVERAGE(INDEX($L$613:$L733,122-MA_SHORT):$L733),"")</f>
        <v>65583660.9</v>
      </c>
      <c r="AA733" s="48" t="n">
        <f aca="false">IF($U733=1,$G733-$H733,MAX($G733-$H733,ABS($G733-$I732),ABS($H733-$I732)))</f>
        <v>116</v>
      </c>
      <c r="AB733" s="48" t="n">
        <f aca="false">IF($U733&gt;=ATR_PER,AVERAGE(INDEX($AA$613:$AA733,122-ATR_PER):$AA733),"")</f>
        <v>151.214285714286</v>
      </c>
      <c r="AC733" s="48" t="n">
        <f aca="false">$O733-$P733</f>
        <v>-5528184</v>
      </c>
      <c r="AD733" s="48" t="n">
        <f aca="false">$AC733*$I733</f>
        <v>-21769988592</v>
      </c>
      <c r="AE733" s="49" t="n">
        <f aca="false">IF($Q733&gt;0,$O733*$I733/$Q733/1000000,"")</f>
        <v>120.929004018692</v>
      </c>
      <c r="AF733" s="49" t="n">
        <f aca="false">IF($R733&gt;0,$P733*$I733/$R733/1000000,"")</f>
        <v>192.38385266354</v>
      </c>
      <c r="AG733" s="50" t="n">
        <f aca="false">IF(AND(ISNUMBER($AE733),ISNUMBER($AF733),$AF733&gt;0),$AE733/$AF733,"")</f>
        <v>0.628581881194489</v>
      </c>
      <c r="AH733" s="48" t="n">
        <f aca="false">IF($U733&gt;=5,SUM(INDEX($AD$703:$AD733,32-5):$AD733),"")</f>
        <v>235483926955</v>
      </c>
      <c r="AI733" s="48" t="n">
        <f aca="false">IF($U733&gt;=STRUCT_S,MAX(INDEX($G$583:$G733,152-STRUCT_S):$G733),"")</f>
        <v>4292</v>
      </c>
      <c r="AJ733" s="48" t="n">
        <f aca="false">IF($U733&gt;=STRUCT_S,MIN(INDEX($H$583:$H733,152-STRUCT_S):$H733),"")</f>
        <v>3821</v>
      </c>
      <c r="AK733" s="48" t="n">
        <f aca="false">IF($U733&gt;=STRUCT_L,MAX(INDEX($G$483:$G733,252-STRUCT_L):$G733),"")</f>
        <v>4893</v>
      </c>
      <c r="AL733" s="48" t="n">
        <f aca="false">IF($U733&gt;=STRUCT_L,MIN(INDEX($H$483:$H733,252-STRUCT_L):$H733),"")</f>
        <v>3821</v>
      </c>
      <c r="AM733" s="46" t="n">
        <f aca="false">IF($A733&lt;&gt;$A734,1,0)</f>
        <v>0</v>
      </c>
      <c r="AN733" s="47" t="str">
        <f aca="false">IF($AM733=1,$A733,"")</f>
        <v/>
      </c>
    </row>
    <row r="734" customFormat="false" ht="15" hidden="false" customHeight="false" outlineLevel="0" collapsed="false">
      <c r="A734" s="43" t="s">
        <v>142</v>
      </c>
      <c r="B734" s="44" t="s">
        <v>144</v>
      </c>
      <c r="C734" s="45" t="n">
        <v>46197</v>
      </c>
      <c r="D734" s="46" t="n">
        <v>20260624</v>
      </c>
      <c r="E734" s="47" t="s">
        <v>497</v>
      </c>
      <c r="F734" s="48" t="n">
        <v>3934</v>
      </c>
      <c r="G734" s="48" t="n">
        <v>3986</v>
      </c>
      <c r="H734" s="48" t="n">
        <v>3851</v>
      </c>
      <c r="I734" s="48" t="n">
        <v>3898</v>
      </c>
      <c r="J734" s="48" t="n">
        <v>3920</v>
      </c>
      <c r="K734" s="48" t="n">
        <v>3938</v>
      </c>
      <c r="L734" s="48" t="n">
        <v>53076405</v>
      </c>
      <c r="M734" s="48" t="n">
        <v>206891826690</v>
      </c>
      <c r="N734" s="48" t="n">
        <v>3003</v>
      </c>
      <c r="O734" s="48" t="n">
        <v>27152092</v>
      </c>
      <c r="P734" s="48" t="n">
        <v>24998702</v>
      </c>
      <c r="Q734" s="48" t="n">
        <v>1318</v>
      </c>
      <c r="R734" s="48" t="n">
        <v>858</v>
      </c>
      <c r="S734" s="48" t="n">
        <v>25924313</v>
      </c>
      <c r="T734" s="48" t="n">
        <v>28077703</v>
      </c>
      <c r="U734" s="46" t="n">
        <f aca="false">IF($A734=$A733,$U733+1,1)</f>
        <v>210</v>
      </c>
      <c r="V734" s="48" t="n">
        <f aca="false">IF($U734&gt;=MA_SHORT,AVERAGE(INDEX($I$334:$I734,402-MA_SHORT):$I734),"")</f>
        <v>4027.8</v>
      </c>
      <c r="W734" s="48" t="n">
        <f aca="false">IF($U734&gt;=MA_MED,AVERAGE(INDEX($I$334:$I734,402-MA_MED):$I734),"")</f>
        <v>4243.96</v>
      </c>
      <c r="X734" s="48" t="n">
        <f aca="false">IF($U734&gt;=MA_LONG1,AVERAGE(INDEX($I$334:$I734,402-MA_LONG1):$I734),"")</f>
        <v>4251.38</v>
      </c>
      <c r="Y734" s="48" t="n">
        <f aca="false">IF($U734&gt;=MA_LONG2,AVERAGE(INDEX($I$334:$I734,402-MA_LONG2):$I734),"")</f>
        <v>3938.91</v>
      </c>
      <c r="Z734" s="48" t="n">
        <f aca="false">IF($U734&gt;=MA_SHORT,AVERAGE(INDEX($L$614:$L734,122-MA_SHORT):$L734),"")</f>
        <v>65574173.25</v>
      </c>
      <c r="AA734" s="48" t="n">
        <f aca="false">IF($U734=1,$G734-$H734,MAX($G734-$H734,ABS($G734-$I733),ABS($H734-$I733)))</f>
        <v>135</v>
      </c>
      <c r="AB734" s="48" t="n">
        <f aca="false">IF($U734&gt;=ATR_PER,AVERAGE(INDEX($AA$614:$AA734,122-ATR_PER):$AA734),"")</f>
        <v>149.571428571429</v>
      </c>
      <c r="AC734" s="48" t="n">
        <f aca="false">$O734-$P734</f>
        <v>2153390</v>
      </c>
      <c r="AD734" s="48" t="n">
        <f aca="false">$AC734*$I734</f>
        <v>8393914220</v>
      </c>
      <c r="AE734" s="49" t="n">
        <f aca="false">IF($Q734&gt;0,$O734*$I734/$Q734/1000000,"")</f>
        <v>80.3026211047041</v>
      </c>
      <c r="AF734" s="49" t="n">
        <f aca="false">IF($R734&gt;0,$P734*$I734/$R734/1000000,"")</f>
        <v>113.57219160373</v>
      </c>
      <c r="AG734" s="50" t="n">
        <f aca="false">IF(AND(ISNUMBER($AE734),ISNUMBER($AF734),$AF734&gt;0),$AE734/$AF734,"")</f>
        <v>0.707062353651605</v>
      </c>
      <c r="AH734" s="48" t="n">
        <f aca="false">IF($U734&gt;=5,SUM(INDEX($AD$704:$AD734,32-5):$AD734),"")</f>
        <v>242478116184</v>
      </c>
      <c r="AI734" s="48" t="n">
        <f aca="false">IF($U734&gt;=STRUCT_S,MAX(INDEX($G$584:$G734,152-STRUCT_S):$G734),"")</f>
        <v>4292</v>
      </c>
      <c r="AJ734" s="48" t="n">
        <f aca="false">IF($U734&gt;=STRUCT_S,MIN(INDEX($H$584:$H734,152-STRUCT_S):$H734),"")</f>
        <v>3821</v>
      </c>
      <c r="AK734" s="48" t="n">
        <f aca="false">IF($U734&gt;=STRUCT_L,MAX(INDEX($G$484:$G734,252-STRUCT_L):$G734),"")</f>
        <v>4893</v>
      </c>
      <c r="AL734" s="48" t="n">
        <f aca="false">IF($U734&gt;=STRUCT_L,MIN(INDEX($H$484:$H734,252-STRUCT_L):$H734),"")</f>
        <v>3821</v>
      </c>
      <c r="AM734" s="46" t="n">
        <f aca="false">IF($A734&lt;&gt;$A735,1,0)</f>
        <v>0</v>
      </c>
      <c r="AN734" s="47" t="str">
        <f aca="false">IF($AM734=1,$A734,"")</f>
        <v/>
      </c>
    </row>
    <row r="735" customFormat="false" ht="15" hidden="false" customHeight="false" outlineLevel="0" collapsed="false">
      <c r="A735" s="43" t="s">
        <v>142</v>
      </c>
      <c r="B735" s="44" t="s">
        <v>144</v>
      </c>
      <c r="C735" s="45" t="n">
        <v>46200</v>
      </c>
      <c r="D735" s="46" t="n">
        <v>20260627</v>
      </c>
      <c r="E735" s="47" t="s">
        <v>498</v>
      </c>
      <c r="F735" s="48" t="n">
        <v>3876</v>
      </c>
      <c r="G735" s="48" t="n">
        <v>3947</v>
      </c>
      <c r="H735" s="48" t="n">
        <v>3777</v>
      </c>
      <c r="I735" s="48" t="n">
        <v>3825</v>
      </c>
      <c r="J735" s="48" t="n">
        <v>3786</v>
      </c>
      <c r="K735" s="48" t="n">
        <v>3898</v>
      </c>
      <c r="L735" s="48" t="n">
        <v>55648852</v>
      </c>
      <c r="M735" s="48" t="n">
        <v>212856858900</v>
      </c>
      <c r="N735" s="48" t="n">
        <v>4813</v>
      </c>
      <c r="O735" s="48" t="n">
        <v>23583819</v>
      </c>
      <c r="P735" s="48" t="n">
        <v>32442514</v>
      </c>
      <c r="Q735" s="48" t="n">
        <v>2430</v>
      </c>
      <c r="R735" s="48" t="n">
        <v>1331</v>
      </c>
      <c r="S735" s="48" t="n">
        <v>32065033</v>
      </c>
      <c r="T735" s="48" t="n">
        <v>23206338</v>
      </c>
      <c r="U735" s="46" t="n">
        <f aca="false">IF($A735=$A734,$U734+1,1)</f>
        <v>211</v>
      </c>
      <c r="V735" s="48" t="n">
        <f aca="false">IF($U735&gt;=MA_SHORT,AVERAGE(INDEX($I$335:$I735,402-MA_SHORT):$I735),"")</f>
        <v>4013.9</v>
      </c>
      <c r="W735" s="48" t="n">
        <f aca="false">IF($U735&gt;=MA_MED,AVERAGE(INDEX($I$335:$I735,402-MA_MED):$I735),"")</f>
        <v>4227.12</v>
      </c>
      <c r="X735" s="48" t="n">
        <f aca="false">IF($U735&gt;=MA_LONG1,AVERAGE(INDEX($I$335:$I735,402-MA_LONG1):$I735),"")</f>
        <v>4248.73</v>
      </c>
      <c r="Y735" s="48" t="n">
        <f aca="false">IF($U735&gt;=MA_LONG2,AVERAGE(INDEX($I$335:$I735,402-MA_LONG2):$I735),"")</f>
        <v>3939.835</v>
      </c>
      <c r="Z735" s="48" t="n">
        <f aca="false">IF($U735&gt;=MA_SHORT,AVERAGE(INDEX($L$615:$L735,122-MA_SHORT):$L735),"")</f>
        <v>64753434.05</v>
      </c>
      <c r="AA735" s="48" t="n">
        <f aca="false">IF($U735=1,$G735-$H735,MAX($G735-$H735,ABS($G735-$I734),ABS($H735-$I734)))</f>
        <v>170</v>
      </c>
      <c r="AB735" s="48" t="n">
        <f aca="false">IF($U735&gt;=ATR_PER,AVERAGE(INDEX($AA$615:$AA735,122-ATR_PER):$AA735),"")</f>
        <v>146.071428571429</v>
      </c>
      <c r="AC735" s="48" t="n">
        <f aca="false">$O735-$P735</f>
        <v>-8858695</v>
      </c>
      <c r="AD735" s="48" t="n">
        <f aca="false">$AC735*$I735</f>
        <v>-33884508375</v>
      </c>
      <c r="AE735" s="49" t="n">
        <f aca="false">IF($Q735&gt;0,$O735*$I735/$Q735/1000000,"")</f>
        <v>37.1226780555556</v>
      </c>
      <c r="AF735" s="49" t="n">
        <f aca="false">IF($R735&gt;0,$P735*$I735/$R735/1000000,"")</f>
        <v>93.2326191209617</v>
      </c>
      <c r="AG735" s="50" t="n">
        <f aca="false">IF(AND(ISNUMBER($AE735),ISNUMBER($AF735),$AF735&gt;0),$AE735/$AF735,"")</f>
        <v>0.398172639635833</v>
      </c>
      <c r="AH735" s="48" t="n">
        <f aca="false">IF($U735&gt;=5,SUM(INDEX($AD$705:$AD735,32-5):$AD735),"")</f>
        <v>-30377577813</v>
      </c>
      <c r="AI735" s="48" t="n">
        <f aca="false">IF($U735&gt;=STRUCT_S,MAX(INDEX($G$585:$G735,152-STRUCT_S):$G735),"")</f>
        <v>4292</v>
      </c>
      <c r="AJ735" s="48" t="n">
        <f aca="false">IF($U735&gt;=STRUCT_S,MIN(INDEX($H$585:$H735,152-STRUCT_S):$H735),"")</f>
        <v>3777</v>
      </c>
      <c r="AK735" s="48" t="n">
        <f aca="false">IF($U735&gt;=STRUCT_L,MAX(INDEX($G$485:$G735,252-STRUCT_L):$G735),"")</f>
        <v>4893</v>
      </c>
      <c r="AL735" s="48" t="n">
        <f aca="false">IF($U735&gt;=STRUCT_L,MIN(INDEX($H$485:$H735,252-STRUCT_L):$H735),"")</f>
        <v>3777</v>
      </c>
      <c r="AM735" s="46" t="n">
        <f aca="false">IF($A735&lt;&gt;$A736,1,0)</f>
        <v>0</v>
      </c>
      <c r="AN735" s="47" t="str">
        <f aca="false">IF($AM735=1,$A735,"")</f>
        <v/>
      </c>
    </row>
    <row r="736" customFormat="false" ht="15" hidden="false" customHeight="false" outlineLevel="0" collapsed="false">
      <c r="A736" s="43" t="s">
        <v>142</v>
      </c>
      <c r="B736" s="44" t="s">
        <v>144</v>
      </c>
      <c r="C736" s="45" t="n">
        <v>46201</v>
      </c>
      <c r="D736" s="46" t="n">
        <v>20260628</v>
      </c>
      <c r="E736" s="47" t="s">
        <v>499</v>
      </c>
      <c r="F736" s="48" t="n">
        <v>3701</v>
      </c>
      <c r="G736" s="48" t="n">
        <v>3902</v>
      </c>
      <c r="H736" s="48" t="n">
        <v>3685</v>
      </c>
      <c r="I736" s="48" t="n">
        <v>3760</v>
      </c>
      <c r="J736" s="48" t="n">
        <v>3876</v>
      </c>
      <c r="K736" s="48" t="n">
        <v>3825</v>
      </c>
      <c r="L736" s="48" t="n">
        <v>55128339</v>
      </c>
      <c r="M736" s="48" t="n">
        <v>207282554640</v>
      </c>
      <c r="N736" s="48" t="n">
        <v>1714</v>
      </c>
      <c r="O736" s="48" t="n">
        <v>27273320</v>
      </c>
      <c r="P736" s="48" t="n">
        <v>29794551</v>
      </c>
      <c r="Q736" s="48" t="n">
        <v>852</v>
      </c>
      <c r="R736" s="48" t="n">
        <v>727</v>
      </c>
      <c r="S736" s="48" t="n">
        <v>27855019</v>
      </c>
      <c r="T736" s="48" t="n">
        <v>25333788</v>
      </c>
      <c r="U736" s="46" t="n">
        <f aca="false">IF($A736=$A735,$U735+1,1)</f>
        <v>212</v>
      </c>
      <c r="V736" s="48" t="n">
        <f aca="false">IF($U736&gt;=MA_SHORT,AVERAGE(INDEX($I$336:$I736,402-MA_SHORT):$I736),"")</f>
        <v>3995.05</v>
      </c>
      <c r="W736" s="48" t="n">
        <f aca="false">IF($U736&gt;=MA_MED,AVERAGE(INDEX($I$336:$I736,402-MA_MED):$I736),"")</f>
        <v>4207.92</v>
      </c>
      <c r="X736" s="48" t="n">
        <f aca="false">IF($U736&gt;=MA_LONG1,AVERAGE(INDEX($I$336:$I736,402-MA_LONG1):$I736),"")</f>
        <v>4244.01</v>
      </c>
      <c r="Y736" s="48" t="n">
        <f aca="false">IF($U736&gt;=MA_LONG2,AVERAGE(INDEX($I$336:$I736,402-MA_LONG2):$I736),"")</f>
        <v>3940.695</v>
      </c>
      <c r="Z736" s="48" t="n">
        <f aca="false">IF($U736&gt;=MA_SHORT,AVERAGE(INDEX($L$616:$L736,122-MA_SHORT):$L736),"")</f>
        <v>64192340.6</v>
      </c>
      <c r="AA736" s="48" t="n">
        <f aca="false">IF($U736=1,$G736-$H736,MAX($G736-$H736,ABS($G736-$I735),ABS($H736-$I735)))</f>
        <v>217</v>
      </c>
      <c r="AB736" s="48" t="n">
        <f aca="false">IF($U736&gt;=ATR_PER,AVERAGE(INDEX($AA$616:$AA736,122-ATR_PER):$AA736),"")</f>
        <v>151.5</v>
      </c>
      <c r="AC736" s="48" t="n">
        <f aca="false">$O736-$P736</f>
        <v>-2521231</v>
      </c>
      <c r="AD736" s="48" t="n">
        <f aca="false">$AC736*$I736</f>
        <v>-9479828560</v>
      </c>
      <c r="AE736" s="49" t="n">
        <f aca="false">IF($Q736&gt;0,$O736*$I736/$Q736/1000000,"")</f>
        <v>120.361130516432</v>
      </c>
      <c r="AF736" s="49" t="n">
        <f aca="false">IF($R736&gt;0,$P736*$I736/$R736/1000000,"")</f>
        <v>154.095614525447</v>
      </c>
      <c r="AG736" s="50" t="n">
        <f aca="false">IF(AND(ISNUMBER($AE736),ISNUMBER($AF736),$AF736&gt;0),$AE736/$AF736,"")</f>
        <v>0.781080830152734</v>
      </c>
      <c r="AH736" s="48" t="n">
        <f aca="false">IF($U736&gt;=5,SUM(INDEX($AD$706:$AD736,32-5):$AD736),"")</f>
        <v>-25262920709</v>
      </c>
      <c r="AI736" s="48" t="n">
        <f aca="false">IF($U736&gt;=STRUCT_S,MAX(INDEX($G$586:$G736,152-STRUCT_S):$G736),"")</f>
        <v>4292</v>
      </c>
      <c r="AJ736" s="48" t="n">
        <f aca="false">IF($U736&gt;=STRUCT_S,MIN(INDEX($H$586:$H736,152-STRUCT_S):$H736),"")</f>
        <v>3685</v>
      </c>
      <c r="AK736" s="48" t="n">
        <f aca="false">IF($U736&gt;=STRUCT_L,MAX(INDEX($G$486:$G736,252-STRUCT_L):$G736),"")</f>
        <v>4893</v>
      </c>
      <c r="AL736" s="48" t="n">
        <f aca="false">IF($U736&gt;=STRUCT_L,MIN(INDEX($H$486:$H736,252-STRUCT_L):$H736),"")</f>
        <v>3685</v>
      </c>
      <c r="AM736" s="46" t="n">
        <f aca="false">IF($A736&lt;&gt;$A737,1,0)</f>
        <v>0</v>
      </c>
      <c r="AN736" s="47" t="str">
        <f aca="false">IF($AM736=1,$A736,"")</f>
        <v/>
      </c>
    </row>
    <row r="737" customFormat="false" ht="15" hidden="false" customHeight="false" outlineLevel="0" collapsed="false">
      <c r="A737" s="43" t="s">
        <v>142</v>
      </c>
      <c r="B737" s="44" t="s">
        <v>144</v>
      </c>
      <c r="C737" s="45" t="n">
        <v>46202</v>
      </c>
      <c r="D737" s="46" t="n">
        <v>20260629</v>
      </c>
      <c r="E737" s="47" t="s">
        <v>500</v>
      </c>
      <c r="F737" s="48" t="n">
        <v>3792</v>
      </c>
      <c r="G737" s="48" t="n">
        <v>3865</v>
      </c>
      <c r="H737" s="48" t="n">
        <v>3736</v>
      </c>
      <c r="I737" s="48" t="n">
        <v>3840</v>
      </c>
      <c r="J737" s="48" t="n">
        <v>3736</v>
      </c>
      <c r="K737" s="48" t="n">
        <v>3760</v>
      </c>
      <c r="L737" s="48" t="n">
        <v>56413986</v>
      </c>
      <c r="M737" s="48" t="n">
        <v>216629706240</v>
      </c>
      <c r="N737" s="48" t="n">
        <v>1500</v>
      </c>
      <c r="O737" s="48" t="n">
        <v>34446268</v>
      </c>
      <c r="P737" s="48" t="n">
        <v>22724252</v>
      </c>
      <c r="Q737" s="48" t="n">
        <v>640</v>
      </c>
      <c r="R737" s="48" t="n">
        <v>755</v>
      </c>
      <c r="S737" s="48" t="n">
        <v>21967718</v>
      </c>
      <c r="T737" s="48" t="n">
        <v>33689734</v>
      </c>
      <c r="U737" s="46" t="n">
        <f aca="false">IF($A737=$A736,$U736+1,1)</f>
        <v>213</v>
      </c>
      <c r="V737" s="48" t="n">
        <f aca="false">IF($U737&gt;=MA_SHORT,AVERAGE(INDEX($I$337:$I737,402-MA_SHORT):$I737),"")</f>
        <v>3979.75</v>
      </c>
      <c r="W737" s="48" t="n">
        <f aca="false">IF($U737&gt;=MA_MED,AVERAGE(INDEX($I$337:$I737,402-MA_MED):$I737),"")</f>
        <v>4190.4</v>
      </c>
      <c r="X737" s="48" t="n">
        <f aca="false">IF($U737&gt;=MA_LONG1,AVERAGE(INDEX($I$337:$I737,402-MA_LONG1):$I737),"")</f>
        <v>4239.7</v>
      </c>
      <c r="Y737" s="48" t="n">
        <f aca="false">IF($U737&gt;=MA_LONG2,AVERAGE(INDEX($I$337:$I737,402-MA_LONG2):$I737),"")</f>
        <v>3942.46</v>
      </c>
      <c r="Z737" s="48" t="n">
        <f aca="false">IF($U737&gt;=MA_SHORT,AVERAGE(INDEX($L$617:$L737,122-MA_SHORT):$L737),"")</f>
        <v>64479014.8</v>
      </c>
      <c r="AA737" s="48" t="n">
        <f aca="false">IF($U737=1,$G737-$H737,MAX($G737-$H737,ABS($G737-$I736),ABS($H737-$I736)))</f>
        <v>129</v>
      </c>
      <c r="AB737" s="48" t="n">
        <f aca="false">IF($U737&gt;=ATR_PER,AVERAGE(INDEX($AA$617:$AA737,122-ATR_PER):$AA737),"")</f>
        <v>146.714285714286</v>
      </c>
      <c r="AC737" s="48" t="n">
        <f aca="false">$O737-$P737</f>
        <v>11722016</v>
      </c>
      <c r="AD737" s="48" t="n">
        <f aca="false">$AC737*$I737</f>
        <v>45012541440</v>
      </c>
      <c r="AE737" s="49" t="n">
        <f aca="false">IF($Q737&gt;0,$O737*$I737/$Q737/1000000,"")</f>
        <v>206.677608</v>
      </c>
      <c r="AF737" s="49" t="n">
        <f aca="false">IF($R737&gt;0,$P737*$I737/$R737/1000000,"")</f>
        <v>115.577652556291</v>
      </c>
      <c r="AG737" s="50" t="n">
        <f aca="false">IF(AND(ISNUMBER($AE737),ISNUMBER($AF737),$AF737&gt;0),$AE737/$AF737,"")</f>
        <v>1.78821427351052</v>
      </c>
      <c r="AH737" s="48" t="n">
        <f aca="false">IF($U737&gt;=5,SUM(INDEX($AD$707:$AD737,32-5):$AD737),"")</f>
        <v>-11727869867</v>
      </c>
      <c r="AI737" s="48" t="n">
        <f aca="false">IF($U737&gt;=STRUCT_S,MAX(INDEX($G$587:$G737,152-STRUCT_S):$G737),"")</f>
        <v>4292</v>
      </c>
      <c r="AJ737" s="48" t="n">
        <f aca="false">IF($U737&gt;=STRUCT_S,MIN(INDEX($H$587:$H737,152-STRUCT_S):$H737),"")</f>
        <v>3685</v>
      </c>
      <c r="AK737" s="48" t="n">
        <f aca="false">IF($U737&gt;=STRUCT_L,MAX(INDEX($G$487:$G737,252-STRUCT_L):$G737),"")</f>
        <v>4893</v>
      </c>
      <c r="AL737" s="48" t="n">
        <f aca="false">IF($U737&gt;=STRUCT_L,MIN(INDEX($H$487:$H737,252-STRUCT_L):$H737),"")</f>
        <v>3685</v>
      </c>
      <c r="AM737" s="46" t="n">
        <f aca="false">IF($A737&lt;&gt;$A738,1,0)</f>
        <v>0</v>
      </c>
      <c r="AN737" s="47" t="str">
        <f aca="false">IF($AM737=1,$A737,"")</f>
        <v/>
      </c>
    </row>
    <row r="738" customFormat="false" ht="15" hidden="false" customHeight="false" outlineLevel="0" collapsed="false">
      <c r="A738" s="43" t="s">
        <v>142</v>
      </c>
      <c r="B738" s="44" t="s">
        <v>144</v>
      </c>
      <c r="C738" s="45" t="n">
        <v>46203</v>
      </c>
      <c r="D738" s="46" t="n">
        <v>20260630</v>
      </c>
      <c r="E738" s="47" t="s">
        <v>501</v>
      </c>
      <c r="F738" s="48" t="n">
        <v>3845</v>
      </c>
      <c r="G738" s="48" t="n">
        <v>4124</v>
      </c>
      <c r="H738" s="48" t="n">
        <v>3712</v>
      </c>
      <c r="I738" s="48" t="n">
        <v>3991</v>
      </c>
      <c r="J738" s="48" t="n">
        <v>3753</v>
      </c>
      <c r="K738" s="48" t="n">
        <v>3840</v>
      </c>
      <c r="L738" s="48" t="n">
        <v>61830859</v>
      </c>
      <c r="M738" s="48" t="n">
        <v>246766958269</v>
      </c>
      <c r="N738" s="48" t="n">
        <v>1752</v>
      </c>
      <c r="O738" s="48" t="n">
        <v>41685507</v>
      </c>
      <c r="P738" s="48" t="n">
        <v>12366171</v>
      </c>
      <c r="Q738" s="48" t="n">
        <v>655</v>
      </c>
      <c r="R738" s="48" t="n">
        <v>781</v>
      </c>
      <c r="S738" s="48" t="n">
        <v>20145352</v>
      </c>
      <c r="T738" s="48" t="n">
        <v>49464688</v>
      </c>
      <c r="U738" s="46" t="n">
        <f aca="false">IF($A738=$A737,$U737+1,1)</f>
        <v>214</v>
      </c>
      <c r="V738" s="48" t="n">
        <f aca="false">IF($U738&gt;=MA_SHORT,AVERAGE(INDEX($I$338:$I738,402-MA_SHORT):$I738),"")</f>
        <v>3973.55</v>
      </c>
      <c r="W738" s="48" t="n">
        <f aca="false">IF($U738&gt;=MA_MED,AVERAGE(INDEX($I$338:$I738,402-MA_MED):$I738),"")</f>
        <v>4175.24</v>
      </c>
      <c r="X738" s="48" t="n">
        <f aca="false">IF($U738&gt;=MA_LONG1,AVERAGE(INDEX($I$338:$I738,402-MA_LONG1):$I738),"")</f>
        <v>4237.7</v>
      </c>
      <c r="Y738" s="48" t="n">
        <f aca="false">IF($U738&gt;=MA_LONG2,AVERAGE(INDEX($I$338:$I738,402-MA_LONG2):$I738),"")</f>
        <v>3945.12</v>
      </c>
      <c r="Z738" s="48" t="n">
        <f aca="false">IF($U738&gt;=MA_SHORT,AVERAGE(INDEX($L$618:$L738,122-MA_SHORT):$L738),"")</f>
        <v>64956964.95</v>
      </c>
      <c r="AA738" s="48" t="n">
        <f aca="false">IF($U738=1,$G738-$H738,MAX($G738-$H738,ABS($G738-$I737),ABS($H738-$I737)))</f>
        <v>412</v>
      </c>
      <c r="AB738" s="48" t="n">
        <f aca="false">IF($U738&gt;=ATR_PER,AVERAGE(INDEX($AA$618:$AA738,122-ATR_PER):$AA738),"")</f>
        <v>167.857142857143</v>
      </c>
      <c r="AC738" s="48" t="n">
        <f aca="false">$O738-$P738</f>
        <v>29319336</v>
      </c>
      <c r="AD738" s="48" t="n">
        <f aca="false">$AC738*$I738</f>
        <v>117013469976</v>
      </c>
      <c r="AE738" s="49" t="n">
        <f aca="false">IF($Q738&gt;0,$O738*$I738/$Q738/1000000,"")</f>
        <v>253.995203720611</v>
      </c>
      <c r="AF738" s="49" t="n">
        <f aca="false">IF($R738&gt;0,$P738*$I738/$R738/1000000,"")</f>
        <v>63.1925588489117</v>
      </c>
      <c r="AG738" s="50" t="n">
        <f aca="false">IF(AND(ISNUMBER($AE738),ISNUMBER($AF738),$AF738&gt;0),$AE738/$AF738,"")</f>
        <v>4.01938469255364</v>
      </c>
      <c r="AH738" s="48" t="n">
        <f aca="false">IF($U738&gt;=5,SUM(INDEX($AD$708:$AD738,32-5):$AD738),"")</f>
        <v>127055588701</v>
      </c>
      <c r="AI738" s="48" t="n">
        <f aca="false">IF($U738&gt;=STRUCT_S,MAX(INDEX($G$588:$G738,152-STRUCT_S):$G738),"")</f>
        <v>4292</v>
      </c>
      <c r="AJ738" s="48" t="n">
        <f aca="false">IF($U738&gt;=STRUCT_S,MIN(INDEX($H$588:$H738,152-STRUCT_S):$H738),"")</f>
        <v>3685</v>
      </c>
      <c r="AK738" s="48" t="n">
        <f aca="false">IF($U738&gt;=STRUCT_L,MAX(INDEX($G$488:$G738,252-STRUCT_L):$G738),"")</f>
        <v>4893</v>
      </c>
      <c r="AL738" s="48" t="n">
        <f aca="false">IF($U738&gt;=STRUCT_L,MIN(INDEX($H$488:$H738,252-STRUCT_L):$H738),"")</f>
        <v>3685</v>
      </c>
      <c r="AM738" s="46" t="n">
        <f aca="false">IF($A738&lt;&gt;$A739,1,0)</f>
        <v>0</v>
      </c>
      <c r="AN738" s="47" t="str">
        <f aca="false">IF($AM738=1,$A738,"")</f>
        <v/>
      </c>
    </row>
    <row r="739" customFormat="false" ht="15" hidden="false" customHeight="false" outlineLevel="0" collapsed="false">
      <c r="A739" s="43" t="s">
        <v>142</v>
      </c>
      <c r="B739" s="44" t="s">
        <v>144</v>
      </c>
      <c r="C739" s="45" t="n">
        <v>46204</v>
      </c>
      <c r="D739" s="46" t="n">
        <v>20260701</v>
      </c>
      <c r="E739" s="47" t="s">
        <v>502</v>
      </c>
      <c r="F739" s="48" t="n">
        <v>4007</v>
      </c>
      <c r="G739" s="48" t="n">
        <v>4206</v>
      </c>
      <c r="H739" s="48" t="n">
        <v>3923</v>
      </c>
      <c r="I739" s="48" t="n">
        <v>4136</v>
      </c>
      <c r="J739" s="48" t="n">
        <v>4123</v>
      </c>
      <c r="K739" s="48" t="n">
        <v>3991</v>
      </c>
      <c r="L739" s="48" t="n">
        <v>60933015</v>
      </c>
      <c r="M739" s="48" t="n">
        <v>252018950040</v>
      </c>
      <c r="N739" s="48" t="n">
        <v>2364</v>
      </c>
      <c r="O739" s="48" t="n">
        <v>39135446</v>
      </c>
      <c r="P739" s="48" t="n">
        <v>23447302</v>
      </c>
      <c r="Q739" s="48" t="n">
        <v>827</v>
      </c>
      <c r="R739" s="48" t="n">
        <v>1132</v>
      </c>
      <c r="S739" s="48" t="n">
        <v>21797569</v>
      </c>
      <c r="T739" s="48" t="n">
        <v>37485713</v>
      </c>
      <c r="U739" s="46" t="n">
        <f aca="false">IF($A739=$A738,$U738+1,1)</f>
        <v>215</v>
      </c>
      <c r="V739" s="48" t="n">
        <f aca="false">IF($U739&gt;=MA_SHORT,AVERAGE(INDEX($I$339:$I739,402-MA_SHORT):$I739),"")</f>
        <v>3978.45</v>
      </c>
      <c r="W739" s="48" t="n">
        <f aca="false">IF($U739&gt;=MA_MED,AVERAGE(INDEX($I$339:$I739,402-MA_MED):$I739),"")</f>
        <v>4162.04</v>
      </c>
      <c r="X739" s="48" t="n">
        <f aca="false">IF($U739&gt;=MA_LONG1,AVERAGE(INDEX($I$339:$I739,402-MA_LONG1):$I739),"")</f>
        <v>4238.43</v>
      </c>
      <c r="Y739" s="48" t="n">
        <f aca="false">IF($U739&gt;=MA_LONG2,AVERAGE(INDEX($I$339:$I739,402-MA_LONG2):$I739),"")</f>
        <v>3948.59</v>
      </c>
      <c r="Z739" s="48" t="n">
        <f aca="false">IF($U739&gt;=MA_SHORT,AVERAGE(INDEX($L$619:$L739,122-MA_SHORT):$L739),"")</f>
        <v>64727823.8</v>
      </c>
      <c r="AA739" s="48" t="n">
        <f aca="false">IF($U739=1,$G739-$H739,MAX($G739-$H739,ABS($G739-$I738),ABS($H739-$I738)))</f>
        <v>283</v>
      </c>
      <c r="AB739" s="48" t="n">
        <f aca="false">IF($U739&gt;=ATR_PER,AVERAGE(INDEX($AA$619:$AA739,122-ATR_PER):$AA739),"")</f>
        <v>172.642857142857</v>
      </c>
      <c r="AC739" s="48" t="n">
        <f aca="false">$O739-$P739</f>
        <v>15688144</v>
      </c>
      <c r="AD739" s="48" t="n">
        <f aca="false">$AC739*$I739</f>
        <v>64886163584</v>
      </c>
      <c r="AE739" s="49" t="n">
        <f aca="false">IF($Q739&gt;0,$O739*$I739/$Q739/1000000,"")</f>
        <v>195.724552183797</v>
      </c>
      <c r="AF739" s="49" t="n">
        <f aca="false">IF($R739&gt;0,$P739*$I739/$R739/1000000,"")</f>
        <v>85.669647590106</v>
      </c>
      <c r="AG739" s="50" t="n">
        <f aca="false">IF(AND(ISNUMBER($AE739),ISNUMBER($AF739),$AF739&gt;0),$AE739/$AF739,"")</f>
        <v>2.28464290083529</v>
      </c>
      <c r="AH739" s="48" t="n">
        <f aca="false">IF($U739&gt;=5,SUM(INDEX($AD$709:$AD739,32-5):$AD739),"")</f>
        <v>183547838065</v>
      </c>
      <c r="AI739" s="48" t="n">
        <f aca="false">IF($U739&gt;=STRUCT_S,MAX(INDEX($G$589:$G739,152-STRUCT_S):$G739),"")</f>
        <v>4292</v>
      </c>
      <c r="AJ739" s="48" t="n">
        <f aca="false">IF($U739&gt;=STRUCT_S,MIN(INDEX($H$589:$H739,152-STRUCT_S):$H739),"")</f>
        <v>3685</v>
      </c>
      <c r="AK739" s="48" t="n">
        <f aca="false">IF($U739&gt;=STRUCT_L,MAX(INDEX($G$489:$G739,252-STRUCT_L):$G739),"")</f>
        <v>4893</v>
      </c>
      <c r="AL739" s="48" t="n">
        <f aca="false">IF($U739&gt;=STRUCT_L,MIN(INDEX($H$489:$H739,252-STRUCT_L):$H739),"")</f>
        <v>3685</v>
      </c>
      <c r="AM739" s="46" t="n">
        <f aca="false">IF($A739&lt;&gt;$A740,1,0)</f>
        <v>0</v>
      </c>
      <c r="AN739" s="47" t="str">
        <f aca="false">IF($AM739=1,$A739,"")</f>
        <v/>
      </c>
    </row>
    <row r="740" customFormat="false" ht="15" hidden="false" customHeight="false" outlineLevel="0" collapsed="false">
      <c r="A740" s="43" t="s">
        <v>142</v>
      </c>
      <c r="B740" s="44" t="s">
        <v>144</v>
      </c>
      <c r="C740" s="45" t="n">
        <v>46207</v>
      </c>
      <c r="D740" s="46" t="n">
        <v>20260704</v>
      </c>
      <c r="E740" s="47" t="s">
        <v>503</v>
      </c>
      <c r="F740" s="48" t="n">
        <v>4057</v>
      </c>
      <c r="G740" s="48" t="n">
        <v>4173</v>
      </c>
      <c r="H740" s="48" t="n">
        <v>4044</v>
      </c>
      <c r="I740" s="48" t="n">
        <v>4081</v>
      </c>
      <c r="J740" s="48" t="n">
        <v>4059</v>
      </c>
      <c r="K740" s="48" t="n">
        <v>4136</v>
      </c>
      <c r="L740" s="48" t="n">
        <v>54019052</v>
      </c>
      <c r="M740" s="48" t="n">
        <v>220451751212</v>
      </c>
      <c r="N740" s="48" t="n">
        <v>2906</v>
      </c>
      <c r="O740" s="48" t="n">
        <v>28056778</v>
      </c>
      <c r="P740" s="48" t="n">
        <v>22995175</v>
      </c>
      <c r="Q740" s="48" t="n">
        <v>1719</v>
      </c>
      <c r="R740" s="48" t="n">
        <v>1401</v>
      </c>
      <c r="S740" s="48" t="n">
        <v>25962274</v>
      </c>
      <c r="T740" s="48" t="n">
        <v>31023877</v>
      </c>
      <c r="U740" s="46" t="n">
        <f aca="false">IF($A740=$A739,$U739+1,1)</f>
        <v>216</v>
      </c>
      <c r="V740" s="48" t="n">
        <f aca="false">IF($U740&gt;=MA_SHORT,AVERAGE(INDEX($I$340:$I740,402-MA_SHORT):$I740),"")</f>
        <v>3982.9</v>
      </c>
      <c r="W740" s="48" t="n">
        <f aca="false">IF($U740&gt;=MA_MED,AVERAGE(INDEX($I$340:$I740,402-MA_MED):$I740),"")</f>
        <v>4149.52</v>
      </c>
      <c r="X740" s="48" t="n">
        <f aca="false">IF($U740&gt;=MA_LONG1,AVERAGE(INDEX($I$340:$I740,402-MA_LONG1):$I740),"")</f>
        <v>4240.05</v>
      </c>
      <c r="Y740" s="48" t="n">
        <f aca="false">IF($U740&gt;=MA_LONG2,AVERAGE(INDEX($I$340:$I740,402-MA_LONG2):$I740),"")</f>
        <v>3951.395</v>
      </c>
      <c r="Z740" s="48" t="n">
        <f aca="false">IF($U740&gt;=MA_SHORT,AVERAGE(INDEX($L$620:$L740,122-MA_SHORT):$L740),"")</f>
        <v>63391897.2</v>
      </c>
      <c r="AA740" s="48" t="n">
        <f aca="false">IF($U740=1,$G740-$H740,MAX($G740-$H740,ABS($G740-$I739),ABS($H740-$I739)))</f>
        <v>129</v>
      </c>
      <c r="AB740" s="48" t="n">
        <f aca="false">IF($U740&gt;=ATR_PER,AVERAGE(INDEX($AA$620:$AA740,122-ATR_PER):$AA740),"")</f>
        <v>176.571428571429</v>
      </c>
      <c r="AC740" s="48" t="n">
        <f aca="false">$O740-$P740</f>
        <v>5061603</v>
      </c>
      <c r="AD740" s="48" t="n">
        <f aca="false">$AC740*$I740</f>
        <v>20656401843</v>
      </c>
      <c r="AE740" s="49" t="n">
        <f aca="false">IF($Q740&gt;0,$O740*$I740/$Q740/1000000,"")</f>
        <v>66.6083251995346</v>
      </c>
      <c r="AF740" s="49" t="n">
        <f aca="false">IF($R740&gt;0,$P740*$I740/$R740/1000000,"")</f>
        <v>66.983090060671</v>
      </c>
      <c r="AG740" s="50" t="n">
        <f aca="false">IF(AND(ISNUMBER($AE740),ISNUMBER($AF740),$AF740&gt;0),$AE740/$AF740,"")</f>
        <v>0.994405082524606</v>
      </c>
      <c r="AH740" s="48" t="n">
        <f aca="false">IF($U740&gt;=5,SUM(INDEX($AD$710:$AD740,32-5):$AD740),"")</f>
        <v>238088748283</v>
      </c>
      <c r="AI740" s="48" t="n">
        <f aca="false">IF($U740&gt;=STRUCT_S,MAX(INDEX($G$590:$G740,152-STRUCT_S):$G740),"")</f>
        <v>4292</v>
      </c>
      <c r="AJ740" s="48" t="n">
        <f aca="false">IF($U740&gt;=STRUCT_S,MIN(INDEX($H$590:$H740,152-STRUCT_S):$H740),"")</f>
        <v>3685</v>
      </c>
      <c r="AK740" s="48" t="n">
        <f aca="false">IF($U740&gt;=STRUCT_L,MAX(INDEX($G$490:$G740,252-STRUCT_L):$G740),"")</f>
        <v>4893</v>
      </c>
      <c r="AL740" s="48" t="n">
        <f aca="false">IF($U740&gt;=STRUCT_L,MIN(INDEX($H$490:$H740,252-STRUCT_L):$H740),"")</f>
        <v>3685</v>
      </c>
      <c r="AM740" s="46" t="n">
        <f aca="false">IF($A740&lt;&gt;$A741,1,0)</f>
        <v>0</v>
      </c>
      <c r="AN740" s="47" t="str">
        <f aca="false">IF($AM740=1,$A740,"")</f>
        <v/>
      </c>
    </row>
    <row r="741" customFormat="false" ht="15" hidden="false" customHeight="false" outlineLevel="0" collapsed="false">
      <c r="A741" s="43" t="s">
        <v>142</v>
      </c>
      <c r="B741" s="44" t="s">
        <v>144</v>
      </c>
      <c r="C741" s="45" t="n">
        <v>46208</v>
      </c>
      <c r="D741" s="46" t="n">
        <v>20260705</v>
      </c>
      <c r="E741" s="47" t="s">
        <v>504</v>
      </c>
      <c r="F741" s="48" t="n">
        <v>4208</v>
      </c>
      <c r="G741" s="48" t="n">
        <v>4225</v>
      </c>
      <c r="H741" s="48" t="n">
        <v>4045</v>
      </c>
      <c r="I741" s="48" t="n">
        <v>4188</v>
      </c>
      <c r="J741" s="48" t="n">
        <v>4185</v>
      </c>
      <c r="K741" s="48" t="n">
        <v>4081</v>
      </c>
      <c r="L741" s="48" t="n">
        <v>61023364</v>
      </c>
      <c r="M741" s="48" t="n">
        <v>255565848432</v>
      </c>
      <c r="N741" s="48" t="n">
        <v>1366</v>
      </c>
      <c r="O741" s="48" t="n">
        <v>37003923</v>
      </c>
      <c r="P741" s="48" t="n">
        <v>24865661</v>
      </c>
      <c r="Q741" s="48" t="n">
        <v>659</v>
      </c>
      <c r="R741" s="48" t="n">
        <v>626</v>
      </c>
      <c r="S741" s="48" t="n">
        <v>24019441</v>
      </c>
      <c r="T741" s="48" t="n">
        <v>36157703</v>
      </c>
      <c r="U741" s="46" t="n">
        <f aca="false">IF($A741=$A740,$U740+1,1)</f>
        <v>217</v>
      </c>
      <c r="V741" s="48" t="n">
        <f aca="false">IF($U741&gt;=MA_SHORT,AVERAGE(INDEX($I$341:$I741,402-MA_SHORT):$I741),"")</f>
        <v>3986</v>
      </c>
      <c r="W741" s="48" t="n">
        <f aca="false">IF($U741&gt;=MA_MED,AVERAGE(INDEX($I$341:$I741,402-MA_MED):$I741),"")</f>
        <v>4140.26</v>
      </c>
      <c r="X741" s="48" t="n">
        <f aca="false">IF($U741&gt;=MA_LONG1,AVERAGE(INDEX($I$341:$I741,402-MA_LONG1):$I741),"")</f>
        <v>4243.65</v>
      </c>
      <c r="Y741" s="48" t="n">
        <f aca="false">IF($U741&gt;=MA_LONG2,AVERAGE(INDEX($I$341:$I741,402-MA_LONG2):$I741),"")</f>
        <v>3955.24</v>
      </c>
      <c r="Z741" s="48" t="n">
        <f aca="false">IF($U741&gt;=MA_SHORT,AVERAGE(INDEX($L$621:$L741,122-MA_SHORT):$L741),"")</f>
        <v>63431633.95</v>
      </c>
      <c r="AA741" s="48" t="n">
        <f aca="false">IF($U741=1,$G741-$H741,MAX($G741-$H741,ABS($G741-$I740),ABS($H741-$I740)))</f>
        <v>180</v>
      </c>
      <c r="AB741" s="48" t="n">
        <f aca="false">IF($U741&gt;=ATR_PER,AVERAGE(INDEX($AA$621:$AA741,122-ATR_PER):$AA741),"")</f>
        <v>184.785714285714</v>
      </c>
      <c r="AC741" s="48" t="n">
        <f aca="false">$O741-$P741</f>
        <v>12138262</v>
      </c>
      <c r="AD741" s="48" t="n">
        <f aca="false">$AC741*$I741</f>
        <v>50835041256</v>
      </c>
      <c r="AE741" s="49" t="n">
        <f aca="false">IF($Q741&gt;0,$O741*$I741/$Q741/1000000,"")</f>
        <v>235.163019004552</v>
      </c>
      <c r="AF741" s="49" t="n">
        <f aca="false">IF($R741&gt;0,$P741*$I741/$R741/1000000,"")</f>
        <v>166.353655380192</v>
      </c>
      <c r="AG741" s="50" t="n">
        <f aca="false">IF(AND(ISNUMBER($AE741),ISNUMBER($AF741),$AF741&gt;0),$AE741/$AF741,"")</f>
        <v>1.41363301255449</v>
      </c>
      <c r="AH741" s="48" t="n">
        <f aca="false">IF($U741&gt;=5,SUM(INDEX($AD$711:$AD741,32-5):$AD741),"")</f>
        <v>298403618099</v>
      </c>
      <c r="AI741" s="48" t="n">
        <f aca="false">IF($U741&gt;=STRUCT_S,MAX(INDEX($G$591:$G741,152-STRUCT_S):$G741),"")</f>
        <v>4292</v>
      </c>
      <c r="AJ741" s="48" t="n">
        <f aca="false">IF($U741&gt;=STRUCT_S,MIN(INDEX($H$591:$H741,152-STRUCT_S):$H741),"")</f>
        <v>3685</v>
      </c>
      <c r="AK741" s="48" t="n">
        <f aca="false">IF($U741&gt;=STRUCT_L,MAX(INDEX($G$491:$G741,252-STRUCT_L):$G741),"")</f>
        <v>4893</v>
      </c>
      <c r="AL741" s="48" t="n">
        <f aca="false">IF($U741&gt;=STRUCT_L,MIN(INDEX($H$491:$H741,252-STRUCT_L):$H741),"")</f>
        <v>3685</v>
      </c>
      <c r="AM741" s="46" t="n">
        <f aca="false">IF($A741&lt;&gt;$A742,1,0)</f>
        <v>0</v>
      </c>
      <c r="AN741" s="47" t="str">
        <f aca="false">IF($AM741=1,$A741,"")</f>
        <v/>
      </c>
    </row>
    <row r="742" customFormat="false" ht="15" hidden="false" customHeight="false" outlineLevel="0" collapsed="false">
      <c r="A742" s="43" t="s">
        <v>142</v>
      </c>
      <c r="B742" s="44" t="s">
        <v>144</v>
      </c>
      <c r="C742" s="45" t="n">
        <v>46209</v>
      </c>
      <c r="D742" s="46" t="n">
        <v>20260706</v>
      </c>
      <c r="E742" s="47" t="s">
        <v>505</v>
      </c>
      <c r="F742" s="48" t="n">
        <v>4287</v>
      </c>
      <c r="G742" s="48" t="n">
        <v>4344</v>
      </c>
      <c r="H742" s="48" t="n">
        <v>4131</v>
      </c>
      <c r="I742" s="48" t="n">
        <v>4286</v>
      </c>
      <c r="J742" s="48" t="n">
        <v>4208</v>
      </c>
      <c r="K742" s="48" t="n">
        <v>4188</v>
      </c>
      <c r="L742" s="48" t="n">
        <v>57051415</v>
      </c>
      <c r="M742" s="48" t="n">
        <v>244522364690</v>
      </c>
      <c r="N742" s="48" t="n">
        <v>2903</v>
      </c>
      <c r="O742" s="48" t="n">
        <v>33519998</v>
      </c>
      <c r="P742" s="48" t="n">
        <v>23885046</v>
      </c>
      <c r="Q742" s="48" t="n">
        <v>873</v>
      </c>
      <c r="R742" s="48" t="n">
        <v>1662</v>
      </c>
      <c r="S742" s="48" t="n">
        <v>23531417</v>
      </c>
      <c r="T742" s="48" t="n">
        <v>33166369</v>
      </c>
      <c r="U742" s="46" t="n">
        <f aca="false">IF($A742=$A741,$U741+1,1)</f>
        <v>218</v>
      </c>
      <c r="V742" s="48" t="n">
        <f aca="false">IF($U742&gt;=MA_SHORT,AVERAGE(INDEX($I$342:$I742,402-MA_SHORT):$I742),"")</f>
        <v>3990.2</v>
      </c>
      <c r="W742" s="48" t="n">
        <f aca="false">IF($U742&gt;=MA_MED,AVERAGE(INDEX($I$342:$I742,402-MA_MED):$I742),"")</f>
        <v>4132.06</v>
      </c>
      <c r="X742" s="48" t="n">
        <f aca="false">IF($U742&gt;=MA_LONG1,AVERAGE(INDEX($I$342:$I742,402-MA_LONG1):$I742),"")</f>
        <v>4246.96</v>
      </c>
      <c r="Y742" s="48" t="n">
        <f aca="false">IF($U742&gt;=MA_LONG2,AVERAGE(INDEX($I$342:$I742,402-MA_LONG2):$I742),"")</f>
        <v>3959.875</v>
      </c>
      <c r="Z742" s="48" t="n">
        <f aca="false">IF($U742&gt;=MA_SHORT,AVERAGE(INDEX($L$622:$L742,122-MA_SHORT):$L742),"")</f>
        <v>63506381.25</v>
      </c>
      <c r="AA742" s="48" t="n">
        <f aca="false">IF($U742=1,$G742-$H742,MAX($G742-$H742,ABS($G742-$I741),ABS($H742-$I741)))</f>
        <v>213</v>
      </c>
      <c r="AB742" s="48" t="n">
        <f aca="false">IF($U742&gt;=ATR_PER,AVERAGE(INDEX($AA$622:$AA742,122-ATR_PER):$AA742),"")</f>
        <v>186.571428571429</v>
      </c>
      <c r="AC742" s="48" t="n">
        <f aca="false">$O742-$P742</f>
        <v>9634952</v>
      </c>
      <c r="AD742" s="48" t="n">
        <f aca="false">$AC742*$I742</f>
        <v>41295404272</v>
      </c>
      <c r="AE742" s="49" t="n">
        <f aca="false">IF($Q742&gt;0,$O742*$I742/$Q742/1000000,"")</f>
        <v>164.566679757159</v>
      </c>
      <c r="AF742" s="49" t="n">
        <f aca="false">IF($R742&gt;0,$P742*$I742/$R742/1000000,"")</f>
        <v>61.5952509963899</v>
      </c>
      <c r="AG742" s="50" t="n">
        <f aca="false">IF(AND(ISNUMBER($AE742),ISNUMBER($AF742),$AF742&gt;0),$AE742/$AF742,"")</f>
        <v>2.67174298497143</v>
      </c>
      <c r="AH742" s="48" t="n">
        <f aca="false">IF($U742&gt;=5,SUM(INDEX($AD$712:$AD742,32-5):$AD742),"")</f>
        <v>294686480931</v>
      </c>
      <c r="AI742" s="48" t="n">
        <f aca="false">IF($U742&gt;=STRUCT_S,MAX(INDEX($G$592:$G742,152-STRUCT_S):$G742),"")</f>
        <v>4344</v>
      </c>
      <c r="AJ742" s="48" t="n">
        <f aca="false">IF($U742&gt;=STRUCT_S,MIN(INDEX($H$592:$H742,152-STRUCT_S):$H742),"")</f>
        <v>3685</v>
      </c>
      <c r="AK742" s="48" t="n">
        <f aca="false">IF($U742&gt;=STRUCT_L,MAX(INDEX($G$492:$G742,252-STRUCT_L):$G742),"")</f>
        <v>4893</v>
      </c>
      <c r="AL742" s="48" t="n">
        <f aca="false">IF($U742&gt;=STRUCT_L,MIN(INDEX($H$492:$H742,252-STRUCT_L):$H742),"")</f>
        <v>3685</v>
      </c>
      <c r="AM742" s="46" t="n">
        <f aca="false">IF($A742&lt;&gt;$A743,1,0)</f>
        <v>0</v>
      </c>
      <c r="AN742" s="47" t="str">
        <f aca="false">IF($AM742=1,$A742,"")</f>
        <v/>
      </c>
    </row>
    <row r="743" customFormat="false" ht="15" hidden="false" customHeight="false" outlineLevel="0" collapsed="false">
      <c r="A743" s="43" t="s">
        <v>142</v>
      </c>
      <c r="B743" s="44" t="s">
        <v>144</v>
      </c>
      <c r="C743" s="45" t="n">
        <v>46210</v>
      </c>
      <c r="D743" s="46" t="n">
        <v>20260707</v>
      </c>
      <c r="E743" s="47" t="s">
        <v>506</v>
      </c>
      <c r="F743" s="48" t="n">
        <v>4313</v>
      </c>
      <c r="G743" s="48" t="n">
        <v>4565</v>
      </c>
      <c r="H743" s="48" t="n">
        <v>4206</v>
      </c>
      <c r="I743" s="48" t="n">
        <v>4481</v>
      </c>
      <c r="J743" s="48" t="n">
        <v>4416</v>
      </c>
      <c r="K743" s="48" t="n">
        <v>4286</v>
      </c>
      <c r="L743" s="48" t="n">
        <v>76499328</v>
      </c>
      <c r="M743" s="48" t="n">
        <v>342793488768</v>
      </c>
      <c r="N743" s="48" t="n">
        <v>2713</v>
      </c>
      <c r="O743" s="48" t="n">
        <v>52823331</v>
      </c>
      <c r="P743" s="48" t="n">
        <v>25544827</v>
      </c>
      <c r="Q743" s="48" t="n">
        <v>951</v>
      </c>
      <c r="R743" s="48" t="n">
        <v>1005</v>
      </c>
      <c r="S743" s="48" t="n">
        <v>23675997</v>
      </c>
      <c r="T743" s="48" t="n">
        <v>50954501</v>
      </c>
      <c r="U743" s="46" t="n">
        <f aca="false">IF($A743=$A742,$U742+1,1)</f>
        <v>219</v>
      </c>
      <c r="V743" s="48" t="n">
        <f aca="false">IF($U743&gt;=MA_SHORT,AVERAGE(INDEX($I$343:$I743,402-MA_SHORT):$I743),"")</f>
        <v>4005</v>
      </c>
      <c r="W743" s="48" t="n">
        <f aca="false">IF($U743&gt;=MA_MED,AVERAGE(INDEX($I$343:$I743,402-MA_MED):$I743),"")</f>
        <v>4126.14</v>
      </c>
      <c r="X743" s="48" t="n">
        <f aca="false">IF($U743&gt;=MA_LONG1,AVERAGE(INDEX($I$343:$I743,402-MA_LONG1):$I743),"")</f>
        <v>4252.31</v>
      </c>
      <c r="Y743" s="48" t="n">
        <f aca="false">IF($U743&gt;=MA_LONG2,AVERAGE(INDEX($I$343:$I743,402-MA_LONG2):$I743),"")</f>
        <v>3965.33</v>
      </c>
      <c r="Z743" s="48" t="n">
        <f aca="false">IF($U743&gt;=MA_SHORT,AVERAGE(INDEX($L$623:$L743,122-MA_SHORT):$L743),"")</f>
        <v>64769254.05</v>
      </c>
      <c r="AA743" s="48" t="n">
        <f aca="false">IF($U743=1,$G743-$H743,MAX($G743-$H743,ABS($G743-$I742),ABS($H743-$I742)))</f>
        <v>359</v>
      </c>
      <c r="AB743" s="48" t="n">
        <f aca="false">IF($U743&gt;=ATR_PER,AVERAGE(INDEX($AA$623:$AA743,122-ATR_PER):$AA743),"")</f>
        <v>200.285714285714</v>
      </c>
      <c r="AC743" s="48" t="n">
        <f aca="false">$O743-$P743</f>
        <v>27278504</v>
      </c>
      <c r="AD743" s="48" t="n">
        <f aca="false">$AC743*$I743</f>
        <v>122234976424</v>
      </c>
      <c r="AE743" s="49" t="n">
        <f aca="false">IF($Q743&gt;0,$O743*$I743/$Q743/1000000,"")</f>
        <v>248.89731462776</v>
      </c>
      <c r="AF743" s="49" t="n">
        <f aca="false">IF($R743&gt;0,$P743*$I743/$R743/1000000,"")</f>
        <v>113.896885360199</v>
      </c>
      <c r="AG743" s="50" t="n">
        <f aca="false">IF(AND(ISNUMBER($AE743),ISNUMBER($AF743),$AF743&gt;0),$AE743/$AF743,"")</f>
        <v>2.18528640041931</v>
      </c>
      <c r="AH743" s="48" t="n">
        <f aca="false">IF($U743&gt;=5,SUM(INDEX($AD$713:$AD743,32-5):$AD743),"")</f>
        <v>299907987379</v>
      </c>
      <c r="AI743" s="48" t="n">
        <f aca="false">IF($U743&gt;=STRUCT_S,MAX(INDEX($G$593:$G743,152-STRUCT_S):$G743),"")</f>
        <v>4565</v>
      </c>
      <c r="AJ743" s="48" t="n">
        <f aca="false">IF($U743&gt;=STRUCT_S,MIN(INDEX($H$593:$H743,152-STRUCT_S):$H743),"")</f>
        <v>3685</v>
      </c>
      <c r="AK743" s="48" t="n">
        <f aca="false">IF($U743&gt;=STRUCT_L,MAX(INDEX($G$493:$G743,252-STRUCT_L):$G743),"")</f>
        <v>4893</v>
      </c>
      <c r="AL743" s="48" t="n">
        <f aca="false">IF($U743&gt;=STRUCT_L,MIN(INDEX($H$493:$H743,252-STRUCT_L):$H743),"")</f>
        <v>3685</v>
      </c>
      <c r="AM743" s="46" t="n">
        <f aca="false">IF($A743&lt;&gt;$A744,1,0)</f>
        <v>0</v>
      </c>
      <c r="AN743" s="47" t="str">
        <f aca="false">IF($AM743=1,$A743,"")</f>
        <v/>
      </c>
    </row>
    <row r="744" customFormat="false" ht="15" hidden="false" customHeight="false" outlineLevel="0" collapsed="false">
      <c r="A744" s="43" t="s">
        <v>142</v>
      </c>
      <c r="B744" s="44" t="s">
        <v>144</v>
      </c>
      <c r="C744" s="45" t="n">
        <v>46211</v>
      </c>
      <c r="D744" s="46" t="n">
        <v>20260708</v>
      </c>
      <c r="E744" s="47" t="s">
        <v>507</v>
      </c>
      <c r="F744" s="48" t="n">
        <v>4518</v>
      </c>
      <c r="G744" s="48" t="n">
        <v>4572</v>
      </c>
      <c r="H744" s="48" t="n">
        <v>4276</v>
      </c>
      <c r="I744" s="48" t="n">
        <v>4365</v>
      </c>
      <c r="J744" s="48" t="n">
        <v>4338</v>
      </c>
      <c r="K744" s="48" t="n">
        <v>4481</v>
      </c>
      <c r="L744" s="48" t="n">
        <v>70950706</v>
      </c>
      <c r="M744" s="48" t="n">
        <v>309699831690</v>
      </c>
      <c r="N744" s="48" t="n">
        <v>2678</v>
      </c>
      <c r="O744" s="48" t="n">
        <v>33269279</v>
      </c>
      <c r="P744" s="48" t="n">
        <v>40701187</v>
      </c>
      <c r="Q744" s="48" t="n">
        <v>997</v>
      </c>
      <c r="R744" s="48" t="n">
        <v>1004</v>
      </c>
      <c r="S744" s="48" t="n">
        <v>37681427</v>
      </c>
      <c r="T744" s="48" t="n">
        <v>30249519</v>
      </c>
      <c r="U744" s="46" t="n">
        <f aca="false">IF($A744=$A743,$U743+1,1)</f>
        <v>220</v>
      </c>
      <c r="V744" s="48" t="n">
        <f aca="false">IF($U744&gt;=MA_SHORT,AVERAGE(INDEX($I$344:$I744,402-MA_SHORT):$I744),"")</f>
        <v>4018.5</v>
      </c>
      <c r="W744" s="48" t="n">
        <f aca="false">IF($U744&gt;=MA_MED,AVERAGE(INDEX($I$344:$I744,402-MA_MED):$I744),"")</f>
        <v>4117.34</v>
      </c>
      <c r="X744" s="48" t="n">
        <f aca="false">IF($U744&gt;=MA_LONG1,AVERAGE(INDEX($I$344:$I744,402-MA_LONG1):$I744),"")</f>
        <v>4256.8</v>
      </c>
      <c r="Y744" s="48" t="n">
        <f aca="false">IF($U744&gt;=MA_LONG2,AVERAGE(INDEX($I$344:$I744,402-MA_LONG2):$I744),"")</f>
        <v>3970.16</v>
      </c>
      <c r="Z744" s="48" t="n">
        <f aca="false">IF($U744&gt;=MA_SHORT,AVERAGE(INDEX($L$624:$L744,122-MA_SHORT):$L744),"")</f>
        <v>64773985.6</v>
      </c>
      <c r="AA744" s="48" t="n">
        <f aca="false">IF($U744=1,$G744-$H744,MAX($G744-$H744,ABS($G744-$I743),ABS($H744-$I743)))</f>
        <v>296</v>
      </c>
      <c r="AB744" s="48" t="n">
        <f aca="false">IF($U744&gt;=ATR_PER,AVERAGE(INDEX($AA$624:$AA744,122-ATR_PER):$AA744),"")</f>
        <v>208.214285714286</v>
      </c>
      <c r="AC744" s="48" t="n">
        <f aca="false">$O744-$P744</f>
        <v>-7431908</v>
      </c>
      <c r="AD744" s="48" t="n">
        <f aca="false">$AC744*$I744</f>
        <v>-32440278420</v>
      </c>
      <c r="AE744" s="49" t="n">
        <f aca="false">IF($Q744&gt;0,$O744*$I744/$Q744/1000000,"")</f>
        <v>145.65737495988</v>
      </c>
      <c r="AF744" s="49" t="n">
        <f aca="false">IF($R744&gt;0,$P744*$I744/$R744/1000000,"")</f>
        <v>176.952869775896</v>
      </c>
      <c r="AG744" s="50" t="n">
        <f aca="false">IF(AND(ISNUMBER($AE744),ISNUMBER($AF744),$AF744&gt;0),$AE744/$AF744,"")</f>
        <v>0.82314220246526</v>
      </c>
      <c r="AH744" s="48" t="n">
        <f aca="false">IF($U744&gt;=5,SUM(INDEX($AD$714:$AD744,32-5):$AD744),"")</f>
        <v>202581545375</v>
      </c>
      <c r="AI744" s="48" t="n">
        <f aca="false">IF($U744&gt;=STRUCT_S,MAX(INDEX($G$594:$G744,152-STRUCT_S):$G744),"")</f>
        <v>4572</v>
      </c>
      <c r="AJ744" s="48" t="n">
        <f aca="false">IF($U744&gt;=STRUCT_S,MIN(INDEX($H$594:$H744,152-STRUCT_S):$H744),"")</f>
        <v>3685</v>
      </c>
      <c r="AK744" s="48" t="n">
        <f aca="false">IF($U744&gt;=STRUCT_L,MAX(INDEX($G$494:$G744,252-STRUCT_L):$G744),"")</f>
        <v>4893</v>
      </c>
      <c r="AL744" s="48" t="n">
        <f aca="false">IF($U744&gt;=STRUCT_L,MIN(INDEX($H$494:$H744,252-STRUCT_L):$H744),"")</f>
        <v>3685</v>
      </c>
      <c r="AM744" s="46" t="n">
        <f aca="false">IF($A744&lt;&gt;$A745,1,0)</f>
        <v>0</v>
      </c>
      <c r="AN744" s="47" t="str">
        <f aca="false">IF($AM744=1,$A744,"")</f>
        <v/>
      </c>
    </row>
    <row r="745" customFormat="false" ht="15" hidden="false" customHeight="false" outlineLevel="0" collapsed="false">
      <c r="A745" s="43" t="s">
        <v>142</v>
      </c>
      <c r="B745" s="44" t="s">
        <v>144</v>
      </c>
      <c r="C745" s="45" t="n">
        <v>46214</v>
      </c>
      <c r="D745" s="46" t="n">
        <v>20260711</v>
      </c>
      <c r="E745" s="47" t="s">
        <v>508</v>
      </c>
      <c r="F745" s="48" t="n">
        <v>4313</v>
      </c>
      <c r="G745" s="48" t="n">
        <v>4479</v>
      </c>
      <c r="H745" s="48" t="n">
        <v>4294</v>
      </c>
      <c r="I745" s="48" t="n">
        <v>4407</v>
      </c>
      <c r="J745" s="48" t="n">
        <v>4398</v>
      </c>
      <c r="K745" s="48" t="n">
        <v>4365</v>
      </c>
      <c r="L745" s="48" t="n">
        <v>77644033</v>
      </c>
      <c r="M745" s="48" t="n">
        <v>342177253431</v>
      </c>
      <c r="N745" s="48" t="n">
        <v>1785</v>
      </c>
      <c r="O745" s="48" t="n">
        <v>45382323</v>
      </c>
      <c r="P745" s="48" t="n">
        <v>35693214</v>
      </c>
      <c r="Q745" s="48" t="n">
        <v>511</v>
      </c>
      <c r="R745" s="48" t="n">
        <v>731</v>
      </c>
      <c r="S745" s="48" t="n">
        <v>32261710</v>
      </c>
      <c r="T745" s="48" t="n">
        <v>41950819</v>
      </c>
      <c r="U745" s="46" t="n">
        <f aca="false">IF($A745=$A744,$U744+1,1)</f>
        <v>221</v>
      </c>
      <c r="V745" s="48" t="n">
        <f aca="false">IF($U745&gt;=MA_SHORT,AVERAGE(INDEX($I$345:$I745,402-MA_SHORT):$I745),"")</f>
        <v>4039.55</v>
      </c>
      <c r="W745" s="48" t="n">
        <f aca="false">IF($U745&gt;=MA_MED,AVERAGE(INDEX($I$345:$I745,402-MA_MED):$I745),"")</f>
        <v>4111.46</v>
      </c>
      <c r="X745" s="48" t="n">
        <f aca="false">IF($U745&gt;=MA_LONG1,AVERAGE(INDEX($I$345:$I745,402-MA_LONG1):$I745),"")</f>
        <v>4261.19</v>
      </c>
      <c r="Y745" s="48" t="n">
        <f aca="false">IF($U745&gt;=MA_LONG2,AVERAGE(INDEX($I$345:$I745,402-MA_LONG2):$I745),"")</f>
        <v>3974.945</v>
      </c>
      <c r="Z745" s="48" t="n">
        <f aca="false">IF($U745&gt;=MA_SHORT,AVERAGE(INDEX($L$625:$L745,122-MA_SHORT):$L745),"")</f>
        <v>65755325.45</v>
      </c>
      <c r="AA745" s="48" t="n">
        <f aca="false">IF($U745=1,$G745-$H745,MAX($G745-$H745,ABS($G745-$I744),ABS($H745-$I744)))</f>
        <v>185</v>
      </c>
      <c r="AB745" s="48" t="n">
        <f aca="false">IF($U745&gt;=ATR_PER,AVERAGE(INDEX($AA$625:$AA745,122-ATR_PER):$AA745),"")</f>
        <v>214.357142857143</v>
      </c>
      <c r="AC745" s="48" t="n">
        <f aca="false">$O745-$P745</f>
        <v>9689109</v>
      </c>
      <c r="AD745" s="48" t="n">
        <f aca="false">$AC745*$I745</f>
        <v>42699903363</v>
      </c>
      <c r="AE745" s="49" t="n">
        <f aca="false">IF($Q745&gt;0,$O745*$I745/$Q745/1000000,"")</f>
        <v>391.389231821918</v>
      </c>
      <c r="AF745" s="49" t="n">
        <f aca="false">IF($R745&gt;0,$P745*$I745/$R745/1000000,"")</f>
        <v>215.1846704487</v>
      </c>
      <c r="AG745" s="50" t="n">
        <f aca="false">IF(AND(ISNUMBER($AE745),ISNUMBER($AF745),$AF745&gt;0),$AE745/$AF745,"")</f>
        <v>1.81885276030954</v>
      </c>
      <c r="AH745" s="48" t="n">
        <f aca="false">IF($U745&gt;=5,SUM(INDEX($AD$715:$AD745,32-5):$AD745),"")</f>
        <v>224625046895</v>
      </c>
      <c r="AI745" s="48" t="n">
        <f aca="false">IF($U745&gt;=STRUCT_S,MAX(INDEX($G$595:$G745,152-STRUCT_S):$G745),"")</f>
        <v>4572</v>
      </c>
      <c r="AJ745" s="48" t="n">
        <f aca="false">IF($U745&gt;=STRUCT_S,MIN(INDEX($H$595:$H745,152-STRUCT_S):$H745),"")</f>
        <v>3685</v>
      </c>
      <c r="AK745" s="48" t="n">
        <f aca="false">IF($U745&gt;=STRUCT_L,MAX(INDEX($G$495:$G745,252-STRUCT_L):$G745),"")</f>
        <v>4893</v>
      </c>
      <c r="AL745" s="48" t="n">
        <f aca="false">IF($U745&gt;=STRUCT_L,MIN(INDEX($H$495:$H745,252-STRUCT_L):$H745),"")</f>
        <v>3685</v>
      </c>
      <c r="AM745" s="46" t="n">
        <f aca="false">IF($A745&lt;&gt;$A746,1,0)</f>
        <v>0</v>
      </c>
      <c r="AN745" s="47" t="str">
        <f aca="false">IF($AM745=1,$A745,"")</f>
        <v/>
      </c>
    </row>
    <row r="746" customFormat="false" ht="15" hidden="false" customHeight="false" outlineLevel="0" collapsed="false">
      <c r="A746" s="43" t="s">
        <v>142</v>
      </c>
      <c r="B746" s="44" t="s">
        <v>144</v>
      </c>
      <c r="C746" s="45" t="n">
        <v>46215</v>
      </c>
      <c r="D746" s="46" t="n">
        <v>20260712</v>
      </c>
      <c r="E746" s="47" t="s">
        <v>509</v>
      </c>
      <c r="F746" s="48" t="n">
        <v>4385</v>
      </c>
      <c r="G746" s="48" t="n">
        <v>4483</v>
      </c>
      <c r="H746" s="48" t="n">
        <v>4321</v>
      </c>
      <c r="I746" s="48" t="n">
        <v>4397</v>
      </c>
      <c r="J746" s="48" t="n">
        <v>4422</v>
      </c>
      <c r="K746" s="48" t="n">
        <v>4407</v>
      </c>
      <c r="L746" s="48" t="n">
        <v>52687708</v>
      </c>
      <c r="M746" s="48" t="n">
        <v>231667852076</v>
      </c>
      <c r="N746" s="48" t="n">
        <v>1548</v>
      </c>
      <c r="O746" s="48" t="n">
        <v>26197413</v>
      </c>
      <c r="P746" s="48" t="n">
        <v>29280601</v>
      </c>
      <c r="Q746" s="48" t="n">
        <v>641</v>
      </c>
      <c r="R746" s="48" t="n">
        <v>699</v>
      </c>
      <c r="S746" s="48" t="n">
        <v>26490295</v>
      </c>
      <c r="T746" s="48" t="n">
        <v>23407107</v>
      </c>
      <c r="U746" s="46" t="n">
        <f aca="false">IF($A746=$A745,$U745+1,1)</f>
        <v>222</v>
      </c>
      <c r="V746" s="48" t="n">
        <f aca="false">IF($U746&gt;=MA_SHORT,AVERAGE(INDEX($I$346:$I746,402-MA_SHORT):$I746),"")</f>
        <v>4059.1</v>
      </c>
      <c r="W746" s="48" t="n">
        <f aca="false">IF($U746&gt;=MA_MED,AVERAGE(INDEX($I$346:$I746,402-MA_MED):$I746),"")</f>
        <v>4108.06</v>
      </c>
      <c r="X746" s="48" t="n">
        <f aca="false">IF($U746&gt;=MA_LONG1,AVERAGE(INDEX($I$346:$I746,402-MA_LONG1):$I746),"")</f>
        <v>4264.6</v>
      </c>
      <c r="Y746" s="48" t="n">
        <f aca="false">IF($U746&gt;=MA_LONG2,AVERAGE(INDEX($I$346:$I746,402-MA_LONG2):$I746),"")</f>
        <v>3979.77</v>
      </c>
      <c r="Z746" s="48" t="n">
        <f aca="false">IF($U746&gt;=MA_SHORT,AVERAGE(INDEX($L$626:$L746,122-MA_SHORT):$L746),"")</f>
        <v>65742552.7</v>
      </c>
      <c r="AA746" s="48" t="n">
        <f aca="false">IF($U746=1,$G746-$H746,MAX($G746-$H746,ABS($G746-$I745),ABS($H746-$I745)))</f>
        <v>162</v>
      </c>
      <c r="AB746" s="48" t="n">
        <f aca="false">IF($U746&gt;=ATR_PER,AVERAGE(INDEX($AA$626:$AA746,122-ATR_PER):$AA746),"")</f>
        <v>213.285714285714</v>
      </c>
      <c r="AC746" s="48" t="n">
        <f aca="false">$O746-$P746</f>
        <v>-3083188</v>
      </c>
      <c r="AD746" s="48" t="n">
        <f aca="false">$AC746*$I746</f>
        <v>-13556777636</v>
      </c>
      <c r="AE746" s="49" t="n">
        <f aca="false">IF($Q746&gt;0,$O746*$I746/$Q746/1000000,"")</f>
        <v>179.703627084243</v>
      </c>
      <c r="AF746" s="49" t="n">
        <f aca="false">IF($R746&gt;0,$P746*$I746/$R746/1000000,"")</f>
        <v>184.187128178827</v>
      </c>
      <c r="AG746" s="50" t="n">
        <f aca="false">IF(AND(ISNUMBER($AE746),ISNUMBER($AF746),$AF746&gt;0),$AE746/$AF746,"")</f>
        <v>0.975657902162248</v>
      </c>
      <c r="AH746" s="48" t="n">
        <f aca="false">IF($U746&gt;=5,SUM(INDEX($AD$716:$AD746,32-5):$AD746),"")</f>
        <v>160233228003</v>
      </c>
      <c r="AI746" s="48" t="n">
        <f aca="false">IF($U746&gt;=STRUCT_S,MAX(INDEX($G$596:$G746,152-STRUCT_S):$G746),"")</f>
        <v>4572</v>
      </c>
      <c r="AJ746" s="48" t="n">
        <f aca="false">IF($U746&gt;=STRUCT_S,MIN(INDEX($H$596:$H746,152-STRUCT_S):$H746),"")</f>
        <v>3685</v>
      </c>
      <c r="AK746" s="48" t="n">
        <f aca="false">IF($U746&gt;=STRUCT_L,MAX(INDEX($G$496:$G746,252-STRUCT_L):$G746),"")</f>
        <v>4893</v>
      </c>
      <c r="AL746" s="48" t="n">
        <f aca="false">IF($U746&gt;=STRUCT_L,MIN(INDEX($H$496:$H746,252-STRUCT_L):$H746),"")</f>
        <v>3685</v>
      </c>
      <c r="AM746" s="46" t="n">
        <f aca="false">IF($A746&lt;&gt;$A747,1,0)</f>
        <v>0</v>
      </c>
      <c r="AN746" s="47" t="str">
        <f aca="false">IF($AM746=1,$A746,"")</f>
        <v/>
      </c>
    </row>
    <row r="747" customFormat="false" ht="15" hidden="false" customHeight="false" outlineLevel="0" collapsed="false">
      <c r="A747" s="43" t="s">
        <v>142</v>
      </c>
      <c r="B747" s="44" t="s">
        <v>144</v>
      </c>
      <c r="C747" s="45" t="n">
        <v>46216</v>
      </c>
      <c r="D747" s="46" t="n">
        <v>20260713</v>
      </c>
      <c r="E747" s="47" t="s">
        <v>510</v>
      </c>
      <c r="F747" s="48" t="n">
        <v>4415</v>
      </c>
      <c r="G747" s="48" t="n">
        <v>4524</v>
      </c>
      <c r="H747" s="48" t="n">
        <v>4255</v>
      </c>
      <c r="I747" s="48" t="n">
        <v>4382</v>
      </c>
      <c r="J747" s="48" t="n">
        <v>4521</v>
      </c>
      <c r="K747" s="48" t="n">
        <v>4397</v>
      </c>
      <c r="L747" s="48" t="n">
        <v>58709980</v>
      </c>
      <c r="M747" s="48" t="n">
        <v>257267132360</v>
      </c>
      <c r="N747" s="48" t="n">
        <v>1749</v>
      </c>
      <c r="O747" s="48" t="n">
        <v>31326816</v>
      </c>
      <c r="P747" s="48" t="n">
        <v>30688182</v>
      </c>
      <c r="Q747" s="48" t="n">
        <v>776</v>
      </c>
      <c r="R747" s="48" t="n">
        <v>510</v>
      </c>
      <c r="S747" s="48" t="n">
        <v>27383164</v>
      </c>
      <c r="T747" s="48" t="n">
        <v>28021798</v>
      </c>
      <c r="U747" s="46" t="n">
        <f aca="false">IF($A747=$A746,$U746+1,1)</f>
        <v>223</v>
      </c>
      <c r="V747" s="48" t="n">
        <f aca="false">IF($U747&gt;=MA_SHORT,AVERAGE(INDEX($I$347:$I747,402-MA_SHORT):$I747),"")</f>
        <v>4078.95</v>
      </c>
      <c r="W747" s="48" t="n">
        <f aca="false">IF($U747&gt;=MA_MED,AVERAGE(INDEX($I$347:$I747,402-MA_MED):$I747),"")</f>
        <v>4104.08</v>
      </c>
      <c r="X747" s="48" t="n">
        <f aca="false">IF($U747&gt;=MA_LONG1,AVERAGE(INDEX($I$347:$I747,402-MA_LONG1):$I747),"")</f>
        <v>4268.13</v>
      </c>
      <c r="Y747" s="48" t="n">
        <f aca="false">IF($U747&gt;=MA_LONG2,AVERAGE(INDEX($I$347:$I747,402-MA_LONG2):$I747),"")</f>
        <v>3984.56</v>
      </c>
      <c r="Z747" s="48" t="n">
        <f aca="false">IF($U747&gt;=MA_SHORT,AVERAGE(INDEX($L$627:$L747,122-MA_SHORT):$L747),"")</f>
        <v>65915625.9</v>
      </c>
      <c r="AA747" s="48" t="n">
        <f aca="false">IF($U747=1,$G747-$H747,MAX($G747-$H747,ABS($G747-$I746),ABS($H747-$I746)))</f>
        <v>269</v>
      </c>
      <c r="AB747" s="48" t="n">
        <f aca="false">IF($U747&gt;=ATR_PER,AVERAGE(INDEX($AA$627:$AA747,122-ATR_PER):$AA747),"")</f>
        <v>224.214285714286</v>
      </c>
      <c r="AC747" s="48" t="n">
        <f aca="false">$O747-$P747</f>
        <v>638634</v>
      </c>
      <c r="AD747" s="48" t="n">
        <f aca="false">$AC747*$I747</f>
        <v>2798494188</v>
      </c>
      <c r="AE747" s="49" t="n">
        <f aca="false">IF($Q747&gt;0,$O747*$I747/$Q747/1000000,"")</f>
        <v>176.899623340206</v>
      </c>
      <c r="AF747" s="49" t="n">
        <f aca="false">IF($R747&gt;0,$P747*$I747/$R747/1000000,"")</f>
        <v>263.677673576471</v>
      </c>
      <c r="AG747" s="50" t="n">
        <f aca="false">IF(AND(ISNUMBER($AE747),ISNUMBER($AF747),$AF747&gt;0),$AE747/$AF747,"")</f>
        <v>0.670893447066547</v>
      </c>
      <c r="AH747" s="48" t="n">
        <f aca="false">IF($U747&gt;=5,SUM(INDEX($AD$717:$AD747,32-5):$AD747),"")</f>
        <v>121736317919</v>
      </c>
      <c r="AI747" s="48" t="n">
        <f aca="false">IF($U747&gt;=STRUCT_S,MAX(INDEX($G$597:$G747,152-STRUCT_S):$G747),"")</f>
        <v>4572</v>
      </c>
      <c r="AJ747" s="48" t="n">
        <f aca="false">IF($U747&gt;=STRUCT_S,MIN(INDEX($H$597:$H747,152-STRUCT_S):$H747),"")</f>
        <v>3685</v>
      </c>
      <c r="AK747" s="48" t="n">
        <f aca="false">IF($U747&gt;=STRUCT_L,MAX(INDEX($G$497:$G747,252-STRUCT_L):$G747),"")</f>
        <v>4893</v>
      </c>
      <c r="AL747" s="48" t="n">
        <f aca="false">IF($U747&gt;=STRUCT_L,MIN(INDEX($H$497:$H747,252-STRUCT_L):$H747),"")</f>
        <v>3685</v>
      </c>
      <c r="AM747" s="46" t="n">
        <f aca="false">IF($A747&lt;&gt;$A748,1,0)</f>
        <v>0</v>
      </c>
      <c r="AN747" s="47" t="str">
        <f aca="false">IF($AM747=1,$A747,"")</f>
        <v/>
      </c>
    </row>
    <row r="748" customFormat="false" ht="15" hidden="false" customHeight="false" outlineLevel="0" collapsed="false">
      <c r="A748" s="43" t="s">
        <v>142</v>
      </c>
      <c r="B748" s="44" t="s">
        <v>144</v>
      </c>
      <c r="C748" s="45" t="n">
        <v>46217</v>
      </c>
      <c r="D748" s="46" t="n">
        <v>20260714</v>
      </c>
      <c r="E748" s="47" t="s">
        <v>511</v>
      </c>
      <c r="F748" s="48" t="n">
        <v>4364</v>
      </c>
      <c r="G748" s="48" t="n">
        <v>4499</v>
      </c>
      <c r="H748" s="48" t="n">
        <v>4340</v>
      </c>
      <c r="I748" s="48" t="n">
        <v>4457</v>
      </c>
      <c r="J748" s="48" t="n">
        <v>4350</v>
      </c>
      <c r="K748" s="48" t="n">
        <v>4382</v>
      </c>
      <c r="L748" s="48" t="n">
        <v>55164962</v>
      </c>
      <c r="M748" s="48" t="n">
        <v>245870235634</v>
      </c>
      <c r="N748" s="48" t="n">
        <v>2451</v>
      </c>
      <c r="O748" s="48" t="n">
        <v>35873041</v>
      </c>
      <c r="P748" s="48" t="n">
        <v>19273134</v>
      </c>
      <c r="Q748" s="48" t="n">
        <v>799</v>
      </c>
      <c r="R748" s="48" t="n">
        <v>1357</v>
      </c>
      <c r="S748" s="48" t="n">
        <v>19291921</v>
      </c>
      <c r="T748" s="48" t="n">
        <v>35891828</v>
      </c>
      <c r="U748" s="46" t="n">
        <f aca="false">IF($A748=$A747,$U747+1,1)</f>
        <v>224</v>
      </c>
      <c r="V748" s="48" t="n">
        <f aca="false">IF($U748&gt;=MA_SHORT,AVERAGE(INDEX($I$348:$I748,402-MA_SHORT):$I748),"")</f>
        <v>4104.5</v>
      </c>
      <c r="W748" s="48" t="n">
        <f aca="false">IF($U748&gt;=MA_MED,AVERAGE(INDEX($I$348:$I748,402-MA_MED):$I748),"")</f>
        <v>4105.72</v>
      </c>
      <c r="X748" s="48" t="n">
        <f aca="false">IF($U748&gt;=MA_LONG1,AVERAGE(INDEX($I$348:$I748,402-MA_LONG1):$I748),"")</f>
        <v>4271.86</v>
      </c>
      <c r="Y748" s="48" t="n">
        <f aca="false">IF($U748&gt;=MA_LONG2,AVERAGE(INDEX($I$348:$I748,402-MA_LONG2):$I748),"")</f>
        <v>3989.935</v>
      </c>
      <c r="Z748" s="48" t="n">
        <f aca="false">IF($U748&gt;=MA_SHORT,AVERAGE(INDEX($L$628:$L748,122-MA_SHORT):$L748),"")</f>
        <v>66025617.95</v>
      </c>
      <c r="AA748" s="48" t="n">
        <f aca="false">IF($U748=1,$G748-$H748,MAX($G748-$H748,ABS($G748-$I747),ABS($H748-$I747)))</f>
        <v>159</v>
      </c>
      <c r="AB748" s="48" t="n">
        <f aca="false">IF($U748&gt;=ATR_PER,AVERAGE(INDEX($AA$628:$AA748,122-ATR_PER):$AA748),"")</f>
        <v>225.928571428571</v>
      </c>
      <c r="AC748" s="48" t="n">
        <f aca="false">$O748-$P748</f>
        <v>16599907</v>
      </c>
      <c r="AD748" s="48" t="n">
        <f aca="false">$AC748*$I748</f>
        <v>73985785499</v>
      </c>
      <c r="AE748" s="49" t="n">
        <f aca="false">IF($Q748&gt;0,$O748*$I748/$Q748/1000000,"")</f>
        <v>200.107814439299</v>
      </c>
      <c r="AF748" s="49" t="n">
        <f aca="false">IF($R748&gt;0,$P748*$I748/$R748/1000000,"")</f>
        <v>63.3016641400147</v>
      </c>
      <c r="AG748" s="50" t="n">
        <f aca="false">IF(AND(ISNUMBER($AE748),ISNUMBER($AF748),$AF748&gt;0),$AE748/$AF748,"")</f>
        <v>3.16117778510037</v>
      </c>
      <c r="AH748" s="48" t="n">
        <f aca="false">IF($U748&gt;=5,SUM(INDEX($AD$718:$AD748,32-5):$AD748),"")</f>
        <v>73487126994</v>
      </c>
      <c r="AI748" s="48" t="n">
        <f aca="false">IF($U748&gt;=STRUCT_S,MAX(INDEX($G$598:$G748,152-STRUCT_S):$G748),"")</f>
        <v>4572</v>
      </c>
      <c r="AJ748" s="48" t="n">
        <f aca="false">IF($U748&gt;=STRUCT_S,MIN(INDEX($H$598:$H748,152-STRUCT_S):$H748),"")</f>
        <v>3685</v>
      </c>
      <c r="AK748" s="48" t="n">
        <f aca="false">IF($U748&gt;=STRUCT_L,MAX(INDEX($G$498:$G748,252-STRUCT_L):$G748),"")</f>
        <v>4893</v>
      </c>
      <c r="AL748" s="48" t="n">
        <f aca="false">IF($U748&gt;=STRUCT_L,MIN(INDEX($H$498:$H748,252-STRUCT_L):$H748),"")</f>
        <v>3685</v>
      </c>
      <c r="AM748" s="46" t="n">
        <f aca="false">IF($A748&lt;&gt;$A749,1,0)</f>
        <v>0</v>
      </c>
      <c r="AN748" s="47" t="str">
        <f aca="false">IF($AM748=1,$A748,"")</f>
        <v/>
      </c>
    </row>
    <row r="749" customFormat="false" ht="15" hidden="false" customHeight="false" outlineLevel="0" collapsed="false">
      <c r="A749" s="43" t="s">
        <v>142</v>
      </c>
      <c r="B749" s="44" t="s">
        <v>144</v>
      </c>
      <c r="C749" s="45" t="n">
        <v>46218</v>
      </c>
      <c r="D749" s="46" t="n">
        <v>20260715</v>
      </c>
      <c r="E749" s="47" t="s">
        <v>512</v>
      </c>
      <c r="F749" s="48" t="n">
        <v>4338</v>
      </c>
      <c r="G749" s="48" t="n">
        <v>4469</v>
      </c>
      <c r="H749" s="48" t="n">
        <v>4254</v>
      </c>
      <c r="I749" s="48" t="n">
        <v>4265</v>
      </c>
      <c r="J749" s="48" t="n">
        <v>4335</v>
      </c>
      <c r="K749" s="48" t="n">
        <v>4457</v>
      </c>
      <c r="L749" s="48" t="n">
        <v>66166514</v>
      </c>
      <c r="M749" s="48" t="n">
        <v>282200182210</v>
      </c>
      <c r="N749" s="48" t="n">
        <v>6296</v>
      </c>
      <c r="O749" s="48" t="n">
        <v>28126922</v>
      </c>
      <c r="P749" s="48" t="n">
        <v>42970570</v>
      </c>
      <c r="Q749" s="48" t="n">
        <v>3176</v>
      </c>
      <c r="R749" s="48" t="n">
        <v>3048</v>
      </c>
      <c r="S749" s="48" t="n">
        <v>38039592</v>
      </c>
      <c r="T749" s="48" t="n">
        <v>23195944</v>
      </c>
      <c r="U749" s="46" t="n">
        <f aca="false">IF($A749=$A748,$U748+1,1)</f>
        <v>225</v>
      </c>
      <c r="V749" s="48" t="n">
        <f aca="false">IF($U749&gt;=MA_SHORT,AVERAGE(INDEX($I$349:$I749,402-MA_SHORT):$I749),"")</f>
        <v>4123.3</v>
      </c>
      <c r="W749" s="48" t="n">
        <f aca="false">IF($U749&gt;=MA_MED,AVERAGE(INDEX($I$349:$I749,402-MA_MED):$I749),"")</f>
        <v>4106.54</v>
      </c>
      <c r="X749" s="48" t="n">
        <f aca="false">IF($U749&gt;=MA_LONG1,AVERAGE(INDEX($I$349:$I749,402-MA_LONG1):$I749),"")</f>
        <v>4273.15</v>
      </c>
      <c r="Y749" s="48" t="n">
        <f aca="false">IF($U749&gt;=MA_LONG2,AVERAGE(INDEX($I$349:$I749,402-MA_LONG2):$I749),"")</f>
        <v>3994.07</v>
      </c>
      <c r="Z749" s="48" t="n">
        <f aca="false">IF($U749&gt;=MA_SHORT,AVERAGE(INDEX($L$629:$L749,122-MA_SHORT):$L749),"")</f>
        <v>66615774.55</v>
      </c>
      <c r="AA749" s="48" t="n">
        <f aca="false">IF($U749=1,$G749-$H749,MAX($G749-$H749,ABS($G749-$I748),ABS($H749-$I748)))</f>
        <v>215</v>
      </c>
      <c r="AB749" s="48" t="n">
        <f aca="false">IF($U749&gt;=ATR_PER,AVERAGE(INDEX($AA$629:$AA749,122-ATR_PER):$AA749),"")</f>
        <v>229.142857142857</v>
      </c>
      <c r="AC749" s="48" t="n">
        <f aca="false">$O749-$P749</f>
        <v>-14843648</v>
      </c>
      <c r="AD749" s="48" t="n">
        <f aca="false">$AC749*$I749</f>
        <v>-63308158720</v>
      </c>
      <c r="AE749" s="49" t="n">
        <f aca="false">IF($Q749&gt;0,$O749*$I749/$Q749/1000000,"")</f>
        <v>37.7711972071788</v>
      </c>
      <c r="AF749" s="49" t="n">
        <f aca="false">IF($R749&gt;0,$P749*$I749/$R749/1000000,"")</f>
        <v>60.1277824967192</v>
      </c>
      <c r="AG749" s="50" t="n">
        <f aca="false">IF(AND(ISNUMBER($AE749),ISNUMBER($AF749),$AF749&gt;0),$AE749/$AF749,"")</f>
        <v>0.628182108815335</v>
      </c>
      <c r="AH749" s="48" t="n">
        <f aca="false">IF($U749&gt;=5,SUM(INDEX($AD$719:$AD749,32-5):$AD749),"")</f>
        <v>42619246694</v>
      </c>
      <c r="AI749" s="48" t="n">
        <f aca="false">IF($U749&gt;=STRUCT_S,MAX(INDEX($G$599:$G749,152-STRUCT_S):$G749),"")</f>
        <v>4572</v>
      </c>
      <c r="AJ749" s="48" t="n">
        <f aca="false">IF($U749&gt;=STRUCT_S,MIN(INDEX($H$599:$H749,152-STRUCT_S):$H749),"")</f>
        <v>3685</v>
      </c>
      <c r="AK749" s="48" t="n">
        <f aca="false">IF($U749&gt;=STRUCT_L,MAX(INDEX($G$499:$G749,252-STRUCT_L):$G749),"")</f>
        <v>4893</v>
      </c>
      <c r="AL749" s="48" t="n">
        <f aca="false">IF($U749&gt;=STRUCT_L,MIN(INDEX($H$499:$H749,252-STRUCT_L):$H749),"")</f>
        <v>3685</v>
      </c>
      <c r="AM749" s="46" t="n">
        <f aca="false">IF($A749&lt;&gt;$A750,1,0)</f>
        <v>0</v>
      </c>
      <c r="AN749" s="47" t="str">
        <f aca="false">IF($AM749=1,$A749,"")</f>
        <v/>
      </c>
    </row>
    <row r="750" customFormat="false" ht="15" hidden="false" customHeight="false" outlineLevel="0" collapsed="false">
      <c r="A750" s="43" t="s">
        <v>142</v>
      </c>
      <c r="B750" s="44" t="s">
        <v>144</v>
      </c>
      <c r="C750" s="45" t="n">
        <v>46221</v>
      </c>
      <c r="D750" s="46" t="n">
        <v>20260718</v>
      </c>
      <c r="E750" s="47" t="s">
        <v>513</v>
      </c>
      <c r="F750" s="48" t="n">
        <v>4228</v>
      </c>
      <c r="G750" s="48" t="n">
        <v>4339</v>
      </c>
      <c r="H750" s="48" t="n">
        <v>4148</v>
      </c>
      <c r="I750" s="48" t="n">
        <v>4222</v>
      </c>
      <c r="J750" s="48" t="n">
        <v>4298</v>
      </c>
      <c r="K750" s="48" t="n">
        <v>4265</v>
      </c>
      <c r="L750" s="48" t="n">
        <v>53053779</v>
      </c>
      <c r="M750" s="48" t="n">
        <v>223993054938</v>
      </c>
      <c r="N750" s="48" t="n">
        <v>1535</v>
      </c>
      <c r="O750" s="48" t="n">
        <v>28434624</v>
      </c>
      <c r="P750" s="48" t="n">
        <v>23524723</v>
      </c>
      <c r="Q750" s="48" t="n">
        <v>902</v>
      </c>
      <c r="R750" s="48" t="n">
        <v>485</v>
      </c>
      <c r="S750" s="48" t="n">
        <v>24619155</v>
      </c>
      <c r="T750" s="48" t="n">
        <v>29529056</v>
      </c>
      <c r="U750" s="46" t="n">
        <f aca="false">IF($A750=$A749,$U749+1,1)</f>
        <v>226</v>
      </c>
      <c r="V750" s="48" t="n">
        <f aca="false">IF($U750&gt;=MA_SHORT,AVERAGE(INDEX($I$350:$I750,402-MA_SHORT):$I750),"")</f>
        <v>4136.85</v>
      </c>
      <c r="W750" s="48" t="n">
        <f aca="false">IF($U750&gt;=MA_MED,AVERAGE(INDEX($I$350:$I750,402-MA_MED):$I750),"")</f>
        <v>4105.02</v>
      </c>
      <c r="X750" s="48" t="n">
        <f aca="false">IF($U750&gt;=MA_LONG1,AVERAGE(INDEX($I$350:$I750,402-MA_LONG1):$I750),"")</f>
        <v>4274.36</v>
      </c>
      <c r="Y750" s="48" t="n">
        <f aca="false">IF($U750&gt;=MA_LONG2,AVERAGE(INDEX($I$350:$I750,402-MA_LONG2):$I750),"")</f>
        <v>3997.89</v>
      </c>
      <c r="Z750" s="48" t="n">
        <f aca="false">IF($U750&gt;=MA_SHORT,AVERAGE(INDEX($L$630:$L750,122-MA_SHORT):$L750),"")</f>
        <v>60857007.25</v>
      </c>
      <c r="AA750" s="48" t="n">
        <f aca="false">IF($U750=1,$G750-$H750,MAX($G750-$H750,ABS($G750-$I749),ABS($H750-$I749)))</f>
        <v>191</v>
      </c>
      <c r="AB750" s="48" t="n">
        <f aca="false">IF($U750&gt;=ATR_PER,AVERAGE(INDEX($AA$630:$AA750,122-ATR_PER):$AA750),"")</f>
        <v>227.285714285714</v>
      </c>
      <c r="AC750" s="48" t="n">
        <f aca="false">$O750-$P750</f>
        <v>4909901</v>
      </c>
      <c r="AD750" s="48" t="n">
        <f aca="false">$AC750*$I750</f>
        <v>20729602022</v>
      </c>
      <c r="AE750" s="49" t="n">
        <f aca="false">IF($Q750&gt;0,$O750*$I750/$Q750/1000000,"")</f>
        <v>133.094215662971</v>
      </c>
      <c r="AF750" s="49" t="n">
        <f aca="false">IF($R750&gt;0,$P750*$I750/$R750/1000000,"")</f>
        <v>204.786351558763</v>
      </c>
      <c r="AG750" s="50" t="n">
        <f aca="false">IF(AND(ISNUMBER($AE750),ISNUMBER($AF750),$AF750&gt;0),$AE750/$AF750,"")</f>
        <v>0.649917412219633</v>
      </c>
      <c r="AH750" s="48" t="n">
        <f aca="false">IF($U750&gt;=5,SUM(INDEX($AD$720:$AD750,32-5):$AD750),"")</f>
        <v>20648945353</v>
      </c>
      <c r="AI750" s="48" t="n">
        <f aca="false">IF($U750&gt;=STRUCT_S,MAX(INDEX($G$600:$G750,152-STRUCT_S):$G750),"")</f>
        <v>4572</v>
      </c>
      <c r="AJ750" s="48" t="n">
        <f aca="false">IF($U750&gt;=STRUCT_S,MIN(INDEX($H$600:$H750,152-STRUCT_S):$H750),"")</f>
        <v>3685</v>
      </c>
      <c r="AK750" s="48" t="n">
        <f aca="false">IF($U750&gt;=STRUCT_L,MAX(INDEX($G$500:$G750,252-STRUCT_L):$G750),"")</f>
        <v>4870</v>
      </c>
      <c r="AL750" s="48" t="n">
        <f aca="false">IF($U750&gt;=STRUCT_L,MIN(INDEX($H$500:$H750,252-STRUCT_L):$H750),"")</f>
        <v>3685</v>
      </c>
      <c r="AM750" s="46" t="n">
        <f aca="false">IF($A750&lt;&gt;$A751,1,0)</f>
        <v>0</v>
      </c>
      <c r="AN750" s="47" t="str">
        <f aca="false">IF($AM750=1,$A750,"")</f>
        <v/>
      </c>
    </row>
    <row r="751" customFormat="false" ht="15" hidden="false" customHeight="false" outlineLevel="0" collapsed="false">
      <c r="A751" s="43" t="s">
        <v>142</v>
      </c>
      <c r="B751" s="44" t="s">
        <v>144</v>
      </c>
      <c r="C751" s="45" t="n">
        <v>46222</v>
      </c>
      <c r="D751" s="46" t="n">
        <v>20260719</v>
      </c>
      <c r="E751" s="47" t="s">
        <v>514</v>
      </c>
      <c r="F751" s="48" t="n">
        <v>4240</v>
      </c>
      <c r="G751" s="48" t="n">
        <v>4304</v>
      </c>
      <c r="H751" s="48" t="n">
        <v>4144</v>
      </c>
      <c r="I751" s="48" t="n">
        <v>4226</v>
      </c>
      <c r="J751" s="48" t="n">
        <v>4206</v>
      </c>
      <c r="K751" s="48" t="n">
        <v>4222</v>
      </c>
      <c r="L751" s="48" t="n">
        <v>50311878</v>
      </c>
      <c r="M751" s="48" t="n">
        <v>212617996428</v>
      </c>
      <c r="N751" s="48" t="n">
        <v>4853</v>
      </c>
      <c r="O751" s="48" t="n">
        <v>29643733</v>
      </c>
      <c r="P751" s="48" t="n">
        <v>24163108</v>
      </c>
      <c r="Q751" s="48" t="n">
        <v>2121</v>
      </c>
      <c r="R751" s="48" t="n">
        <v>2364</v>
      </c>
      <c r="S751" s="48" t="n">
        <v>20668145</v>
      </c>
      <c r="T751" s="48" t="n">
        <v>26148770</v>
      </c>
      <c r="U751" s="46" t="n">
        <f aca="false">IF($A751=$A750,$U750+1,1)</f>
        <v>227</v>
      </c>
      <c r="V751" s="48" t="n">
        <f aca="false">IF($U751&gt;=MA_SHORT,AVERAGE(INDEX($I$351:$I751,402-MA_SHORT):$I751),"")</f>
        <v>4154.55</v>
      </c>
      <c r="W751" s="48" t="n">
        <f aca="false">IF($U751&gt;=MA_MED,AVERAGE(INDEX($I$351:$I751,402-MA_MED):$I751),"")</f>
        <v>4106.36</v>
      </c>
      <c r="X751" s="48" t="n">
        <f aca="false">IF($U751&gt;=MA_LONG1,AVERAGE(INDEX($I$351:$I751,402-MA_LONG1):$I751),"")</f>
        <v>4275.58</v>
      </c>
      <c r="Y751" s="48" t="n">
        <f aca="false">IF($U751&gt;=MA_LONG2,AVERAGE(INDEX($I$351:$I751,402-MA_LONG2):$I751),"")</f>
        <v>4001.515</v>
      </c>
      <c r="Z751" s="48" t="n">
        <f aca="false">IF($U751&gt;=MA_SHORT,AVERAGE(INDEX($L$631:$L751,122-MA_SHORT):$L751),"")</f>
        <v>60571137.3</v>
      </c>
      <c r="AA751" s="48" t="n">
        <f aca="false">IF($U751=1,$G751-$H751,MAX($G751-$H751,ABS($G751-$I750),ABS($H751-$I750)))</f>
        <v>160</v>
      </c>
      <c r="AB751" s="48" t="n">
        <f aca="false">IF($U751&gt;=ATR_PER,AVERAGE(INDEX($AA$631:$AA751,122-ATR_PER):$AA751),"")</f>
        <v>229.5</v>
      </c>
      <c r="AC751" s="48" t="n">
        <f aca="false">$O751-$P751</f>
        <v>5480625</v>
      </c>
      <c r="AD751" s="48" t="n">
        <f aca="false">$AC751*$I751</f>
        <v>23161121250</v>
      </c>
      <c r="AE751" s="49" t="n">
        <f aca="false">IF($Q751&gt;0,$O751*$I751/$Q751/1000000,"")</f>
        <v>59.0638451947195</v>
      </c>
      <c r="AF751" s="49" t="n">
        <f aca="false">IF($R751&gt;0,$P751*$I751/$R751/1000000,"")</f>
        <v>43.195132998308</v>
      </c>
      <c r="AG751" s="50" t="n">
        <f aca="false">IF(AND(ISNUMBER($AE751),ISNUMBER($AF751),$AF751&gt;0),$AE751/$AF751,"")</f>
        <v>1.36737268981283</v>
      </c>
      <c r="AH751" s="48" t="n">
        <f aca="false">IF($U751&gt;=5,SUM(INDEX($AD$721:$AD751,32-5):$AD751),"")</f>
        <v>57366844239</v>
      </c>
      <c r="AI751" s="48" t="n">
        <f aca="false">IF($U751&gt;=STRUCT_S,MAX(INDEX($G$601:$G751,152-STRUCT_S):$G751),"")</f>
        <v>4572</v>
      </c>
      <c r="AJ751" s="48" t="n">
        <f aca="false">IF($U751&gt;=STRUCT_S,MIN(INDEX($H$601:$H751,152-STRUCT_S):$H751),"")</f>
        <v>3685</v>
      </c>
      <c r="AK751" s="48" t="n">
        <f aca="false">IF($U751&gt;=STRUCT_L,MAX(INDEX($G$501:$G751,252-STRUCT_L):$G751),"")</f>
        <v>4870</v>
      </c>
      <c r="AL751" s="48" t="n">
        <f aca="false">IF($U751&gt;=STRUCT_L,MIN(INDEX($H$501:$H751,252-STRUCT_L):$H751),"")</f>
        <v>3685</v>
      </c>
      <c r="AM751" s="46" t="n">
        <f aca="false">IF($A751&lt;&gt;$A752,1,0)</f>
        <v>0</v>
      </c>
      <c r="AN751" s="47" t="str">
        <f aca="false">IF($AM751=1,$A751,"")</f>
        <v/>
      </c>
    </row>
    <row r="752" customFormat="false" ht="15" hidden="false" customHeight="false" outlineLevel="0" collapsed="false">
      <c r="A752" s="43" t="s">
        <v>142</v>
      </c>
      <c r="B752" s="44" t="s">
        <v>144</v>
      </c>
      <c r="C752" s="45" t="n">
        <v>46223</v>
      </c>
      <c r="D752" s="46" t="n">
        <v>20260720</v>
      </c>
      <c r="E752" s="47" t="s">
        <v>515</v>
      </c>
      <c r="F752" s="48" t="n">
        <v>4279</v>
      </c>
      <c r="G752" s="48" t="n">
        <v>4285</v>
      </c>
      <c r="H752" s="48" t="n">
        <v>4157</v>
      </c>
      <c r="I752" s="48" t="n">
        <v>4216</v>
      </c>
      <c r="J752" s="48" t="n">
        <v>4221</v>
      </c>
      <c r="K752" s="48" t="n">
        <v>4226</v>
      </c>
      <c r="L752" s="48" t="n">
        <v>80503434</v>
      </c>
      <c r="M752" s="48" t="n">
        <v>339402477744</v>
      </c>
      <c r="N752" s="48" t="n">
        <v>5435</v>
      </c>
      <c r="O752" s="48" t="n">
        <v>38336355</v>
      </c>
      <c r="P752" s="48" t="n">
        <v>43489349</v>
      </c>
      <c r="Q752" s="48" t="n">
        <v>1791</v>
      </c>
      <c r="R752" s="48" t="n">
        <v>2550</v>
      </c>
      <c r="S752" s="48" t="n">
        <v>42167079</v>
      </c>
      <c r="T752" s="48" t="n">
        <v>37014085</v>
      </c>
      <c r="U752" s="46" t="n">
        <f aca="false">IF($A752=$A751,$U751+1,1)</f>
        <v>228</v>
      </c>
      <c r="V752" s="48" t="n">
        <f aca="false">IF($U752&gt;=MA_SHORT,AVERAGE(INDEX($I$352:$I752,402-MA_SHORT):$I752),"")</f>
        <v>4168.05</v>
      </c>
      <c r="W752" s="48" t="n">
        <f aca="false">IF($U752&gt;=MA_MED,AVERAGE(INDEX($I$352:$I752,402-MA_MED):$I752),"")</f>
        <v>4105.92</v>
      </c>
      <c r="X752" s="48" t="n">
        <f aca="false">IF($U752&gt;=MA_LONG1,AVERAGE(INDEX($I$352:$I752,402-MA_LONG1):$I752),"")</f>
        <v>4276.56</v>
      </c>
      <c r="Y752" s="48" t="n">
        <f aca="false">IF($U752&gt;=MA_LONG2,AVERAGE(INDEX($I$352:$I752,402-MA_LONG2):$I752),"")</f>
        <v>4004.815</v>
      </c>
      <c r="Z752" s="48" t="n">
        <f aca="false">IF($U752&gt;=MA_SHORT,AVERAGE(INDEX($L$632:$L752,122-MA_SHORT):$L752),"")</f>
        <v>61522413.55</v>
      </c>
      <c r="AA752" s="48" t="n">
        <f aca="false">IF($U752=1,$G752-$H752,MAX($G752-$H752,ABS($G752-$I751),ABS($H752-$I751)))</f>
        <v>128</v>
      </c>
      <c r="AB752" s="48" t="n">
        <f aca="false">IF($U752&gt;=ATR_PER,AVERAGE(INDEX($AA$632:$AA752,122-ATR_PER):$AA752),"")</f>
        <v>209.214285714286</v>
      </c>
      <c r="AC752" s="48" t="n">
        <f aca="false">$O752-$P752</f>
        <v>-5152994</v>
      </c>
      <c r="AD752" s="48" t="n">
        <f aca="false">$AC752*$I752</f>
        <v>-21725022704</v>
      </c>
      <c r="AE752" s="49" t="n">
        <f aca="false">IF($Q752&gt;0,$O752*$I752/$Q752/1000000,"")</f>
        <v>90.24348</v>
      </c>
      <c r="AF752" s="49" t="n">
        <f aca="false">IF($R752&gt;0,$P752*$I752/$R752/1000000,"")</f>
        <v>71.9023903466667</v>
      </c>
      <c r="AG752" s="50" t="n">
        <f aca="false">IF(AND(ISNUMBER($AE752),ISNUMBER($AF752),$AF752&gt;0),$AE752/$AF752,"")</f>
        <v>1.25508316990443</v>
      </c>
      <c r="AH752" s="48" t="n">
        <f aca="false">IF($U752&gt;=5,SUM(INDEX($AD$722:$AD752,32-5):$AD752),"")</f>
        <v>32843327347</v>
      </c>
      <c r="AI752" s="48" t="n">
        <f aca="false">IF($U752&gt;=STRUCT_S,MAX(INDEX($G$602:$G752,152-STRUCT_S):$G752),"")</f>
        <v>4572</v>
      </c>
      <c r="AJ752" s="48" t="n">
        <f aca="false">IF($U752&gt;=STRUCT_S,MIN(INDEX($H$602:$H752,152-STRUCT_S):$H752),"")</f>
        <v>3685</v>
      </c>
      <c r="AK752" s="48" t="n">
        <f aca="false">IF($U752&gt;=STRUCT_L,MAX(INDEX($G$502:$G752,252-STRUCT_L):$G752),"")</f>
        <v>4870</v>
      </c>
      <c r="AL752" s="48" t="n">
        <f aca="false">IF($U752&gt;=STRUCT_L,MIN(INDEX($H$502:$H752,252-STRUCT_L):$H752),"")</f>
        <v>3685</v>
      </c>
      <c r="AM752" s="46" t="n">
        <f aca="false">IF($A752&lt;&gt;$A753,1,0)</f>
        <v>0</v>
      </c>
      <c r="AN752" s="47" t="str">
        <f aca="false">IF($AM752=1,$A752,"")</f>
        <v/>
      </c>
    </row>
    <row r="753" customFormat="false" ht="15" hidden="false" customHeight="false" outlineLevel="0" collapsed="false">
      <c r="A753" s="43" t="s">
        <v>142</v>
      </c>
      <c r="B753" s="44" t="s">
        <v>144</v>
      </c>
      <c r="C753" s="45" t="n">
        <v>46224</v>
      </c>
      <c r="D753" s="46" t="n">
        <v>20260721</v>
      </c>
      <c r="E753" s="47" t="s">
        <v>516</v>
      </c>
      <c r="F753" s="48" t="n">
        <v>4243</v>
      </c>
      <c r="G753" s="48" t="n">
        <v>4340</v>
      </c>
      <c r="H753" s="48" t="n">
        <v>4202</v>
      </c>
      <c r="I753" s="48" t="n">
        <v>4326</v>
      </c>
      <c r="J753" s="48" t="n">
        <v>4269</v>
      </c>
      <c r="K753" s="48" t="n">
        <v>4216</v>
      </c>
      <c r="L753" s="48" t="n">
        <v>57859126</v>
      </c>
      <c r="M753" s="48" t="n">
        <v>250298579076</v>
      </c>
      <c r="N753" s="48" t="n">
        <v>2033</v>
      </c>
      <c r="O753" s="48" t="n">
        <v>36373061</v>
      </c>
      <c r="P753" s="48" t="n">
        <v>23041862</v>
      </c>
      <c r="Q753" s="48" t="n">
        <v>723</v>
      </c>
      <c r="R753" s="48" t="n">
        <v>817</v>
      </c>
      <c r="S753" s="48" t="n">
        <v>21486065</v>
      </c>
      <c r="T753" s="48" t="n">
        <v>34817264</v>
      </c>
      <c r="U753" s="46" t="n">
        <f aca="false">IF($A753=$A752,$U752+1,1)</f>
        <v>229</v>
      </c>
      <c r="V753" s="48" t="n">
        <f aca="false">IF($U753&gt;=MA_SHORT,AVERAGE(INDEX($I$353:$I753,402-MA_SHORT):$I753),"")</f>
        <v>4187.45</v>
      </c>
      <c r="W753" s="48" t="n">
        <f aca="false">IF($U753&gt;=MA_MED,AVERAGE(INDEX($I$353:$I753,402-MA_MED):$I753),"")</f>
        <v>4108.18</v>
      </c>
      <c r="X753" s="48" t="n">
        <f aca="false">IF($U753&gt;=MA_LONG1,AVERAGE(INDEX($I$353:$I753,402-MA_LONG1):$I753),"")</f>
        <v>4278.76</v>
      </c>
      <c r="Y753" s="48" t="n">
        <f aca="false">IF($U753&gt;=MA_LONG2,AVERAGE(INDEX($I$353:$I753,402-MA_LONG2):$I753),"")</f>
        <v>4008.705</v>
      </c>
      <c r="Z753" s="48" t="n">
        <f aca="false">IF($U753&gt;=MA_SHORT,AVERAGE(INDEX($L$633:$L753,122-MA_SHORT):$L753),"")</f>
        <v>60733836.75</v>
      </c>
      <c r="AA753" s="48" t="n">
        <f aca="false">IF($U753=1,$G753-$H753,MAX($G753-$H753,ABS($G753-$I752),ABS($H753-$I752)))</f>
        <v>138</v>
      </c>
      <c r="AB753" s="48" t="n">
        <f aca="false">IF($U753&gt;=ATR_PER,AVERAGE(INDEX($AA$633:$AA753,122-ATR_PER):$AA753),"")</f>
        <v>198.857142857143</v>
      </c>
      <c r="AC753" s="48" t="n">
        <f aca="false">$O753-$P753</f>
        <v>13331199</v>
      </c>
      <c r="AD753" s="48" t="n">
        <f aca="false">$AC753*$I753</f>
        <v>57670766874</v>
      </c>
      <c r="AE753" s="49" t="n">
        <f aca="false">IF($Q753&gt;0,$O753*$I753/$Q753/1000000,"")</f>
        <v>217.634663742739</v>
      </c>
      <c r="AF753" s="49" t="n">
        <f aca="false">IF($R753&gt;0,$P753*$I753/$R753/1000000,"")</f>
        <v>122.006236244798</v>
      </c>
      <c r="AG753" s="50" t="n">
        <f aca="false">IF(AND(ISNUMBER($AE753),ISNUMBER($AF753),$AF753&gt;0),$AE753/$AF753,"")</f>
        <v>1.7837995043636</v>
      </c>
      <c r="AH753" s="48" t="n">
        <f aca="false">IF($U753&gt;=5,SUM(INDEX($AD$723:$AD753,32-5):$AD753),"")</f>
        <v>16528308722</v>
      </c>
      <c r="AI753" s="48" t="n">
        <f aca="false">IF($U753&gt;=STRUCT_S,MAX(INDEX($G$603:$G753,152-STRUCT_S):$G753),"")</f>
        <v>4572</v>
      </c>
      <c r="AJ753" s="48" t="n">
        <f aca="false">IF($U753&gt;=STRUCT_S,MIN(INDEX($H$603:$H753,152-STRUCT_S):$H753),"")</f>
        <v>3685</v>
      </c>
      <c r="AK753" s="48" t="n">
        <f aca="false">IF($U753&gt;=STRUCT_L,MAX(INDEX($G$503:$G753,252-STRUCT_L):$G753),"")</f>
        <v>4870</v>
      </c>
      <c r="AL753" s="48" t="n">
        <f aca="false">IF($U753&gt;=STRUCT_L,MIN(INDEX($H$503:$H753,252-STRUCT_L):$H753),"")</f>
        <v>3685</v>
      </c>
      <c r="AM753" s="46" t="n">
        <f aca="false">IF($A753&lt;&gt;$A754,1,0)</f>
        <v>0</v>
      </c>
      <c r="AN753" s="47" t="str">
        <f aca="false">IF($AM753=1,$A753,"")</f>
        <v/>
      </c>
    </row>
    <row r="754" customFormat="false" ht="15" hidden="false" customHeight="false" outlineLevel="0" collapsed="false">
      <c r="A754" s="43" t="s">
        <v>142</v>
      </c>
      <c r="B754" s="44" t="s">
        <v>144</v>
      </c>
      <c r="C754" s="45" t="n">
        <v>46225</v>
      </c>
      <c r="D754" s="46" t="n">
        <v>20260722</v>
      </c>
      <c r="E754" s="47" t="s">
        <v>517</v>
      </c>
      <c r="F754" s="48" t="n">
        <v>4338</v>
      </c>
      <c r="G754" s="48" t="n">
        <v>4338</v>
      </c>
      <c r="H754" s="48" t="n">
        <v>4266</v>
      </c>
      <c r="I754" s="48" t="n">
        <v>4278</v>
      </c>
      <c r="J754" s="48" t="n">
        <v>4283</v>
      </c>
      <c r="K754" s="48" t="n">
        <v>4326</v>
      </c>
      <c r="L754" s="48" t="n">
        <v>53358037</v>
      </c>
      <c r="M754" s="48" t="n">
        <v>228265682286</v>
      </c>
      <c r="N754" s="48" t="n">
        <v>1550</v>
      </c>
      <c r="O754" s="48" t="n">
        <v>22063826</v>
      </c>
      <c r="P754" s="48" t="n">
        <v>32155607</v>
      </c>
      <c r="Q754" s="48" t="n">
        <v>579</v>
      </c>
      <c r="R754" s="48" t="n">
        <v>438</v>
      </c>
      <c r="S754" s="48" t="n">
        <v>31294211</v>
      </c>
      <c r="T754" s="48" t="n">
        <v>21202430</v>
      </c>
      <c r="U754" s="46" t="n">
        <f aca="false">IF($A754=$A753,$U753+1,1)</f>
        <v>230</v>
      </c>
      <c r="V754" s="48" t="n">
        <f aca="false">IF($U754&gt;=MA_SHORT,AVERAGE(INDEX($I$354:$I754,402-MA_SHORT):$I754),"")</f>
        <v>4206.45</v>
      </c>
      <c r="W754" s="48" t="n">
        <f aca="false">IF($U754&gt;=MA_MED,AVERAGE(INDEX($I$354:$I754,402-MA_MED):$I754),"")</f>
        <v>4110.32</v>
      </c>
      <c r="X754" s="48" t="n">
        <f aca="false">IF($U754&gt;=MA_LONG1,AVERAGE(INDEX($I$354:$I754,402-MA_LONG1):$I754),"")</f>
        <v>4280.8</v>
      </c>
      <c r="Y754" s="48" t="n">
        <f aca="false">IF($U754&gt;=MA_LONG2,AVERAGE(INDEX($I$354:$I754,402-MA_LONG2):$I754),"")</f>
        <v>4012.245</v>
      </c>
      <c r="Z754" s="48" t="n">
        <f aca="false">IF($U754&gt;=MA_SHORT,AVERAGE(INDEX($L$634:$L754,122-MA_SHORT):$L754),"")</f>
        <v>60747918.35</v>
      </c>
      <c r="AA754" s="48" t="n">
        <f aca="false">IF($U754=1,$G754-$H754,MAX($G754-$H754,ABS($G754-$I753),ABS($H754-$I753)))</f>
        <v>72</v>
      </c>
      <c r="AB754" s="48" t="n">
        <f aca="false">IF($U754&gt;=ATR_PER,AVERAGE(INDEX($AA$634:$AA754,122-ATR_PER):$AA754),"")</f>
        <v>194.785714285714</v>
      </c>
      <c r="AC754" s="48" t="n">
        <f aca="false">$O754-$P754</f>
        <v>-10091781</v>
      </c>
      <c r="AD754" s="48" t="n">
        <f aca="false">$AC754*$I754</f>
        <v>-43172639118</v>
      </c>
      <c r="AE754" s="49" t="n">
        <f aca="false">IF($Q754&gt;0,$O754*$I754/$Q754/1000000,"")</f>
        <v>163.020807647668</v>
      </c>
      <c r="AF754" s="49" t="n">
        <f aca="false">IF($R754&gt;0,$P754*$I754/$R754/1000000,"")</f>
        <v>314.067777958904</v>
      </c>
      <c r="AG754" s="50" t="n">
        <f aca="false">IF(AND(ISNUMBER($AE754),ISNUMBER($AF754),$AF754&gt;0),$AE754/$AF754,"")</f>
        <v>0.519062505256428</v>
      </c>
      <c r="AH754" s="48" t="n">
        <f aca="false">IF($U754&gt;=5,SUM(INDEX($AD$724:$AD754,32-5):$AD754),"")</f>
        <v>36663828324</v>
      </c>
      <c r="AI754" s="48" t="n">
        <f aca="false">IF($U754&gt;=STRUCT_S,MAX(INDEX($G$604:$G754,152-STRUCT_S):$G754),"")</f>
        <v>4572</v>
      </c>
      <c r="AJ754" s="48" t="n">
        <f aca="false">IF($U754&gt;=STRUCT_S,MIN(INDEX($H$604:$H754,152-STRUCT_S):$H754),"")</f>
        <v>3685</v>
      </c>
      <c r="AK754" s="48" t="n">
        <f aca="false">IF($U754&gt;=STRUCT_L,MAX(INDEX($G$504:$G754,252-STRUCT_L):$G754),"")</f>
        <v>4847</v>
      </c>
      <c r="AL754" s="48" t="n">
        <f aca="false">IF($U754&gt;=STRUCT_L,MIN(INDEX($H$504:$H754,252-STRUCT_L):$H754),"")</f>
        <v>3685</v>
      </c>
      <c r="AM754" s="46" t="n">
        <f aca="false">IF($A754&lt;&gt;$A755,1,0)</f>
        <v>0</v>
      </c>
      <c r="AN754" s="47" t="str">
        <f aca="false">IF($AM754=1,$A754,"")</f>
        <v/>
      </c>
    </row>
    <row r="755" customFormat="false" ht="15" hidden="false" customHeight="false" outlineLevel="0" collapsed="false">
      <c r="A755" s="43" t="s">
        <v>142</v>
      </c>
      <c r="B755" s="44" t="s">
        <v>144</v>
      </c>
      <c r="C755" s="45" t="n">
        <v>46228</v>
      </c>
      <c r="D755" s="46" t="n">
        <v>20260725</v>
      </c>
      <c r="E755" s="47" t="s">
        <v>518</v>
      </c>
      <c r="F755" s="48" t="n">
        <v>4335</v>
      </c>
      <c r="G755" s="48" t="n">
        <v>4350</v>
      </c>
      <c r="H755" s="48" t="n">
        <v>4208</v>
      </c>
      <c r="I755" s="48" t="n">
        <v>4280</v>
      </c>
      <c r="J755" s="48" t="n">
        <v>4263</v>
      </c>
      <c r="K755" s="48" t="n">
        <v>4278</v>
      </c>
      <c r="L755" s="48" t="n">
        <v>70942741</v>
      </c>
      <c r="M755" s="48" t="n">
        <v>303634931480</v>
      </c>
      <c r="N755" s="48" t="n">
        <v>2356</v>
      </c>
      <c r="O755" s="48" t="n">
        <v>35199492</v>
      </c>
      <c r="P755" s="48" t="n">
        <v>38235809</v>
      </c>
      <c r="Q755" s="48" t="n">
        <v>795</v>
      </c>
      <c r="R755" s="48" t="n">
        <v>1221</v>
      </c>
      <c r="S755" s="48" t="n">
        <v>35743249</v>
      </c>
      <c r="T755" s="48" t="n">
        <v>32706932</v>
      </c>
      <c r="U755" s="46" t="n">
        <f aca="false">IF($A755=$A754,$U754+1,1)</f>
        <v>231</v>
      </c>
      <c r="V755" s="48" t="n">
        <f aca="false">IF($U755&gt;=MA_SHORT,AVERAGE(INDEX($I$355:$I755,402-MA_SHORT):$I755),"")</f>
        <v>4229.2</v>
      </c>
      <c r="W755" s="48" t="n">
        <f aca="false">IF($U755&gt;=MA_MED,AVERAGE(INDEX($I$355:$I755,402-MA_MED):$I755),"")</f>
        <v>4111.7</v>
      </c>
      <c r="X755" s="48" t="n">
        <f aca="false">IF($U755&gt;=MA_LONG1,AVERAGE(INDEX($I$355:$I755,402-MA_LONG1):$I755),"")</f>
        <v>4283.78</v>
      </c>
      <c r="Y755" s="48" t="n">
        <f aca="false">IF($U755&gt;=MA_LONG2,AVERAGE(INDEX($I$355:$I755,402-MA_LONG2):$I755),"")</f>
        <v>4015.995</v>
      </c>
      <c r="Z755" s="48" t="n">
        <f aca="false">IF($U755&gt;=MA_SHORT,AVERAGE(INDEX($L$635:$L755,122-MA_SHORT):$L755),"")</f>
        <v>61512612.8</v>
      </c>
      <c r="AA755" s="48" t="n">
        <f aca="false">IF($U755=1,$G755-$H755,MAX($G755-$H755,ABS($G755-$I754),ABS($H755-$I754)))</f>
        <v>142</v>
      </c>
      <c r="AB755" s="48" t="n">
        <f aca="false">IF($U755&gt;=ATR_PER,AVERAGE(INDEX($AA$635:$AA755,122-ATR_PER):$AA755),"")</f>
        <v>192.071428571429</v>
      </c>
      <c r="AC755" s="48" t="n">
        <f aca="false">$O755-$P755</f>
        <v>-3036317</v>
      </c>
      <c r="AD755" s="48" t="n">
        <f aca="false">$AC755*$I755</f>
        <v>-12995436760</v>
      </c>
      <c r="AE755" s="49" t="n">
        <f aca="false">IF($Q755&gt;0,$O755*$I755/$Q755/1000000,"")</f>
        <v>189.501667622642</v>
      </c>
      <c r="AF755" s="49" t="n">
        <f aca="false">IF($R755&gt;0,$P755*$I755/$R755/1000000,"")</f>
        <v>134.02888003276</v>
      </c>
      <c r="AG755" s="50" t="n">
        <f aca="false">IF(AND(ISNUMBER($AE755),ISNUMBER($AF755),$AF755&gt;0),$AE755/$AF755,"")</f>
        <v>1.4138868248121</v>
      </c>
      <c r="AH755" s="48" t="n">
        <f aca="false">IF($U755&gt;=5,SUM(INDEX($AD$725:$AD755,32-5):$AD755),"")</f>
        <v>2938789542</v>
      </c>
      <c r="AI755" s="48" t="n">
        <f aca="false">IF($U755&gt;=STRUCT_S,MAX(INDEX($G$605:$G755,152-STRUCT_S):$G755),"")</f>
        <v>4572</v>
      </c>
      <c r="AJ755" s="48" t="n">
        <f aca="false">IF($U755&gt;=STRUCT_S,MIN(INDEX($H$605:$H755,152-STRUCT_S):$H755),"")</f>
        <v>3685</v>
      </c>
      <c r="AK755" s="48" t="n">
        <f aca="false">IF($U755&gt;=STRUCT_L,MAX(INDEX($G$505:$G755,252-STRUCT_L):$G755),"")</f>
        <v>4783</v>
      </c>
      <c r="AL755" s="48" t="n">
        <f aca="false">IF($U755&gt;=STRUCT_L,MIN(INDEX($H$505:$H755,252-STRUCT_L):$H755),"")</f>
        <v>3685</v>
      </c>
      <c r="AM755" s="46" t="n">
        <f aca="false">IF($A755&lt;&gt;$A756,1,0)</f>
        <v>0</v>
      </c>
      <c r="AN755" s="47" t="str">
        <f aca="false">IF($AM755=1,$A755,"")</f>
        <v/>
      </c>
    </row>
    <row r="756" customFormat="false" ht="15" hidden="false" customHeight="false" outlineLevel="0" collapsed="false">
      <c r="A756" s="43" t="s">
        <v>142</v>
      </c>
      <c r="B756" s="44" t="s">
        <v>144</v>
      </c>
      <c r="C756" s="45" t="n">
        <v>46229</v>
      </c>
      <c r="D756" s="46" t="n">
        <v>20260726</v>
      </c>
      <c r="E756" s="47" t="s">
        <v>519</v>
      </c>
      <c r="F756" s="48" t="n">
        <v>4193</v>
      </c>
      <c r="G756" s="48" t="n">
        <v>4336</v>
      </c>
      <c r="H756" s="48" t="n">
        <v>4157</v>
      </c>
      <c r="I756" s="48" t="n">
        <v>4213</v>
      </c>
      <c r="J756" s="48" t="n">
        <v>4263</v>
      </c>
      <c r="K756" s="48" t="n">
        <v>4280</v>
      </c>
      <c r="L756" s="48" t="n">
        <v>60810489</v>
      </c>
      <c r="M756" s="48" t="n">
        <v>256194590157</v>
      </c>
      <c r="N756" s="48" t="n">
        <v>1858</v>
      </c>
      <c r="O756" s="48" t="n">
        <v>28582532</v>
      </c>
      <c r="P756" s="48" t="n">
        <v>32103527</v>
      </c>
      <c r="Q756" s="48" t="n">
        <v>1036</v>
      </c>
      <c r="R756" s="48" t="n">
        <v>639</v>
      </c>
      <c r="S756" s="48" t="n">
        <v>32227957</v>
      </c>
      <c r="T756" s="48" t="n">
        <v>28706962</v>
      </c>
      <c r="U756" s="46" t="n">
        <f aca="false">IF($A756=$A755,$U755+1,1)</f>
        <v>232</v>
      </c>
      <c r="V756" s="48" t="n">
        <f aca="false">IF($U756&gt;=MA_SHORT,AVERAGE(INDEX($I$356:$I756,402-MA_SHORT):$I756),"")</f>
        <v>4251.85</v>
      </c>
      <c r="W756" s="48" t="n">
        <f aca="false">IF($U756&gt;=MA_MED,AVERAGE(INDEX($I$356:$I756,402-MA_MED):$I756),"")</f>
        <v>4113.44</v>
      </c>
      <c r="X756" s="48" t="n">
        <f aca="false">IF($U756&gt;=MA_LONG1,AVERAGE(INDEX($I$356:$I756,402-MA_LONG1):$I756),"")</f>
        <v>4284.98</v>
      </c>
      <c r="Y756" s="48" t="n">
        <f aca="false">IF($U756&gt;=MA_LONG2,AVERAGE(INDEX($I$356:$I756,402-MA_LONG2):$I756),"")</f>
        <v>4019.385</v>
      </c>
      <c r="Z756" s="48" t="n">
        <f aca="false">IF($U756&gt;=MA_SHORT,AVERAGE(INDEX($L$636:$L756,122-MA_SHORT):$L756),"")</f>
        <v>61796720.3</v>
      </c>
      <c r="AA756" s="48" t="n">
        <f aca="false">IF($U756=1,$G756-$H756,MAX($G756-$H756,ABS($G756-$I755),ABS($H756-$I755)))</f>
        <v>179</v>
      </c>
      <c r="AB756" s="48" t="n">
        <f aca="false">IF($U756&gt;=ATR_PER,AVERAGE(INDEX($AA$636:$AA756,122-ATR_PER):$AA756),"")</f>
        <v>189.642857142857</v>
      </c>
      <c r="AC756" s="48" t="n">
        <f aca="false">$O756-$P756</f>
        <v>-3520995</v>
      </c>
      <c r="AD756" s="48" t="n">
        <f aca="false">$AC756*$I756</f>
        <v>-14833951935</v>
      </c>
      <c r="AE756" s="49" t="n">
        <f aca="false">IF($Q756&gt;0,$O756*$I756/$Q756/1000000,"")</f>
        <v>116.23379084556</v>
      </c>
      <c r="AF756" s="49" t="n">
        <f aca="false">IF($R756&gt;0,$P756*$I756/$R756/1000000,"")</f>
        <v>211.662221050078</v>
      </c>
      <c r="AG756" s="50" t="n">
        <f aca="false">IF(AND(ISNUMBER($AE756),ISNUMBER($AF756),$AF756&gt;0),$AE756/$AF756,"")</f>
        <v>0.5491475534411</v>
      </c>
      <c r="AH756" s="48" t="n">
        <f aca="false">IF($U756&gt;=5,SUM(INDEX($AD$726:$AD756,32-5):$AD756),"")</f>
        <v>-35056283643</v>
      </c>
      <c r="AI756" s="48" t="n">
        <f aca="false">IF($U756&gt;=STRUCT_S,MAX(INDEX($G$606:$G756,152-STRUCT_S):$G756),"")</f>
        <v>4572</v>
      </c>
      <c r="AJ756" s="48" t="n">
        <f aca="false">IF($U756&gt;=STRUCT_S,MIN(INDEX($H$606:$H756,152-STRUCT_S):$H756),"")</f>
        <v>3712</v>
      </c>
      <c r="AK756" s="48" t="n">
        <f aca="false">IF($U756&gt;=STRUCT_L,MAX(INDEX($G$506:$G756,252-STRUCT_L):$G756),"")</f>
        <v>4725</v>
      </c>
      <c r="AL756" s="48" t="n">
        <f aca="false">IF($U756&gt;=STRUCT_L,MIN(INDEX($H$506:$H756,252-STRUCT_L):$H756),"")</f>
        <v>3685</v>
      </c>
      <c r="AM756" s="46" t="n">
        <f aca="false">IF($A756&lt;&gt;$A757,1,0)</f>
        <v>0</v>
      </c>
      <c r="AN756" s="47" t="str">
        <f aca="false">IF($AM756=1,$A756,"")</f>
        <v/>
      </c>
    </row>
    <row r="757" customFormat="false" ht="15" hidden="false" customHeight="false" outlineLevel="0" collapsed="false">
      <c r="A757" s="43" t="s">
        <v>142</v>
      </c>
      <c r="B757" s="44" t="s">
        <v>144</v>
      </c>
      <c r="C757" s="45" t="n">
        <v>46230</v>
      </c>
      <c r="D757" s="46" t="n">
        <v>20260727</v>
      </c>
      <c r="E757" s="47" t="s">
        <v>520</v>
      </c>
      <c r="F757" s="48" t="n">
        <v>4199</v>
      </c>
      <c r="G757" s="48" t="n">
        <v>4253</v>
      </c>
      <c r="H757" s="48" t="n">
        <v>4082</v>
      </c>
      <c r="I757" s="48" t="n">
        <v>4121</v>
      </c>
      <c r="J757" s="48" t="n">
        <v>4126</v>
      </c>
      <c r="K757" s="48" t="n">
        <v>4213</v>
      </c>
      <c r="L757" s="48" t="n">
        <v>56582251</v>
      </c>
      <c r="M757" s="48" t="n">
        <v>233175456371</v>
      </c>
      <c r="N757" s="48" t="n">
        <v>1792</v>
      </c>
      <c r="O757" s="48" t="n">
        <v>22852471</v>
      </c>
      <c r="P757" s="48" t="n">
        <v>32498251</v>
      </c>
      <c r="Q757" s="48" t="n">
        <v>833</v>
      </c>
      <c r="R757" s="48" t="n">
        <v>690</v>
      </c>
      <c r="S757" s="48" t="n">
        <v>33729780</v>
      </c>
      <c r="T757" s="48" t="n">
        <v>24084000</v>
      </c>
      <c r="U757" s="46" t="n">
        <f aca="false">IF($A757=$A756,$U756+1,1)</f>
        <v>233</v>
      </c>
      <c r="V757" s="48" t="n">
        <f aca="false">IF($U757&gt;=MA_SHORT,AVERAGE(INDEX($I$357:$I757,402-MA_SHORT):$I757),"")</f>
        <v>4265.9</v>
      </c>
      <c r="W757" s="48" t="n">
        <f aca="false">IF($U757&gt;=MA_MED,AVERAGE(INDEX($I$357:$I757,402-MA_MED):$I757),"")</f>
        <v>4112.52</v>
      </c>
      <c r="X757" s="48" t="n">
        <f aca="false">IF($U757&gt;=MA_LONG1,AVERAGE(INDEX($I$357:$I757,402-MA_LONG1):$I757),"")</f>
        <v>4285.77</v>
      </c>
      <c r="Y757" s="48" t="n">
        <f aca="false">IF($U757&gt;=MA_LONG2,AVERAGE(INDEX($I$357:$I757,402-MA_LONG2):$I757),"")</f>
        <v>4022.39</v>
      </c>
      <c r="Z757" s="48" t="n">
        <f aca="false">IF($U757&gt;=MA_SHORT,AVERAGE(INDEX($L$637:$L757,122-MA_SHORT):$L757),"")</f>
        <v>61805133.55</v>
      </c>
      <c r="AA757" s="48" t="n">
        <f aca="false">IF($U757=1,$G757-$H757,MAX($G757-$H757,ABS($G757-$I756),ABS($H757-$I756)))</f>
        <v>171</v>
      </c>
      <c r="AB757" s="48" t="n">
        <f aca="false">IF($U757&gt;=ATR_PER,AVERAGE(INDEX($AA$637:$AA757,122-ATR_PER):$AA757),"")</f>
        <v>176.214285714286</v>
      </c>
      <c r="AC757" s="48" t="n">
        <f aca="false">$O757-$P757</f>
        <v>-9645780</v>
      </c>
      <c r="AD757" s="48" t="n">
        <f aca="false">$AC757*$I757</f>
        <v>-39750259380</v>
      </c>
      <c r="AE757" s="49" t="n">
        <f aca="false">IF($Q757&gt;0,$O757*$I757/$Q757/1000000,"")</f>
        <v>113.055261693878</v>
      </c>
      <c r="AF757" s="49" t="n">
        <f aca="false">IF($R757&gt;0,$P757*$I757/$R757/1000000,"")</f>
        <v>194.094626624638</v>
      </c>
      <c r="AG757" s="50" t="n">
        <f aca="false">IF(AND(ISNUMBER($AE757),ISNUMBER($AF757),$AF757&gt;0),$AE757/$AF757,"")</f>
        <v>0.582474969348413</v>
      </c>
      <c r="AH757" s="48" t="n">
        <f aca="false">IF($U757&gt;=5,SUM(INDEX($AD$727:$AD757,32-5):$AD757),"")</f>
        <v>-53081520319</v>
      </c>
      <c r="AI757" s="48" t="n">
        <f aca="false">IF($U757&gt;=STRUCT_S,MAX(INDEX($G$607:$G757,152-STRUCT_S):$G757),"")</f>
        <v>4572</v>
      </c>
      <c r="AJ757" s="48" t="n">
        <f aca="false">IF($U757&gt;=STRUCT_S,MIN(INDEX($H$607:$H757,152-STRUCT_S):$H757),"")</f>
        <v>3712</v>
      </c>
      <c r="AK757" s="48" t="n">
        <f aca="false">IF($U757&gt;=STRUCT_L,MAX(INDEX($G$507:$G757,252-STRUCT_L):$G757),"")</f>
        <v>4622</v>
      </c>
      <c r="AL757" s="48" t="n">
        <f aca="false">IF($U757&gt;=STRUCT_L,MIN(INDEX($H$507:$H757,252-STRUCT_L):$H757),"")</f>
        <v>3685</v>
      </c>
      <c r="AM757" s="46" t="n">
        <f aca="false">IF($A757&lt;&gt;$A758,1,0)</f>
        <v>0</v>
      </c>
      <c r="AN757" s="47" t="str">
        <f aca="false">IF($AM757=1,$A757,"")</f>
        <v/>
      </c>
    </row>
    <row r="758" customFormat="false" ht="15" hidden="false" customHeight="false" outlineLevel="0" collapsed="false">
      <c r="A758" s="43" t="s">
        <v>142</v>
      </c>
      <c r="B758" s="44" t="s">
        <v>144</v>
      </c>
      <c r="C758" s="45" t="n">
        <v>46231</v>
      </c>
      <c r="D758" s="46" t="n">
        <v>20260728</v>
      </c>
      <c r="E758" s="47" t="s">
        <v>521</v>
      </c>
      <c r="F758" s="48" t="n">
        <v>4136</v>
      </c>
      <c r="G758" s="48" t="n">
        <v>4163</v>
      </c>
      <c r="H758" s="48" t="n">
        <v>4019</v>
      </c>
      <c r="I758" s="48" t="n">
        <v>4060</v>
      </c>
      <c r="J758" s="48" t="n">
        <v>4071</v>
      </c>
      <c r="K758" s="48" t="n">
        <v>4121</v>
      </c>
      <c r="L758" s="48" t="n">
        <v>54470608</v>
      </c>
      <c r="M758" s="48" t="n">
        <v>221150668480</v>
      </c>
      <c r="N758" s="48" t="n">
        <v>2738</v>
      </c>
      <c r="O758" s="48" t="n">
        <v>26748408</v>
      </c>
      <c r="P758" s="48" t="n">
        <v>23850802</v>
      </c>
      <c r="Q758" s="48" t="n">
        <v>1180</v>
      </c>
      <c r="R758" s="48" t="n">
        <v>1361</v>
      </c>
      <c r="S758" s="48" t="n">
        <v>27722200</v>
      </c>
      <c r="T758" s="48" t="n">
        <v>30619806</v>
      </c>
      <c r="U758" s="46" t="n">
        <f aca="false">IF($A758=$A757,$U757+1,1)</f>
        <v>234</v>
      </c>
      <c r="V758" s="48" t="n">
        <f aca="false">IF($U758&gt;=MA_SHORT,AVERAGE(INDEX($I$358:$I758,402-MA_SHORT):$I758),"")</f>
        <v>4269.35</v>
      </c>
      <c r="W758" s="48" t="n">
        <f aca="false">IF($U758&gt;=MA_MED,AVERAGE(INDEX($I$358:$I758,402-MA_MED):$I758),"")</f>
        <v>4109.78</v>
      </c>
      <c r="X758" s="48" t="n">
        <f aca="false">IF($U758&gt;=MA_LONG1,AVERAGE(INDEX($I$358:$I758,402-MA_LONG1):$I758),"")</f>
        <v>4285.74</v>
      </c>
      <c r="Y758" s="48" t="n">
        <f aca="false">IF($U758&gt;=MA_LONG2,AVERAGE(INDEX($I$358:$I758,402-MA_LONG2):$I758),"")</f>
        <v>4024.35</v>
      </c>
      <c r="Z758" s="48" t="n">
        <f aca="false">IF($U758&gt;=MA_SHORT,AVERAGE(INDEX($L$638:$L758,122-MA_SHORT):$L758),"")</f>
        <v>61437121</v>
      </c>
      <c r="AA758" s="48" t="n">
        <f aca="false">IF($U758=1,$G758-$H758,MAX($G758-$H758,ABS($G758-$I757),ABS($H758-$I757)))</f>
        <v>144</v>
      </c>
      <c r="AB758" s="48" t="n">
        <f aca="false">IF($U758&gt;=ATR_PER,AVERAGE(INDEX($AA$638:$AA758,122-ATR_PER):$AA758),"")</f>
        <v>165.357142857143</v>
      </c>
      <c r="AC758" s="48" t="n">
        <f aca="false">$O758-$P758</f>
        <v>2897606</v>
      </c>
      <c r="AD758" s="48" t="n">
        <f aca="false">$AC758*$I758</f>
        <v>11764280360</v>
      </c>
      <c r="AE758" s="49" t="n">
        <f aca="false">IF($Q758&gt;0,$O758*$I758/$Q758/1000000,"")</f>
        <v>92.0326580338983</v>
      </c>
      <c r="AF758" s="49" t="n">
        <f aca="false">IF($R758&gt;0,$P758*$I758/$R758/1000000,"")</f>
        <v>71.1493432182219</v>
      </c>
      <c r="AG758" s="50" t="n">
        <f aca="false">IF(AND(ISNUMBER($AE758),ISNUMBER($AF758),$AF758&gt;0),$AE758/$AF758,"")</f>
        <v>1.29351381012226</v>
      </c>
      <c r="AH758" s="48" t="n">
        <f aca="false">IF($U758&gt;=5,SUM(INDEX($AD$728:$AD758,32-5):$AD758),"")</f>
        <v>-98988006833</v>
      </c>
      <c r="AI758" s="48" t="n">
        <f aca="false">IF($U758&gt;=STRUCT_S,MAX(INDEX($G$608:$G758,152-STRUCT_S):$G758),"")</f>
        <v>4572</v>
      </c>
      <c r="AJ758" s="48" t="n">
        <f aca="false">IF($U758&gt;=STRUCT_S,MIN(INDEX($H$608:$H758,152-STRUCT_S):$H758),"")</f>
        <v>3923</v>
      </c>
      <c r="AK758" s="48" t="n">
        <f aca="false">IF($U758&gt;=STRUCT_L,MAX(INDEX($G$508:$G758,252-STRUCT_L):$G758),"")</f>
        <v>4572</v>
      </c>
      <c r="AL758" s="48" t="n">
        <f aca="false">IF($U758&gt;=STRUCT_L,MIN(INDEX($H$508:$H758,252-STRUCT_L):$H758),"")</f>
        <v>3685</v>
      </c>
      <c r="AM758" s="46" t="n">
        <f aca="false">IF($A758&lt;&gt;$A759,1,0)</f>
        <v>0</v>
      </c>
      <c r="AN758" s="47" t="str">
        <f aca="false">IF($AM758=1,$A758,"")</f>
        <v/>
      </c>
    </row>
    <row r="759" customFormat="false" ht="15" hidden="false" customHeight="false" outlineLevel="0" collapsed="false">
      <c r="A759" s="43" t="s">
        <v>142</v>
      </c>
      <c r="B759" s="44" t="s">
        <v>144</v>
      </c>
      <c r="C759" s="45" t="n">
        <v>46232</v>
      </c>
      <c r="D759" s="46" t="n">
        <v>20260729</v>
      </c>
      <c r="E759" s="47" t="s">
        <v>522</v>
      </c>
      <c r="F759" s="48" t="n">
        <v>4001</v>
      </c>
      <c r="G759" s="48" t="n">
        <v>4113</v>
      </c>
      <c r="H759" s="48" t="n">
        <v>3958</v>
      </c>
      <c r="I759" s="48" t="n">
        <v>4010</v>
      </c>
      <c r="J759" s="48" t="n">
        <v>4084</v>
      </c>
      <c r="K759" s="48" t="n">
        <v>4060</v>
      </c>
      <c r="L759" s="48" t="n">
        <v>53724110</v>
      </c>
      <c r="M759" s="48" t="n">
        <v>215433681100</v>
      </c>
      <c r="N759" s="48" t="n">
        <v>4293</v>
      </c>
      <c r="O759" s="48" t="n">
        <v>27517397</v>
      </c>
      <c r="P759" s="48" t="n">
        <v>23841501</v>
      </c>
      <c r="Q759" s="48" t="n">
        <v>2545</v>
      </c>
      <c r="R759" s="48" t="n">
        <v>1907</v>
      </c>
      <c r="S759" s="48" t="n">
        <v>26206713</v>
      </c>
      <c r="T759" s="48" t="n">
        <v>29882609</v>
      </c>
      <c r="U759" s="46" t="n">
        <f aca="false">IF($A759=$A758,$U758+1,1)</f>
        <v>235</v>
      </c>
      <c r="V759" s="48" t="n">
        <f aca="false">IF($U759&gt;=MA_SHORT,AVERAGE(INDEX($I$359:$I759,402-MA_SHORT):$I759),"")</f>
        <v>4263.05</v>
      </c>
      <c r="W759" s="48" t="n">
        <f aca="false">IF($U759&gt;=MA_MED,AVERAGE(INDEX($I$359:$I759,402-MA_MED):$I759),"")</f>
        <v>4109.26</v>
      </c>
      <c r="X759" s="48" t="n">
        <f aca="false">IF($U759&gt;=MA_LONG1,AVERAGE(INDEX($I$359:$I759,402-MA_LONG1):$I759),"")</f>
        <v>4283.89</v>
      </c>
      <c r="Y759" s="48" t="n">
        <f aca="false">IF($U759&gt;=MA_LONG2,AVERAGE(INDEX($I$359:$I759,402-MA_LONG2):$I759),"")</f>
        <v>4025.595</v>
      </c>
      <c r="Z759" s="48" t="n">
        <f aca="false">IF($U759&gt;=MA_SHORT,AVERAGE(INDEX($L$639:$L759,122-MA_SHORT):$L759),"")</f>
        <v>61076675.75</v>
      </c>
      <c r="AA759" s="48" t="n">
        <f aca="false">IF($U759=1,$G759-$H759,MAX($G759-$H759,ABS($G759-$I758),ABS($H759-$I758)))</f>
        <v>155</v>
      </c>
      <c r="AB759" s="48" t="n">
        <f aca="false">IF($U759&gt;=ATR_PER,AVERAGE(INDEX($AA$639:$AA759,122-ATR_PER):$AA759),"")</f>
        <v>163.214285714286</v>
      </c>
      <c r="AC759" s="48" t="n">
        <f aca="false">$O759-$P759</f>
        <v>3675896</v>
      </c>
      <c r="AD759" s="48" t="n">
        <f aca="false">$AC759*$I759</f>
        <v>14740342960</v>
      </c>
      <c r="AE759" s="49" t="n">
        <f aca="false">IF($Q759&gt;0,$O759*$I759/$Q759/1000000,"")</f>
        <v>43.3574703222004</v>
      </c>
      <c r="AF759" s="49" t="n">
        <f aca="false">IF($R759&gt;0,$P759*$I759/$R759/1000000,"")</f>
        <v>50.1334132197168</v>
      </c>
      <c r="AG759" s="50" t="n">
        <f aca="false">IF(AND(ISNUMBER($AE759),ISNUMBER($AF759),$AF759&gt;0),$AE759/$AF759,"")</f>
        <v>0.864841779915924</v>
      </c>
      <c r="AH759" s="48" t="n">
        <f aca="false">IF($U759&gt;=5,SUM(INDEX($AD$729:$AD759,32-5):$AD759),"")</f>
        <v>-41075024755</v>
      </c>
      <c r="AI759" s="48" t="n">
        <f aca="false">IF($U759&gt;=STRUCT_S,MAX(INDEX($G$609:$G759,152-STRUCT_S):$G759),"")</f>
        <v>4572</v>
      </c>
      <c r="AJ759" s="48" t="n">
        <f aca="false">IF($U759&gt;=STRUCT_S,MIN(INDEX($H$609:$H759,152-STRUCT_S):$H759),"")</f>
        <v>3958</v>
      </c>
      <c r="AK759" s="48" t="n">
        <f aca="false">IF($U759&gt;=STRUCT_L,MAX(INDEX($G$509:$G759,252-STRUCT_L):$G759),"")</f>
        <v>4572</v>
      </c>
      <c r="AL759" s="48" t="n">
        <f aca="false">IF($U759&gt;=STRUCT_L,MIN(INDEX($H$509:$H759,252-STRUCT_L):$H759),"")</f>
        <v>3685</v>
      </c>
      <c r="AM759" s="46" t="n">
        <f aca="false">IF($A759&lt;&gt;$A760,1,0)</f>
        <v>0</v>
      </c>
      <c r="AN759" s="47" t="str">
        <f aca="false">IF($AM759=1,$A759,"")</f>
        <v/>
      </c>
    </row>
    <row r="760" customFormat="false" ht="15" hidden="false" customHeight="false" outlineLevel="0" collapsed="false">
      <c r="A760" s="43" t="s">
        <v>142</v>
      </c>
      <c r="B760" s="44" t="s">
        <v>144</v>
      </c>
      <c r="C760" s="45" t="n">
        <v>46235</v>
      </c>
      <c r="D760" s="46" t="n">
        <v>20260801</v>
      </c>
      <c r="E760" s="47" t="s">
        <v>523</v>
      </c>
      <c r="F760" s="48" t="n">
        <v>3988</v>
      </c>
      <c r="G760" s="48" t="n">
        <v>4033</v>
      </c>
      <c r="H760" s="48" t="n">
        <v>3934</v>
      </c>
      <c r="I760" s="48" t="n">
        <v>3957</v>
      </c>
      <c r="J760" s="48" t="n">
        <v>4006</v>
      </c>
      <c r="K760" s="48" t="n">
        <v>4010</v>
      </c>
      <c r="L760" s="48" t="n">
        <v>53994764</v>
      </c>
      <c r="M760" s="48" t="n">
        <v>213657281148</v>
      </c>
      <c r="N760" s="48" t="n">
        <v>1383</v>
      </c>
      <c r="O760" s="48" t="n">
        <v>28665644</v>
      </c>
      <c r="P760" s="48" t="n">
        <v>28596249</v>
      </c>
      <c r="Q760" s="48" t="n">
        <v>543</v>
      </c>
      <c r="R760" s="48" t="n">
        <v>523</v>
      </c>
      <c r="S760" s="48" t="n">
        <v>25329120</v>
      </c>
      <c r="T760" s="48" t="n">
        <v>25398515</v>
      </c>
      <c r="U760" s="46" t="n">
        <f aca="false">IF($A760=$A759,$U759+1,1)</f>
        <v>236</v>
      </c>
      <c r="V760" s="48" t="n">
        <f aca="false">IF($U760&gt;=MA_SHORT,AVERAGE(INDEX($I$360:$I760,402-MA_SHORT):$I760),"")</f>
        <v>4256.85</v>
      </c>
      <c r="W760" s="48" t="n">
        <f aca="false">IF($U760&gt;=MA_MED,AVERAGE(INDEX($I$360:$I760,402-MA_MED):$I760),"")</f>
        <v>4108.72</v>
      </c>
      <c r="X760" s="48" t="n">
        <f aca="false">IF($U760&gt;=MA_LONG1,AVERAGE(INDEX($I$360:$I760,402-MA_LONG1):$I760),"")</f>
        <v>4281.53</v>
      </c>
      <c r="Y760" s="48" t="n">
        <f aca="false">IF($U760&gt;=MA_LONG2,AVERAGE(INDEX($I$360:$I760,402-MA_LONG2):$I760),"")</f>
        <v>4026.985</v>
      </c>
      <c r="Z760" s="48" t="n">
        <f aca="false">IF($U760&gt;=MA_SHORT,AVERAGE(INDEX($L$640:$L760,122-MA_SHORT):$L760),"")</f>
        <v>61075461.35</v>
      </c>
      <c r="AA760" s="48" t="n">
        <f aca="false">IF($U760=1,$G760-$H760,MAX($G760-$H760,ABS($G760-$I759),ABS($H760-$I759)))</f>
        <v>99</v>
      </c>
      <c r="AB760" s="48" t="n">
        <f aca="false">IF($U760&gt;=ATR_PER,AVERAGE(INDEX($AA$640:$AA760,122-ATR_PER):$AA760),"")</f>
        <v>158.714285714286</v>
      </c>
      <c r="AC760" s="48" t="n">
        <f aca="false">$O760-$P760</f>
        <v>69395</v>
      </c>
      <c r="AD760" s="48" t="n">
        <f aca="false">$AC760*$I760</f>
        <v>274596015</v>
      </c>
      <c r="AE760" s="49" t="n">
        <f aca="false">IF($Q760&gt;0,$O760*$I760/$Q760/1000000,"")</f>
        <v>208.894941635359</v>
      </c>
      <c r="AF760" s="49" t="n">
        <f aca="false">IF($R760&gt;0,$P760*$I760/$R760/1000000,"")</f>
        <v>216.358235741874</v>
      </c>
      <c r="AG760" s="50" t="n">
        <f aca="false">IF(AND(ISNUMBER($AE760),ISNUMBER($AF760),$AF760&gt;0),$AE760/$AF760,"")</f>
        <v>0.965504922514626</v>
      </c>
      <c r="AH760" s="48" t="n">
        <f aca="false">IF($U760&gt;=5,SUM(INDEX($AD$730:$AD760,32-5):$AD760),"")</f>
        <v>-27804991980</v>
      </c>
      <c r="AI760" s="48" t="n">
        <f aca="false">IF($U760&gt;=STRUCT_S,MAX(INDEX($G$610:$G760,152-STRUCT_S):$G760),"")</f>
        <v>4572</v>
      </c>
      <c r="AJ760" s="48" t="n">
        <f aca="false">IF($U760&gt;=STRUCT_S,MIN(INDEX($H$610:$H760,152-STRUCT_S):$H760),"")</f>
        <v>3934</v>
      </c>
      <c r="AK760" s="48" t="n">
        <f aca="false">IF($U760&gt;=STRUCT_L,MAX(INDEX($G$510:$G760,252-STRUCT_L):$G760),"")</f>
        <v>4572</v>
      </c>
      <c r="AL760" s="48" t="n">
        <f aca="false">IF($U760&gt;=STRUCT_L,MIN(INDEX($H$510:$H760,252-STRUCT_L):$H760),"")</f>
        <v>3685</v>
      </c>
      <c r="AM760" s="46" t="n">
        <f aca="false">IF($A760&lt;&gt;$A761,1,0)</f>
        <v>0</v>
      </c>
      <c r="AN760" s="47" t="str">
        <f aca="false">IF($AM760=1,$A760,"")</f>
        <v/>
      </c>
    </row>
    <row r="761" customFormat="false" ht="15" hidden="false" customHeight="false" outlineLevel="0" collapsed="false">
      <c r="A761" s="43" t="s">
        <v>142</v>
      </c>
      <c r="B761" s="44" t="s">
        <v>144</v>
      </c>
      <c r="C761" s="45" t="n">
        <v>46236</v>
      </c>
      <c r="D761" s="46" t="n">
        <v>20260802</v>
      </c>
      <c r="E761" s="47" t="s">
        <v>524</v>
      </c>
      <c r="F761" s="48" t="n">
        <v>3943</v>
      </c>
      <c r="G761" s="48" t="n">
        <v>4000</v>
      </c>
      <c r="H761" s="48" t="n">
        <v>3842</v>
      </c>
      <c r="I761" s="48" t="n">
        <v>3884</v>
      </c>
      <c r="J761" s="48" t="n">
        <v>3978</v>
      </c>
      <c r="K761" s="48" t="n">
        <v>3957</v>
      </c>
      <c r="L761" s="48" t="n">
        <v>55565036</v>
      </c>
      <c r="M761" s="48" t="n">
        <v>215814599824</v>
      </c>
      <c r="N761" s="48" t="n">
        <v>2000</v>
      </c>
      <c r="O761" s="48" t="n">
        <v>24858952</v>
      </c>
      <c r="P761" s="48" t="n">
        <v>27123760</v>
      </c>
      <c r="Q761" s="48" t="n">
        <v>875</v>
      </c>
      <c r="R761" s="48" t="n">
        <v>989</v>
      </c>
      <c r="S761" s="48" t="n">
        <v>30706084</v>
      </c>
      <c r="T761" s="48" t="n">
        <v>28441276</v>
      </c>
      <c r="U761" s="46" t="n">
        <f aca="false">IF($A761=$A760,$U760+1,1)</f>
        <v>237</v>
      </c>
      <c r="V761" s="48" t="n">
        <f aca="false">IF($U761&gt;=MA_SHORT,AVERAGE(INDEX($I$361:$I761,402-MA_SHORT):$I761),"")</f>
        <v>4241.65</v>
      </c>
      <c r="W761" s="48" t="n">
        <f aca="false">IF($U761&gt;=MA_MED,AVERAGE(INDEX($I$361:$I761,402-MA_MED):$I761),"")</f>
        <v>4106.28</v>
      </c>
      <c r="X761" s="48" t="n">
        <f aca="false">IF($U761&gt;=MA_LONG1,AVERAGE(INDEX($I$361:$I761,402-MA_LONG1):$I761),"")</f>
        <v>4277.8</v>
      </c>
      <c r="Y761" s="48" t="n">
        <f aca="false">IF($U761&gt;=MA_LONG2,AVERAGE(INDEX($I$361:$I761,402-MA_LONG2):$I761),"")</f>
        <v>4028.74</v>
      </c>
      <c r="Z761" s="48" t="n">
        <f aca="false">IF($U761&gt;=MA_SHORT,AVERAGE(INDEX($L$641:$L761,122-MA_SHORT):$L761),"")</f>
        <v>60802544.95</v>
      </c>
      <c r="AA761" s="48" t="n">
        <f aca="false">IF($U761=1,$G761-$H761,MAX($G761-$H761,ABS($G761-$I760),ABS($H761-$I760)))</f>
        <v>158</v>
      </c>
      <c r="AB761" s="48" t="n">
        <f aca="false">IF($U761&gt;=ATR_PER,AVERAGE(INDEX($AA$641:$AA761,122-ATR_PER):$AA761),"")</f>
        <v>150.785714285714</v>
      </c>
      <c r="AC761" s="48" t="n">
        <f aca="false">$O761-$P761</f>
        <v>-2264808</v>
      </c>
      <c r="AD761" s="48" t="n">
        <f aca="false">$AC761*$I761</f>
        <v>-8796514272</v>
      </c>
      <c r="AE761" s="49" t="n">
        <f aca="false">IF($Q761&gt;0,$O761*$I761/$Q761/1000000,"")</f>
        <v>110.345336649143</v>
      </c>
      <c r="AF761" s="49" t="n">
        <f aca="false">IF($R761&gt;0,$P761*$I761/$R761/1000000,"")</f>
        <v>106.520408331648</v>
      </c>
      <c r="AG761" s="50" t="n">
        <f aca="false">IF(AND(ISNUMBER($AE761),ISNUMBER($AF761),$AF761&gt;0),$AE761/$AF761,"")</f>
        <v>1.03590793893303</v>
      </c>
      <c r="AH761" s="48" t="n">
        <f aca="false">IF($U761&gt;=5,SUM(INDEX($AD$731:$AD761,32-5):$AD761),"")</f>
        <v>-21767554317</v>
      </c>
      <c r="AI761" s="48" t="n">
        <f aca="false">IF($U761&gt;=STRUCT_S,MAX(INDEX($G$611:$G761,152-STRUCT_S):$G761),"")</f>
        <v>4572</v>
      </c>
      <c r="AJ761" s="48" t="n">
        <f aca="false">IF($U761&gt;=STRUCT_S,MIN(INDEX($H$611:$H761,152-STRUCT_S):$H761),"")</f>
        <v>3842</v>
      </c>
      <c r="AK761" s="48" t="n">
        <f aca="false">IF($U761&gt;=STRUCT_L,MAX(INDEX($G$511:$G761,252-STRUCT_L):$G761),"")</f>
        <v>4572</v>
      </c>
      <c r="AL761" s="48" t="n">
        <f aca="false">IF($U761&gt;=STRUCT_L,MIN(INDEX($H$511:$H761,252-STRUCT_L):$H761),"")</f>
        <v>3685</v>
      </c>
      <c r="AM761" s="46" t="n">
        <f aca="false">IF($A761&lt;&gt;$A762,1,0)</f>
        <v>0</v>
      </c>
      <c r="AN761" s="47" t="str">
        <f aca="false">IF($AM761=1,$A761,"")</f>
        <v/>
      </c>
    </row>
    <row r="762" customFormat="false" ht="15" hidden="false" customHeight="false" outlineLevel="0" collapsed="false">
      <c r="A762" s="43" t="s">
        <v>142</v>
      </c>
      <c r="B762" s="44" t="s">
        <v>144</v>
      </c>
      <c r="C762" s="45" t="n">
        <v>46237</v>
      </c>
      <c r="D762" s="46" t="n">
        <v>20260803</v>
      </c>
      <c r="E762" s="47" t="s">
        <v>525</v>
      </c>
      <c r="F762" s="48" t="n">
        <v>3935</v>
      </c>
      <c r="G762" s="48" t="n">
        <v>3956</v>
      </c>
      <c r="H762" s="48" t="n">
        <v>3781</v>
      </c>
      <c r="I762" s="48" t="n">
        <v>3853</v>
      </c>
      <c r="J762" s="48" t="n">
        <v>3823</v>
      </c>
      <c r="K762" s="48" t="n">
        <v>3884</v>
      </c>
      <c r="L762" s="48" t="n">
        <v>52423252</v>
      </c>
      <c r="M762" s="48" t="n">
        <v>201986789956</v>
      </c>
      <c r="N762" s="48" t="n">
        <v>1419</v>
      </c>
      <c r="O762" s="48" t="n">
        <v>24372023</v>
      </c>
      <c r="P762" s="48" t="n">
        <v>28993542</v>
      </c>
      <c r="Q762" s="48" t="n">
        <v>805</v>
      </c>
      <c r="R762" s="48" t="n">
        <v>493</v>
      </c>
      <c r="S762" s="48" t="n">
        <v>28051229</v>
      </c>
      <c r="T762" s="48" t="n">
        <v>23429710</v>
      </c>
      <c r="U762" s="46" t="n">
        <f aca="false">IF($A762=$A761,$U761+1,1)</f>
        <v>238</v>
      </c>
      <c r="V762" s="48" t="n">
        <f aca="false">IF($U762&gt;=MA_SHORT,AVERAGE(INDEX($I$362:$I762,402-MA_SHORT):$I762),"")</f>
        <v>4220</v>
      </c>
      <c r="W762" s="48" t="n">
        <f aca="false">IF($U762&gt;=MA_MED,AVERAGE(INDEX($I$362:$I762,402-MA_MED):$I762),"")</f>
        <v>4103.5</v>
      </c>
      <c r="X762" s="48" t="n">
        <f aca="false">IF($U762&gt;=MA_LONG1,AVERAGE(INDEX($I$362:$I762,402-MA_LONG1):$I762),"")</f>
        <v>4273.44</v>
      </c>
      <c r="Y762" s="48" t="n">
        <f aca="false">IF($U762&gt;=MA_LONG2,AVERAGE(INDEX($I$362:$I762,402-MA_LONG2):$I762),"")</f>
        <v>4030.735</v>
      </c>
      <c r="Z762" s="48" t="n">
        <f aca="false">IF($U762&gt;=MA_SHORT,AVERAGE(INDEX($L$642:$L762,122-MA_SHORT):$L762),"")</f>
        <v>60571136.8</v>
      </c>
      <c r="AA762" s="48" t="n">
        <f aca="false">IF($U762=1,$G762-$H762,MAX($G762-$H762,ABS($G762-$I761),ABS($H762-$I761)))</f>
        <v>175</v>
      </c>
      <c r="AB762" s="48" t="n">
        <f aca="false">IF($U762&gt;=ATR_PER,AVERAGE(INDEX($AA$642:$AA762,122-ATR_PER):$AA762),"")</f>
        <v>151.928571428571</v>
      </c>
      <c r="AC762" s="48" t="n">
        <f aca="false">$O762-$P762</f>
        <v>-4621519</v>
      </c>
      <c r="AD762" s="48" t="n">
        <f aca="false">$AC762*$I762</f>
        <v>-17806712707</v>
      </c>
      <c r="AE762" s="49" t="n">
        <f aca="false">IF($Q762&gt;0,$O762*$I762/$Q762/1000000,"")</f>
        <v>116.652676545342</v>
      </c>
      <c r="AF762" s="49" t="n">
        <f aca="false">IF($R762&gt;0,$P762*$I762/$R762/1000000,"")</f>
        <v>226.596586868154</v>
      </c>
      <c r="AG762" s="50" t="n">
        <f aca="false">IF(AND(ISNUMBER($AE762),ISNUMBER($AF762),$AF762&gt;0),$AE762/$AF762,"")</f>
        <v>0.514803325847164</v>
      </c>
      <c r="AH762" s="48" t="n">
        <f aca="false">IF($U762&gt;=5,SUM(INDEX($AD$732:$AD762,32-5):$AD762),"")</f>
        <v>175992356</v>
      </c>
      <c r="AI762" s="48" t="n">
        <f aca="false">IF($U762&gt;=STRUCT_S,MAX(INDEX($G$612:$G762,152-STRUCT_S):$G762),"")</f>
        <v>4572</v>
      </c>
      <c r="AJ762" s="48" t="n">
        <f aca="false">IF($U762&gt;=STRUCT_S,MIN(INDEX($H$612:$H762,152-STRUCT_S):$H762),"")</f>
        <v>3781</v>
      </c>
      <c r="AK762" s="48" t="n">
        <f aca="false">IF($U762&gt;=STRUCT_L,MAX(INDEX($G$512:$G762,252-STRUCT_L):$G762),"")</f>
        <v>4572</v>
      </c>
      <c r="AL762" s="48" t="n">
        <f aca="false">IF($U762&gt;=STRUCT_L,MIN(INDEX($H$512:$H762,252-STRUCT_L):$H762),"")</f>
        <v>3685</v>
      </c>
      <c r="AM762" s="46" t="n">
        <f aca="false">IF($A762&lt;&gt;$A763,1,0)</f>
        <v>0</v>
      </c>
      <c r="AN762" s="47" t="str">
        <f aca="false">IF($AM762=1,$A762,"")</f>
        <v/>
      </c>
    </row>
    <row r="763" customFormat="false" ht="15" hidden="false" customHeight="false" outlineLevel="0" collapsed="false">
      <c r="A763" s="43" t="s">
        <v>142</v>
      </c>
      <c r="B763" s="44" t="s">
        <v>144</v>
      </c>
      <c r="C763" s="45" t="n">
        <v>46238</v>
      </c>
      <c r="D763" s="46" t="n">
        <v>20260804</v>
      </c>
      <c r="E763" s="47" t="s">
        <v>526</v>
      </c>
      <c r="F763" s="48" t="n">
        <v>3849</v>
      </c>
      <c r="G763" s="48" t="n">
        <v>3995</v>
      </c>
      <c r="H763" s="48" t="n">
        <v>3813</v>
      </c>
      <c r="I763" s="48" t="n">
        <v>3954</v>
      </c>
      <c r="J763" s="48" t="n">
        <v>3925</v>
      </c>
      <c r="K763" s="48" t="n">
        <v>3853</v>
      </c>
      <c r="L763" s="48" t="n">
        <v>57895823</v>
      </c>
      <c r="M763" s="48" t="n">
        <v>228920084142</v>
      </c>
      <c r="N763" s="48" t="n">
        <v>2432</v>
      </c>
      <c r="O763" s="48" t="n">
        <v>37723000</v>
      </c>
      <c r="P763" s="48" t="n">
        <v>18619639</v>
      </c>
      <c r="Q763" s="48" t="n">
        <v>850</v>
      </c>
      <c r="R763" s="48" t="n">
        <v>1127</v>
      </c>
      <c r="S763" s="48" t="n">
        <v>20172823</v>
      </c>
      <c r="T763" s="48" t="n">
        <v>39276184</v>
      </c>
      <c r="U763" s="46" t="n">
        <f aca="false">IF($A763=$A762,$U762+1,1)</f>
        <v>239</v>
      </c>
      <c r="V763" s="48" t="n">
        <f aca="false">IF($U763&gt;=MA_SHORT,AVERAGE(INDEX($I$363:$I763,402-MA_SHORT):$I763),"")</f>
        <v>4193.65</v>
      </c>
      <c r="W763" s="48" t="n">
        <f aca="false">IF($U763&gt;=MA_MED,AVERAGE(INDEX($I$363:$I763,402-MA_MED):$I763),"")</f>
        <v>4101.02</v>
      </c>
      <c r="X763" s="48" t="n">
        <f aca="false">IF($U763&gt;=MA_LONG1,AVERAGE(INDEX($I$363:$I763,402-MA_LONG1):$I763),"")</f>
        <v>4268.82</v>
      </c>
      <c r="Y763" s="48" t="n">
        <f aca="false">IF($U763&gt;=MA_LONG2,AVERAGE(INDEX($I$363:$I763,402-MA_LONG2):$I763),"")</f>
        <v>4033.19</v>
      </c>
      <c r="Z763" s="48" t="n">
        <f aca="false">IF($U763&gt;=MA_SHORT,AVERAGE(INDEX($L$643:$L763,122-MA_SHORT):$L763),"")</f>
        <v>59640961.55</v>
      </c>
      <c r="AA763" s="48" t="n">
        <f aca="false">IF($U763=1,$G763-$H763,MAX($G763-$H763,ABS($G763-$I762),ABS($H763-$I762)))</f>
        <v>182</v>
      </c>
      <c r="AB763" s="48" t="n">
        <f aca="false">IF($U763&gt;=ATR_PER,AVERAGE(INDEX($AA$643:$AA763,122-ATR_PER):$AA763),"")</f>
        <v>149.571428571429</v>
      </c>
      <c r="AC763" s="48" t="n">
        <f aca="false">$O763-$P763</f>
        <v>19103361</v>
      </c>
      <c r="AD763" s="48" t="n">
        <f aca="false">$AC763*$I763</f>
        <v>75534689394</v>
      </c>
      <c r="AE763" s="49" t="n">
        <f aca="false">IF($Q763&gt;0,$O763*$I763/$Q763/1000000,"")</f>
        <v>175.47852</v>
      </c>
      <c r="AF763" s="49" t="n">
        <f aca="false">IF($R763&gt;0,$P763*$I763/$R763/1000000,"")</f>
        <v>65.3256899787045</v>
      </c>
      <c r="AG763" s="50" t="n">
        <f aca="false">IF(AND(ISNUMBER($AE763),ISNUMBER($AF763),$AF763&gt;0),$AE763/$AF763,"")</f>
        <v>2.68620997431798</v>
      </c>
      <c r="AH763" s="48" t="n">
        <f aca="false">IF($U763&gt;=5,SUM(INDEX($AD$733:$AD763,32-5):$AD763),"")</f>
        <v>63946401390</v>
      </c>
      <c r="AI763" s="48" t="n">
        <f aca="false">IF($U763&gt;=STRUCT_S,MAX(INDEX($G$613:$G763,152-STRUCT_S):$G763),"")</f>
        <v>4572</v>
      </c>
      <c r="AJ763" s="48" t="n">
        <f aca="false">IF($U763&gt;=STRUCT_S,MIN(INDEX($H$613:$H763,152-STRUCT_S):$H763),"")</f>
        <v>3781</v>
      </c>
      <c r="AK763" s="48" t="n">
        <f aca="false">IF($U763&gt;=STRUCT_L,MAX(INDEX($G$513:$G763,252-STRUCT_L):$G763),"")</f>
        <v>4572</v>
      </c>
      <c r="AL763" s="48" t="n">
        <f aca="false">IF($U763&gt;=STRUCT_L,MIN(INDEX($H$513:$H763,252-STRUCT_L):$H763),"")</f>
        <v>3685</v>
      </c>
      <c r="AM763" s="46" t="n">
        <f aca="false">IF($A763&lt;&gt;$A764,1,0)</f>
        <v>0</v>
      </c>
      <c r="AN763" s="47" t="str">
        <f aca="false">IF($AM763=1,$A763,"")</f>
        <v/>
      </c>
    </row>
    <row r="764" customFormat="false" ht="15" hidden="false" customHeight="false" outlineLevel="0" collapsed="false">
      <c r="A764" s="43" t="s">
        <v>142</v>
      </c>
      <c r="B764" s="44" t="s">
        <v>144</v>
      </c>
      <c r="C764" s="45" t="n">
        <v>46239</v>
      </c>
      <c r="D764" s="46" t="n">
        <v>20260805</v>
      </c>
      <c r="E764" s="47" t="s">
        <v>527</v>
      </c>
      <c r="F764" s="48" t="n">
        <v>3830</v>
      </c>
      <c r="G764" s="48" t="n">
        <v>4096</v>
      </c>
      <c r="H764" s="48" t="n">
        <v>3782</v>
      </c>
      <c r="I764" s="48" t="n">
        <v>3923</v>
      </c>
      <c r="J764" s="48" t="n">
        <v>3787</v>
      </c>
      <c r="K764" s="48" t="n">
        <v>3954</v>
      </c>
      <c r="L764" s="48" t="n">
        <v>52380839</v>
      </c>
      <c r="M764" s="48" t="n">
        <v>205490031397</v>
      </c>
      <c r="N764" s="48" t="n">
        <v>1223</v>
      </c>
      <c r="O764" s="48" t="n">
        <v>29005479</v>
      </c>
      <c r="P764" s="48" t="n">
        <v>20658572</v>
      </c>
      <c r="Q764" s="48" t="n">
        <v>445</v>
      </c>
      <c r="R764" s="48" t="n">
        <v>555</v>
      </c>
      <c r="S764" s="48" t="n">
        <v>23375360</v>
      </c>
      <c r="T764" s="48" t="n">
        <v>31722267</v>
      </c>
      <c r="U764" s="46" t="n">
        <f aca="false">IF($A764=$A763,$U763+1,1)</f>
        <v>240</v>
      </c>
      <c r="V764" s="48" t="n">
        <f aca="false">IF($U764&gt;=MA_SHORT,AVERAGE(INDEX($I$364:$I764,402-MA_SHORT):$I764),"")</f>
        <v>4171.55</v>
      </c>
      <c r="W764" s="48" t="n">
        <f aca="false">IF($U764&gt;=MA_MED,AVERAGE(INDEX($I$364:$I764,402-MA_MED):$I764),"")</f>
        <v>4098.8</v>
      </c>
      <c r="X764" s="48" t="n">
        <f aca="false">IF($U764&gt;=MA_LONG1,AVERAGE(INDEX($I$364:$I764,402-MA_LONG1):$I764),"")</f>
        <v>4263.61</v>
      </c>
      <c r="Y764" s="48" t="n">
        <f aca="false">IF($U764&gt;=MA_LONG2,AVERAGE(INDEX($I$364:$I764,402-MA_LONG2):$I764),"")</f>
        <v>4035.46</v>
      </c>
      <c r="Z764" s="48" t="n">
        <f aca="false">IF($U764&gt;=MA_SHORT,AVERAGE(INDEX($L$644:$L764,122-MA_SHORT):$L764),"")</f>
        <v>58712468.2</v>
      </c>
      <c r="AA764" s="48" t="n">
        <f aca="false">IF($U764=1,$G764-$H764,MAX($G764-$H764,ABS($G764-$I763),ABS($H764-$I763)))</f>
        <v>314</v>
      </c>
      <c r="AB764" s="48" t="n">
        <f aca="false">IF($U764&gt;=ATR_PER,AVERAGE(INDEX($AA$644:$AA764,122-ATR_PER):$AA764),"")</f>
        <v>158.357142857143</v>
      </c>
      <c r="AC764" s="48" t="n">
        <f aca="false">$O764-$P764</f>
        <v>8346907</v>
      </c>
      <c r="AD764" s="48" t="n">
        <f aca="false">$AC764*$I764</f>
        <v>32744916161</v>
      </c>
      <c r="AE764" s="49" t="n">
        <f aca="false">IF($Q764&gt;0,$O764*$I764/$Q764/1000000,"")</f>
        <v>255.704481161798</v>
      </c>
      <c r="AF764" s="49" t="n">
        <f aca="false">IF($R764&gt;0,$P764*$I764/$R764/1000000,"")</f>
        <v>146.024464785586</v>
      </c>
      <c r="AG764" s="50" t="n">
        <f aca="false">IF(AND(ISNUMBER($AE764),ISNUMBER($AF764),$AF764&gt;0),$AE764/$AF764,"")</f>
        <v>1.75110712809159</v>
      </c>
      <c r="AH764" s="48" t="n">
        <f aca="false">IF($U764&gt;=5,SUM(INDEX($AD$734:$AD764,32-5):$AD764),"")</f>
        <v>81950974591</v>
      </c>
      <c r="AI764" s="48" t="n">
        <f aca="false">IF($U764&gt;=STRUCT_S,MAX(INDEX($G$614:$G764,152-STRUCT_S):$G764),"")</f>
        <v>4524</v>
      </c>
      <c r="AJ764" s="48" t="n">
        <f aca="false">IF($U764&gt;=STRUCT_S,MIN(INDEX($H$614:$H764,152-STRUCT_S):$H764),"")</f>
        <v>3781</v>
      </c>
      <c r="AK764" s="48" t="n">
        <f aca="false">IF($U764&gt;=STRUCT_L,MAX(INDEX($G$514:$G764,252-STRUCT_L):$G764),"")</f>
        <v>4572</v>
      </c>
      <c r="AL764" s="48" t="n">
        <f aca="false">IF($U764&gt;=STRUCT_L,MIN(INDEX($H$514:$H764,252-STRUCT_L):$H764),"")</f>
        <v>3685</v>
      </c>
      <c r="AM764" s="46" t="n">
        <f aca="false">IF($A764&lt;&gt;$A765,1,0)</f>
        <v>0</v>
      </c>
      <c r="AN764" s="47" t="str">
        <f aca="false">IF($AM764=1,$A764,"")</f>
        <v/>
      </c>
    </row>
    <row r="765" customFormat="false" ht="15" hidden="false" customHeight="false" outlineLevel="0" collapsed="false">
      <c r="A765" s="43" t="s">
        <v>142</v>
      </c>
      <c r="B765" s="44" t="s">
        <v>144</v>
      </c>
      <c r="C765" s="45" t="n">
        <v>46242</v>
      </c>
      <c r="D765" s="46" t="n">
        <v>20260808</v>
      </c>
      <c r="E765" s="47" t="s">
        <v>528</v>
      </c>
      <c r="F765" s="48" t="n">
        <v>3957</v>
      </c>
      <c r="G765" s="48" t="n">
        <v>4072</v>
      </c>
      <c r="H765" s="48" t="n">
        <v>3775</v>
      </c>
      <c r="I765" s="48" t="n">
        <v>3924</v>
      </c>
      <c r="J765" s="48" t="n">
        <v>3933</v>
      </c>
      <c r="K765" s="48" t="n">
        <v>3923</v>
      </c>
      <c r="L765" s="48" t="n">
        <v>119006547</v>
      </c>
      <c r="M765" s="48" t="n">
        <v>466981690428</v>
      </c>
      <c r="N765" s="48" t="n">
        <v>3294</v>
      </c>
      <c r="O765" s="48" t="n">
        <v>52047043</v>
      </c>
      <c r="P765" s="48" t="n">
        <v>60112533</v>
      </c>
      <c r="Q765" s="48" t="n">
        <v>1266</v>
      </c>
      <c r="R765" s="48" t="n">
        <v>1706</v>
      </c>
      <c r="S765" s="48" t="n">
        <v>66959504</v>
      </c>
      <c r="T765" s="48" t="n">
        <v>58894014</v>
      </c>
      <c r="U765" s="46" t="n">
        <f aca="false">IF($A765=$A764,$U764+1,1)</f>
        <v>241</v>
      </c>
      <c r="V765" s="48" t="n">
        <f aca="false">IF($U765&gt;=MA_SHORT,AVERAGE(INDEX($I$365:$I765,402-MA_SHORT):$I765),"")</f>
        <v>4147.4</v>
      </c>
      <c r="W765" s="48" t="n">
        <f aca="false">IF($U765&gt;=MA_MED,AVERAGE(INDEX($I$365:$I765,402-MA_MED):$I765),"")</f>
        <v>4095.22</v>
      </c>
      <c r="X765" s="48" t="n">
        <f aca="false">IF($U765&gt;=MA_LONG1,AVERAGE(INDEX($I$365:$I765,402-MA_LONG1):$I765),"")</f>
        <v>4259.11</v>
      </c>
      <c r="Y765" s="48" t="n">
        <f aca="false">IF($U765&gt;=MA_LONG2,AVERAGE(INDEX($I$365:$I765,402-MA_LONG2):$I765),"")</f>
        <v>4037.56</v>
      </c>
      <c r="Z765" s="48" t="n">
        <f aca="false">IF($U765&gt;=MA_SHORT,AVERAGE(INDEX($L$645:$L765,122-MA_SHORT):$L765),"")</f>
        <v>60780593.9</v>
      </c>
      <c r="AA765" s="48" t="n">
        <f aca="false">IF($U765=1,$G765-$H765,MAX($G765-$H765,ABS($G765-$I764),ABS($H765-$I764)))</f>
        <v>297</v>
      </c>
      <c r="AB765" s="48" t="n">
        <f aca="false">IF($U765&gt;=ATR_PER,AVERAGE(INDEX($AA$645:$AA765,122-ATR_PER):$AA765),"")</f>
        <v>168.142857142857</v>
      </c>
      <c r="AC765" s="48" t="n">
        <f aca="false">$O765-$P765</f>
        <v>-8065490</v>
      </c>
      <c r="AD765" s="48" t="n">
        <f aca="false">$AC765*$I765</f>
        <v>-31648982760</v>
      </c>
      <c r="AE765" s="49" t="n">
        <f aca="false">IF($Q765&gt;0,$O765*$I765/$Q765/1000000,"")</f>
        <v>161.321166454976</v>
      </c>
      <c r="AF765" s="49" t="n">
        <f aca="false">IF($R765&gt;0,$P765*$I765/$R765/1000000,"")</f>
        <v>138.26587309027</v>
      </c>
      <c r="AG765" s="50" t="n">
        <f aca="false">IF(AND(ISNUMBER($AE765),ISNUMBER($AF765),$AF765&gt;0),$AE765/$AF765,"")</f>
        <v>1.1667460874431</v>
      </c>
      <c r="AH765" s="48" t="n">
        <f aca="false">IF($U765&gt;=5,SUM(INDEX($AD$735:$AD765,32-5):$AD765),"")</f>
        <v>50027395816</v>
      </c>
      <c r="AI765" s="48" t="n">
        <f aca="false">IF($U765&gt;=STRUCT_S,MAX(INDEX($G$615:$G765,152-STRUCT_S):$G765),"")</f>
        <v>4524</v>
      </c>
      <c r="AJ765" s="48" t="n">
        <f aca="false">IF($U765&gt;=STRUCT_S,MIN(INDEX($H$615:$H765,152-STRUCT_S):$H765),"")</f>
        <v>3775</v>
      </c>
      <c r="AK765" s="48" t="n">
        <f aca="false">IF($U765&gt;=STRUCT_L,MAX(INDEX($G$515:$G765,252-STRUCT_L):$G765),"")</f>
        <v>4572</v>
      </c>
      <c r="AL765" s="48" t="n">
        <f aca="false">IF($U765&gt;=STRUCT_L,MIN(INDEX($H$515:$H765,252-STRUCT_L):$H765),"")</f>
        <v>3685</v>
      </c>
      <c r="AM765" s="46" t="n">
        <f aca="false">IF($A765&lt;&gt;$A766,1,0)</f>
        <v>0</v>
      </c>
      <c r="AN765" s="47" t="str">
        <f aca="false">IF($AM765=1,$A765,"")</f>
        <v/>
      </c>
    </row>
    <row r="766" customFormat="false" ht="15" hidden="false" customHeight="false" outlineLevel="0" collapsed="false">
      <c r="A766" s="43" t="s">
        <v>142</v>
      </c>
      <c r="B766" s="44" t="s">
        <v>144</v>
      </c>
      <c r="C766" s="45" t="n">
        <v>46243</v>
      </c>
      <c r="D766" s="46" t="n">
        <v>20260809</v>
      </c>
      <c r="E766" s="47" t="s">
        <v>529</v>
      </c>
      <c r="F766" s="48" t="n">
        <v>3897</v>
      </c>
      <c r="G766" s="48" t="n">
        <v>4030</v>
      </c>
      <c r="H766" s="48" t="n">
        <v>3872</v>
      </c>
      <c r="I766" s="48" t="n">
        <v>3977</v>
      </c>
      <c r="J766" s="48" t="n">
        <v>3982</v>
      </c>
      <c r="K766" s="48" t="n">
        <v>3924</v>
      </c>
      <c r="L766" s="48" t="n">
        <v>75232574</v>
      </c>
      <c r="M766" s="48" t="n">
        <v>299199946798</v>
      </c>
      <c r="N766" s="48" t="n">
        <v>2515</v>
      </c>
      <c r="O766" s="48" t="n">
        <v>46704199</v>
      </c>
      <c r="P766" s="48" t="n">
        <v>26067388</v>
      </c>
      <c r="Q766" s="48" t="n">
        <v>1082</v>
      </c>
      <c r="R766" s="48" t="n">
        <v>1476</v>
      </c>
      <c r="S766" s="48" t="n">
        <v>28528375</v>
      </c>
      <c r="T766" s="48" t="n">
        <v>49165186</v>
      </c>
      <c r="U766" s="46" t="n">
        <f aca="false">IF($A766=$A765,$U765+1,1)</f>
        <v>242</v>
      </c>
      <c r="V766" s="48" t="n">
        <f aca="false">IF($U766&gt;=MA_SHORT,AVERAGE(INDEX($I$366:$I766,402-MA_SHORT):$I766),"")</f>
        <v>4126.4</v>
      </c>
      <c r="W766" s="48" t="n">
        <f aca="false">IF($U766&gt;=MA_MED,AVERAGE(INDEX($I$366:$I766,402-MA_MED):$I766),"")</f>
        <v>4092.02</v>
      </c>
      <c r="X766" s="48" t="n">
        <f aca="false">IF($U766&gt;=MA_LONG1,AVERAGE(INDEX($I$366:$I766,402-MA_LONG1):$I766),"")</f>
        <v>4255.3</v>
      </c>
      <c r="Y766" s="48" t="n">
        <f aca="false">IF($U766&gt;=MA_LONG2,AVERAGE(INDEX($I$366:$I766,402-MA_LONG2):$I766),"")</f>
        <v>4040.58</v>
      </c>
      <c r="Z766" s="48" t="n">
        <f aca="false">IF($U766&gt;=MA_SHORT,AVERAGE(INDEX($L$646:$L766,122-MA_SHORT):$L766),"")</f>
        <v>61907837.2</v>
      </c>
      <c r="AA766" s="48" t="n">
        <f aca="false">IF($U766=1,$G766-$H766,MAX($G766-$H766,ABS($G766-$I765),ABS($H766-$I765)))</f>
        <v>158</v>
      </c>
      <c r="AB766" s="48" t="n">
        <f aca="false">IF($U766&gt;=ATR_PER,AVERAGE(INDEX($AA$646:$AA766,122-ATR_PER):$AA766),"")</f>
        <v>170.285714285714</v>
      </c>
      <c r="AC766" s="48" t="n">
        <f aca="false">$O766-$P766</f>
        <v>20636811</v>
      </c>
      <c r="AD766" s="48" t="n">
        <f aca="false">$AC766*$I766</f>
        <v>82072597347</v>
      </c>
      <c r="AE766" s="49" t="n">
        <f aca="false">IF($Q766&gt;0,$O766*$I766/$Q766/1000000,"")</f>
        <v>171.665988376155</v>
      </c>
      <c r="AF766" s="49" t="n">
        <f aca="false">IF($R766&gt;0,$P766*$I766/$R766/1000000,"")</f>
        <v>70.2371287777778</v>
      </c>
      <c r="AG766" s="50" t="n">
        <f aca="false">IF(AND(ISNUMBER($AE766),ISNUMBER($AF766),$AF766&gt;0),$AE766/$AF766,"")</f>
        <v>2.44409176974313</v>
      </c>
      <c r="AH766" s="48" t="n">
        <f aca="false">IF($U766&gt;=5,SUM(INDEX($AD$736:$AD766,32-5):$AD766),"")</f>
        <v>140896507435</v>
      </c>
      <c r="AI766" s="48" t="n">
        <f aca="false">IF($U766&gt;=STRUCT_S,MAX(INDEX($G$616:$G766,152-STRUCT_S):$G766),"")</f>
        <v>4524</v>
      </c>
      <c r="AJ766" s="48" t="n">
        <f aca="false">IF($U766&gt;=STRUCT_S,MIN(INDEX($H$616:$H766,152-STRUCT_S):$H766),"")</f>
        <v>3775</v>
      </c>
      <c r="AK766" s="48" t="n">
        <f aca="false">IF($U766&gt;=STRUCT_L,MAX(INDEX($G$516:$G766,252-STRUCT_L):$G766),"")</f>
        <v>4572</v>
      </c>
      <c r="AL766" s="48" t="n">
        <f aca="false">IF($U766&gt;=STRUCT_L,MIN(INDEX($H$516:$H766,252-STRUCT_L):$H766),"")</f>
        <v>3685</v>
      </c>
      <c r="AM766" s="46" t="n">
        <f aca="false">IF($A766&lt;&gt;$A767,1,0)</f>
        <v>0</v>
      </c>
      <c r="AN766" s="47" t="str">
        <f aca="false">IF($AM766=1,$A766,"")</f>
        <v/>
      </c>
    </row>
    <row r="767" customFormat="false" ht="15" hidden="false" customHeight="false" outlineLevel="0" collapsed="false">
      <c r="A767" s="43" t="s">
        <v>142</v>
      </c>
      <c r="B767" s="44" t="s">
        <v>144</v>
      </c>
      <c r="C767" s="45" t="n">
        <v>46244</v>
      </c>
      <c r="D767" s="46" t="n">
        <v>20260810</v>
      </c>
      <c r="E767" s="47" t="s">
        <v>530</v>
      </c>
      <c r="F767" s="48" t="n">
        <v>3982</v>
      </c>
      <c r="G767" s="48" t="n">
        <v>4041</v>
      </c>
      <c r="H767" s="48" t="n">
        <v>3952</v>
      </c>
      <c r="I767" s="48" t="n">
        <v>4016</v>
      </c>
      <c r="J767" s="48" t="n">
        <v>3995</v>
      </c>
      <c r="K767" s="48" t="n">
        <v>3977</v>
      </c>
      <c r="L767" s="48" t="n">
        <v>52971031</v>
      </c>
      <c r="M767" s="48" t="n">
        <v>212731660496</v>
      </c>
      <c r="N767" s="48" t="n">
        <v>1650</v>
      </c>
      <c r="O767" s="48" t="n">
        <v>28474443</v>
      </c>
      <c r="P767" s="48" t="n">
        <v>22740703</v>
      </c>
      <c r="Q767" s="48" t="n">
        <v>771</v>
      </c>
      <c r="R767" s="48" t="n">
        <v>836</v>
      </c>
      <c r="S767" s="48" t="n">
        <v>24496588</v>
      </c>
      <c r="T767" s="48" t="n">
        <v>30230328</v>
      </c>
      <c r="U767" s="46" t="n">
        <f aca="false">IF($A767=$A766,$U766+1,1)</f>
        <v>243</v>
      </c>
      <c r="V767" s="48" t="n">
        <f aca="false">IF($U767&gt;=MA_SHORT,AVERAGE(INDEX($I$367:$I767,402-MA_SHORT):$I767),"")</f>
        <v>4108.1</v>
      </c>
      <c r="W767" s="48" t="n">
        <f aca="false">IF($U767&gt;=MA_MED,AVERAGE(INDEX($I$367:$I767,402-MA_MED):$I767),"")</f>
        <v>4089.42</v>
      </c>
      <c r="X767" s="48" t="n">
        <f aca="false">IF($U767&gt;=MA_LONG1,AVERAGE(INDEX($I$367:$I767,402-MA_LONG1):$I767),"")</f>
        <v>4252.95</v>
      </c>
      <c r="Y767" s="48" t="n">
        <f aca="false">IF($U767&gt;=MA_LONG2,AVERAGE(INDEX($I$367:$I767,402-MA_LONG2):$I767),"")</f>
        <v>4043.73</v>
      </c>
      <c r="Z767" s="48" t="n">
        <f aca="false">IF($U767&gt;=MA_SHORT,AVERAGE(INDEX($L$647:$L767,122-MA_SHORT):$L767),"")</f>
        <v>61620889.75</v>
      </c>
      <c r="AA767" s="48" t="n">
        <f aca="false">IF($U767=1,$G767-$H767,MAX($G767-$H767,ABS($G767-$I766),ABS($H767-$I766)))</f>
        <v>89</v>
      </c>
      <c r="AB767" s="48" t="n">
        <f aca="false">IF($U767&gt;=ATR_PER,AVERAGE(INDEX($AA$647:$AA767,122-ATR_PER):$AA767),"")</f>
        <v>166.785714285714</v>
      </c>
      <c r="AC767" s="48" t="n">
        <f aca="false">$O767-$P767</f>
        <v>5733740</v>
      </c>
      <c r="AD767" s="48" t="n">
        <f aca="false">$AC767*$I767</f>
        <v>23026699840</v>
      </c>
      <c r="AE767" s="49" t="n">
        <f aca="false">IF($Q767&gt;0,$O767*$I767/$Q767/1000000,"")</f>
        <v>148.318240062257</v>
      </c>
      <c r="AF767" s="49" t="n">
        <f aca="false">IF($R767&gt;0,$P767*$I767/$R767/1000000,"")</f>
        <v>109.24242015311</v>
      </c>
      <c r="AG767" s="50" t="n">
        <f aca="false">IF(AND(ISNUMBER($AE767),ISNUMBER($AF767),$AF767&gt;0),$AE767/$AF767,"")</f>
        <v>1.35769822615042</v>
      </c>
      <c r="AH767" s="48" t="n">
        <f aca="false">IF($U767&gt;=5,SUM(INDEX($AD$737:$AD767,32-5):$AD767),"")</f>
        <v>181729919982</v>
      </c>
      <c r="AI767" s="48" t="n">
        <f aca="false">IF($U767&gt;=STRUCT_S,MAX(INDEX($G$617:$G767,152-STRUCT_S):$G767),"")</f>
        <v>4499</v>
      </c>
      <c r="AJ767" s="48" t="n">
        <f aca="false">IF($U767&gt;=STRUCT_S,MIN(INDEX($H$617:$H767,152-STRUCT_S):$H767),"")</f>
        <v>3775</v>
      </c>
      <c r="AK767" s="48" t="n">
        <f aca="false">IF($U767&gt;=STRUCT_L,MAX(INDEX($G$517:$G767,252-STRUCT_L):$G767),"")</f>
        <v>4572</v>
      </c>
      <c r="AL767" s="48" t="n">
        <f aca="false">IF($U767&gt;=STRUCT_L,MIN(INDEX($H$517:$H767,252-STRUCT_L):$H767),"")</f>
        <v>3685</v>
      </c>
      <c r="AM767" s="46" t="n">
        <f aca="false">IF($A767&lt;&gt;$A768,1,0)</f>
        <v>0</v>
      </c>
      <c r="AN767" s="47" t="str">
        <f aca="false">IF($AM767=1,$A767,"")</f>
        <v/>
      </c>
    </row>
    <row r="768" customFormat="false" ht="15" hidden="false" customHeight="false" outlineLevel="0" collapsed="false">
      <c r="A768" s="43" t="s">
        <v>142</v>
      </c>
      <c r="B768" s="44" t="s">
        <v>144</v>
      </c>
      <c r="C768" s="45" t="n">
        <v>46245</v>
      </c>
      <c r="D768" s="46" t="n">
        <v>20260811</v>
      </c>
      <c r="E768" s="47" t="s">
        <v>531</v>
      </c>
      <c r="F768" s="48" t="n">
        <v>3923</v>
      </c>
      <c r="G768" s="48" t="n">
        <v>4100</v>
      </c>
      <c r="H768" s="48" t="n">
        <v>3867</v>
      </c>
      <c r="I768" s="48" t="n">
        <v>3950</v>
      </c>
      <c r="J768" s="48" t="n">
        <v>4058</v>
      </c>
      <c r="K768" s="48" t="n">
        <v>4016</v>
      </c>
      <c r="L768" s="48" t="n">
        <v>54960487</v>
      </c>
      <c r="M768" s="48" t="n">
        <v>217093923650</v>
      </c>
      <c r="N768" s="48" t="n">
        <v>1891</v>
      </c>
      <c r="O768" s="48" t="n">
        <v>24854738</v>
      </c>
      <c r="P768" s="48" t="n">
        <v>29056672</v>
      </c>
      <c r="Q768" s="48" t="n">
        <v>1057</v>
      </c>
      <c r="R768" s="48" t="n">
        <v>641</v>
      </c>
      <c r="S768" s="48" t="n">
        <v>30105749</v>
      </c>
      <c r="T768" s="48" t="n">
        <v>25903815</v>
      </c>
      <c r="U768" s="46" t="n">
        <f aca="false">IF($A768=$A767,$U767+1,1)</f>
        <v>244</v>
      </c>
      <c r="V768" s="48" t="n">
        <f aca="false">IF($U768&gt;=MA_SHORT,AVERAGE(INDEX($I$368:$I768,402-MA_SHORT):$I768),"")</f>
        <v>4082.75</v>
      </c>
      <c r="W768" s="48" t="n">
        <f aca="false">IF($U768&gt;=MA_MED,AVERAGE(INDEX($I$368:$I768,402-MA_MED):$I768),"")</f>
        <v>4086.12</v>
      </c>
      <c r="X768" s="48" t="n">
        <f aca="false">IF($U768&gt;=MA_LONG1,AVERAGE(INDEX($I$368:$I768,402-MA_LONG1):$I768),"")</f>
        <v>4248.78</v>
      </c>
      <c r="Y768" s="48" t="n">
        <f aca="false">IF($U768&gt;=MA_LONG2,AVERAGE(INDEX($I$368:$I768,402-MA_LONG2):$I768),"")</f>
        <v>4046.57</v>
      </c>
      <c r="Z768" s="48" t="n">
        <f aca="false">IF($U768&gt;=MA_SHORT,AVERAGE(INDEX($L$648:$L768,122-MA_SHORT):$L768),"")</f>
        <v>61610666</v>
      </c>
      <c r="AA768" s="48" t="n">
        <f aca="false">IF($U768=1,$G768-$H768,MAX($G768-$H768,ABS($G768-$I767),ABS($H768-$I767)))</f>
        <v>233</v>
      </c>
      <c r="AB768" s="48" t="n">
        <f aca="false">IF($U768&gt;=ATR_PER,AVERAGE(INDEX($AA$648:$AA768,122-ATR_PER):$AA768),"")</f>
        <v>178.285714285714</v>
      </c>
      <c r="AC768" s="48" t="n">
        <f aca="false">$O768-$P768</f>
        <v>-4201934</v>
      </c>
      <c r="AD768" s="48" t="n">
        <f aca="false">$AC768*$I768</f>
        <v>-16597639300</v>
      </c>
      <c r="AE768" s="49" t="n">
        <f aca="false">IF($Q768&gt;0,$O768*$I768/$Q768/1000000,"")</f>
        <v>92.8819442762536</v>
      </c>
      <c r="AF768" s="49" t="n">
        <f aca="false">IF($R768&gt;0,$P768*$I768/$R768/1000000,"")</f>
        <v>179.054375039002</v>
      </c>
      <c r="AG768" s="50" t="n">
        <f aca="false">IF(AND(ISNUMBER($AE768),ISNUMBER($AF768),$AF768&gt;0),$AE768/$AF768,"")</f>
        <v>0.518735966412561</v>
      </c>
      <c r="AH768" s="48" t="n">
        <f aca="false">IF($U768&gt;=5,SUM(INDEX($AD$738:$AD768,32-5):$AD768),"")</f>
        <v>89597591288</v>
      </c>
      <c r="AI768" s="48" t="n">
        <f aca="false">IF($U768&gt;=STRUCT_S,MAX(INDEX($G$618:$G768,152-STRUCT_S):$G768),"")</f>
        <v>4469</v>
      </c>
      <c r="AJ768" s="48" t="n">
        <f aca="false">IF($U768&gt;=STRUCT_S,MIN(INDEX($H$618:$H768,152-STRUCT_S):$H768),"")</f>
        <v>3775</v>
      </c>
      <c r="AK768" s="48" t="n">
        <f aca="false">IF($U768&gt;=STRUCT_L,MAX(INDEX($G$518:$G768,252-STRUCT_L):$G768),"")</f>
        <v>4572</v>
      </c>
      <c r="AL768" s="48" t="n">
        <f aca="false">IF($U768&gt;=STRUCT_L,MIN(INDEX($H$518:$H768,252-STRUCT_L):$H768),"")</f>
        <v>3685</v>
      </c>
      <c r="AM768" s="46" t="n">
        <f aca="false">IF($A768&lt;&gt;$A769,1,0)</f>
        <v>0</v>
      </c>
      <c r="AN768" s="47" t="str">
        <f aca="false">IF($AM768=1,$A768,"")</f>
        <v/>
      </c>
    </row>
    <row r="769" customFormat="false" ht="15" hidden="false" customHeight="false" outlineLevel="0" collapsed="false">
      <c r="A769" s="43" t="s">
        <v>142</v>
      </c>
      <c r="B769" s="44" t="s">
        <v>144</v>
      </c>
      <c r="C769" s="45" t="n">
        <v>46246</v>
      </c>
      <c r="D769" s="46" t="n">
        <v>20260812</v>
      </c>
      <c r="E769" s="47" t="s">
        <v>532</v>
      </c>
      <c r="F769" s="48" t="n">
        <v>3754</v>
      </c>
      <c r="G769" s="48" t="n">
        <v>4006</v>
      </c>
      <c r="H769" s="48" t="n">
        <v>3734</v>
      </c>
      <c r="I769" s="48" t="n">
        <v>3788</v>
      </c>
      <c r="J769" s="48" t="n">
        <v>3896</v>
      </c>
      <c r="K769" s="48" t="n">
        <v>3950</v>
      </c>
      <c r="L769" s="48" t="n">
        <v>91918588</v>
      </c>
      <c r="M769" s="48" t="n">
        <v>348187611344</v>
      </c>
      <c r="N769" s="48" t="n">
        <v>2785</v>
      </c>
      <c r="O769" s="48" t="n">
        <v>27307999</v>
      </c>
      <c r="P769" s="48" t="n">
        <v>72921439</v>
      </c>
      <c r="Q769" s="48" t="n">
        <v>1374</v>
      </c>
      <c r="R769" s="48" t="n">
        <v>1345</v>
      </c>
      <c r="S769" s="48" t="n">
        <v>64610589</v>
      </c>
      <c r="T769" s="48" t="n">
        <v>18997149</v>
      </c>
      <c r="U769" s="46" t="n">
        <f aca="false">IF($A769=$A768,$U768+1,1)</f>
        <v>245</v>
      </c>
      <c r="V769" s="48" t="n">
        <f aca="false">IF($U769&gt;=MA_SHORT,AVERAGE(INDEX($I$369:$I769,402-MA_SHORT):$I769),"")</f>
        <v>4058.9</v>
      </c>
      <c r="W769" s="48" t="n">
        <f aca="false">IF($U769&gt;=MA_MED,AVERAGE(INDEX($I$369:$I769,402-MA_MED):$I769),"")</f>
        <v>4081.12</v>
      </c>
      <c r="X769" s="48" t="n">
        <f aca="false">IF($U769&gt;=MA_LONG1,AVERAGE(INDEX($I$369:$I769,402-MA_LONG1):$I769),"")</f>
        <v>4242.33</v>
      </c>
      <c r="Y769" s="48" t="n">
        <f aca="false">IF($U769&gt;=MA_LONG2,AVERAGE(INDEX($I$369:$I769,402-MA_LONG2):$I769),"")</f>
        <v>4048.395</v>
      </c>
      <c r="Z769" s="48" t="n">
        <f aca="false">IF($U769&gt;=MA_SHORT,AVERAGE(INDEX($L$649:$L769,122-MA_SHORT):$L769),"")</f>
        <v>62898269.7</v>
      </c>
      <c r="AA769" s="48" t="n">
        <f aca="false">IF($U769=1,$G769-$H769,MAX($G769-$H769,ABS($G769-$I768),ABS($H769-$I768)))</f>
        <v>272</v>
      </c>
      <c r="AB769" s="48" t="n">
        <f aca="false">IF($U769&gt;=ATR_PER,AVERAGE(INDEX($AA$649:$AA769,122-ATR_PER):$AA769),"")</f>
        <v>187.571428571429</v>
      </c>
      <c r="AC769" s="48" t="n">
        <f aca="false">$O769-$P769</f>
        <v>-45613440</v>
      </c>
      <c r="AD769" s="48" t="n">
        <f aca="false">$AC769*$I769</f>
        <v>-172783710720</v>
      </c>
      <c r="AE769" s="49" t="n">
        <f aca="false">IF($Q769&gt;0,$O769*$I769/$Q769/1000000,"")</f>
        <v>75.285808014556</v>
      </c>
      <c r="AF769" s="49" t="n">
        <f aca="false">IF($R769&gt;0,$P769*$I769/$R769/1000000,"")</f>
        <v>205.37279623197</v>
      </c>
      <c r="AG769" s="50" t="n">
        <f aca="false">IF(AND(ISNUMBER($AE769),ISNUMBER($AF769),$AF769&gt;0),$AE769/$AF769,"")</f>
        <v>0.366581209370691</v>
      </c>
      <c r="AH769" s="48" t="n">
        <f aca="false">IF($U769&gt;=5,SUM(INDEX($AD$739:$AD769,32-5):$AD769),"")</f>
        <v>-115931035593</v>
      </c>
      <c r="AI769" s="48" t="n">
        <f aca="false">IF($U769&gt;=STRUCT_S,MAX(INDEX($G$619:$G769,152-STRUCT_S):$G769),"")</f>
        <v>4350</v>
      </c>
      <c r="AJ769" s="48" t="n">
        <f aca="false">IF($U769&gt;=STRUCT_S,MIN(INDEX($H$619:$H769,152-STRUCT_S):$H769),"")</f>
        <v>3734</v>
      </c>
      <c r="AK769" s="48" t="n">
        <f aca="false">IF($U769&gt;=STRUCT_L,MAX(INDEX($G$519:$G769,252-STRUCT_L):$G769),"")</f>
        <v>4572</v>
      </c>
      <c r="AL769" s="48" t="n">
        <f aca="false">IF($U769&gt;=STRUCT_L,MIN(INDEX($H$519:$H769,252-STRUCT_L):$H769),"")</f>
        <v>3685</v>
      </c>
      <c r="AM769" s="46" t="n">
        <f aca="false">IF($A769&lt;&gt;$A770,1,0)</f>
        <v>0</v>
      </c>
      <c r="AN769" s="47" t="str">
        <f aca="false">IF($AM769=1,$A769,"")</f>
        <v/>
      </c>
    </row>
    <row r="770" customFormat="false" ht="15" hidden="false" customHeight="false" outlineLevel="0" collapsed="false">
      <c r="A770" s="43" t="s">
        <v>142</v>
      </c>
      <c r="B770" s="44" t="s">
        <v>144</v>
      </c>
      <c r="C770" s="45" t="n">
        <v>46249</v>
      </c>
      <c r="D770" s="46" t="n">
        <v>20260815</v>
      </c>
      <c r="E770" s="47" t="s">
        <v>533</v>
      </c>
      <c r="F770" s="48" t="n">
        <v>3803</v>
      </c>
      <c r="G770" s="48" t="n">
        <v>3824</v>
      </c>
      <c r="H770" s="48" t="n">
        <v>3763</v>
      </c>
      <c r="I770" s="48" t="n">
        <v>3799</v>
      </c>
      <c r="J770" s="48" t="n">
        <v>3805</v>
      </c>
      <c r="K770" s="48" t="n">
        <v>3788</v>
      </c>
      <c r="L770" s="48" t="n">
        <v>50899148</v>
      </c>
      <c r="M770" s="48" t="n">
        <v>193365863252</v>
      </c>
      <c r="N770" s="48" t="n">
        <v>1809</v>
      </c>
      <c r="O770" s="48" t="n">
        <v>27950518</v>
      </c>
      <c r="P770" s="48" t="n">
        <v>23232205</v>
      </c>
      <c r="Q770" s="48" t="n">
        <v>647</v>
      </c>
      <c r="R770" s="48" t="n">
        <v>865</v>
      </c>
      <c r="S770" s="48" t="n">
        <v>22948630</v>
      </c>
      <c r="T770" s="48" t="n">
        <v>27666943</v>
      </c>
      <c r="U770" s="46" t="n">
        <f aca="false">IF($A770=$A769,$U769+1,1)</f>
        <v>246</v>
      </c>
      <c r="V770" s="48" t="n">
        <f aca="false">IF($U770&gt;=MA_SHORT,AVERAGE(INDEX($I$370:$I770,402-MA_SHORT):$I770),"")</f>
        <v>4037.75</v>
      </c>
      <c r="W770" s="48" t="n">
        <f aca="false">IF($U770&gt;=MA_MED,AVERAGE(INDEX($I$370:$I770,402-MA_MED):$I770),"")</f>
        <v>4077.26</v>
      </c>
      <c r="X770" s="48" t="n">
        <f aca="false">IF($U770&gt;=MA_LONG1,AVERAGE(INDEX($I$370:$I770,402-MA_LONG1):$I770),"")</f>
        <v>4236.38</v>
      </c>
      <c r="Y770" s="48" t="n">
        <f aca="false">IF($U770&gt;=MA_LONG2,AVERAGE(INDEX($I$370:$I770,402-MA_LONG2):$I770),"")</f>
        <v>4050.26</v>
      </c>
      <c r="Z770" s="48" t="n">
        <f aca="false">IF($U770&gt;=MA_SHORT,AVERAGE(INDEX($L$650:$L770,122-MA_SHORT):$L770),"")</f>
        <v>62790538.15</v>
      </c>
      <c r="AA770" s="48" t="n">
        <f aca="false">IF($U770=1,$G770-$H770,MAX($G770-$H770,ABS($G770-$I769),ABS($H770-$I769)))</f>
        <v>61</v>
      </c>
      <c r="AB770" s="48" t="n">
        <f aca="false">IF($U770&gt;=ATR_PER,AVERAGE(INDEX($AA$650:$AA770,122-ATR_PER):$AA770),"")</f>
        <v>179.142857142857</v>
      </c>
      <c r="AC770" s="48" t="n">
        <f aca="false">$O770-$P770</f>
        <v>4718313</v>
      </c>
      <c r="AD770" s="48" t="n">
        <f aca="false">$AC770*$I770</f>
        <v>17924871087</v>
      </c>
      <c r="AE770" s="49" t="n">
        <f aca="false">IF($Q770&gt;0,$O770*$I770/$Q770/1000000,"")</f>
        <v>164.117492862442</v>
      </c>
      <c r="AF770" s="49" t="n">
        <f aca="false">IF($R770&gt;0,$P770*$I770/$R770/1000000,"")</f>
        <v>102.033695716763</v>
      </c>
      <c r="AG770" s="50" t="n">
        <f aca="false">IF(AND(ISNUMBER($AE770),ISNUMBER($AF770),$AF770&gt;0),$AE770/$AF770,"")</f>
        <v>1.60846367182483</v>
      </c>
      <c r="AH770" s="48" t="n">
        <f aca="false">IF($U770&gt;=5,SUM(INDEX($AD$740:$AD770,32-5):$AD770),"")</f>
        <v>-66357181746</v>
      </c>
      <c r="AI770" s="48" t="n">
        <f aca="false">IF($U770&gt;=STRUCT_S,MAX(INDEX($G$620:$G770,152-STRUCT_S):$G770),"")</f>
        <v>4350</v>
      </c>
      <c r="AJ770" s="48" t="n">
        <f aca="false">IF($U770&gt;=STRUCT_S,MIN(INDEX($H$620:$H770,152-STRUCT_S):$H770),"")</f>
        <v>3734</v>
      </c>
      <c r="AK770" s="48" t="n">
        <f aca="false">IF($U770&gt;=STRUCT_L,MAX(INDEX($G$520:$G770,252-STRUCT_L):$G770),"")</f>
        <v>4572</v>
      </c>
      <c r="AL770" s="48" t="n">
        <f aca="false">IF($U770&gt;=STRUCT_L,MIN(INDEX($H$520:$H770,252-STRUCT_L):$H770),"")</f>
        <v>3685</v>
      </c>
      <c r="AM770" s="46" t="n">
        <f aca="false">IF($A770&lt;&gt;$A771,1,0)</f>
        <v>0</v>
      </c>
      <c r="AN770" s="47" t="str">
        <f aca="false">IF($AM770=1,$A770,"")</f>
        <v/>
      </c>
    </row>
    <row r="771" customFormat="false" ht="15" hidden="false" customHeight="false" outlineLevel="0" collapsed="false">
      <c r="A771" s="43" t="s">
        <v>142</v>
      </c>
      <c r="B771" s="44" t="s">
        <v>144</v>
      </c>
      <c r="C771" s="45" t="n">
        <v>46250</v>
      </c>
      <c r="D771" s="46" t="n">
        <v>20260816</v>
      </c>
      <c r="E771" s="47" t="s">
        <v>534</v>
      </c>
      <c r="F771" s="48" t="n">
        <v>3789</v>
      </c>
      <c r="G771" s="48" t="n">
        <v>3846</v>
      </c>
      <c r="H771" s="48" t="n">
        <v>3750</v>
      </c>
      <c r="I771" s="48" t="n">
        <v>3797</v>
      </c>
      <c r="J771" s="48" t="n">
        <v>3833</v>
      </c>
      <c r="K771" s="48" t="n">
        <v>3799</v>
      </c>
      <c r="L771" s="48" t="n">
        <v>73406688</v>
      </c>
      <c r="M771" s="48" t="n">
        <v>278725194336</v>
      </c>
      <c r="N771" s="48" t="n">
        <v>4298</v>
      </c>
      <c r="O771" s="48" t="n">
        <v>45040639</v>
      </c>
      <c r="P771" s="48" t="n">
        <v>32448809</v>
      </c>
      <c r="Q771" s="48" t="n">
        <v>1724</v>
      </c>
      <c r="R771" s="48" t="n">
        <v>2104</v>
      </c>
      <c r="S771" s="48" t="n">
        <v>28366049</v>
      </c>
      <c r="T771" s="48" t="n">
        <v>40957879</v>
      </c>
      <c r="U771" s="46" t="n">
        <f aca="false">IF($A771=$A770,$U770+1,1)</f>
        <v>247</v>
      </c>
      <c r="V771" s="48" t="n">
        <f aca="false">IF($U771&gt;=MA_SHORT,AVERAGE(INDEX($I$371:$I771,402-MA_SHORT):$I771),"")</f>
        <v>4016.3</v>
      </c>
      <c r="W771" s="48" t="n">
        <f aca="false">IF($U771&gt;=MA_MED,AVERAGE(INDEX($I$371:$I771,402-MA_MED):$I771),"")</f>
        <v>4070.68</v>
      </c>
      <c r="X771" s="48" t="n">
        <f aca="false">IF($U771&gt;=MA_LONG1,AVERAGE(INDEX($I$371:$I771,402-MA_LONG1):$I771),"")</f>
        <v>4231.02</v>
      </c>
      <c r="Y771" s="48" t="n">
        <f aca="false">IF($U771&gt;=MA_LONG2,AVERAGE(INDEX($I$371:$I771,402-MA_LONG2):$I771),"")</f>
        <v>4052.33</v>
      </c>
      <c r="Z771" s="48" t="n">
        <f aca="false">IF($U771&gt;=MA_SHORT,AVERAGE(INDEX($L$651:$L771,122-MA_SHORT):$L771),"")</f>
        <v>63945278.65</v>
      </c>
      <c r="AA771" s="48" t="n">
        <f aca="false">IF($U771=1,$G771-$H771,MAX($G771-$H771,ABS($G771-$I770),ABS($H771-$I770)))</f>
        <v>96</v>
      </c>
      <c r="AB771" s="48" t="n">
        <f aca="false">IF($U771&gt;=ATR_PER,AVERAGE(INDEX($AA$651:$AA771,122-ATR_PER):$AA771),"")</f>
        <v>173.785714285714</v>
      </c>
      <c r="AC771" s="48" t="n">
        <f aca="false">$O771-$P771</f>
        <v>12591830</v>
      </c>
      <c r="AD771" s="48" t="n">
        <f aca="false">$AC771*$I771</f>
        <v>47811178510</v>
      </c>
      <c r="AE771" s="49" t="n">
        <f aca="false">IF($Q771&gt;0,$O771*$I771/$Q771/1000000,"")</f>
        <v>99.199133574826</v>
      </c>
      <c r="AF771" s="49" t="n">
        <f aca="false">IF($R771&gt;0,$P771*$I771/$R771/1000000,"")</f>
        <v>58.5589960898289</v>
      </c>
      <c r="AG771" s="50" t="n">
        <f aca="false">IF(AND(ISNUMBER($AE771),ISNUMBER($AF771),$AF771&gt;0),$AE771/$AF771,"")</f>
        <v>1.69400331629073</v>
      </c>
      <c r="AH771" s="48" t="n">
        <f aca="false">IF($U771&gt;=5,SUM(INDEX($AD$741:$AD771,32-5):$AD771),"")</f>
        <v>-100618600583</v>
      </c>
      <c r="AI771" s="48" t="n">
        <f aca="false">IF($U771&gt;=STRUCT_S,MAX(INDEX($G$621:$G771,152-STRUCT_S):$G771),"")</f>
        <v>4350</v>
      </c>
      <c r="AJ771" s="48" t="n">
        <f aca="false">IF($U771&gt;=STRUCT_S,MIN(INDEX($H$621:$H771,152-STRUCT_S):$H771),"")</f>
        <v>3734</v>
      </c>
      <c r="AK771" s="48" t="n">
        <f aca="false">IF($U771&gt;=STRUCT_L,MAX(INDEX($G$521:$G771,252-STRUCT_L):$G771),"")</f>
        <v>4572</v>
      </c>
      <c r="AL771" s="48" t="n">
        <f aca="false">IF($U771&gt;=STRUCT_L,MIN(INDEX($H$521:$H771,252-STRUCT_L):$H771),"")</f>
        <v>3685</v>
      </c>
      <c r="AM771" s="46" t="n">
        <f aca="false">IF($A771&lt;&gt;$A772,1,0)</f>
        <v>0</v>
      </c>
      <c r="AN771" s="47" t="str">
        <f aca="false">IF($AM771=1,$A771,"")</f>
        <v/>
      </c>
    </row>
    <row r="772" customFormat="false" ht="15" hidden="false" customHeight="false" outlineLevel="0" collapsed="false">
      <c r="A772" s="43" t="s">
        <v>142</v>
      </c>
      <c r="B772" s="44" t="s">
        <v>144</v>
      </c>
      <c r="C772" s="45" t="n">
        <v>46251</v>
      </c>
      <c r="D772" s="46" t="n">
        <v>20260817</v>
      </c>
      <c r="E772" s="47" t="s">
        <v>535</v>
      </c>
      <c r="F772" s="48" t="n">
        <v>3853</v>
      </c>
      <c r="G772" s="48" t="n">
        <v>3856</v>
      </c>
      <c r="H772" s="48" t="n">
        <v>3774</v>
      </c>
      <c r="I772" s="48" t="n">
        <v>3833</v>
      </c>
      <c r="J772" s="48" t="n">
        <v>3846</v>
      </c>
      <c r="K772" s="48" t="n">
        <v>3797</v>
      </c>
      <c r="L772" s="48" t="n">
        <v>65850128</v>
      </c>
      <c r="M772" s="48" t="n">
        <v>252403540624</v>
      </c>
      <c r="N772" s="48" t="n">
        <v>1691</v>
      </c>
      <c r="O772" s="48" t="n">
        <v>36359138</v>
      </c>
      <c r="P772" s="48" t="n">
        <v>35674891</v>
      </c>
      <c r="Q772" s="48" t="n">
        <v>794</v>
      </c>
      <c r="R772" s="48" t="n">
        <v>990</v>
      </c>
      <c r="S772" s="48" t="n">
        <v>29490990</v>
      </c>
      <c r="T772" s="48" t="n">
        <v>30175237</v>
      </c>
      <c r="U772" s="46" t="n">
        <f aca="false">IF($A772=$A771,$U771+1,1)</f>
        <v>248</v>
      </c>
      <c r="V772" s="48" t="n">
        <f aca="false">IF($U772&gt;=MA_SHORT,AVERAGE(INDEX($I$372:$I772,402-MA_SHORT):$I772),"")</f>
        <v>3997.15</v>
      </c>
      <c r="W772" s="48" t="n">
        <f aca="false">IF($U772&gt;=MA_MED,AVERAGE(INDEX($I$372:$I772,402-MA_MED):$I772),"")</f>
        <v>4063.3</v>
      </c>
      <c r="X772" s="48" t="n">
        <f aca="false">IF($U772&gt;=MA_LONG1,AVERAGE(INDEX($I$372:$I772,402-MA_LONG1):$I772),"")</f>
        <v>4226.7</v>
      </c>
      <c r="Y772" s="48" t="n">
        <f aca="false">IF($U772&gt;=MA_LONG2,AVERAGE(INDEX($I$372:$I772,402-MA_LONG2):$I772),"")</f>
        <v>4053.89</v>
      </c>
      <c r="Z772" s="48" t="n">
        <f aca="false">IF($U772&gt;=MA_SHORT,AVERAGE(INDEX($L$652:$L772,122-MA_SHORT):$L772),"")</f>
        <v>63212613.35</v>
      </c>
      <c r="AA772" s="48" t="n">
        <f aca="false">IF($U772=1,$G772-$H772,MAX($G772-$H772,ABS($G772-$I771),ABS($H772-$I771)))</f>
        <v>82</v>
      </c>
      <c r="AB772" s="48" t="n">
        <f aca="false">IF($U772&gt;=ATR_PER,AVERAGE(INDEX($AA$652:$AA772,122-ATR_PER):$AA772),"")</f>
        <v>169.357142857143</v>
      </c>
      <c r="AC772" s="48" t="n">
        <f aca="false">$O772-$P772</f>
        <v>684247</v>
      </c>
      <c r="AD772" s="48" t="n">
        <f aca="false">$AC772*$I772</f>
        <v>2622718751</v>
      </c>
      <c r="AE772" s="49" t="n">
        <f aca="false">IF($Q772&gt;0,$O772*$I772/$Q772/1000000,"")</f>
        <v>175.522135962217</v>
      </c>
      <c r="AF772" s="49" t="n">
        <f aca="false">IF($R772&gt;0,$P772*$I772/$R772/1000000,"")</f>
        <v>138.123088083838</v>
      </c>
      <c r="AG772" s="50" t="n">
        <f aca="false">IF(AND(ISNUMBER($AE772),ISNUMBER($AF772),$AF772&gt;0),$AE772/$AF772,"")</f>
        <v>1.2707660855054</v>
      </c>
      <c r="AH772" s="48" t="n">
        <f aca="false">IF($U772&gt;=5,SUM(INDEX($AD$742:$AD772,32-5):$AD772),"")</f>
        <v>-121022581672</v>
      </c>
      <c r="AI772" s="48" t="n">
        <f aca="false">IF($U772&gt;=STRUCT_S,MAX(INDEX($G$622:$G772,152-STRUCT_S):$G772),"")</f>
        <v>4350</v>
      </c>
      <c r="AJ772" s="48" t="n">
        <f aca="false">IF($U772&gt;=STRUCT_S,MIN(INDEX($H$622:$H772,152-STRUCT_S):$H772),"")</f>
        <v>3734</v>
      </c>
      <c r="AK772" s="48" t="n">
        <f aca="false">IF($U772&gt;=STRUCT_L,MAX(INDEX($G$522:$G772,252-STRUCT_L):$G772),"")</f>
        <v>4572</v>
      </c>
      <c r="AL772" s="48" t="n">
        <f aca="false">IF($U772&gt;=STRUCT_L,MIN(INDEX($H$522:$H772,252-STRUCT_L):$H772),"")</f>
        <v>3685</v>
      </c>
      <c r="AM772" s="46" t="n">
        <f aca="false">IF($A772&lt;&gt;$A773,1,0)</f>
        <v>0</v>
      </c>
      <c r="AN772" s="47" t="str">
        <f aca="false">IF($AM772=1,$A772,"")</f>
        <v/>
      </c>
    </row>
    <row r="773" customFormat="false" ht="15" hidden="false" customHeight="false" outlineLevel="0" collapsed="false">
      <c r="A773" s="43" t="s">
        <v>142</v>
      </c>
      <c r="B773" s="44" t="s">
        <v>144</v>
      </c>
      <c r="C773" s="45" t="n">
        <v>46252</v>
      </c>
      <c r="D773" s="46" t="n">
        <v>20260818</v>
      </c>
      <c r="E773" s="47" t="s">
        <v>536</v>
      </c>
      <c r="F773" s="48" t="n">
        <v>3814</v>
      </c>
      <c r="G773" s="48" t="n">
        <v>3868</v>
      </c>
      <c r="H773" s="48" t="n">
        <v>3785</v>
      </c>
      <c r="I773" s="48" t="n">
        <v>3820</v>
      </c>
      <c r="J773" s="48" t="n">
        <v>3825</v>
      </c>
      <c r="K773" s="48" t="n">
        <v>3833</v>
      </c>
      <c r="L773" s="48" t="n">
        <v>51045536</v>
      </c>
      <c r="M773" s="48" t="n">
        <v>194993947520</v>
      </c>
      <c r="N773" s="48" t="n">
        <v>1723</v>
      </c>
      <c r="O773" s="48" t="n">
        <v>28895211</v>
      </c>
      <c r="P773" s="48" t="n">
        <v>21641692</v>
      </c>
      <c r="Q773" s="48" t="n">
        <v>816</v>
      </c>
      <c r="R773" s="48" t="n">
        <v>731</v>
      </c>
      <c r="S773" s="48" t="n">
        <v>22150325</v>
      </c>
      <c r="T773" s="48" t="n">
        <v>29403844</v>
      </c>
      <c r="U773" s="46" t="n">
        <f aca="false">IF($A773=$A772,$U772+1,1)</f>
        <v>249</v>
      </c>
      <c r="V773" s="48" t="n">
        <f aca="false">IF($U773&gt;=MA_SHORT,AVERAGE(INDEX($I$373:$I773,402-MA_SHORT):$I773),"")</f>
        <v>3971.85</v>
      </c>
      <c r="W773" s="48" t="n">
        <f aca="false">IF($U773&gt;=MA_MED,AVERAGE(INDEX($I$373:$I773,402-MA_MED):$I773),"")</f>
        <v>4056</v>
      </c>
      <c r="X773" s="48" t="n">
        <f aca="false">IF($U773&gt;=MA_LONG1,AVERAGE(INDEX($I$373:$I773,402-MA_LONG1):$I773),"")</f>
        <v>4221.87</v>
      </c>
      <c r="Y773" s="48" t="n">
        <f aca="false">IF($U773&gt;=MA_LONG2,AVERAGE(INDEX($I$373:$I773,402-MA_LONG2):$I773),"")</f>
        <v>4055.29</v>
      </c>
      <c r="Z773" s="48" t="n">
        <f aca="false">IF($U773&gt;=MA_SHORT,AVERAGE(INDEX($L$653:$L773,122-MA_SHORT):$L773),"")</f>
        <v>62871933.85</v>
      </c>
      <c r="AA773" s="48" t="n">
        <f aca="false">IF($U773=1,$G773-$H773,MAX($G773-$H773,ABS($G773-$I772),ABS($H773-$I772)))</f>
        <v>83</v>
      </c>
      <c r="AB773" s="48" t="n">
        <f aca="false">IF($U773&gt;=ATR_PER,AVERAGE(INDEX($AA$653:$AA773,122-ATR_PER):$AA773),"")</f>
        <v>164.214285714286</v>
      </c>
      <c r="AC773" s="48" t="n">
        <f aca="false">$O773-$P773</f>
        <v>7253519</v>
      </c>
      <c r="AD773" s="48" t="n">
        <f aca="false">$AC773*$I773</f>
        <v>27708442580</v>
      </c>
      <c r="AE773" s="49" t="n">
        <f aca="false">IF($Q773&gt;0,$O773*$I773/$Q773/1000000,"")</f>
        <v>135.269247573529</v>
      </c>
      <c r="AF773" s="49" t="n">
        <f aca="false">IF($R773&gt;0,$P773*$I773/$R773/1000000,"")</f>
        <v>113.093383638851</v>
      </c>
      <c r="AG773" s="50" t="n">
        <f aca="false">IF(AND(ISNUMBER($AE773),ISNUMBER($AF773),$AF773&gt;0),$AE773/$AF773,"")</f>
        <v>1.19608453846862</v>
      </c>
      <c r="AH773" s="48" t="n">
        <f aca="false">IF($U773&gt;=5,SUM(INDEX($AD$743:$AD773,32-5):$AD773),"")</f>
        <v>-76716499792</v>
      </c>
      <c r="AI773" s="48" t="n">
        <f aca="false">IF($U773&gt;=STRUCT_S,MAX(INDEX($G$623:$G773,152-STRUCT_S):$G773),"")</f>
        <v>4350</v>
      </c>
      <c r="AJ773" s="48" t="n">
        <f aca="false">IF($U773&gt;=STRUCT_S,MIN(INDEX($H$623:$H773,152-STRUCT_S):$H773),"")</f>
        <v>3734</v>
      </c>
      <c r="AK773" s="48" t="n">
        <f aca="false">IF($U773&gt;=STRUCT_L,MAX(INDEX($G$523:$G773,252-STRUCT_L):$G773),"")</f>
        <v>4572</v>
      </c>
      <c r="AL773" s="48" t="n">
        <f aca="false">IF($U773&gt;=STRUCT_L,MIN(INDEX($H$523:$H773,252-STRUCT_L):$H773),"")</f>
        <v>3685</v>
      </c>
      <c r="AM773" s="46" t="n">
        <f aca="false">IF($A773&lt;&gt;$A774,1,0)</f>
        <v>0</v>
      </c>
      <c r="AN773" s="47" t="str">
        <f aca="false">IF($AM773=1,$A773,"")</f>
        <v/>
      </c>
    </row>
    <row r="774" customFormat="false" ht="15" hidden="false" customHeight="false" outlineLevel="0" collapsed="false">
      <c r="A774" s="43" t="s">
        <v>142</v>
      </c>
      <c r="B774" s="44" t="s">
        <v>144</v>
      </c>
      <c r="C774" s="45" t="n">
        <v>46253</v>
      </c>
      <c r="D774" s="46" t="n">
        <v>20260819</v>
      </c>
      <c r="E774" s="47" t="s">
        <v>537</v>
      </c>
      <c r="F774" s="48" t="n">
        <v>3817</v>
      </c>
      <c r="G774" s="48" t="n">
        <v>3858</v>
      </c>
      <c r="H774" s="48" t="n">
        <v>3703</v>
      </c>
      <c r="I774" s="48" t="n">
        <v>3740</v>
      </c>
      <c r="J774" s="48" t="n">
        <v>3748</v>
      </c>
      <c r="K774" s="48" t="n">
        <v>3820</v>
      </c>
      <c r="L774" s="48" t="n">
        <v>56313674</v>
      </c>
      <c r="M774" s="48" t="n">
        <v>210613140760</v>
      </c>
      <c r="N774" s="48" t="n">
        <v>2053</v>
      </c>
      <c r="O774" s="48" t="n">
        <v>22332871</v>
      </c>
      <c r="P774" s="48" t="n">
        <v>31419590</v>
      </c>
      <c r="Q774" s="48" t="n">
        <v>825</v>
      </c>
      <c r="R774" s="48" t="n">
        <v>693</v>
      </c>
      <c r="S774" s="48" t="n">
        <v>33980803</v>
      </c>
      <c r="T774" s="48" t="n">
        <v>24894084</v>
      </c>
      <c r="U774" s="46" t="n">
        <f aca="false">IF($A774=$A773,$U773+1,1)</f>
        <v>250</v>
      </c>
      <c r="V774" s="48" t="n">
        <f aca="false">IF($U774&gt;=MA_SHORT,AVERAGE(INDEX($I$374:$I774,402-MA_SHORT):$I774),"")</f>
        <v>3944.95</v>
      </c>
      <c r="W774" s="48" t="n">
        <f aca="false">IF($U774&gt;=MA_MED,AVERAGE(INDEX($I$374:$I774,402-MA_MED):$I774),"")</f>
        <v>4048.9</v>
      </c>
      <c r="X774" s="48" t="n">
        <f aca="false">IF($U774&gt;=MA_LONG1,AVERAGE(INDEX($I$374:$I774,402-MA_LONG1):$I774),"")</f>
        <v>4216.18</v>
      </c>
      <c r="Y774" s="48" t="n">
        <f aca="false">IF($U774&gt;=MA_LONG2,AVERAGE(INDEX($I$374:$I774,402-MA_LONG2):$I774),"")</f>
        <v>4056.41</v>
      </c>
      <c r="Z774" s="48" t="n">
        <f aca="false">IF($U774&gt;=MA_SHORT,AVERAGE(INDEX($L$654:$L774,122-MA_SHORT):$L774),"")</f>
        <v>63019715.7</v>
      </c>
      <c r="AA774" s="48" t="n">
        <f aca="false">IF($U774=1,$G774-$H774,MAX($G774-$H774,ABS($G774-$I773),ABS($H774-$I773)))</f>
        <v>155</v>
      </c>
      <c r="AB774" s="48" t="n">
        <f aca="false">IF($U774&gt;=ATR_PER,AVERAGE(INDEX($AA$654:$AA774,122-ATR_PER):$AA774),"")</f>
        <v>168.214285714286</v>
      </c>
      <c r="AC774" s="48" t="n">
        <f aca="false">$O774-$P774</f>
        <v>-9086719</v>
      </c>
      <c r="AD774" s="48" t="n">
        <f aca="false">$AC774*$I774</f>
        <v>-33984329060</v>
      </c>
      <c r="AE774" s="49" t="n">
        <f aca="false">IF($Q774&gt;0,$O774*$I774/$Q774/1000000,"")</f>
        <v>101.242348533333</v>
      </c>
      <c r="AF774" s="49" t="n">
        <f aca="false">IF($R774&gt;0,$P774*$I774/$R774/1000000,"")</f>
        <v>169.566041269841</v>
      </c>
      <c r="AG774" s="50" t="n">
        <f aca="false">IF(AND(ISNUMBER($AE774),ISNUMBER($AF774),$AF774&gt;0),$AE774/$AF774,"")</f>
        <v>0.597067359567709</v>
      </c>
      <c r="AH774" s="48" t="n">
        <f aca="false">IF($U774&gt;=5,SUM(INDEX($AD$744:$AD774,32-5):$AD774),"")</f>
        <v>62082881868</v>
      </c>
      <c r="AI774" s="48" t="n">
        <f aca="false">IF($U774&gt;=STRUCT_S,MAX(INDEX($G$624:$G774,152-STRUCT_S):$G774),"")</f>
        <v>4350</v>
      </c>
      <c r="AJ774" s="48" t="n">
        <f aca="false">IF($U774&gt;=STRUCT_S,MIN(INDEX($H$624:$H774,152-STRUCT_S):$H774),"")</f>
        <v>3703</v>
      </c>
      <c r="AK774" s="48" t="n">
        <f aca="false">IF($U774&gt;=STRUCT_L,MAX(INDEX($G$524:$G774,252-STRUCT_L):$G774),"")</f>
        <v>4572</v>
      </c>
      <c r="AL774" s="48" t="n">
        <f aca="false">IF($U774&gt;=STRUCT_L,MIN(INDEX($H$524:$H774,252-STRUCT_L):$H774),"")</f>
        <v>3685</v>
      </c>
      <c r="AM774" s="46" t="n">
        <f aca="false">IF($A774&lt;&gt;$A775,1,0)</f>
        <v>0</v>
      </c>
      <c r="AN774" s="47" t="str">
        <f aca="false">IF($AM774=1,$A774,"")</f>
        <v/>
      </c>
    </row>
    <row r="775" customFormat="false" ht="15" hidden="false" customHeight="false" outlineLevel="0" collapsed="false">
      <c r="A775" s="43" t="s">
        <v>142</v>
      </c>
      <c r="B775" s="44" t="s">
        <v>144</v>
      </c>
      <c r="C775" s="45" t="n">
        <v>46256</v>
      </c>
      <c r="D775" s="46" t="n">
        <v>20260822</v>
      </c>
      <c r="E775" s="47" t="s">
        <v>538</v>
      </c>
      <c r="F775" s="48" t="n">
        <v>3772</v>
      </c>
      <c r="G775" s="48" t="n">
        <v>3800</v>
      </c>
      <c r="H775" s="48" t="n">
        <v>3647</v>
      </c>
      <c r="I775" s="48" t="n">
        <v>3706</v>
      </c>
      <c r="J775" s="48" t="n">
        <v>3784</v>
      </c>
      <c r="K775" s="48" t="n">
        <v>3740</v>
      </c>
      <c r="L775" s="48" t="n">
        <v>52756269</v>
      </c>
      <c r="M775" s="48" t="n">
        <v>195514732914</v>
      </c>
      <c r="N775" s="48" t="n">
        <v>2106</v>
      </c>
      <c r="O775" s="48" t="n">
        <v>25756689</v>
      </c>
      <c r="P775" s="48" t="n">
        <v>26565925</v>
      </c>
      <c r="Q775" s="48" t="n">
        <v>1214</v>
      </c>
      <c r="R775" s="48" t="n">
        <v>994</v>
      </c>
      <c r="S775" s="48" t="n">
        <v>26999580</v>
      </c>
      <c r="T775" s="48" t="n">
        <v>26190344</v>
      </c>
      <c r="U775" s="46" t="n">
        <f aca="false">IF($A775=$A774,$U774+1,1)</f>
        <v>251</v>
      </c>
      <c r="V775" s="48" t="n">
        <f aca="false">IF($U775&gt;=MA_SHORT,AVERAGE(INDEX($I$375:$I775,402-MA_SHORT):$I775),"")</f>
        <v>3916.25</v>
      </c>
      <c r="W775" s="48" t="n">
        <f aca="false">IF($U775&gt;=MA_MED,AVERAGE(INDEX($I$375:$I775,402-MA_MED):$I775),"")</f>
        <v>4043.3</v>
      </c>
      <c r="X775" s="48" t="n">
        <f aca="false">IF($U775&gt;=MA_LONG1,AVERAGE(INDEX($I$375:$I775,402-MA_LONG1):$I775),"")</f>
        <v>4209.17</v>
      </c>
      <c r="Y775" s="48" t="n">
        <f aca="false">IF($U775&gt;=MA_LONG2,AVERAGE(INDEX($I$375:$I775,402-MA_LONG2):$I775),"")</f>
        <v>4058.22</v>
      </c>
      <c r="Z775" s="48" t="n">
        <f aca="false">IF($U775&gt;=MA_SHORT,AVERAGE(INDEX($L$655:$L775,122-MA_SHORT):$L775),"")</f>
        <v>62110392.1</v>
      </c>
      <c r="AA775" s="48" t="n">
        <f aca="false">IF($U775=1,$G775-$H775,MAX($G775-$H775,ABS($G775-$I774),ABS($H775-$I774)))</f>
        <v>153</v>
      </c>
      <c r="AB775" s="48" t="n">
        <f aca="false">IF($U775&gt;=ATR_PER,AVERAGE(INDEX($AA$655:$AA775,122-ATR_PER):$AA775),"")</f>
        <v>167.857142857143</v>
      </c>
      <c r="AC775" s="48" t="n">
        <f aca="false">$O775-$P775</f>
        <v>-809236</v>
      </c>
      <c r="AD775" s="48" t="n">
        <f aca="false">$AC775*$I775</f>
        <v>-2999028616</v>
      </c>
      <c r="AE775" s="49" t="n">
        <f aca="false">IF($Q775&gt;0,$O775*$I775/$Q775/1000000,"")</f>
        <v>78.6279155140033</v>
      </c>
      <c r="AF775" s="49" t="n">
        <f aca="false">IF($R775&gt;0,$P775*$I775/$R775/1000000,"")</f>
        <v>99.0476036720322</v>
      </c>
      <c r="AG775" s="50" t="n">
        <f aca="false">IF(AND(ISNUMBER($AE775),ISNUMBER($AF775),$AF775&gt;0),$AE775/$AF775,"")</f>
        <v>0.793839654862899</v>
      </c>
      <c r="AH775" s="48" t="n">
        <f aca="false">IF($U775&gt;=5,SUM(INDEX($AD$745:$AD775,32-5):$AD775),"")</f>
        <v>41158982165</v>
      </c>
      <c r="AI775" s="48" t="n">
        <f aca="false">IF($U775&gt;=STRUCT_S,MAX(INDEX($G$625:$G775,152-STRUCT_S):$G775),"")</f>
        <v>4336</v>
      </c>
      <c r="AJ775" s="48" t="n">
        <f aca="false">IF($U775&gt;=STRUCT_S,MIN(INDEX($H$625:$H775,152-STRUCT_S):$H775),"")</f>
        <v>3647</v>
      </c>
      <c r="AK775" s="48" t="n">
        <f aca="false">IF($U775&gt;=STRUCT_L,MAX(INDEX($G$525:$G775,252-STRUCT_L):$G775),"")</f>
        <v>4572</v>
      </c>
      <c r="AL775" s="48" t="n">
        <f aca="false">IF($U775&gt;=STRUCT_L,MIN(INDEX($H$525:$H775,252-STRUCT_L):$H775),"")</f>
        <v>3647</v>
      </c>
      <c r="AM775" s="46" t="n">
        <f aca="false">IF($A775&lt;&gt;$A776,1,0)</f>
        <v>0</v>
      </c>
      <c r="AN775" s="47" t="str">
        <f aca="false">IF($AM775=1,$A775,"")</f>
        <v/>
      </c>
    </row>
    <row r="776" customFormat="false" ht="15" hidden="false" customHeight="false" outlineLevel="0" collapsed="false">
      <c r="A776" s="43" t="s">
        <v>142</v>
      </c>
      <c r="B776" s="44" t="s">
        <v>144</v>
      </c>
      <c r="C776" s="45" t="n">
        <v>46257</v>
      </c>
      <c r="D776" s="46" t="n">
        <v>20260823</v>
      </c>
      <c r="E776" s="47" t="s">
        <v>539</v>
      </c>
      <c r="F776" s="48" t="n">
        <v>3728</v>
      </c>
      <c r="G776" s="48" t="n">
        <v>3781</v>
      </c>
      <c r="H776" s="48" t="n">
        <v>3683</v>
      </c>
      <c r="I776" s="48" t="n">
        <v>3758</v>
      </c>
      <c r="J776" s="48" t="n">
        <v>3717</v>
      </c>
      <c r="K776" s="48" t="n">
        <v>3706</v>
      </c>
      <c r="L776" s="48" t="n">
        <v>75264507</v>
      </c>
      <c r="M776" s="48" t="n">
        <v>282844017306</v>
      </c>
      <c r="N776" s="48" t="n">
        <v>2810</v>
      </c>
      <c r="O776" s="48" t="n">
        <v>49236165</v>
      </c>
      <c r="P776" s="48" t="n">
        <v>26197238</v>
      </c>
      <c r="Q776" s="48" t="n">
        <v>1326</v>
      </c>
      <c r="R776" s="48" t="n">
        <v>1300</v>
      </c>
      <c r="S776" s="48" t="n">
        <v>26028342</v>
      </c>
      <c r="T776" s="48" t="n">
        <v>49067269</v>
      </c>
      <c r="U776" s="46" t="n">
        <f aca="false">IF($A776=$A775,$U775+1,1)</f>
        <v>252</v>
      </c>
      <c r="V776" s="48" t="n">
        <f aca="false">IF($U776&gt;=MA_SHORT,AVERAGE(INDEX($I$376:$I776,402-MA_SHORT):$I776),"")</f>
        <v>3893.5</v>
      </c>
      <c r="W776" s="48" t="n">
        <f aca="false">IF($U776&gt;=MA_MED,AVERAGE(INDEX($I$376:$I776,402-MA_MED):$I776),"")</f>
        <v>4038.34</v>
      </c>
      <c r="X776" s="48" t="n">
        <f aca="false">IF($U776&gt;=MA_LONG1,AVERAGE(INDEX($I$376:$I776,402-MA_LONG1):$I776),"")</f>
        <v>4201.2</v>
      </c>
      <c r="Y776" s="48" t="n">
        <f aca="false">IF($U776&gt;=MA_LONG2,AVERAGE(INDEX($I$376:$I776,402-MA_LONG2):$I776),"")</f>
        <v>4060.195</v>
      </c>
      <c r="Z776" s="48" t="n">
        <f aca="false">IF($U776&gt;=MA_SHORT,AVERAGE(INDEX($L$656:$L776,122-MA_SHORT):$L776),"")</f>
        <v>62833093</v>
      </c>
      <c r="AA776" s="48" t="n">
        <f aca="false">IF($U776=1,$G776-$H776,MAX($G776-$H776,ABS($G776-$I775),ABS($H776-$I775)))</f>
        <v>98</v>
      </c>
      <c r="AB776" s="48" t="n">
        <f aca="false">IF($U776&gt;=ATR_PER,AVERAGE(INDEX($AA$656:$AA776,122-ATR_PER):$AA776),"")</f>
        <v>162.357142857143</v>
      </c>
      <c r="AC776" s="48" t="n">
        <f aca="false">$O776-$P776</f>
        <v>23038927</v>
      </c>
      <c r="AD776" s="48" t="n">
        <f aca="false">$AC776*$I776</f>
        <v>86580287666</v>
      </c>
      <c r="AE776" s="49" t="n">
        <f aca="false">IF($Q776&gt;0,$O776*$I776/$Q776/1000000,"")</f>
        <v>139.539598846154</v>
      </c>
      <c r="AF776" s="49" t="n">
        <f aca="false">IF($R776&gt;0,$P776*$I776/$R776/1000000,"")</f>
        <v>75.7301695415385</v>
      </c>
      <c r="AG776" s="50" t="n">
        <f aca="false">IF(AND(ISNUMBER($AE776),ISNUMBER($AF776),$AF776&gt;0),$AE776/$AF776,"")</f>
        <v>1.84258928364891</v>
      </c>
      <c r="AH776" s="48" t="n">
        <f aca="false">IF($U776&gt;=5,SUM(INDEX($AD$746:$AD776,32-5):$AD776),"")</f>
        <v>79928091321</v>
      </c>
      <c r="AI776" s="48" t="n">
        <f aca="false">IF($U776&gt;=STRUCT_S,MAX(INDEX($G$626:$G776,152-STRUCT_S):$G776),"")</f>
        <v>4253</v>
      </c>
      <c r="AJ776" s="48" t="n">
        <f aca="false">IF($U776&gt;=STRUCT_S,MIN(INDEX($H$626:$H776,152-STRUCT_S):$H776),"")</f>
        <v>3647</v>
      </c>
      <c r="AK776" s="48" t="n">
        <f aca="false">IF($U776&gt;=STRUCT_L,MAX(INDEX($G$526:$G776,252-STRUCT_L):$G776),"")</f>
        <v>4572</v>
      </c>
      <c r="AL776" s="48" t="n">
        <f aca="false">IF($U776&gt;=STRUCT_L,MIN(INDEX($H$526:$H776,252-STRUCT_L):$H776),"")</f>
        <v>3647</v>
      </c>
      <c r="AM776" s="46" t="n">
        <f aca="false">IF($A776&lt;&gt;$A777,1,0)</f>
        <v>0</v>
      </c>
      <c r="AN776" s="47" t="str">
        <f aca="false">IF($AM776=1,$A776,"")</f>
        <v/>
      </c>
    </row>
    <row r="777" customFormat="false" ht="15" hidden="false" customHeight="false" outlineLevel="0" collapsed="false">
      <c r="A777" s="43" t="s">
        <v>142</v>
      </c>
      <c r="B777" s="44" t="s">
        <v>144</v>
      </c>
      <c r="C777" s="45" t="n">
        <v>46258</v>
      </c>
      <c r="D777" s="46" t="n">
        <v>20260824</v>
      </c>
      <c r="E777" s="47" t="s">
        <v>540</v>
      </c>
      <c r="F777" s="48" t="n">
        <v>3774</v>
      </c>
      <c r="G777" s="48" t="n">
        <v>3786</v>
      </c>
      <c r="H777" s="48" t="n">
        <v>3729</v>
      </c>
      <c r="I777" s="48" t="n">
        <v>3757</v>
      </c>
      <c r="J777" s="48" t="n">
        <v>3780</v>
      </c>
      <c r="K777" s="48" t="n">
        <v>3758</v>
      </c>
      <c r="L777" s="48" t="n">
        <v>62602530</v>
      </c>
      <c r="M777" s="48" t="n">
        <v>235197705210</v>
      </c>
      <c r="N777" s="48" t="n">
        <v>1394</v>
      </c>
      <c r="O777" s="48" t="n">
        <v>34303550</v>
      </c>
      <c r="P777" s="48" t="n">
        <v>27230024</v>
      </c>
      <c r="Q777" s="48" t="n">
        <v>727</v>
      </c>
      <c r="R777" s="48" t="n">
        <v>494</v>
      </c>
      <c r="S777" s="48" t="n">
        <v>28298980</v>
      </c>
      <c r="T777" s="48" t="n">
        <v>35372506</v>
      </c>
      <c r="U777" s="46" t="n">
        <f aca="false">IF($A777=$A776,$U776+1,1)</f>
        <v>253</v>
      </c>
      <c r="V777" s="48" t="n">
        <f aca="false">IF($U777&gt;=MA_SHORT,AVERAGE(INDEX($I$377:$I777,402-MA_SHORT):$I777),"")</f>
        <v>3875.3</v>
      </c>
      <c r="W777" s="48" t="n">
        <f aca="false">IF($U777&gt;=MA_MED,AVERAGE(INDEX($I$377:$I777,402-MA_MED):$I777),"")</f>
        <v>4033.78</v>
      </c>
      <c r="X777" s="48" t="n">
        <f aca="false">IF($U777&gt;=MA_LONG1,AVERAGE(INDEX($I$377:$I777,402-MA_LONG1):$I777),"")</f>
        <v>4192.63</v>
      </c>
      <c r="Y777" s="48" t="n">
        <f aca="false">IF($U777&gt;=MA_LONG2,AVERAGE(INDEX($I$377:$I777,402-MA_LONG2):$I777),"")</f>
        <v>4062.21</v>
      </c>
      <c r="Z777" s="48" t="n">
        <f aca="false">IF($U777&gt;=MA_SHORT,AVERAGE(INDEX($L$657:$L777,122-MA_SHORT):$L777),"")</f>
        <v>63134106.95</v>
      </c>
      <c r="AA777" s="48" t="n">
        <f aca="false">IF($U777=1,$G777-$H777,MAX($G777-$H777,ABS($G777-$I776),ABS($H777-$I776)))</f>
        <v>57</v>
      </c>
      <c r="AB777" s="48" t="n">
        <f aca="false">IF($U777&gt;=ATR_PER,AVERAGE(INDEX($AA$657:$AA777,122-ATR_PER):$AA777),"")</f>
        <v>153.428571428571</v>
      </c>
      <c r="AC777" s="48" t="n">
        <f aca="false">$O777-$P777</f>
        <v>7073526</v>
      </c>
      <c r="AD777" s="48" t="n">
        <f aca="false">$AC777*$I777</f>
        <v>26575237182</v>
      </c>
      <c r="AE777" s="49" t="n">
        <f aca="false">IF($Q777&gt;0,$O777*$I777/$Q777/1000000,"")</f>
        <v>177.274329229711</v>
      </c>
      <c r="AF777" s="49" t="n">
        <f aca="false">IF($R777&gt;0,$P777*$I777/$R777/1000000,"")</f>
        <v>207.091498315789</v>
      </c>
      <c r="AG777" s="50" t="n">
        <f aca="false">IF(AND(ISNUMBER($AE777),ISNUMBER($AF777),$AF777&gt;0),$AE777/$AF777,"")</f>
        <v>0.856019347348529</v>
      </c>
      <c r="AH777" s="48" t="n">
        <f aca="false">IF($U777&gt;=5,SUM(INDEX($AD$747:$AD777,32-5):$AD777),"")</f>
        <v>103880609752</v>
      </c>
      <c r="AI777" s="48" t="n">
        <f aca="false">IF($U777&gt;=STRUCT_S,MAX(INDEX($G$627:$G777,152-STRUCT_S):$G777),"")</f>
        <v>4163</v>
      </c>
      <c r="AJ777" s="48" t="n">
        <f aca="false">IF($U777&gt;=STRUCT_S,MIN(INDEX($H$627:$H777,152-STRUCT_S):$H777),"")</f>
        <v>3647</v>
      </c>
      <c r="AK777" s="48" t="n">
        <f aca="false">IF($U777&gt;=STRUCT_L,MAX(INDEX($G$527:$G777,252-STRUCT_L):$G777),"")</f>
        <v>4572</v>
      </c>
      <c r="AL777" s="48" t="n">
        <f aca="false">IF($U777&gt;=STRUCT_L,MIN(INDEX($H$527:$H777,252-STRUCT_L):$H777),"")</f>
        <v>3647</v>
      </c>
      <c r="AM777" s="46" t="n">
        <f aca="false">IF($A777&lt;&gt;$A778,1,0)</f>
        <v>0</v>
      </c>
      <c r="AN777" s="47" t="str">
        <f aca="false">IF($AM777=1,$A777,"")</f>
        <v/>
      </c>
    </row>
    <row r="778" customFormat="false" ht="15" hidden="false" customHeight="false" outlineLevel="0" collapsed="false">
      <c r="A778" s="43" t="s">
        <v>142</v>
      </c>
      <c r="B778" s="44" t="s">
        <v>144</v>
      </c>
      <c r="C778" s="45" t="n">
        <v>46259</v>
      </c>
      <c r="D778" s="46" t="n">
        <v>20260825</v>
      </c>
      <c r="E778" s="47" t="s">
        <v>541</v>
      </c>
      <c r="F778" s="48" t="n">
        <v>3916</v>
      </c>
      <c r="G778" s="48" t="n">
        <v>3943</v>
      </c>
      <c r="H778" s="48" t="n">
        <v>3632</v>
      </c>
      <c r="I778" s="48" t="n">
        <v>3816</v>
      </c>
      <c r="J778" s="48" t="n">
        <v>3680</v>
      </c>
      <c r="K778" s="48" t="n">
        <v>3757</v>
      </c>
      <c r="L778" s="48" t="n">
        <v>54741293</v>
      </c>
      <c r="M778" s="48" t="n">
        <v>208892774088</v>
      </c>
      <c r="N778" s="48" t="n">
        <v>6016</v>
      </c>
      <c r="O778" s="48" t="n">
        <v>27933532</v>
      </c>
      <c r="P778" s="48" t="n">
        <v>30243722</v>
      </c>
      <c r="Q778" s="48" t="n">
        <v>1919</v>
      </c>
      <c r="R778" s="48" t="n">
        <v>2854</v>
      </c>
      <c r="S778" s="48" t="n">
        <v>26807761</v>
      </c>
      <c r="T778" s="48" t="n">
        <v>24497571</v>
      </c>
      <c r="U778" s="46" t="n">
        <f aca="false">IF($A778=$A777,$U777+1,1)</f>
        <v>254</v>
      </c>
      <c r="V778" s="48" t="n">
        <f aca="false">IF($U778&gt;=MA_SHORT,AVERAGE(INDEX($I$378:$I778,402-MA_SHORT):$I778),"")</f>
        <v>3863.1</v>
      </c>
      <c r="W778" s="48" t="n">
        <f aca="false">IF($U778&gt;=MA_MED,AVERAGE(INDEX($I$378:$I778,402-MA_MED):$I778),"")</f>
        <v>4031.18</v>
      </c>
      <c r="X778" s="48" t="n">
        <f aca="false">IF($U778&gt;=MA_LONG1,AVERAGE(INDEX($I$378:$I778,402-MA_LONG1):$I778),"")</f>
        <v>4183.89</v>
      </c>
      <c r="Y778" s="48" t="n">
        <f aca="false">IF($U778&gt;=MA_LONG2,AVERAGE(INDEX($I$378:$I778,402-MA_LONG2):$I778),"")</f>
        <v>4064.61</v>
      </c>
      <c r="Z778" s="48" t="n">
        <f aca="false">IF($U778&gt;=MA_SHORT,AVERAGE(INDEX($L$658:$L778,122-MA_SHORT):$L778),"")</f>
        <v>63147641.2</v>
      </c>
      <c r="AA778" s="48" t="n">
        <f aca="false">IF($U778=1,$G778-$H778,MAX($G778-$H778,ABS($G778-$I777),ABS($H778-$I777)))</f>
        <v>311</v>
      </c>
      <c r="AB778" s="48" t="n">
        <f aca="false">IF($U778&gt;=ATR_PER,AVERAGE(INDEX($AA$658:$AA778,122-ATR_PER):$AA778),"")</f>
        <v>153.214285714286</v>
      </c>
      <c r="AC778" s="48" t="n">
        <f aca="false">$O778-$P778</f>
        <v>-2310190</v>
      </c>
      <c r="AD778" s="48" t="n">
        <f aca="false">$AC778*$I778</f>
        <v>-8815685040</v>
      </c>
      <c r="AE778" s="49" t="n">
        <f aca="false">IF($Q778&gt;0,$O778*$I778/$Q778/1000000,"")</f>
        <v>55.5468254882751</v>
      </c>
      <c r="AF778" s="49" t="n">
        <f aca="false">IF($R778&gt;0,$P778*$I778/$R778/1000000,"")</f>
        <v>40.4379968997898</v>
      </c>
      <c r="AG778" s="50" t="n">
        <f aca="false">IF(AND(ISNUMBER($AE778),ISNUMBER($AF778),$AF778&gt;0),$AE778/$AF778,"")</f>
        <v>1.37362950063839</v>
      </c>
      <c r="AH778" s="48" t="n">
        <f aca="false">IF($U778&gt;=5,SUM(INDEX($AD$748:$AD778,32-5):$AD778),"")</f>
        <v>67356482132</v>
      </c>
      <c r="AI778" s="48" t="n">
        <f aca="false">IF($U778&gt;=STRUCT_S,MAX(INDEX($G$628:$G778,152-STRUCT_S):$G778),"")</f>
        <v>4113</v>
      </c>
      <c r="AJ778" s="48" t="n">
        <f aca="false">IF($U778&gt;=STRUCT_S,MIN(INDEX($H$628:$H778,152-STRUCT_S):$H778),"")</f>
        <v>3632</v>
      </c>
      <c r="AK778" s="48" t="n">
        <f aca="false">IF($U778&gt;=STRUCT_L,MAX(INDEX($G$528:$G778,252-STRUCT_L):$G778),"")</f>
        <v>4572</v>
      </c>
      <c r="AL778" s="48" t="n">
        <f aca="false">IF($U778&gt;=STRUCT_L,MIN(INDEX($H$528:$H778,252-STRUCT_L):$H778),"")</f>
        <v>3632</v>
      </c>
      <c r="AM778" s="46" t="n">
        <f aca="false">IF($A778&lt;&gt;$A779,1,0)</f>
        <v>0</v>
      </c>
      <c r="AN778" s="47" t="str">
        <f aca="false">IF($AM778=1,$A778,"")</f>
        <v/>
      </c>
    </row>
    <row r="779" customFormat="false" ht="15" hidden="false" customHeight="false" outlineLevel="0" collapsed="false">
      <c r="A779" s="43" t="s">
        <v>142</v>
      </c>
      <c r="B779" s="44" t="s">
        <v>144</v>
      </c>
      <c r="C779" s="45" t="n">
        <v>46260</v>
      </c>
      <c r="D779" s="46" t="n">
        <v>20260826</v>
      </c>
      <c r="E779" s="47" t="s">
        <v>542</v>
      </c>
      <c r="F779" s="48" t="n">
        <v>3858</v>
      </c>
      <c r="G779" s="48" t="n">
        <v>3909</v>
      </c>
      <c r="H779" s="48" t="n">
        <v>3786</v>
      </c>
      <c r="I779" s="48" t="n">
        <v>3878</v>
      </c>
      <c r="J779" s="48" t="n">
        <v>3847</v>
      </c>
      <c r="K779" s="48" t="n">
        <v>3816</v>
      </c>
      <c r="L779" s="48" t="n">
        <v>57976046</v>
      </c>
      <c r="M779" s="48" t="n">
        <v>224831106388</v>
      </c>
      <c r="N779" s="48" t="n">
        <v>1362</v>
      </c>
      <c r="O779" s="48" t="n">
        <v>35077508</v>
      </c>
      <c r="P779" s="48" t="n">
        <v>21053409</v>
      </c>
      <c r="Q779" s="48" t="n">
        <v>678</v>
      </c>
      <c r="R779" s="48" t="n">
        <v>583</v>
      </c>
      <c r="S779" s="48" t="n">
        <v>22898538</v>
      </c>
      <c r="T779" s="48" t="n">
        <v>36922637</v>
      </c>
      <c r="U779" s="46" t="n">
        <f aca="false">IF($A779=$A778,$U778+1,1)</f>
        <v>255</v>
      </c>
      <c r="V779" s="48" t="n">
        <f aca="false">IF($U779&gt;=MA_SHORT,AVERAGE(INDEX($I$379:$I779,402-MA_SHORT):$I779),"")</f>
        <v>3856.5</v>
      </c>
      <c r="W779" s="48" t="n">
        <f aca="false">IF($U779&gt;=MA_MED,AVERAGE(INDEX($I$379:$I779,402-MA_MED):$I779),"")</f>
        <v>4030.96</v>
      </c>
      <c r="X779" s="48" t="n">
        <f aca="false">IF($U779&gt;=MA_LONG1,AVERAGE(INDEX($I$379:$I779,402-MA_LONG1):$I779),"")</f>
        <v>4176.06</v>
      </c>
      <c r="Y779" s="48" t="n">
        <f aca="false">IF($U779&gt;=MA_LONG2,AVERAGE(INDEX($I$379:$I779,402-MA_LONG2):$I779),"")</f>
        <v>4067.525</v>
      </c>
      <c r="Z779" s="48" t="n">
        <f aca="false">IF($U779&gt;=MA_SHORT,AVERAGE(INDEX($L$659:$L779,122-MA_SHORT):$L779),"")</f>
        <v>63360238</v>
      </c>
      <c r="AA779" s="48" t="n">
        <f aca="false">IF($U779=1,$G779-$H779,MAX($G779-$H779,ABS($G779-$I778),ABS($H779-$I778)))</f>
        <v>123</v>
      </c>
      <c r="AB779" s="48" t="n">
        <f aca="false">IF($U779&gt;=ATR_PER,AVERAGE(INDEX($AA$659:$AA779,122-ATR_PER):$AA779),"")</f>
        <v>140.785714285714</v>
      </c>
      <c r="AC779" s="48" t="n">
        <f aca="false">$O779-$P779</f>
        <v>14024099</v>
      </c>
      <c r="AD779" s="48" t="n">
        <f aca="false">$AC779*$I779</f>
        <v>54385455922</v>
      </c>
      <c r="AE779" s="49" t="n">
        <f aca="false">IF($Q779&gt;0,$O779*$I779/$Q779/1000000,"")</f>
        <v>200.635067882006</v>
      </c>
      <c r="AF779" s="49" t="n">
        <f aca="false">IF($R779&gt;0,$P779*$I779/$R779/1000000,"")</f>
        <v>140.043087653516</v>
      </c>
      <c r="AG779" s="50" t="n">
        <f aca="false">IF(AND(ISNUMBER($AE779),ISNUMBER($AF779),$AF779&gt;0),$AE779/$AF779,"")</f>
        <v>1.43266669739817</v>
      </c>
      <c r="AH779" s="48" t="n">
        <f aca="false">IF($U779&gt;=5,SUM(INDEX($AD$749:$AD779,32-5):$AD779),"")</f>
        <v>155726267114</v>
      </c>
      <c r="AI779" s="48" t="n">
        <f aca="false">IF($U779&gt;=STRUCT_S,MAX(INDEX($G$629:$G779,152-STRUCT_S):$G779),"")</f>
        <v>4100</v>
      </c>
      <c r="AJ779" s="48" t="n">
        <f aca="false">IF($U779&gt;=STRUCT_S,MIN(INDEX($H$629:$H779,152-STRUCT_S):$H779),"")</f>
        <v>3632</v>
      </c>
      <c r="AK779" s="48" t="n">
        <f aca="false">IF($U779&gt;=STRUCT_L,MAX(INDEX($G$529:$G779,252-STRUCT_L):$G779),"")</f>
        <v>4572</v>
      </c>
      <c r="AL779" s="48" t="n">
        <f aca="false">IF($U779&gt;=STRUCT_L,MIN(INDEX($H$529:$H779,252-STRUCT_L):$H779),"")</f>
        <v>3632</v>
      </c>
      <c r="AM779" s="46" t="n">
        <f aca="false">IF($A779&lt;&gt;$A780,1,0)</f>
        <v>0</v>
      </c>
      <c r="AN779" s="47" t="str">
        <f aca="false">IF($AM779=1,$A779,"")</f>
        <v/>
      </c>
    </row>
    <row r="780" customFormat="false" ht="15" hidden="false" customHeight="false" outlineLevel="0" collapsed="false">
      <c r="A780" s="43" t="s">
        <v>142</v>
      </c>
      <c r="B780" s="44" t="s">
        <v>144</v>
      </c>
      <c r="C780" s="45" t="n">
        <v>46263</v>
      </c>
      <c r="D780" s="46" t="n">
        <v>20260829</v>
      </c>
      <c r="E780" s="47" t="s">
        <v>543</v>
      </c>
      <c r="F780" s="48" t="n">
        <v>3910</v>
      </c>
      <c r="G780" s="48" t="n">
        <v>3918</v>
      </c>
      <c r="H780" s="48" t="n">
        <v>3844</v>
      </c>
      <c r="I780" s="48" t="n">
        <v>3884</v>
      </c>
      <c r="J780" s="48" t="n">
        <v>3874</v>
      </c>
      <c r="K780" s="48" t="n">
        <v>3878</v>
      </c>
      <c r="L780" s="48" t="n">
        <v>50491909</v>
      </c>
      <c r="M780" s="48" t="n">
        <v>196110574556</v>
      </c>
      <c r="N780" s="48" t="n">
        <v>1611</v>
      </c>
      <c r="O780" s="48" t="n">
        <v>26289381</v>
      </c>
      <c r="P780" s="48" t="n">
        <v>24105921</v>
      </c>
      <c r="Q780" s="48" t="n">
        <v>638</v>
      </c>
      <c r="R780" s="48" t="n">
        <v>889</v>
      </c>
      <c r="S780" s="48" t="n">
        <v>24202528</v>
      </c>
      <c r="T780" s="48" t="n">
        <v>26385988</v>
      </c>
      <c r="U780" s="46" t="n">
        <f aca="false">IF($A780=$A779,$U779+1,1)</f>
        <v>256</v>
      </c>
      <c r="V780" s="48" t="n">
        <f aca="false">IF($U780&gt;=MA_SHORT,AVERAGE(INDEX($I$380:$I780,402-MA_SHORT):$I780),"")</f>
        <v>3852.85</v>
      </c>
      <c r="W780" s="48" t="n">
        <f aca="false">IF($U780&gt;=MA_MED,AVERAGE(INDEX($I$380:$I780,402-MA_MED):$I780),"")</f>
        <v>4029.62</v>
      </c>
      <c r="X780" s="48" t="n">
        <f aca="false">IF($U780&gt;=MA_LONG1,AVERAGE(INDEX($I$380:$I780,402-MA_LONG1):$I780),"")</f>
        <v>4168.31</v>
      </c>
      <c r="Y780" s="48" t="n">
        <f aca="false">IF($U780&gt;=MA_LONG2,AVERAGE(INDEX($I$380:$I780,402-MA_LONG2):$I780),"")</f>
        <v>4070.33</v>
      </c>
      <c r="Z780" s="48" t="n">
        <f aca="false">IF($U780&gt;=MA_SHORT,AVERAGE(INDEX($L$660:$L780,122-MA_SHORT):$L780),"")</f>
        <v>63185095.25</v>
      </c>
      <c r="AA780" s="48" t="n">
        <f aca="false">IF($U780=1,$G780-$H780,MAX($G780-$H780,ABS($G780-$I779),ABS($H780-$I779)))</f>
        <v>74</v>
      </c>
      <c r="AB780" s="48" t="n">
        <f aca="false">IF($U780&gt;=ATR_PER,AVERAGE(INDEX($AA$660:$AA780,122-ATR_PER):$AA780),"")</f>
        <v>134.785714285714</v>
      </c>
      <c r="AC780" s="48" t="n">
        <f aca="false">$O780-$P780</f>
        <v>2183460</v>
      </c>
      <c r="AD780" s="48" t="n">
        <f aca="false">$AC780*$I780</f>
        <v>8480558640</v>
      </c>
      <c r="AE780" s="49" t="n">
        <f aca="false">IF($Q780&gt;0,$O780*$I780/$Q780/1000000,"")</f>
        <v>160.043817874608</v>
      </c>
      <c r="AF780" s="49" t="n">
        <f aca="false">IF($R780&gt;0,$P780*$I780/$R780/1000000,"")</f>
        <v>105.317657102362</v>
      </c>
      <c r="AG780" s="50" t="n">
        <f aca="false">IF(AND(ISNUMBER($AE780),ISNUMBER($AF780),$AF780&gt;0),$AE780/$AF780,"")</f>
        <v>1.51962949307784</v>
      </c>
      <c r="AH780" s="48" t="n">
        <f aca="false">IF($U780&gt;=5,SUM(INDEX($AD$750:$AD780,32-5):$AD780),"")</f>
        <v>167205854370</v>
      </c>
      <c r="AI780" s="48" t="n">
        <f aca="false">IF($U780&gt;=STRUCT_S,MAX(INDEX($G$630:$G780,152-STRUCT_S):$G780),"")</f>
        <v>4100</v>
      </c>
      <c r="AJ780" s="48" t="n">
        <f aca="false">IF($U780&gt;=STRUCT_S,MIN(INDEX($H$630:$H780,152-STRUCT_S):$H780),"")</f>
        <v>3632</v>
      </c>
      <c r="AK780" s="48" t="n">
        <f aca="false">IF($U780&gt;=STRUCT_L,MAX(INDEX($G$530:$G780,252-STRUCT_L):$G780),"")</f>
        <v>4572</v>
      </c>
      <c r="AL780" s="48" t="n">
        <f aca="false">IF($U780&gt;=STRUCT_L,MIN(INDEX($H$530:$H780,252-STRUCT_L):$H780),"")</f>
        <v>3632</v>
      </c>
      <c r="AM780" s="46" t="n">
        <f aca="false">IF($A780&lt;&gt;$A781,1,0)</f>
        <v>0</v>
      </c>
      <c r="AN780" s="47" t="str">
        <f aca="false">IF($AM780=1,$A780,"")</f>
        <v/>
      </c>
    </row>
    <row r="781" customFormat="false" ht="15" hidden="false" customHeight="false" outlineLevel="0" collapsed="false">
      <c r="A781" s="43" t="s">
        <v>142</v>
      </c>
      <c r="B781" s="44" t="s">
        <v>144</v>
      </c>
      <c r="C781" s="45" t="n">
        <v>46264</v>
      </c>
      <c r="D781" s="46" t="n">
        <v>20260830</v>
      </c>
      <c r="E781" s="47" t="s">
        <v>544</v>
      </c>
      <c r="F781" s="48" t="n">
        <v>3719</v>
      </c>
      <c r="G781" s="48" t="n">
        <v>3951</v>
      </c>
      <c r="H781" s="48" t="n">
        <v>3718</v>
      </c>
      <c r="I781" s="48" t="n">
        <v>3783</v>
      </c>
      <c r="J781" s="48" t="n">
        <v>3928</v>
      </c>
      <c r="K781" s="48" t="n">
        <v>3884</v>
      </c>
      <c r="L781" s="48" t="n">
        <v>57833023</v>
      </c>
      <c r="M781" s="48" t="n">
        <v>218782326009</v>
      </c>
      <c r="N781" s="48" t="n">
        <v>4207</v>
      </c>
      <c r="O781" s="48" t="n">
        <v>23624869</v>
      </c>
      <c r="P781" s="48" t="n">
        <v>34913288</v>
      </c>
      <c r="Q781" s="48" t="n">
        <v>1853</v>
      </c>
      <c r="R781" s="48" t="n">
        <v>2113</v>
      </c>
      <c r="S781" s="48" t="n">
        <v>34208154</v>
      </c>
      <c r="T781" s="48" t="n">
        <v>22919735</v>
      </c>
      <c r="U781" s="46" t="n">
        <f aca="false">IF($A781=$A780,$U780+1,1)</f>
        <v>257</v>
      </c>
      <c r="V781" s="48" t="n">
        <f aca="false">IF($U781&gt;=MA_SHORT,AVERAGE(INDEX($I$381:$I781,402-MA_SHORT):$I781),"")</f>
        <v>3847.8</v>
      </c>
      <c r="W781" s="48" t="n">
        <f aca="false">IF($U781&gt;=MA_MED,AVERAGE(INDEX($I$381:$I781,402-MA_MED):$I781),"")</f>
        <v>4027.84</v>
      </c>
      <c r="X781" s="48" t="n">
        <f aca="false">IF($U781&gt;=MA_LONG1,AVERAGE(INDEX($I$381:$I781,402-MA_LONG1):$I781),"")</f>
        <v>4158.43</v>
      </c>
      <c r="Y781" s="48" t="n">
        <f aca="false">IF($U781&gt;=MA_LONG2,AVERAGE(INDEX($I$381:$I781,402-MA_LONG2):$I781),"")</f>
        <v>4072.505</v>
      </c>
      <c r="Z781" s="48" t="n">
        <f aca="false">IF($U781&gt;=MA_SHORT,AVERAGE(INDEX($L$661:$L781,122-MA_SHORT):$L781),"")</f>
        <v>63298494.6</v>
      </c>
      <c r="AA781" s="48" t="n">
        <f aca="false">IF($U781=1,$G781-$H781,MAX($G781-$H781,ABS($G781-$I780),ABS($H781-$I780)))</f>
        <v>233</v>
      </c>
      <c r="AB781" s="48" t="n">
        <f aca="false">IF($U781&gt;=ATR_PER,AVERAGE(INDEX($AA$661:$AA781,122-ATR_PER):$AA781),"")</f>
        <v>145.071428571429</v>
      </c>
      <c r="AC781" s="48" t="n">
        <f aca="false">$O781-$P781</f>
        <v>-11288419</v>
      </c>
      <c r="AD781" s="48" t="n">
        <f aca="false">$AC781*$I781</f>
        <v>-42704089077</v>
      </c>
      <c r="AE781" s="49" t="n">
        <f aca="false">IF($Q781&gt;0,$O781*$I781/$Q781/1000000,"")</f>
        <v>48.2314513907178</v>
      </c>
      <c r="AF781" s="49" t="n">
        <f aca="false">IF($R781&gt;0,$P781*$I781/$R781/1000000,"")</f>
        <v>62.5068473752958</v>
      </c>
      <c r="AG781" s="50" t="n">
        <f aca="false">IF(AND(ISNUMBER($AE781),ISNUMBER($AF781),$AF781&gt;0),$AE781/$AF781,"")</f>
        <v>0.771618685247914</v>
      </c>
      <c r="AH781" s="48" t="n">
        <f aca="false">IF($U781&gt;=5,SUM(INDEX($AD$751:$AD781,32-5):$AD781),"")</f>
        <v>37921477627</v>
      </c>
      <c r="AI781" s="48" t="n">
        <f aca="false">IF($U781&gt;=STRUCT_S,MAX(INDEX($G$631:$G781,152-STRUCT_S):$G781),"")</f>
        <v>4100</v>
      </c>
      <c r="AJ781" s="48" t="n">
        <f aca="false">IF($U781&gt;=STRUCT_S,MIN(INDEX($H$631:$H781,152-STRUCT_S):$H781),"")</f>
        <v>3632</v>
      </c>
      <c r="AK781" s="48" t="n">
        <f aca="false">IF($U781&gt;=STRUCT_L,MAX(INDEX($G$531:$G781,252-STRUCT_L):$G781),"")</f>
        <v>4572</v>
      </c>
      <c r="AL781" s="48" t="n">
        <f aca="false">IF($U781&gt;=STRUCT_L,MIN(INDEX($H$531:$H781,252-STRUCT_L):$H781),"")</f>
        <v>3632</v>
      </c>
      <c r="AM781" s="46" t="n">
        <f aca="false">IF($A781&lt;&gt;$A782,1,0)</f>
        <v>0</v>
      </c>
      <c r="AN781" s="47" t="str">
        <f aca="false">IF($AM781=1,$A781,"")</f>
        <v/>
      </c>
    </row>
    <row r="782" customFormat="false" ht="15" hidden="false" customHeight="false" outlineLevel="0" collapsed="false">
      <c r="A782" s="43" t="s">
        <v>142</v>
      </c>
      <c r="B782" s="44" t="s">
        <v>144</v>
      </c>
      <c r="C782" s="45" t="n">
        <v>46265</v>
      </c>
      <c r="D782" s="46" t="n">
        <v>20260831</v>
      </c>
      <c r="E782" s="47" t="s">
        <v>545</v>
      </c>
      <c r="F782" s="48" t="n">
        <v>3788</v>
      </c>
      <c r="G782" s="48" t="n">
        <v>3806</v>
      </c>
      <c r="H782" s="48" t="n">
        <v>3773</v>
      </c>
      <c r="I782" s="48" t="n">
        <v>3796</v>
      </c>
      <c r="J782" s="48" t="n">
        <v>3802</v>
      </c>
      <c r="K782" s="48" t="n">
        <v>3783</v>
      </c>
      <c r="L782" s="48" t="n">
        <v>83785014</v>
      </c>
      <c r="M782" s="48" t="n">
        <v>318047913144</v>
      </c>
      <c r="N782" s="48" t="n">
        <v>2082</v>
      </c>
      <c r="O782" s="48" t="n">
        <v>42481799</v>
      </c>
      <c r="P782" s="48" t="n">
        <v>44789623</v>
      </c>
      <c r="Q782" s="48" t="n">
        <v>725</v>
      </c>
      <c r="R782" s="48" t="n">
        <v>1030</v>
      </c>
      <c r="S782" s="48" t="n">
        <v>41303215</v>
      </c>
      <c r="T782" s="48" t="n">
        <v>38995391</v>
      </c>
      <c r="U782" s="46" t="n">
        <f aca="false">IF($A782=$A781,$U781+1,1)</f>
        <v>258</v>
      </c>
      <c r="V782" s="48" t="n">
        <f aca="false">IF($U782&gt;=MA_SHORT,AVERAGE(INDEX($I$382:$I782,402-MA_SHORT):$I782),"")</f>
        <v>3844.95</v>
      </c>
      <c r="W782" s="48" t="n">
        <f aca="false">IF($U782&gt;=MA_MED,AVERAGE(INDEX($I$382:$I782,402-MA_MED):$I782),"")</f>
        <v>4024.84</v>
      </c>
      <c r="X782" s="48" t="n">
        <f aca="false">IF($U782&gt;=MA_LONG1,AVERAGE(INDEX($I$382:$I782,402-MA_LONG1):$I782),"")</f>
        <v>4148.79</v>
      </c>
      <c r="Y782" s="48" t="n">
        <f aca="false">IF($U782&gt;=MA_LONG2,AVERAGE(INDEX($I$382:$I782,402-MA_LONG2):$I782),"")</f>
        <v>4074.625</v>
      </c>
      <c r="Z782" s="48" t="n">
        <f aca="false">IF($U782&gt;=MA_SHORT,AVERAGE(INDEX($L$662:$L782,122-MA_SHORT):$L782),"")</f>
        <v>64866582.7</v>
      </c>
      <c r="AA782" s="48" t="n">
        <f aca="false">IF($U782=1,$G782-$H782,MAX($G782-$H782,ABS($G782-$I781),ABS($H782-$I781)))</f>
        <v>33</v>
      </c>
      <c r="AB782" s="48" t="n">
        <f aca="false">IF($U782&gt;=ATR_PER,AVERAGE(INDEX($AA$662:$AA782,122-ATR_PER):$AA782),"")</f>
        <v>130.785714285714</v>
      </c>
      <c r="AC782" s="48" t="n">
        <f aca="false">$O782-$P782</f>
        <v>-2307824</v>
      </c>
      <c r="AD782" s="48" t="n">
        <f aca="false">$AC782*$I782</f>
        <v>-8760499904</v>
      </c>
      <c r="AE782" s="49" t="n">
        <f aca="false">IF($Q782&gt;0,$O782*$I782/$Q782/1000000,"")</f>
        <v>222.428840005517</v>
      </c>
      <c r="AF782" s="49" t="n">
        <f aca="false">IF($R782&gt;0,$P782*$I782/$R782/1000000,"")</f>
        <v>165.069329036893</v>
      </c>
      <c r="AG782" s="50" t="n">
        <f aca="false">IF(AND(ISNUMBER($AE782),ISNUMBER($AF782),$AF782&gt;0),$AE782/$AF782,"")</f>
        <v>1.34748739395314</v>
      </c>
      <c r="AH782" s="48" t="n">
        <f aca="false">IF($U782&gt;=5,SUM(INDEX($AD$752:$AD782,32-5):$AD782),"")</f>
        <v>2585740541</v>
      </c>
      <c r="AI782" s="48" t="n">
        <f aca="false">IF($U782&gt;=STRUCT_S,MAX(INDEX($G$632:$G782,152-STRUCT_S):$G782),"")</f>
        <v>4100</v>
      </c>
      <c r="AJ782" s="48" t="n">
        <f aca="false">IF($U782&gt;=STRUCT_S,MIN(INDEX($H$632:$H782,152-STRUCT_S):$H782),"")</f>
        <v>3632</v>
      </c>
      <c r="AK782" s="48" t="n">
        <f aca="false">IF($U782&gt;=STRUCT_L,MAX(INDEX($G$532:$G782,252-STRUCT_L):$G782),"")</f>
        <v>4572</v>
      </c>
      <c r="AL782" s="48" t="n">
        <f aca="false">IF($U782&gt;=STRUCT_L,MIN(INDEX($H$532:$H782,252-STRUCT_L):$H782),"")</f>
        <v>3632</v>
      </c>
      <c r="AM782" s="46" t="n">
        <f aca="false">IF($A782&lt;&gt;$A783,1,0)</f>
        <v>0</v>
      </c>
      <c r="AN782" s="47" t="str">
        <f aca="false">IF($AM782=1,$A782,"")</f>
        <v/>
      </c>
    </row>
    <row r="783" customFormat="false" ht="15" hidden="false" customHeight="false" outlineLevel="0" collapsed="false">
      <c r="A783" s="43" t="s">
        <v>142</v>
      </c>
      <c r="B783" s="44" t="s">
        <v>144</v>
      </c>
      <c r="C783" s="45" t="n">
        <v>46266</v>
      </c>
      <c r="D783" s="46" t="n">
        <v>20260901</v>
      </c>
      <c r="E783" s="47" t="s">
        <v>546</v>
      </c>
      <c r="F783" s="48" t="n">
        <v>3796</v>
      </c>
      <c r="G783" s="48" t="n">
        <v>3851</v>
      </c>
      <c r="H783" s="48" t="n">
        <v>3716</v>
      </c>
      <c r="I783" s="48" t="n">
        <v>3771</v>
      </c>
      <c r="J783" s="48" t="n">
        <v>3846</v>
      </c>
      <c r="K783" s="48" t="n">
        <v>3796</v>
      </c>
      <c r="L783" s="48" t="n">
        <v>52004347</v>
      </c>
      <c r="M783" s="48" t="n">
        <v>196108392537</v>
      </c>
      <c r="N783" s="48" t="n">
        <v>2479</v>
      </c>
      <c r="O783" s="48" t="n">
        <v>24719371</v>
      </c>
      <c r="P783" s="48" t="n">
        <v>27567357</v>
      </c>
      <c r="Q783" s="48" t="n">
        <v>1116</v>
      </c>
      <c r="R783" s="48" t="n">
        <v>700</v>
      </c>
      <c r="S783" s="48" t="n">
        <v>27284976</v>
      </c>
      <c r="T783" s="48" t="n">
        <v>24436990</v>
      </c>
      <c r="U783" s="46" t="n">
        <f aca="false">IF($A783=$A782,$U782+1,1)</f>
        <v>259</v>
      </c>
      <c r="V783" s="48" t="n">
        <f aca="false">IF($U783&gt;=MA_SHORT,AVERAGE(INDEX($I$383:$I783,402-MA_SHORT):$I783),"")</f>
        <v>3835.8</v>
      </c>
      <c r="W783" s="48" t="n">
        <f aca="false">IF($U783&gt;=MA_MED,AVERAGE(INDEX($I$383:$I783,402-MA_MED):$I783),"")</f>
        <v>4021.5</v>
      </c>
      <c r="X783" s="48" t="n">
        <f aca="false">IF($U783&gt;=MA_LONG1,AVERAGE(INDEX($I$383:$I783,402-MA_LONG1):$I783),"")</f>
        <v>4141.23</v>
      </c>
      <c r="Y783" s="48" t="n">
        <f aca="false">IF($U783&gt;=MA_LONG2,AVERAGE(INDEX($I$383:$I783,402-MA_LONG2):$I783),"")</f>
        <v>4077.215</v>
      </c>
      <c r="Z783" s="48" t="n">
        <f aca="false">IF($U783&gt;=MA_SHORT,AVERAGE(INDEX($L$663:$L783,122-MA_SHORT):$L783),"")</f>
        <v>64572008.9</v>
      </c>
      <c r="AA783" s="48" t="n">
        <f aca="false">IF($U783=1,$G783-$H783,MAX($G783-$H783,ABS($G783-$I782),ABS($H783-$I782)))</f>
        <v>135</v>
      </c>
      <c r="AB783" s="48" t="n">
        <f aca="false">IF($U783&gt;=ATR_PER,AVERAGE(INDEX($AA$663:$AA783,122-ATR_PER):$AA783),"")</f>
        <v>121</v>
      </c>
      <c r="AC783" s="48" t="n">
        <f aca="false">$O783-$P783</f>
        <v>-2847986</v>
      </c>
      <c r="AD783" s="48" t="n">
        <f aca="false">$AC783*$I783</f>
        <v>-10739755206</v>
      </c>
      <c r="AE783" s="49" t="n">
        <f aca="false">IF($Q783&gt;0,$O783*$I783/$Q783/1000000,"")</f>
        <v>83.5275520080645</v>
      </c>
      <c r="AF783" s="49" t="n">
        <f aca="false">IF($R783&gt;0,$P783*$I783/$R783/1000000,"")</f>
        <v>148.509290352857</v>
      </c>
      <c r="AG783" s="50" t="n">
        <f aca="false">IF(AND(ISNUMBER($AE783),ISNUMBER($AF783),$AF783&gt;0),$AE783/$AF783,"")</f>
        <v>0.562439910726148</v>
      </c>
      <c r="AH783" s="48" t="n">
        <f aca="false">IF($U783&gt;=5,SUM(INDEX($AD$753:$AD783,32-5):$AD783),"")</f>
        <v>661670375</v>
      </c>
      <c r="AI783" s="48" t="n">
        <f aca="false">IF($U783&gt;=STRUCT_S,MAX(INDEX($G$633:$G783,152-STRUCT_S):$G783),"")</f>
        <v>4100</v>
      </c>
      <c r="AJ783" s="48" t="n">
        <f aca="false">IF($U783&gt;=STRUCT_S,MIN(INDEX($H$633:$H783,152-STRUCT_S):$H783),"")</f>
        <v>3632</v>
      </c>
      <c r="AK783" s="48" t="n">
        <f aca="false">IF($U783&gt;=STRUCT_L,MAX(INDEX($G$533:$G783,252-STRUCT_L):$G783),"")</f>
        <v>4572</v>
      </c>
      <c r="AL783" s="48" t="n">
        <f aca="false">IF($U783&gt;=STRUCT_L,MIN(INDEX($H$533:$H783,252-STRUCT_L):$H783),"")</f>
        <v>3632</v>
      </c>
      <c r="AM783" s="46" t="n">
        <f aca="false">IF($A783&lt;&gt;$A784,1,0)</f>
        <v>0</v>
      </c>
      <c r="AN783" s="47" t="str">
        <f aca="false">IF($AM783=1,$A783,"")</f>
        <v/>
      </c>
    </row>
    <row r="784" customFormat="false" ht="15" hidden="false" customHeight="false" outlineLevel="0" collapsed="false">
      <c r="A784" s="43" t="s">
        <v>142</v>
      </c>
      <c r="B784" s="44" t="s">
        <v>144</v>
      </c>
      <c r="C784" s="45" t="n">
        <v>46267</v>
      </c>
      <c r="D784" s="46" t="n">
        <v>20260902</v>
      </c>
      <c r="E784" s="47" t="s">
        <v>547</v>
      </c>
      <c r="F784" s="48" t="n">
        <v>3795</v>
      </c>
      <c r="G784" s="48" t="n">
        <v>3797</v>
      </c>
      <c r="H784" s="48" t="n">
        <v>3702</v>
      </c>
      <c r="I784" s="48" t="n">
        <v>3727</v>
      </c>
      <c r="J784" s="48" t="n">
        <v>3784</v>
      </c>
      <c r="K784" s="48" t="n">
        <v>3771</v>
      </c>
      <c r="L784" s="48" t="n">
        <v>53529819</v>
      </c>
      <c r="M784" s="48" t="n">
        <v>199505635413</v>
      </c>
      <c r="N784" s="48" t="n">
        <v>4745</v>
      </c>
      <c r="O784" s="48" t="n">
        <v>25954963</v>
      </c>
      <c r="P784" s="48" t="n">
        <v>25746168</v>
      </c>
      <c r="Q784" s="48" t="n">
        <v>2335</v>
      </c>
      <c r="R784" s="48" t="n">
        <v>1622</v>
      </c>
      <c r="S784" s="48" t="n">
        <v>27574856</v>
      </c>
      <c r="T784" s="48" t="n">
        <v>27783651</v>
      </c>
      <c r="U784" s="46" t="n">
        <f aca="false">IF($A784=$A783,$U783+1,1)</f>
        <v>260</v>
      </c>
      <c r="V784" s="48" t="n">
        <f aca="false">IF($U784&gt;=MA_SHORT,AVERAGE(INDEX($I$384:$I784,402-MA_SHORT):$I784),"")</f>
        <v>3826</v>
      </c>
      <c r="W784" s="48" t="n">
        <f aca="false">IF($U784&gt;=MA_MED,AVERAGE(INDEX($I$384:$I784,402-MA_MED):$I784),"")</f>
        <v>4018.08</v>
      </c>
      <c r="X784" s="48" t="n">
        <f aca="false">IF($U784&gt;=MA_LONG1,AVERAGE(INDEX($I$384:$I784,402-MA_LONG1):$I784),"")</f>
        <v>4131.02</v>
      </c>
      <c r="Y784" s="48" t="n">
        <f aca="false">IF($U784&gt;=MA_LONG2,AVERAGE(INDEX($I$384:$I784,402-MA_LONG2):$I784),"")</f>
        <v>4078.885</v>
      </c>
      <c r="Z784" s="48" t="n">
        <f aca="false">IF($U784&gt;=MA_SHORT,AVERAGE(INDEX($L$664:$L784,122-MA_SHORT):$L784),"")</f>
        <v>64629457.9</v>
      </c>
      <c r="AA784" s="48" t="n">
        <f aca="false">IF($U784=1,$G784-$H784,MAX($G784-$H784,ABS($G784-$I783),ABS($H784-$I783)))</f>
        <v>95</v>
      </c>
      <c r="AB784" s="48" t="n">
        <f aca="false">IF($U784&gt;=ATR_PER,AVERAGE(INDEX($AA$664:$AA784,122-ATR_PER):$AA784),"")</f>
        <v>123.428571428571</v>
      </c>
      <c r="AC784" s="48" t="n">
        <f aca="false">$O784-$P784</f>
        <v>208795</v>
      </c>
      <c r="AD784" s="48" t="n">
        <f aca="false">$AC784*$I784</f>
        <v>778178965</v>
      </c>
      <c r="AE784" s="49" t="n">
        <f aca="false">IF($Q784&gt;0,$O784*$I784/$Q784/1000000,"")</f>
        <v>41.4279002573876</v>
      </c>
      <c r="AF784" s="49" t="n">
        <f aca="false">IF($R784&gt;0,$P784*$I784/$R784/1000000,"")</f>
        <v>59.1590432404439</v>
      </c>
      <c r="AG784" s="50" t="n">
        <f aca="false">IF(AND(ISNUMBER($AE784),ISNUMBER($AF784),$AF784&gt;0),$AE784/$AF784,"")</f>
        <v>0.700280092242356</v>
      </c>
      <c r="AH784" s="48" t="n">
        <f aca="false">IF($U784&gt;=5,SUM(INDEX($AD$754:$AD784,32-5):$AD784),"")</f>
        <v>-52945606582</v>
      </c>
      <c r="AI784" s="48" t="n">
        <f aca="false">IF($U784&gt;=STRUCT_S,MAX(INDEX($G$634:$G784,152-STRUCT_S):$G784),"")</f>
        <v>4100</v>
      </c>
      <c r="AJ784" s="48" t="n">
        <f aca="false">IF($U784&gt;=STRUCT_S,MIN(INDEX($H$634:$H784,152-STRUCT_S):$H784),"")</f>
        <v>3632</v>
      </c>
      <c r="AK784" s="48" t="n">
        <f aca="false">IF($U784&gt;=STRUCT_L,MAX(INDEX($G$534:$G784,252-STRUCT_L):$G784),"")</f>
        <v>4572</v>
      </c>
      <c r="AL784" s="48" t="n">
        <f aca="false">IF($U784&gt;=STRUCT_L,MIN(INDEX($H$534:$H784,252-STRUCT_L):$H784),"")</f>
        <v>3632</v>
      </c>
      <c r="AM784" s="46" t="n">
        <f aca="false">IF($A784&lt;&gt;$A785,1,0)</f>
        <v>1</v>
      </c>
      <c r="AN784" s="47" t="str">
        <f aca="false">IF($AM784=1,$A784,"")</f>
        <v>شپنا</v>
      </c>
    </row>
    <row r="785" customFormat="false" ht="15" hidden="false" customHeight="false" outlineLevel="0" collapsed="false">
      <c r="A785" s="43" t="s">
        <v>147</v>
      </c>
      <c r="B785" s="44" t="s">
        <v>149</v>
      </c>
      <c r="C785" s="45" t="n">
        <v>45906</v>
      </c>
      <c r="D785" s="46" t="n">
        <v>20250906</v>
      </c>
      <c r="E785" s="47" t="s">
        <v>288</v>
      </c>
      <c r="F785" s="48" t="n">
        <v>2393</v>
      </c>
      <c r="G785" s="48" t="n">
        <v>2414</v>
      </c>
      <c r="H785" s="48" t="n">
        <v>2370</v>
      </c>
      <c r="I785" s="48" t="n">
        <v>2389</v>
      </c>
      <c r="J785" s="48" t="n">
        <v>2372</v>
      </c>
      <c r="K785" s="48" t="n">
        <v>2395</v>
      </c>
      <c r="L785" s="48" t="n">
        <v>82095995</v>
      </c>
      <c r="M785" s="48" t="n">
        <v>196127332055</v>
      </c>
      <c r="N785" s="48" t="n">
        <v>1922</v>
      </c>
      <c r="O785" s="48" t="n">
        <v>32835785</v>
      </c>
      <c r="P785" s="48" t="n">
        <v>53361002</v>
      </c>
      <c r="Q785" s="48" t="n">
        <v>539</v>
      </c>
      <c r="R785" s="48" t="n">
        <v>995</v>
      </c>
      <c r="S785" s="48" t="n">
        <v>49260210</v>
      </c>
      <c r="T785" s="48" t="n">
        <v>28734993</v>
      </c>
      <c r="U785" s="46" t="n">
        <f aca="false">IF($A785=$A784,$U784+1,1)</f>
        <v>1</v>
      </c>
      <c r="V785" s="48" t="str">
        <f aca="false">IF($U785&gt;=MA_SHORT,AVERAGE(INDEX($I$385:$I785,402-MA_SHORT):$I785),"")</f>
        <v/>
      </c>
      <c r="W785" s="48" t="str">
        <f aca="false">IF($U785&gt;=MA_MED,AVERAGE(INDEX($I$385:$I785,402-MA_MED):$I785),"")</f>
        <v/>
      </c>
      <c r="X785" s="48" t="str">
        <f aca="false">IF($U785&gt;=MA_LONG1,AVERAGE(INDEX($I$385:$I785,402-MA_LONG1):$I785),"")</f>
        <v/>
      </c>
      <c r="Y785" s="48" t="str">
        <f aca="false">IF($U785&gt;=MA_LONG2,AVERAGE(INDEX($I$385:$I785,402-MA_LONG2):$I785),"")</f>
        <v/>
      </c>
      <c r="Z785" s="48" t="str">
        <f aca="false">IF($U785&gt;=MA_SHORT,AVERAGE(INDEX($L$665:$L785,122-MA_SHORT):$L785),"")</f>
        <v/>
      </c>
      <c r="AA785" s="48" t="n">
        <f aca="false">IF($U785=1,$G785-$H785,MAX($G785-$H785,ABS($G785-$I784),ABS($H785-$I784)))</f>
        <v>44</v>
      </c>
      <c r="AB785" s="48" t="str">
        <f aca="false">IF($U785&gt;=ATR_PER,AVERAGE(INDEX($AA$665:$AA785,122-ATR_PER):$AA785),"")</f>
        <v/>
      </c>
      <c r="AC785" s="48" t="n">
        <f aca="false">$O785-$P785</f>
        <v>-20525217</v>
      </c>
      <c r="AD785" s="48" t="n">
        <f aca="false">$AC785*$I785</f>
        <v>-49034743413</v>
      </c>
      <c r="AE785" s="49" t="n">
        <f aca="false">IF($Q785&gt;0,$O785*$I785/$Q785/1000000,"")</f>
        <v>145.53745893321</v>
      </c>
      <c r="AF785" s="49" t="n">
        <f aca="false">IF($R785&gt;0,$P785*$I785/$R785/1000000,"")</f>
        <v>128.120033947739</v>
      </c>
      <c r="AG785" s="50" t="n">
        <f aca="false">IF(AND(ISNUMBER($AE785),ISNUMBER($AF785),$AF785&gt;0),$AE785/$AF785,"")</f>
        <v>1.13594614713087</v>
      </c>
      <c r="AH785" s="48" t="str">
        <f aca="false">IF($U785&gt;=5,SUM(INDEX($AD$755:$AD785,32-5):$AD785),"")</f>
        <v/>
      </c>
      <c r="AI785" s="48" t="str">
        <f aca="false">IF($U785&gt;=STRUCT_S,MAX(INDEX($G$635:$G785,152-STRUCT_S):$G785),"")</f>
        <v/>
      </c>
      <c r="AJ785" s="48" t="str">
        <f aca="false">IF($U785&gt;=STRUCT_S,MIN(INDEX($H$635:$H785,152-STRUCT_S):$H785),"")</f>
        <v/>
      </c>
      <c r="AK785" s="48" t="str">
        <f aca="false">IF($U785&gt;=STRUCT_L,MAX(INDEX($G$535:$G785,252-STRUCT_L):$G785),"")</f>
        <v/>
      </c>
      <c r="AL785" s="48" t="str">
        <f aca="false">IF($U785&gt;=STRUCT_L,MIN(INDEX($H$535:$H785,252-STRUCT_L):$H785),"")</f>
        <v/>
      </c>
      <c r="AM785" s="46" t="n">
        <f aca="false">IF($A785&lt;&gt;$A786,1,0)</f>
        <v>0</v>
      </c>
      <c r="AN785" s="47" t="str">
        <f aca="false">IF($AM785=1,$A785,"")</f>
        <v/>
      </c>
    </row>
    <row r="786" customFormat="false" ht="15" hidden="false" customHeight="false" outlineLevel="0" collapsed="false">
      <c r="A786" s="43" t="s">
        <v>147</v>
      </c>
      <c r="B786" s="44" t="s">
        <v>149</v>
      </c>
      <c r="C786" s="45" t="n">
        <v>45907</v>
      </c>
      <c r="D786" s="46" t="n">
        <v>20250907</v>
      </c>
      <c r="E786" s="47" t="s">
        <v>289</v>
      </c>
      <c r="F786" s="48" t="n">
        <v>2402</v>
      </c>
      <c r="G786" s="48" t="n">
        <v>2482</v>
      </c>
      <c r="H786" s="48" t="n">
        <v>2340</v>
      </c>
      <c r="I786" s="48" t="n">
        <v>2432</v>
      </c>
      <c r="J786" s="48" t="n">
        <v>2382</v>
      </c>
      <c r="K786" s="48" t="n">
        <v>2389</v>
      </c>
      <c r="L786" s="48" t="n">
        <v>76493518</v>
      </c>
      <c r="M786" s="48" t="n">
        <v>186032235776</v>
      </c>
      <c r="N786" s="48" t="n">
        <v>2207</v>
      </c>
      <c r="O786" s="48" t="n">
        <v>34662577</v>
      </c>
      <c r="P786" s="48" t="n">
        <v>46906915</v>
      </c>
      <c r="Q786" s="48" t="n">
        <v>1388</v>
      </c>
      <c r="R786" s="48" t="n">
        <v>715</v>
      </c>
      <c r="S786" s="48" t="n">
        <v>41830941</v>
      </c>
      <c r="T786" s="48" t="n">
        <v>29586603</v>
      </c>
      <c r="U786" s="46" t="n">
        <f aca="false">IF($A786=$A785,$U785+1,1)</f>
        <v>2</v>
      </c>
      <c r="V786" s="48" t="str">
        <f aca="false">IF($U786&gt;=MA_SHORT,AVERAGE(INDEX($I$386:$I786,402-MA_SHORT):$I786),"")</f>
        <v/>
      </c>
      <c r="W786" s="48" t="str">
        <f aca="false">IF($U786&gt;=MA_MED,AVERAGE(INDEX($I$386:$I786,402-MA_MED):$I786),"")</f>
        <v/>
      </c>
      <c r="X786" s="48" t="str">
        <f aca="false">IF($U786&gt;=MA_LONG1,AVERAGE(INDEX($I$386:$I786,402-MA_LONG1):$I786),"")</f>
        <v/>
      </c>
      <c r="Y786" s="48" t="str">
        <f aca="false">IF($U786&gt;=MA_LONG2,AVERAGE(INDEX($I$386:$I786,402-MA_LONG2):$I786),"")</f>
        <v/>
      </c>
      <c r="Z786" s="48" t="str">
        <f aca="false">IF($U786&gt;=MA_SHORT,AVERAGE(INDEX($L$666:$L786,122-MA_SHORT):$L786),"")</f>
        <v/>
      </c>
      <c r="AA786" s="48" t="n">
        <f aca="false">IF($U786=1,$G786-$H786,MAX($G786-$H786,ABS($G786-$I785),ABS($H786-$I785)))</f>
        <v>142</v>
      </c>
      <c r="AB786" s="48" t="str">
        <f aca="false">IF($U786&gt;=ATR_PER,AVERAGE(INDEX($AA$666:$AA786,122-ATR_PER):$AA786),"")</f>
        <v/>
      </c>
      <c r="AC786" s="48" t="n">
        <f aca="false">$O786-$P786</f>
        <v>-12244338</v>
      </c>
      <c r="AD786" s="48" t="n">
        <f aca="false">$AC786*$I786</f>
        <v>-29778230016</v>
      </c>
      <c r="AE786" s="49" t="n">
        <f aca="false">IF($Q786&gt;0,$O786*$I786/$Q786/1000000,"")</f>
        <v>60.7344288645533</v>
      </c>
      <c r="AF786" s="49" t="n">
        <f aca="false">IF($R786&gt;0,$P786*$I786/$R786/1000000,"")</f>
        <v>159.549115076923</v>
      </c>
      <c r="AG786" s="50" t="n">
        <f aca="false">IF(AND(ISNUMBER($AE786),ISNUMBER($AF786),$AF786&gt;0),$AE786/$AF786,"")</f>
        <v>0.380662900168839</v>
      </c>
      <c r="AH786" s="48" t="str">
        <f aca="false">IF($U786&gt;=5,SUM(INDEX($AD$756:$AD786,32-5):$AD786),"")</f>
        <v/>
      </c>
      <c r="AI786" s="48" t="str">
        <f aca="false">IF($U786&gt;=STRUCT_S,MAX(INDEX($G$636:$G786,152-STRUCT_S):$G786),"")</f>
        <v/>
      </c>
      <c r="AJ786" s="48" t="str">
        <f aca="false">IF($U786&gt;=STRUCT_S,MIN(INDEX($H$636:$H786,152-STRUCT_S):$H786),"")</f>
        <v/>
      </c>
      <c r="AK786" s="48" t="str">
        <f aca="false">IF($U786&gt;=STRUCT_L,MAX(INDEX($G$536:$G786,252-STRUCT_L):$G786),"")</f>
        <v/>
      </c>
      <c r="AL786" s="48" t="str">
        <f aca="false">IF($U786&gt;=STRUCT_L,MIN(INDEX($H$536:$H786,252-STRUCT_L):$H786),"")</f>
        <v/>
      </c>
      <c r="AM786" s="46" t="n">
        <f aca="false">IF($A786&lt;&gt;$A787,1,0)</f>
        <v>0</v>
      </c>
      <c r="AN786" s="47" t="str">
        <f aca="false">IF($AM786=1,$A786,"")</f>
        <v/>
      </c>
    </row>
    <row r="787" customFormat="false" ht="15" hidden="false" customHeight="false" outlineLevel="0" collapsed="false">
      <c r="A787" s="43" t="s">
        <v>147</v>
      </c>
      <c r="B787" s="44" t="s">
        <v>149</v>
      </c>
      <c r="C787" s="45" t="n">
        <v>45908</v>
      </c>
      <c r="D787" s="46" t="n">
        <v>20250908</v>
      </c>
      <c r="E787" s="47" t="s">
        <v>290</v>
      </c>
      <c r="F787" s="48" t="n">
        <v>2450</v>
      </c>
      <c r="G787" s="48" t="n">
        <v>2537</v>
      </c>
      <c r="H787" s="48" t="n">
        <v>2376</v>
      </c>
      <c r="I787" s="48" t="n">
        <v>2480</v>
      </c>
      <c r="J787" s="48" t="n">
        <v>2395</v>
      </c>
      <c r="K787" s="48" t="n">
        <v>2432</v>
      </c>
      <c r="L787" s="48" t="n">
        <v>96647990</v>
      </c>
      <c r="M787" s="48" t="n">
        <v>239687015200</v>
      </c>
      <c r="N787" s="48" t="n">
        <v>2968</v>
      </c>
      <c r="O787" s="48" t="n">
        <v>47189303</v>
      </c>
      <c r="P787" s="48" t="n">
        <v>39808605</v>
      </c>
      <c r="Q787" s="48" t="n">
        <v>1887</v>
      </c>
      <c r="R787" s="48" t="n">
        <v>869</v>
      </c>
      <c r="S787" s="48" t="n">
        <v>49458687</v>
      </c>
      <c r="T787" s="48" t="n">
        <v>56839385</v>
      </c>
      <c r="U787" s="46" t="n">
        <f aca="false">IF($A787=$A786,$U786+1,1)</f>
        <v>3</v>
      </c>
      <c r="V787" s="48" t="str">
        <f aca="false">IF($U787&gt;=MA_SHORT,AVERAGE(INDEX($I$387:$I787,402-MA_SHORT):$I787),"")</f>
        <v/>
      </c>
      <c r="W787" s="48" t="str">
        <f aca="false">IF($U787&gt;=MA_MED,AVERAGE(INDEX($I$387:$I787,402-MA_MED):$I787),"")</f>
        <v/>
      </c>
      <c r="X787" s="48" t="str">
        <f aca="false">IF($U787&gt;=MA_LONG1,AVERAGE(INDEX($I$387:$I787,402-MA_LONG1):$I787),"")</f>
        <v/>
      </c>
      <c r="Y787" s="48" t="str">
        <f aca="false">IF($U787&gt;=MA_LONG2,AVERAGE(INDEX($I$387:$I787,402-MA_LONG2):$I787),"")</f>
        <v/>
      </c>
      <c r="Z787" s="48" t="str">
        <f aca="false">IF($U787&gt;=MA_SHORT,AVERAGE(INDEX($L$667:$L787,122-MA_SHORT):$L787),"")</f>
        <v/>
      </c>
      <c r="AA787" s="48" t="n">
        <f aca="false">IF($U787=1,$G787-$H787,MAX($G787-$H787,ABS($G787-$I786),ABS($H787-$I786)))</f>
        <v>161</v>
      </c>
      <c r="AB787" s="48" t="str">
        <f aca="false">IF($U787&gt;=ATR_PER,AVERAGE(INDEX($AA$667:$AA787,122-ATR_PER):$AA787),"")</f>
        <v/>
      </c>
      <c r="AC787" s="48" t="n">
        <f aca="false">$O787-$P787</f>
        <v>7380698</v>
      </c>
      <c r="AD787" s="48" t="n">
        <f aca="false">$AC787*$I787</f>
        <v>18304131040</v>
      </c>
      <c r="AE787" s="49" t="n">
        <f aca="false">IF($Q787&gt;0,$O787*$I787/$Q787/1000000,"")</f>
        <v>62.0187977954425</v>
      </c>
      <c r="AF787" s="49" t="n">
        <f aca="false">IF($R787&gt;0,$P787*$I787/$R787/1000000,"")</f>
        <v>113.607986651323</v>
      </c>
      <c r="AG787" s="50" t="n">
        <f aca="false">IF(AND(ISNUMBER($AE787),ISNUMBER($AF787),$AF787&gt;0),$AE787/$AF787,"")</f>
        <v>0.545901741800827</v>
      </c>
      <c r="AH787" s="48" t="str">
        <f aca="false">IF($U787&gt;=5,SUM(INDEX($AD$757:$AD787,32-5):$AD787),"")</f>
        <v/>
      </c>
      <c r="AI787" s="48" t="str">
        <f aca="false">IF($U787&gt;=STRUCT_S,MAX(INDEX($G$637:$G787,152-STRUCT_S):$G787),"")</f>
        <v/>
      </c>
      <c r="AJ787" s="48" t="str">
        <f aca="false">IF($U787&gt;=STRUCT_S,MIN(INDEX($H$637:$H787,152-STRUCT_S):$H787),"")</f>
        <v/>
      </c>
      <c r="AK787" s="48" t="str">
        <f aca="false">IF($U787&gt;=STRUCT_L,MAX(INDEX($G$537:$G787,252-STRUCT_L):$G787),"")</f>
        <v/>
      </c>
      <c r="AL787" s="48" t="str">
        <f aca="false">IF($U787&gt;=STRUCT_L,MIN(INDEX($H$537:$H787,252-STRUCT_L):$H787),"")</f>
        <v/>
      </c>
      <c r="AM787" s="46" t="n">
        <f aca="false">IF($A787&lt;&gt;$A788,1,0)</f>
        <v>0</v>
      </c>
      <c r="AN787" s="47" t="str">
        <f aca="false">IF($AM787=1,$A787,"")</f>
        <v/>
      </c>
    </row>
    <row r="788" customFormat="false" ht="15" hidden="false" customHeight="false" outlineLevel="0" collapsed="false">
      <c r="A788" s="43" t="s">
        <v>147</v>
      </c>
      <c r="B788" s="44" t="s">
        <v>149</v>
      </c>
      <c r="C788" s="45" t="n">
        <v>45909</v>
      </c>
      <c r="D788" s="46" t="n">
        <v>20250909</v>
      </c>
      <c r="E788" s="47" t="s">
        <v>291</v>
      </c>
      <c r="F788" s="48" t="n">
        <v>2462</v>
      </c>
      <c r="G788" s="48" t="n">
        <v>2498</v>
      </c>
      <c r="H788" s="48" t="n">
        <v>2442</v>
      </c>
      <c r="I788" s="48" t="n">
        <v>2460</v>
      </c>
      <c r="J788" s="48" t="n">
        <v>2479</v>
      </c>
      <c r="K788" s="48" t="n">
        <v>2480</v>
      </c>
      <c r="L788" s="48" t="n">
        <v>60034513</v>
      </c>
      <c r="M788" s="48" t="n">
        <v>147684901980</v>
      </c>
      <c r="N788" s="48" t="n">
        <v>2174</v>
      </c>
      <c r="O788" s="48" t="n">
        <v>19006620</v>
      </c>
      <c r="P788" s="48" t="n">
        <v>44255923</v>
      </c>
      <c r="Q788" s="48" t="n">
        <v>659</v>
      </c>
      <c r="R788" s="48" t="n">
        <v>1358</v>
      </c>
      <c r="S788" s="48" t="n">
        <v>41027893</v>
      </c>
      <c r="T788" s="48" t="n">
        <v>15778590</v>
      </c>
      <c r="U788" s="46" t="n">
        <f aca="false">IF($A788=$A787,$U787+1,1)</f>
        <v>4</v>
      </c>
      <c r="V788" s="48" t="str">
        <f aca="false">IF($U788&gt;=MA_SHORT,AVERAGE(INDEX($I$388:$I788,402-MA_SHORT):$I788),"")</f>
        <v/>
      </c>
      <c r="W788" s="48" t="str">
        <f aca="false">IF($U788&gt;=MA_MED,AVERAGE(INDEX($I$388:$I788,402-MA_MED):$I788),"")</f>
        <v/>
      </c>
      <c r="X788" s="48" t="str">
        <f aca="false">IF($U788&gt;=MA_LONG1,AVERAGE(INDEX($I$388:$I788,402-MA_LONG1):$I788),"")</f>
        <v/>
      </c>
      <c r="Y788" s="48" t="str">
        <f aca="false">IF($U788&gt;=MA_LONG2,AVERAGE(INDEX($I$388:$I788,402-MA_LONG2):$I788),"")</f>
        <v/>
      </c>
      <c r="Z788" s="48" t="str">
        <f aca="false">IF($U788&gt;=MA_SHORT,AVERAGE(INDEX($L$668:$L788,122-MA_SHORT):$L788),"")</f>
        <v/>
      </c>
      <c r="AA788" s="48" t="n">
        <f aca="false">IF($U788=1,$G788-$H788,MAX($G788-$H788,ABS($G788-$I787),ABS($H788-$I787)))</f>
        <v>56</v>
      </c>
      <c r="AB788" s="48" t="str">
        <f aca="false">IF($U788&gt;=ATR_PER,AVERAGE(INDEX($AA$668:$AA788,122-ATR_PER):$AA788),"")</f>
        <v/>
      </c>
      <c r="AC788" s="48" t="n">
        <f aca="false">$O788-$P788</f>
        <v>-25249303</v>
      </c>
      <c r="AD788" s="48" t="n">
        <f aca="false">$AC788*$I788</f>
        <v>-62113285380</v>
      </c>
      <c r="AE788" s="49" t="n">
        <f aca="false">IF($Q788&gt;0,$O788*$I788/$Q788/1000000,"")</f>
        <v>70.9503569044006</v>
      </c>
      <c r="AF788" s="49" t="n">
        <f aca="false">IF($R788&gt;0,$P788*$I788/$R788/1000000,"")</f>
        <v>80.1690505007364</v>
      </c>
      <c r="AG788" s="50" t="n">
        <f aca="false">IF(AND(ISNUMBER($AE788),ISNUMBER($AF788),$AF788&gt;0),$AE788/$AF788,"")</f>
        <v>0.885009320445287</v>
      </c>
      <c r="AH788" s="48" t="str">
        <f aca="false">IF($U788&gt;=5,SUM(INDEX($AD$758:$AD788,32-5):$AD788),"")</f>
        <v/>
      </c>
      <c r="AI788" s="48" t="str">
        <f aca="false">IF($U788&gt;=STRUCT_S,MAX(INDEX($G$638:$G788,152-STRUCT_S):$G788),"")</f>
        <v/>
      </c>
      <c r="AJ788" s="48" t="str">
        <f aca="false">IF($U788&gt;=STRUCT_S,MIN(INDEX($H$638:$H788,152-STRUCT_S):$H788),"")</f>
        <v/>
      </c>
      <c r="AK788" s="48" t="str">
        <f aca="false">IF($U788&gt;=STRUCT_L,MAX(INDEX($G$538:$G788,252-STRUCT_L):$G788),"")</f>
        <v/>
      </c>
      <c r="AL788" s="48" t="str">
        <f aca="false">IF($U788&gt;=STRUCT_L,MIN(INDEX($H$538:$H788,252-STRUCT_L):$H788),"")</f>
        <v/>
      </c>
      <c r="AM788" s="46" t="n">
        <f aca="false">IF($A788&lt;&gt;$A789,1,0)</f>
        <v>0</v>
      </c>
      <c r="AN788" s="47" t="str">
        <f aca="false">IF($AM788=1,$A788,"")</f>
        <v/>
      </c>
    </row>
    <row r="789" customFormat="false" ht="15" hidden="false" customHeight="false" outlineLevel="0" collapsed="false">
      <c r="A789" s="43" t="s">
        <v>147</v>
      </c>
      <c r="B789" s="44" t="s">
        <v>149</v>
      </c>
      <c r="C789" s="45" t="n">
        <v>45910</v>
      </c>
      <c r="D789" s="46" t="n">
        <v>20250910</v>
      </c>
      <c r="E789" s="47" t="s">
        <v>292</v>
      </c>
      <c r="F789" s="48" t="n">
        <v>2442</v>
      </c>
      <c r="G789" s="48" t="n">
        <v>2545</v>
      </c>
      <c r="H789" s="48" t="n">
        <v>2358</v>
      </c>
      <c r="I789" s="48" t="n">
        <v>2443</v>
      </c>
      <c r="J789" s="48" t="n">
        <v>2429</v>
      </c>
      <c r="K789" s="48" t="n">
        <v>2460</v>
      </c>
      <c r="L789" s="48" t="n">
        <v>64189515</v>
      </c>
      <c r="M789" s="48" t="n">
        <v>156814985145</v>
      </c>
      <c r="N789" s="48" t="n">
        <v>1435</v>
      </c>
      <c r="O789" s="48" t="n">
        <v>22175580</v>
      </c>
      <c r="P789" s="48" t="n">
        <v>39897692</v>
      </c>
      <c r="Q789" s="48" t="n">
        <v>331</v>
      </c>
      <c r="R789" s="48" t="n">
        <v>836</v>
      </c>
      <c r="S789" s="48" t="n">
        <v>42013935</v>
      </c>
      <c r="T789" s="48" t="n">
        <v>24291823</v>
      </c>
      <c r="U789" s="46" t="n">
        <f aca="false">IF($A789=$A788,$U788+1,1)</f>
        <v>5</v>
      </c>
      <c r="V789" s="48" t="str">
        <f aca="false">IF($U789&gt;=MA_SHORT,AVERAGE(INDEX($I$389:$I789,402-MA_SHORT):$I789),"")</f>
        <v/>
      </c>
      <c r="W789" s="48" t="str">
        <f aca="false">IF($U789&gt;=MA_MED,AVERAGE(INDEX($I$389:$I789,402-MA_MED):$I789),"")</f>
        <v/>
      </c>
      <c r="X789" s="48" t="str">
        <f aca="false">IF($U789&gt;=MA_LONG1,AVERAGE(INDEX($I$389:$I789,402-MA_LONG1):$I789),"")</f>
        <v/>
      </c>
      <c r="Y789" s="48" t="str">
        <f aca="false">IF($U789&gt;=MA_LONG2,AVERAGE(INDEX($I$389:$I789,402-MA_LONG2):$I789),"")</f>
        <v/>
      </c>
      <c r="Z789" s="48" t="str">
        <f aca="false">IF($U789&gt;=MA_SHORT,AVERAGE(INDEX($L$669:$L789,122-MA_SHORT):$L789),"")</f>
        <v/>
      </c>
      <c r="AA789" s="48" t="n">
        <f aca="false">IF($U789=1,$G789-$H789,MAX($G789-$H789,ABS($G789-$I788),ABS($H789-$I788)))</f>
        <v>187</v>
      </c>
      <c r="AB789" s="48" t="str">
        <f aca="false">IF($U789&gt;=ATR_PER,AVERAGE(INDEX($AA$669:$AA789,122-ATR_PER):$AA789),"")</f>
        <v/>
      </c>
      <c r="AC789" s="48" t="n">
        <f aca="false">$O789-$P789</f>
        <v>-17722112</v>
      </c>
      <c r="AD789" s="48" t="n">
        <f aca="false">$AC789*$I789</f>
        <v>-43295119616</v>
      </c>
      <c r="AE789" s="49" t="n">
        <f aca="false">IF($Q789&gt;0,$O789*$I789/$Q789/1000000,"")</f>
        <v>163.670519456193</v>
      </c>
      <c r="AF789" s="49" t="n">
        <f aca="false">IF($R789&gt;0,$P789*$I789/$R789/1000000,"")</f>
        <v>116.590982722488</v>
      </c>
      <c r="AG789" s="50" t="n">
        <f aca="false">IF(AND(ISNUMBER($AE789),ISNUMBER($AF789),$AF789&gt;0),$AE789/$AF789,"")</f>
        <v>1.40380083977648</v>
      </c>
      <c r="AH789" s="48" t="n">
        <f aca="false">IF($U789&gt;=5,SUM(INDEX($AD$759:$AD789,32-5):$AD789),"")</f>
        <v>-165917247385</v>
      </c>
      <c r="AI789" s="48" t="str">
        <f aca="false">IF($U789&gt;=STRUCT_S,MAX(INDEX($G$639:$G789,152-STRUCT_S):$G789),"")</f>
        <v/>
      </c>
      <c r="AJ789" s="48" t="str">
        <f aca="false">IF($U789&gt;=STRUCT_S,MIN(INDEX($H$639:$H789,152-STRUCT_S):$H789),"")</f>
        <v/>
      </c>
      <c r="AK789" s="48" t="str">
        <f aca="false">IF($U789&gt;=STRUCT_L,MAX(INDEX($G$539:$G789,252-STRUCT_L):$G789),"")</f>
        <v/>
      </c>
      <c r="AL789" s="48" t="str">
        <f aca="false">IF($U789&gt;=STRUCT_L,MIN(INDEX($H$539:$H789,252-STRUCT_L):$H789),"")</f>
        <v/>
      </c>
      <c r="AM789" s="46" t="n">
        <f aca="false">IF($A789&lt;&gt;$A790,1,0)</f>
        <v>0</v>
      </c>
      <c r="AN789" s="47" t="str">
        <f aca="false">IF($AM789=1,$A789,"")</f>
        <v/>
      </c>
    </row>
    <row r="790" customFormat="false" ht="15" hidden="false" customHeight="false" outlineLevel="0" collapsed="false">
      <c r="A790" s="43" t="s">
        <v>147</v>
      </c>
      <c r="B790" s="44" t="s">
        <v>149</v>
      </c>
      <c r="C790" s="45" t="n">
        <v>45913</v>
      </c>
      <c r="D790" s="46" t="n">
        <v>20250913</v>
      </c>
      <c r="E790" s="47" t="s">
        <v>293</v>
      </c>
      <c r="F790" s="48" t="n">
        <v>2434</v>
      </c>
      <c r="G790" s="48" t="n">
        <v>2466</v>
      </c>
      <c r="H790" s="48" t="n">
        <v>2412</v>
      </c>
      <c r="I790" s="48" t="n">
        <v>2435</v>
      </c>
      <c r="J790" s="48" t="n">
        <v>2455</v>
      </c>
      <c r="K790" s="48" t="n">
        <v>2443</v>
      </c>
      <c r="L790" s="48" t="n">
        <v>58388805</v>
      </c>
      <c r="M790" s="48" t="n">
        <v>142176740175</v>
      </c>
      <c r="N790" s="48" t="n">
        <v>5669</v>
      </c>
      <c r="O790" s="48" t="n">
        <v>27132025</v>
      </c>
      <c r="P790" s="48" t="n">
        <v>34291975</v>
      </c>
      <c r="Q790" s="48" t="n">
        <v>1573</v>
      </c>
      <c r="R790" s="48" t="n">
        <v>4201</v>
      </c>
      <c r="S790" s="48" t="n">
        <v>31256780</v>
      </c>
      <c r="T790" s="48" t="n">
        <v>24096830</v>
      </c>
      <c r="U790" s="46" t="n">
        <f aca="false">IF($A790=$A789,$U789+1,1)</f>
        <v>6</v>
      </c>
      <c r="V790" s="48" t="str">
        <f aca="false">IF($U790&gt;=MA_SHORT,AVERAGE(INDEX($I$390:$I790,402-MA_SHORT):$I790),"")</f>
        <v/>
      </c>
      <c r="W790" s="48" t="str">
        <f aca="false">IF($U790&gt;=MA_MED,AVERAGE(INDEX($I$390:$I790,402-MA_MED):$I790),"")</f>
        <v/>
      </c>
      <c r="X790" s="48" t="str">
        <f aca="false">IF($U790&gt;=MA_LONG1,AVERAGE(INDEX($I$390:$I790,402-MA_LONG1):$I790),"")</f>
        <v/>
      </c>
      <c r="Y790" s="48" t="str">
        <f aca="false">IF($U790&gt;=MA_LONG2,AVERAGE(INDEX($I$390:$I790,402-MA_LONG2):$I790),"")</f>
        <v/>
      </c>
      <c r="Z790" s="48" t="str">
        <f aca="false">IF($U790&gt;=MA_SHORT,AVERAGE(INDEX($L$670:$L790,122-MA_SHORT):$L790),"")</f>
        <v/>
      </c>
      <c r="AA790" s="48" t="n">
        <f aca="false">IF($U790=1,$G790-$H790,MAX($G790-$H790,ABS($G790-$I789),ABS($H790-$I789)))</f>
        <v>54</v>
      </c>
      <c r="AB790" s="48" t="str">
        <f aca="false">IF($U790&gt;=ATR_PER,AVERAGE(INDEX($AA$670:$AA790,122-ATR_PER):$AA790),"")</f>
        <v/>
      </c>
      <c r="AC790" s="48" t="n">
        <f aca="false">$O790-$P790</f>
        <v>-7159950</v>
      </c>
      <c r="AD790" s="48" t="n">
        <f aca="false">$AC790*$I790</f>
        <v>-17434478250</v>
      </c>
      <c r="AE790" s="49" t="n">
        <f aca="false">IF($Q790&gt;0,$O790*$I790/$Q790/1000000,"")</f>
        <v>42.000305705658</v>
      </c>
      <c r="AF790" s="49" t="n">
        <f aca="false">IF($R790&gt;0,$P790*$I790/$R790/1000000,"")</f>
        <v>19.8764482563675</v>
      </c>
      <c r="AG790" s="50" t="n">
        <f aca="false">IF(AND(ISNUMBER($AE790),ISNUMBER($AF790),$AF790&gt;0),$AE790/$AF790,"")</f>
        <v>2.11306895296059</v>
      </c>
      <c r="AH790" s="48" t="n">
        <f aca="false">IF($U790&gt;=5,SUM(INDEX($AD$760:$AD790,32-5):$AD790),"")</f>
        <v>-134316982222</v>
      </c>
      <c r="AI790" s="48" t="str">
        <f aca="false">IF($U790&gt;=STRUCT_S,MAX(INDEX($G$640:$G790,152-STRUCT_S):$G790),"")</f>
        <v/>
      </c>
      <c r="AJ790" s="48" t="str">
        <f aca="false">IF($U790&gt;=STRUCT_S,MIN(INDEX($H$640:$H790,152-STRUCT_S):$H790),"")</f>
        <v/>
      </c>
      <c r="AK790" s="48" t="str">
        <f aca="false">IF($U790&gt;=STRUCT_L,MAX(INDEX($G$540:$G790,252-STRUCT_L):$G790),"")</f>
        <v/>
      </c>
      <c r="AL790" s="48" t="str">
        <f aca="false">IF($U790&gt;=STRUCT_L,MIN(INDEX($H$540:$H790,252-STRUCT_L):$H790),"")</f>
        <v/>
      </c>
      <c r="AM790" s="46" t="n">
        <f aca="false">IF($A790&lt;&gt;$A791,1,0)</f>
        <v>0</v>
      </c>
      <c r="AN790" s="47" t="str">
        <f aca="false">IF($AM790=1,$A790,"")</f>
        <v/>
      </c>
    </row>
    <row r="791" customFormat="false" ht="15" hidden="false" customHeight="false" outlineLevel="0" collapsed="false">
      <c r="A791" s="43" t="s">
        <v>147</v>
      </c>
      <c r="B791" s="44" t="s">
        <v>149</v>
      </c>
      <c r="C791" s="45" t="n">
        <v>45914</v>
      </c>
      <c r="D791" s="46" t="n">
        <v>20250914</v>
      </c>
      <c r="E791" s="47" t="s">
        <v>294</v>
      </c>
      <c r="F791" s="48" t="n">
        <v>2418</v>
      </c>
      <c r="G791" s="48" t="n">
        <v>2498</v>
      </c>
      <c r="H791" s="48" t="n">
        <v>2397</v>
      </c>
      <c r="I791" s="48" t="n">
        <v>2460</v>
      </c>
      <c r="J791" s="48" t="n">
        <v>2491</v>
      </c>
      <c r="K791" s="48" t="n">
        <v>2435</v>
      </c>
      <c r="L791" s="48" t="n">
        <v>73550765</v>
      </c>
      <c r="M791" s="48" t="n">
        <v>180934881900</v>
      </c>
      <c r="N791" s="48" t="n">
        <v>2138</v>
      </c>
      <c r="O791" s="48" t="n">
        <v>34112071</v>
      </c>
      <c r="P791" s="48" t="n">
        <v>40116899</v>
      </c>
      <c r="Q791" s="48" t="n">
        <v>1107</v>
      </c>
      <c r="R791" s="48" t="n">
        <v>846</v>
      </c>
      <c r="S791" s="48" t="n">
        <v>39438694</v>
      </c>
      <c r="T791" s="48" t="n">
        <v>33433866</v>
      </c>
      <c r="U791" s="46" t="n">
        <f aca="false">IF($A791=$A790,$U790+1,1)</f>
        <v>7</v>
      </c>
      <c r="V791" s="48" t="str">
        <f aca="false">IF($U791&gt;=MA_SHORT,AVERAGE(INDEX($I$391:$I791,402-MA_SHORT):$I791),"")</f>
        <v/>
      </c>
      <c r="W791" s="48" t="str">
        <f aca="false">IF($U791&gt;=MA_MED,AVERAGE(INDEX($I$391:$I791,402-MA_MED):$I791),"")</f>
        <v/>
      </c>
      <c r="X791" s="48" t="str">
        <f aca="false">IF($U791&gt;=MA_LONG1,AVERAGE(INDEX($I$391:$I791,402-MA_LONG1):$I791),"")</f>
        <v/>
      </c>
      <c r="Y791" s="48" t="str">
        <f aca="false">IF($U791&gt;=MA_LONG2,AVERAGE(INDEX($I$391:$I791,402-MA_LONG2):$I791),"")</f>
        <v/>
      </c>
      <c r="Z791" s="48" t="str">
        <f aca="false">IF($U791&gt;=MA_SHORT,AVERAGE(INDEX($L$671:$L791,122-MA_SHORT):$L791),"")</f>
        <v/>
      </c>
      <c r="AA791" s="48" t="n">
        <f aca="false">IF($U791=1,$G791-$H791,MAX($G791-$H791,ABS($G791-$I790),ABS($H791-$I790)))</f>
        <v>101</v>
      </c>
      <c r="AB791" s="48" t="str">
        <f aca="false">IF($U791&gt;=ATR_PER,AVERAGE(INDEX($AA$671:$AA791,122-ATR_PER):$AA791),"")</f>
        <v/>
      </c>
      <c r="AC791" s="48" t="n">
        <f aca="false">$O791-$P791</f>
        <v>-6004828</v>
      </c>
      <c r="AD791" s="48" t="n">
        <f aca="false">$AC791*$I791</f>
        <v>-14771876880</v>
      </c>
      <c r="AE791" s="49" t="n">
        <f aca="false">IF($Q791&gt;0,$O791*$I791/$Q791/1000000,"")</f>
        <v>75.8046022222222</v>
      </c>
      <c r="AF791" s="49" t="n">
        <f aca="false">IF($R791&gt;0,$P791*$I791/$R791/1000000,"")</f>
        <v>116.651975815603</v>
      </c>
      <c r="AG791" s="50" t="n">
        <f aca="false">IF(AND(ISNUMBER($AE791),ISNUMBER($AF791),$AF791&gt;0),$AE791/$AF791,"")</f>
        <v>0.649835561654353</v>
      </c>
      <c r="AH791" s="48" t="n">
        <f aca="false">IF($U791&gt;=5,SUM(INDEX($AD$761:$AD791,32-5):$AD791),"")</f>
        <v>-119310629086</v>
      </c>
      <c r="AI791" s="48" t="str">
        <f aca="false">IF($U791&gt;=STRUCT_S,MAX(INDEX($G$641:$G791,152-STRUCT_S):$G791),"")</f>
        <v/>
      </c>
      <c r="AJ791" s="48" t="str">
        <f aca="false">IF($U791&gt;=STRUCT_S,MIN(INDEX($H$641:$H791,152-STRUCT_S):$H791),"")</f>
        <v/>
      </c>
      <c r="AK791" s="48" t="str">
        <f aca="false">IF($U791&gt;=STRUCT_L,MAX(INDEX($G$541:$G791,252-STRUCT_L):$G791),"")</f>
        <v/>
      </c>
      <c r="AL791" s="48" t="str">
        <f aca="false">IF($U791&gt;=STRUCT_L,MIN(INDEX($H$541:$H791,252-STRUCT_L):$H791),"")</f>
        <v/>
      </c>
      <c r="AM791" s="46" t="n">
        <f aca="false">IF($A791&lt;&gt;$A792,1,0)</f>
        <v>0</v>
      </c>
      <c r="AN791" s="47" t="str">
        <f aca="false">IF($AM791=1,$A791,"")</f>
        <v/>
      </c>
    </row>
    <row r="792" customFormat="false" ht="15" hidden="false" customHeight="false" outlineLevel="0" collapsed="false">
      <c r="A792" s="43" t="s">
        <v>147</v>
      </c>
      <c r="B792" s="44" t="s">
        <v>149</v>
      </c>
      <c r="C792" s="45" t="n">
        <v>45915</v>
      </c>
      <c r="D792" s="46" t="n">
        <v>20250915</v>
      </c>
      <c r="E792" s="47" t="s">
        <v>295</v>
      </c>
      <c r="F792" s="48" t="n">
        <v>2509</v>
      </c>
      <c r="G792" s="48" t="n">
        <v>2524</v>
      </c>
      <c r="H792" s="48" t="n">
        <v>2376</v>
      </c>
      <c r="I792" s="48" t="n">
        <v>2439</v>
      </c>
      <c r="J792" s="48" t="n">
        <v>2432</v>
      </c>
      <c r="K792" s="48" t="n">
        <v>2460</v>
      </c>
      <c r="L792" s="48" t="n">
        <v>60196707</v>
      </c>
      <c r="M792" s="48" t="n">
        <v>146819768373</v>
      </c>
      <c r="N792" s="48" t="n">
        <v>1555</v>
      </c>
      <c r="O792" s="48" t="n">
        <v>21119251</v>
      </c>
      <c r="P792" s="48" t="n">
        <v>36533275</v>
      </c>
      <c r="Q792" s="48" t="n">
        <v>373</v>
      </c>
      <c r="R792" s="48" t="n">
        <v>1055</v>
      </c>
      <c r="S792" s="48" t="n">
        <v>39077456</v>
      </c>
      <c r="T792" s="48" t="n">
        <v>23663432</v>
      </c>
      <c r="U792" s="46" t="n">
        <f aca="false">IF($A792=$A791,$U791+1,1)</f>
        <v>8</v>
      </c>
      <c r="V792" s="48" t="str">
        <f aca="false">IF($U792&gt;=MA_SHORT,AVERAGE(INDEX($I$392:$I792,402-MA_SHORT):$I792),"")</f>
        <v/>
      </c>
      <c r="W792" s="48" t="str">
        <f aca="false">IF($U792&gt;=MA_MED,AVERAGE(INDEX($I$392:$I792,402-MA_MED):$I792),"")</f>
        <v/>
      </c>
      <c r="X792" s="48" t="str">
        <f aca="false">IF($U792&gt;=MA_LONG1,AVERAGE(INDEX($I$392:$I792,402-MA_LONG1):$I792),"")</f>
        <v/>
      </c>
      <c r="Y792" s="48" t="str">
        <f aca="false">IF($U792&gt;=MA_LONG2,AVERAGE(INDEX($I$392:$I792,402-MA_LONG2):$I792),"")</f>
        <v/>
      </c>
      <c r="Z792" s="48" t="str">
        <f aca="false">IF($U792&gt;=MA_SHORT,AVERAGE(INDEX($L$672:$L792,122-MA_SHORT):$L792),"")</f>
        <v/>
      </c>
      <c r="AA792" s="48" t="n">
        <f aca="false">IF($U792=1,$G792-$H792,MAX($G792-$H792,ABS($G792-$I791),ABS($H792-$I791)))</f>
        <v>148</v>
      </c>
      <c r="AB792" s="48" t="str">
        <f aca="false">IF($U792&gt;=ATR_PER,AVERAGE(INDEX($AA$672:$AA792,122-ATR_PER):$AA792),"")</f>
        <v/>
      </c>
      <c r="AC792" s="48" t="n">
        <f aca="false">$O792-$P792</f>
        <v>-15414024</v>
      </c>
      <c r="AD792" s="48" t="n">
        <f aca="false">$AC792*$I792</f>
        <v>-37594804536</v>
      </c>
      <c r="AE792" s="49" t="n">
        <f aca="false">IF($Q792&gt;0,$O792*$I792/$Q792/1000000,"")</f>
        <v>138.096121150134</v>
      </c>
      <c r="AF792" s="49" t="n">
        <f aca="false">IF($R792&gt;0,$P792*$I792/$R792/1000000,"")</f>
        <v>84.4593912085308</v>
      </c>
      <c r="AG792" s="50" t="n">
        <f aca="false">IF(AND(ISNUMBER($AE792),ISNUMBER($AF792),$AF792&gt;0),$AE792/$AF792,"")</f>
        <v>1.63505939569436</v>
      </c>
      <c r="AH792" s="48" t="n">
        <f aca="false">IF($U792&gt;=5,SUM(INDEX($AD$762:$AD792,32-5):$AD792),"")</f>
        <v>-175209564662</v>
      </c>
      <c r="AI792" s="48" t="str">
        <f aca="false">IF($U792&gt;=STRUCT_S,MAX(INDEX($G$642:$G792,152-STRUCT_S):$G792),"")</f>
        <v/>
      </c>
      <c r="AJ792" s="48" t="str">
        <f aca="false">IF($U792&gt;=STRUCT_S,MIN(INDEX($H$642:$H792,152-STRUCT_S):$H792),"")</f>
        <v/>
      </c>
      <c r="AK792" s="48" t="str">
        <f aca="false">IF($U792&gt;=STRUCT_L,MAX(INDEX($G$542:$G792,252-STRUCT_L):$G792),"")</f>
        <v/>
      </c>
      <c r="AL792" s="48" t="str">
        <f aca="false">IF($U792&gt;=STRUCT_L,MIN(INDEX($H$542:$H792,252-STRUCT_L):$H792),"")</f>
        <v/>
      </c>
      <c r="AM792" s="46" t="n">
        <f aca="false">IF($A792&lt;&gt;$A793,1,0)</f>
        <v>0</v>
      </c>
      <c r="AN792" s="47" t="str">
        <f aca="false">IF($AM792=1,$A792,"")</f>
        <v/>
      </c>
    </row>
    <row r="793" customFormat="false" ht="15" hidden="false" customHeight="false" outlineLevel="0" collapsed="false">
      <c r="A793" s="43" t="s">
        <v>147</v>
      </c>
      <c r="B793" s="44" t="s">
        <v>149</v>
      </c>
      <c r="C793" s="45" t="n">
        <v>45916</v>
      </c>
      <c r="D793" s="46" t="n">
        <v>20250916</v>
      </c>
      <c r="E793" s="47" t="s">
        <v>296</v>
      </c>
      <c r="F793" s="48" t="n">
        <v>2415</v>
      </c>
      <c r="G793" s="48" t="n">
        <v>2446</v>
      </c>
      <c r="H793" s="48" t="n">
        <v>2386</v>
      </c>
      <c r="I793" s="48" t="n">
        <v>2393</v>
      </c>
      <c r="J793" s="48" t="n">
        <v>2433</v>
      </c>
      <c r="K793" s="48" t="n">
        <v>2439</v>
      </c>
      <c r="L793" s="48" t="n">
        <v>63743713</v>
      </c>
      <c r="M793" s="48" t="n">
        <v>152538705209</v>
      </c>
      <c r="N793" s="48" t="n">
        <v>2030</v>
      </c>
      <c r="O793" s="48" t="n">
        <v>26773353</v>
      </c>
      <c r="P793" s="48" t="n">
        <v>35308800</v>
      </c>
      <c r="Q793" s="48" t="n">
        <v>642</v>
      </c>
      <c r="R793" s="48" t="n">
        <v>957</v>
      </c>
      <c r="S793" s="48" t="n">
        <v>36970360</v>
      </c>
      <c r="T793" s="48" t="n">
        <v>28434913</v>
      </c>
      <c r="U793" s="46" t="n">
        <f aca="false">IF($A793=$A792,$U792+1,1)</f>
        <v>9</v>
      </c>
      <c r="V793" s="48" t="str">
        <f aca="false">IF($U793&gt;=MA_SHORT,AVERAGE(INDEX($I$393:$I793,402-MA_SHORT):$I793),"")</f>
        <v/>
      </c>
      <c r="W793" s="48" t="str">
        <f aca="false">IF($U793&gt;=MA_MED,AVERAGE(INDEX($I$393:$I793,402-MA_MED):$I793),"")</f>
        <v/>
      </c>
      <c r="X793" s="48" t="str">
        <f aca="false">IF($U793&gt;=MA_LONG1,AVERAGE(INDEX($I$393:$I793,402-MA_LONG1):$I793),"")</f>
        <v/>
      </c>
      <c r="Y793" s="48" t="str">
        <f aca="false">IF($U793&gt;=MA_LONG2,AVERAGE(INDEX($I$393:$I793,402-MA_LONG2):$I793),"")</f>
        <v/>
      </c>
      <c r="Z793" s="48" t="str">
        <f aca="false">IF($U793&gt;=MA_SHORT,AVERAGE(INDEX($L$673:$L793,122-MA_SHORT):$L793),"")</f>
        <v/>
      </c>
      <c r="AA793" s="48" t="n">
        <f aca="false">IF($U793=1,$G793-$H793,MAX($G793-$H793,ABS($G793-$I792),ABS($H793-$I792)))</f>
        <v>60</v>
      </c>
      <c r="AB793" s="48" t="str">
        <f aca="false">IF($U793&gt;=ATR_PER,AVERAGE(INDEX($AA$673:$AA793,122-ATR_PER):$AA793),"")</f>
        <v/>
      </c>
      <c r="AC793" s="48" t="n">
        <f aca="false">$O793-$P793</f>
        <v>-8535447</v>
      </c>
      <c r="AD793" s="48" t="n">
        <f aca="false">$AC793*$I793</f>
        <v>-20425324671</v>
      </c>
      <c r="AE793" s="49" t="n">
        <f aca="false">IF($Q793&gt;0,$O793*$I793/$Q793/1000000,"")</f>
        <v>99.7953796401869</v>
      </c>
      <c r="AF793" s="49" t="n">
        <f aca="false">IF($R793&gt;0,$P793*$I793/$R793/1000000,"")</f>
        <v>88.2904476489028</v>
      </c>
      <c r="AG793" s="50" t="n">
        <f aca="false">IF(AND(ISNUMBER($AE793),ISNUMBER($AF793),$AF793&gt;0),$AE793/$AF793,"")</f>
        <v>1.1303077773151</v>
      </c>
      <c r="AH793" s="48" t="n">
        <f aca="false">IF($U793&gt;=5,SUM(INDEX($AD$763:$AD793,32-5):$AD793),"")</f>
        <v>-133521603953</v>
      </c>
      <c r="AI793" s="48" t="str">
        <f aca="false">IF($U793&gt;=STRUCT_S,MAX(INDEX($G$643:$G793,152-STRUCT_S):$G793),"")</f>
        <v/>
      </c>
      <c r="AJ793" s="48" t="str">
        <f aca="false">IF($U793&gt;=STRUCT_S,MIN(INDEX($H$643:$H793,152-STRUCT_S):$H793),"")</f>
        <v/>
      </c>
      <c r="AK793" s="48" t="str">
        <f aca="false">IF($U793&gt;=STRUCT_L,MAX(INDEX($G$543:$G793,252-STRUCT_L):$G793),"")</f>
        <v/>
      </c>
      <c r="AL793" s="48" t="str">
        <f aca="false">IF($U793&gt;=STRUCT_L,MIN(INDEX($H$543:$H793,252-STRUCT_L):$H793),"")</f>
        <v/>
      </c>
      <c r="AM793" s="46" t="n">
        <f aca="false">IF($A793&lt;&gt;$A794,1,0)</f>
        <v>0</v>
      </c>
      <c r="AN793" s="47" t="str">
        <f aca="false">IF($AM793=1,$A793,"")</f>
        <v/>
      </c>
    </row>
    <row r="794" customFormat="false" ht="15" hidden="false" customHeight="false" outlineLevel="0" collapsed="false">
      <c r="A794" s="43" t="s">
        <v>147</v>
      </c>
      <c r="B794" s="44" t="s">
        <v>149</v>
      </c>
      <c r="C794" s="45" t="n">
        <v>45917</v>
      </c>
      <c r="D794" s="46" t="n">
        <v>20250917</v>
      </c>
      <c r="E794" s="47" t="s">
        <v>297</v>
      </c>
      <c r="F794" s="48" t="n">
        <v>2372</v>
      </c>
      <c r="G794" s="48" t="n">
        <v>2452</v>
      </c>
      <c r="H794" s="48" t="n">
        <v>2310</v>
      </c>
      <c r="I794" s="48" t="n">
        <v>2368</v>
      </c>
      <c r="J794" s="48" t="n">
        <v>2390</v>
      </c>
      <c r="K794" s="48" t="n">
        <v>2393</v>
      </c>
      <c r="L794" s="48" t="n">
        <v>60853139</v>
      </c>
      <c r="M794" s="48" t="n">
        <v>144100233152</v>
      </c>
      <c r="N794" s="48" t="n">
        <v>3245</v>
      </c>
      <c r="O794" s="48" t="n">
        <v>21017290</v>
      </c>
      <c r="P794" s="48" t="n">
        <v>39181395</v>
      </c>
      <c r="Q794" s="48" t="n">
        <v>821</v>
      </c>
      <c r="R794" s="48" t="n">
        <v>2060</v>
      </c>
      <c r="S794" s="48" t="n">
        <v>39835849</v>
      </c>
      <c r="T794" s="48" t="n">
        <v>21671744</v>
      </c>
      <c r="U794" s="46" t="n">
        <f aca="false">IF($A794=$A793,$U793+1,1)</f>
        <v>10</v>
      </c>
      <c r="V794" s="48" t="str">
        <f aca="false">IF($U794&gt;=MA_SHORT,AVERAGE(INDEX($I$394:$I794,402-MA_SHORT):$I794),"")</f>
        <v/>
      </c>
      <c r="W794" s="48" t="str">
        <f aca="false">IF($U794&gt;=MA_MED,AVERAGE(INDEX($I$394:$I794,402-MA_MED):$I794),"")</f>
        <v/>
      </c>
      <c r="X794" s="48" t="str">
        <f aca="false">IF($U794&gt;=MA_LONG1,AVERAGE(INDEX($I$394:$I794,402-MA_LONG1):$I794),"")</f>
        <v/>
      </c>
      <c r="Y794" s="48" t="str">
        <f aca="false">IF($U794&gt;=MA_LONG2,AVERAGE(INDEX($I$394:$I794,402-MA_LONG2):$I794),"")</f>
        <v/>
      </c>
      <c r="Z794" s="48" t="str">
        <f aca="false">IF($U794&gt;=MA_SHORT,AVERAGE(INDEX($L$674:$L794,122-MA_SHORT):$L794),"")</f>
        <v/>
      </c>
      <c r="AA794" s="48" t="n">
        <f aca="false">IF($U794=1,$G794-$H794,MAX($G794-$H794,ABS($G794-$I793),ABS($H794-$I793)))</f>
        <v>142</v>
      </c>
      <c r="AB794" s="48" t="str">
        <f aca="false">IF($U794&gt;=ATR_PER,AVERAGE(INDEX($AA$674:$AA794,122-ATR_PER):$AA794),"")</f>
        <v/>
      </c>
      <c r="AC794" s="48" t="n">
        <f aca="false">$O794-$P794</f>
        <v>-18164105</v>
      </c>
      <c r="AD794" s="48" t="n">
        <f aca="false">$AC794*$I794</f>
        <v>-43012600640</v>
      </c>
      <c r="AE794" s="49" t="n">
        <f aca="false">IF($Q794&gt;0,$O794*$I794/$Q794/1000000,"")</f>
        <v>60.6199058708892</v>
      </c>
      <c r="AF794" s="49" t="n">
        <f aca="false">IF($R794&gt;0,$P794*$I794/$R794/1000000,"")</f>
        <v>45.0395841553398</v>
      </c>
      <c r="AG794" s="50" t="n">
        <f aca="false">IF(AND(ISNUMBER($AE794),ISNUMBER($AF794),$AF794&gt;0),$AE794/$AF794,"")</f>
        <v>1.34592507918842</v>
      </c>
      <c r="AH794" s="48" t="n">
        <f aca="false">IF($U794&gt;=5,SUM(INDEX($AD$764:$AD794,32-5):$AD794),"")</f>
        <v>-133239084977</v>
      </c>
      <c r="AI794" s="48" t="str">
        <f aca="false">IF($U794&gt;=STRUCT_S,MAX(INDEX($G$644:$G794,152-STRUCT_S):$G794),"")</f>
        <v/>
      </c>
      <c r="AJ794" s="48" t="str">
        <f aca="false">IF($U794&gt;=STRUCT_S,MIN(INDEX($H$644:$H794,152-STRUCT_S):$H794),"")</f>
        <v/>
      </c>
      <c r="AK794" s="48" t="str">
        <f aca="false">IF($U794&gt;=STRUCT_L,MAX(INDEX($G$544:$G794,252-STRUCT_L):$G794),"")</f>
        <v/>
      </c>
      <c r="AL794" s="48" t="str">
        <f aca="false">IF($U794&gt;=STRUCT_L,MIN(INDEX($H$544:$H794,252-STRUCT_L):$H794),"")</f>
        <v/>
      </c>
      <c r="AM794" s="46" t="n">
        <f aca="false">IF($A794&lt;&gt;$A795,1,0)</f>
        <v>0</v>
      </c>
      <c r="AN794" s="47" t="str">
        <f aca="false">IF($AM794=1,$A794,"")</f>
        <v/>
      </c>
    </row>
    <row r="795" customFormat="false" ht="15" hidden="false" customHeight="false" outlineLevel="0" collapsed="false">
      <c r="A795" s="43" t="s">
        <v>147</v>
      </c>
      <c r="B795" s="44" t="s">
        <v>149</v>
      </c>
      <c r="C795" s="45" t="n">
        <v>45920</v>
      </c>
      <c r="D795" s="46" t="n">
        <v>20250920</v>
      </c>
      <c r="E795" s="47" t="s">
        <v>298</v>
      </c>
      <c r="F795" s="48" t="n">
        <v>2352</v>
      </c>
      <c r="G795" s="48" t="n">
        <v>2386</v>
      </c>
      <c r="H795" s="48" t="n">
        <v>2292</v>
      </c>
      <c r="I795" s="48" t="n">
        <v>2310</v>
      </c>
      <c r="J795" s="48" t="n">
        <v>2317</v>
      </c>
      <c r="K795" s="48" t="n">
        <v>2368</v>
      </c>
      <c r="L795" s="48" t="n">
        <v>101926838</v>
      </c>
      <c r="M795" s="48" t="n">
        <v>235450995780</v>
      </c>
      <c r="N795" s="48" t="n">
        <v>5679</v>
      </c>
      <c r="O795" s="48" t="n">
        <v>33144273</v>
      </c>
      <c r="P795" s="48" t="n">
        <v>70597959</v>
      </c>
      <c r="Q795" s="48" t="n">
        <v>1204</v>
      </c>
      <c r="R795" s="48" t="n">
        <v>3937</v>
      </c>
      <c r="S795" s="48" t="n">
        <v>68782565</v>
      </c>
      <c r="T795" s="48" t="n">
        <v>31328879</v>
      </c>
      <c r="U795" s="46" t="n">
        <f aca="false">IF($A795=$A794,$U794+1,1)</f>
        <v>11</v>
      </c>
      <c r="V795" s="48" t="str">
        <f aca="false">IF($U795&gt;=MA_SHORT,AVERAGE(INDEX($I$395:$I795,402-MA_SHORT):$I795),"")</f>
        <v/>
      </c>
      <c r="W795" s="48" t="str">
        <f aca="false">IF($U795&gt;=MA_MED,AVERAGE(INDEX($I$395:$I795,402-MA_MED):$I795),"")</f>
        <v/>
      </c>
      <c r="X795" s="48" t="str">
        <f aca="false">IF($U795&gt;=MA_LONG1,AVERAGE(INDEX($I$395:$I795,402-MA_LONG1):$I795),"")</f>
        <v/>
      </c>
      <c r="Y795" s="48" t="str">
        <f aca="false">IF($U795&gt;=MA_LONG2,AVERAGE(INDEX($I$395:$I795,402-MA_LONG2):$I795),"")</f>
        <v/>
      </c>
      <c r="Z795" s="48" t="str">
        <f aca="false">IF($U795&gt;=MA_SHORT,AVERAGE(INDEX($L$675:$L795,122-MA_SHORT):$L795),"")</f>
        <v/>
      </c>
      <c r="AA795" s="48" t="n">
        <f aca="false">IF($U795=1,$G795-$H795,MAX($G795-$H795,ABS($G795-$I794),ABS($H795-$I794)))</f>
        <v>94</v>
      </c>
      <c r="AB795" s="48" t="str">
        <f aca="false">IF($U795&gt;=ATR_PER,AVERAGE(INDEX($AA$675:$AA795,122-ATR_PER):$AA795),"")</f>
        <v/>
      </c>
      <c r="AC795" s="48" t="n">
        <f aca="false">$O795-$P795</f>
        <v>-37453686</v>
      </c>
      <c r="AD795" s="48" t="n">
        <f aca="false">$AC795*$I795</f>
        <v>-86518014660</v>
      </c>
      <c r="AE795" s="49" t="n">
        <f aca="false">IF($Q795&gt;0,$O795*$I795/$Q795/1000000,"")</f>
        <v>63.5907563372093</v>
      </c>
      <c r="AF795" s="49" t="n">
        <f aca="false">IF($R795&gt;0,$P795*$I795/$R795/1000000,"")</f>
        <v>41.4227293091186</v>
      </c>
      <c r="AG795" s="50" t="n">
        <f aca="false">IF(AND(ISNUMBER($AE795),ISNUMBER($AF795),$AF795&gt;0),$AE795/$AF795,"")</f>
        <v>1.53516577487352</v>
      </c>
      <c r="AH795" s="48" t="n">
        <f aca="false">IF($U795&gt;=5,SUM(INDEX($AD$765:$AD795,32-5):$AD795),"")</f>
        <v>-202322621387</v>
      </c>
      <c r="AI795" s="48" t="str">
        <f aca="false">IF($U795&gt;=STRUCT_S,MAX(INDEX($G$645:$G795,152-STRUCT_S):$G795),"")</f>
        <v/>
      </c>
      <c r="AJ795" s="48" t="str">
        <f aca="false">IF($U795&gt;=STRUCT_S,MIN(INDEX($H$645:$H795,152-STRUCT_S):$H795),"")</f>
        <v/>
      </c>
      <c r="AK795" s="48" t="str">
        <f aca="false">IF($U795&gt;=STRUCT_L,MAX(INDEX($G$545:$G795,252-STRUCT_L):$G795),"")</f>
        <v/>
      </c>
      <c r="AL795" s="48" t="str">
        <f aca="false">IF($U795&gt;=STRUCT_L,MIN(INDEX($H$545:$H795,252-STRUCT_L):$H795),"")</f>
        <v/>
      </c>
      <c r="AM795" s="46" t="n">
        <f aca="false">IF($A795&lt;&gt;$A796,1,0)</f>
        <v>0</v>
      </c>
      <c r="AN795" s="47" t="str">
        <f aca="false">IF($AM795=1,$A795,"")</f>
        <v/>
      </c>
    </row>
    <row r="796" customFormat="false" ht="15" hidden="false" customHeight="false" outlineLevel="0" collapsed="false">
      <c r="A796" s="43" t="s">
        <v>147</v>
      </c>
      <c r="B796" s="44" t="s">
        <v>149</v>
      </c>
      <c r="C796" s="45" t="n">
        <v>45921</v>
      </c>
      <c r="D796" s="46" t="n">
        <v>20250921</v>
      </c>
      <c r="E796" s="47" t="s">
        <v>299</v>
      </c>
      <c r="F796" s="48" t="n">
        <v>2303</v>
      </c>
      <c r="G796" s="48" t="n">
        <v>2367</v>
      </c>
      <c r="H796" s="48" t="n">
        <v>2274</v>
      </c>
      <c r="I796" s="48" t="n">
        <v>2331</v>
      </c>
      <c r="J796" s="48" t="n">
        <v>2349</v>
      </c>
      <c r="K796" s="48" t="n">
        <v>2310</v>
      </c>
      <c r="L796" s="48" t="n">
        <v>78475985</v>
      </c>
      <c r="M796" s="48" t="n">
        <v>182927521035</v>
      </c>
      <c r="N796" s="48" t="n">
        <v>4287</v>
      </c>
      <c r="O796" s="48" t="n">
        <v>43477985</v>
      </c>
      <c r="P796" s="48" t="n">
        <v>35679836</v>
      </c>
      <c r="Q796" s="48" t="n">
        <v>1691</v>
      </c>
      <c r="R796" s="48" t="n">
        <v>1666</v>
      </c>
      <c r="S796" s="48" t="n">
        <v>34998000</v>
      </c>
      <c r="T796" s="48" t="n">
        <v>42796149</v>
      </c>
      <c r="U796" s="46" t="n">
        <f aca="false">IF($A796=$A795,$U795+1,1)</f>
        <v>12</v>
      </c>
      <c r="V796" s="48" t="str">
        <f aca="false">IF($U796&gt;=MA_SHORT,AVERAGE(INDEX($I$396:$I796,402-MA_SHORT):$I796),"")</f>
        <v/>
      </c>
      <c r="W796" s="48" t="str">
        <f aca="false">IF($U796&gt;=MA_MED,AVERAGE(INDEX($I$396:$I796,402-MA_MED):$I796),"")</f>
        <v/>
      </c>
      <c r="X796" s="48" t="str">
        <f aca="false">IF($U796&gt;=MA_LONG1,AVERAGE(INDEX($I$396:$I796,402-MA_LONG1):$I796),"")</f>
        <v/>
      </c>
      <c r="Y796" s="48" t="str">
        <f aca="false">IF($U796&gt;=MA_LONG2,AVERAGE(INDEX($I$396:$I796,402-MA_LONG2):$I796),"")</f>
        <v/>
      </c>
      <c r="Z796" s="48" t="str">
        <f aca="false">IF($U796&gt;=MA_SHORT,AVERAGE(INDEX($L$676:$L796,122-MA_SHORT):$L796),"")</f>
        <v/>
      </c>
      <c r="AA796" s="48" t="n">
        <f aca="false">IF($U796=1,$G796-$H796,MAX($G796-$H796,ABS($G796-$I795),ABS($H796-$I795)))</f>
        <v>93</v>
      </c>
      <c r="AB796" s="48" t="str">
        <f aca="false">IF($U796&gt;=ATR_PER,AVERAGE(INDEX($AA$676:$AA796,122-ATR_PER):$AA796),"")</f>
        <v/>
      </c>
      <c r="AC796" s="48" t="n">
        <f aca="false">$O796-$P796</f>
        <v>7798149</v>
      </c>
      <c r="AD796" s="48" t="n">
        <f aca="false">$AC796*$I796</f>
        <v>18177485319</v>
      </c>
      <c r="AE796" s="49" t="n">
        <f aca="false">IF($Q796&gt;0,$O796*$I796/$Q796/1000000,"")</f>
        <v>59.9332838764045</v>
      </c>
      <c r="AF796" s="49" t="n">
        <f aca="false">IF($R796&gt;0,$P796*$I796/$R796/1000000,"")</f>
        <v>49.9217873445378</v>
      </c>
      <c r="AG796" s="50" t="n">
        <f aca="false">IF(AND(ISNUMBER($AE796),ISNUMBER($AF796),$AF796&gt;0),$AE796/$AF796,"")</f>
        <v>1.20054363163666</v>
      </c>
      <c r="AH796" s="48" t="n">
        <f aca="false">IF($U796&gt;=5,SUM(INDEX($AD$766:$AD796,32-5):$AD796),"")</f>
        <v>-169373259188</v>
      </c>
      <c r="AI796" s="48" t="str">
        <f aca="false">IF($U796&gt;=STRUCT_S,MAX(INDEX($G$646:$G796,152-STRUCT_S):$G796),"")</f>
        <v/>
      </c>
      <c r="AJ796" s="48" t="str">
        <f aca="false">IF($U796&gt;=STRUCT_S,MIN(INDEX($H$646:$H796,152-STRUCT_S):$H796),"")</f>
        <v/>
      </c>
      <c r="AK796" s="48" t="str">
        <f aca="false">IF($U796&gt;=STRUCT_L,MAX(INDEX($G$546:$G796,252-STRUCT_L):$G796),"")</f>
        <v/>
      </c>
      <c r="AL796" s="48" t="str">
        <f aca="false">IF($U796&gt;=STRUCT_L,MIN(INDEX($H$546:$H796,252-STRUCT_L):$H796),"")</f>
        <v/>
      </c>
      <c r="AM796" s="46" t="n">
        <f aca="false">IF($A796&lt;&gt;$A797,1,0)</f>
        <v>0</v>
      </c>
      <c r="AN796" s="47" t="str">
        <f aca="false">IF($AM796=1,$A796,"")</f>
        <v/>
      </c>
    </row>
    <row r="797" customFormat="false" ht="15" hidden="false" customHeight="false" outlineLevel="0" collapsed="false">
      <c r="A797" s="43" t="s">
        <v>147</v>
      </c>
      <c r="B797" s="44" t="s">
        <v>149</v>
      </c>
      <c r="C797" s="45" t="n">
        <v>45922</v>
      </c>
      <c r="D797" s="46" t="n">
        <v>20250922</v>
      </c>
      <c r="E797" s="47" t="s">
        <v>300</v>
      </c>
      <c r="F797" s="48" t="n">
        <v>2381</v>
      </c>
      <c r="G797" s="48" t="n">
        <v>2420</v>
      </c>
      <c r="H797" s="48" t="n">
        <v>2307</v>
      </c>
      <c r="I797" s="48" t="n">
        <v>2395</v>
      </c>
      <c r="J797" s="48" t="n">
        <v>2311</v>
      </c>
      <c r="K797" s="48" t="n">
        <v>2331</v>
      </c>
      <c r="L797" s="48" t="n">
        <v>66697090</v>
      </c>
      <c r="M797" s="48" t="n">
        <v>159739530550</v>
      </c>
      <c r="N797" s="48" t="n">
        <v>2448</v>
      </c>
      <c r="O797" s="48" t="n">
        <v>37118675</v>
      </c>
      <c r="P797" s="48" t="n">
        <v>29127693</v>
      </c>
      <c r="Q797" s="48" t="n">
        <v>968</v>
      </c>
      <c r="R797" s="48" t="n">
        <v>883</v>
      </c>
      <c r="S797" s="48" t="n">
        <v>29578415</v>
      </c>
      <c r="T797" s="48" t="n">
        <v>37569397</v>
      </c>
      <c r="U797" s="46" t="n">
        <f aca="false">IF($A797=$A796,$U796+1,1)</f>
        <v>13</v>
      </c>
      <c r="V797" s="48" t="str">
        <f aca="false">IF($U797&gt;=MA_SHORT,AVERAGE(INDEX($I$397:$I797,402-MA_SHORT):$I797),"")</f>
        <v/>
      </c>
      <c r="W797" s="48" t="str">
        <f aca="false">IF($U797&gt;=MA_MED,AVERAGE(INDEX($I$397:$I797,402-MA_MED):$I797),"")</f>
        <v/>
      </c>
      <c r="X797" s="48" t="str">
        <f aca="false">IF($U797&gt;=MA_LONG1,AVERAGE(INDEX($I$397:$I797,402-MA_LONG1):$I797),"")</f>
        <v/>
      </c>
      <c r="Y797" s="48" t="str">
        <f aca="false">IF($U797&gt;=MA_LONG2,AVERAGE(INDEX($I$397:$I797,402-MA_LONG2):$I797),"")</f>
        <v/>
      </c>
      <c r="Z797" s="48" t="str">
        <f aca="false">IF($U797&gt;=MA_SHORT,AVERAGE(INDEX($L$677:$L797,122-MA_SHORT):$L797),"")</f>
        <v/>
      </c>
      <c r="AA797" s="48" t="n">
        <f aca="false">IF($U797=1,$G797-$H797,MAX($G797-$H797,ABS($G797-$I796),ABS($H797-$I796)))</f>
        <v>113</v>
      </c>
      <c r="AB797" s="48" t="str">
        <f aca="false">IF($U797&gt;=ATR_PER,AVERAGE(INDEX($AA$677:$AA797,122-ATR_PER):$AA797),"")</f>
        <v/>
      </c>
      <c r="AC797" s="48" t="n">
        <f aca="false">$O797-$P797</f>
        <v>7990982</v>
      </c>
      <c r="AD797" s="48" t="n">
        <f aca="false">$AC797*$I797</f>
        <v>19138401890</v>
      </c>
      <c r="AE797" s="49" t="n">
        <f aca="false">IF($Q797&gt;0,$O797*$I797/$Q797/1000000,"")</f>
        <v>91.8380440340909</v>
      </c>
      <c r="AF797" s="49" t="n">
        <f aca="false">IF($R797&gt;0,$P797*$I797/$R797/1000000,"")</f>
        <v>79.0043315232163</v>
      </c>
      <c r="AG797" s="50" t="n">
        <f aca="false">IF(AND(ISNUMBER($AE797),ISNUMBER($AF797),$AF797&gt;0),$AE797/$AF797,"")</f>
        <v>1.16244315043794</v>
      </c>
      <c r="AH797" s="48" t="n">
        <f aca="false">IF($U797&gt;=5,SUM(INDEX($AD$767:$AD797,32-5):$AD797),"")</f>
        <v>-112640052762</v>
      </c>
      <c r="AI797" s="48" t="str">
        <f aca="false">IF($U797&gt;=STRUCT_S,MAX(INDEX($G$647:$G797,152-STRUCT_S):$G797),"")</f>
        <v/>
      </c>
      <c r="AJ797" s="48" t="str">
        <f aca="false">IF($U797&gt;=STRUCT_S,MIN(INDEX($H$647:$H797,152-STRUCT_S):$H797),"")</f>
        <v/>
      </c>
      <c r="AK797" s="48" t="str">
        <f aca="false">IF($U797&gt;=STRUCT_L,MAX(INDEX($G$547:$G797,252-STRUCT_L):$G797),"")</f>
        <v/>
      </c>
      <c r="AL797" s="48" t="str">
        <f aca="false">IF($U797&gt;=STRUCT_L,MIN(INDEX($H$547:$H797,252-STRUCT_L):$H797),"")</f>
        <v/>
      </c>
      <c r="AM797" s="46" t="n">
        <f aca="false">IF($A797&lt;&gt;$A798,1,0)</f>
        <v>0</v>
      </c>
      <c r="AN797" s="47" t="str">
        <f aca="false">IF($AM797=1,$A797,"")</f>
        <v/>
      </c>
    </row>
    <row r="798" customFormat="false" ht="15" hidden="false" customHeight="false" outlineLevel="0" collapsed="false">
      <c r="A798" s="43" t="s">
        <v>147</v>
      </c>
      <c r="B798" s="44" t="s">
        <v>149</v>
      </c>
      <c r="C798" s="45" t="n">
        <v>45923</v>
      </c>
      <c r="D798" s="46" t="n">
        <v>20250923</v>
      </c>
      <c r="E798" s="47" t="s">
        <v>301</v>
      </c>
      <c r="F798" s="48" t="n">
        <v>2364</v>
      </c>
      <c r="G798" s="48" t="n">
        <v>2472</v>
      </c>
      <c r="H798" s="48" t="n">
        <v>2322</v>
      </c>
      <c r="I798" s="48" t="n">
        <v>2399</v>
      </c>
      <c r="J798" s="48" t="n">
        <v>2349</v>
      </c>
      <c r="K798" s="48" t="n">
        <v>2395</v>
      </c>
      <c r="L798" s="48" t="n">
        <v>72222902</v>
      </c>
      <c r="M798" s="48" t="n">
        <v>173262741898</v>
      </c>
      <c r="N798" s="48" t="n">
        <v>2870</v>
      </c>
      <c r="O798" s="48" t="n">
        <v>29414361</v>
      </c>
      <c r="P798" s="48" t="n">
        <v>44371217</v>
      </c>
      <c r="Q798" s="48" t="n">
        <v>1619</v>
      </c>
      <c r="R798" s="48" t="n">
        <v>1119</v>
      </c>
      <c r="S798" s="48" t="n">
        <v>42808541</v>
      </c>
      <c r="T798" s="48" t="n">
        <v>27851685</v>
      </c>
      <c r="U798" s="46" t="n">
        <f aca="false">IF($A798=$A797,$U797+1,1)</f>
        <v>14</v>
      </c>
      <c r="V798" s="48" t="str">
        <f aca="false">IF($U798&gt;=MA_SHORT,AVERAGE(INDEX($I$398:$I798,402-MA_SHORT):$I798),"")</f>
        <v/>
      </c>
      <c r="W798" s="48" t="str">
        <f aca="false">IF($U798&gt;=MA_MED,AVERAGE(INDEX($I$398:$I798,402-MA_MED):$I798),"")</f>
        <v/>
      </c>
      <c r="X798" s="48" t="str">
        <f aca="false">IF($U798&gt;=MA_LONG1,AVERAGE(INDEX($I$398:$I798,402-MA_LONG1):$I798),"")</f>
        <v/>
      </c>
      <c r="Y798" s="48" t="str">
        <f aca="false">IF($U798&gt;=MA_LONG2,AVERAGE(INDEX($I$398:$I798,402-MA_LONG2):$I798),"")</f>
        <v/>
      </c>
      <c r="Z798" s="48" t="str">
        <f aca="false">IF($U798&gt;=MA_SHORT,AVERAGE(INDEX($L$678:$L798,122-MA_SHORT):$L798),"")</f>
        <v/>
      </c>
      <c r="AA798" s="48" t="n">
        <f aca="false">IF($U798=1,$G798-$H798,MAX($G798-$H798,ABS($G798-$I797),ABS($H798-$I797)))</f>
        <v>150</v>
      </c>
      <c r="AB798" s="48" t="n">
        <f aca="false">IF($U798&gt;=ATR_PER,AVERAGE(INDEX($AA$678:$AA798,122-ATR_PER):$AA798),"")</f>
        <v>110.357142857143</v>
      </c>
      <c r="AC798" s="48" t="n">
        <f aca="false">$O798-$P798</f>
        <v>-14956856</v>
      </c>
      <c r="AD798" s="48" t="n">
        <f aca="false">$AC798*$I798</f>
        <v>-35881497544</v>
      </c>
      <c r="AE798" s="49" t="n">
        <f aca="false">IF($Q798&gt;0,$O798*$I798/$Q798/1000000,"")</f>
        <v>43.5855787764052</v>
      </c>
      <c r="AF798" s="49" t="n">
        <f aca="false">IF($R798&gt;0,$P798*$I798/$R798/1000000,"")</f>
        <v>95.1264964995532</v>
      </c>
      <c r="AG798" s="50" t="n">
        <f aca="false">IF(AND(ISNUMBER($AE798),ISNUMBER($AF798),$AF798&gt;0),$AE798/$AF798,"")</f>
        <v>0.458185472820498</v>
      </c>
      <c r="AH798" s="48" t="n">
        <f aca="false">IF($U798&gt;=5,SUM(INDEX($AD$768:$AD798,32-5):$AD798),"")</f>
        <v>-128096225635</v>
      </c>
      <c r="AI798" s="48" t="str">
        <f aca="false">IF($U798&gt;=STRUCT_S,MAX(INDEX($G$648:$G798,152-STRUCT_S):$G798),"")</f>
        <v/>
      </c>
      <c r="AJ798" s="48" t="str">
        <f aca="false">IF($U798&gt;=STRUCT_S,MIN(INDEX($H$648:$H798,152-STRUCT_S):$H798),"")</f>
        <v/>
      </c>
      <c r="AK798" s="48" t="str">
        <f aca="false">IF($U798&gt;=STRUCT_L,MAX(INDEX($G$548:$G798,252-STRUCT_L):$G798),"")</f>
        <v/>
      </c>
      <c r="AL798" s="48" t="str">
        <f aca="false">IF($U798&gt;=STRUCT_L,MIN(INDEX($H$548:$H798,252-STRUCT_L):$H798),"")</f>
        <v/>
      </c>
      <c r="AM798" s="46" t="n">
        <f aca="false">IF($A798&lt;&gt;$A799,1,0)</f>
        <v>0</v>
      </c>
      <c r="AN798" s="47" t="str">
        <f aca="false">IF($AM798=1,$A798,"")</f>
        <v/>
      </c>
    </row>
    <row r="799" customFormat="false" ht="15" hidden="false" customHeight="false" outlineLevel="0" collapsed="false">
      <c r="A799" s="43" t="s">
        <v>147</v>
      </c>
      <c r="B799" s="44" t="s">
        <v>149</v>
      </c>
      <c r="C799" s="45" t="n">
        <v>45924</v>
      </c>
      <c r="D799" s="46" t="n">
        <v>20250924</v>
      </c>
      <c r="E799" s="47" t="s">
        <v>302</v>
      </c>
      <c r="F799" s="48" t="n">
        <v>2359</v>
      </c>
      <c r="G799" s="48" t="n">
        <v>2443</v>
      </c>
      <c r="H799" s="48" t="n">
        <v>2336</v>
      </c>
      <c r="I799" s="48" t="n">
        <v>2379</v>
      </c>
      <c r="J799" s="48" t="n">
        <v>2392</v>
      </c>
      <c r="K799" s="48" t="n">
        <v>2399</v>
      </c>
      <c r="L799" s="48" t="n">
        <v>61459455</v>
      </c>
      <c r="M799" s="48" t="n">
        <v>146212043445</v>
      </c>
      <c r="N799" s="48" t="n">
        <v>1616</v>
      </c>
      <c r="O799" s="48" t="n">
        <v>29437303</v>
      </c>
      <c r="P799" s="48" t="n">
        <v>32210002</v>
      </c>
      <c r="Q799" s="48" t="n">
        <v>352</v>
      </c>
      <c r="R799" s="48" t="n">
        <v>974</v>
      </c>
      <c r="S799" s="48" t="n">
        <v>32022152</v>
      </c>
      <c r="T799" s="48" t="n">
        <v>29249453</v>
      </c>
      <c r="U799" s="46" t="n">
        <f aca="false">IF($A799=$A798,$U798+1,1)</f>
        <v>15</v>
      </c>
      <c r="V799" s="48" t="str">
        <f aca="false">IF($U799&gt;=MA_SHORT,AVERAGE(INDEX($I$399:$I799,402-MA_SHORT):$I799),"")</f>
        <v/>
      </c>
      <c r="W799" s="48" t="str">
        <f aca="false">IF($U799&gt;=MA_MED,AVERAGE(INDEX($I$399:$I799,402-MA_MED):$I799),"")</f>
        <v/>
      </c>
      <c r="X799" s="48" t="str">
        <f aca="false">IF($U799&gt;=MA_LONG1,AVERAGE(INDEX($I$399:$I799,402-MA_LONG1):$I799),"")</f>
        <v/>
      </c>
      <c r="Y799" s="48" t="str">
        <f aca="false">IF($U799&gt;=MA_LONG2,AVERAGE(INDEX($I$399:$I799,402-MA_LONG2):$I799),"")</f>
        <v/>
      </c>
      <c r="Z799" s="48" t="str">
        <f aca="false">IF($U799&gt;=MA_SHORT,AVERAGE(INDEX($L$679:$L799,122-MA_SHORT):$L799),"")</f>
        <v/>
      </c>
      <c r="AA799" s="48" t="n">
        <f aca="false">IF($U799=1,$G799-$H799,MAX($G799-$H799,ABS($G799-$I798),ABS($H799-$I798)))</f>
        <v>107</v>
      </c>
      <c r="AB799" s="48" t="n">
        <f aca="false">IF($U799&gt;=ATR_PER,AVERAGE(INDEX($AA$679:$AA799,122-ATR_PER):$AA799),"")</f>
        <v>114.857142857143</v>
      </c>
      <c r="AC799" s="48" t="n">
        <f aca="false">$O799-$P799</f>
        <v>-2772699</v>
      </c>
      <c r="AD799" s="48" t="n">
        <f aca="false">$AC799*$I799</f>
        <v>-6596250921</v>
      </c>
      <c r="AE799" s="49" t="n">
        <f aca="false">IF($Q799&gt;0,$O799*$I799/$Q799/1000000,"")</f>
        <v>198.952681355114</v>
      </c>
      <c r="AF799" s="49" t="n">
        <f aca="false">IF($R799&gt;0,$P799*$I799/$R799/1000000,"")</f>
        <v>78.6730952340863</v>
      </c>
      <c r="AG799" s="50" t="n">
        <f aca="false">IF(AND(ISNUMBER($AE799),ISNUMBER($AF799),$AF799&gt;0),$AE799/$AF799,"")</f>
        <v>2.52885285322948</v>
      </c>
      <c r="AH799" s="48" t="n">
        <f aca="false">IF($U799&gt;=5,SUM(INDEX($AD$769:$AD799,32-5):$AD799),"")</f>
        <v>-91679875916</v>
      </c>
      <c r="AI799" s="48" t="str">
        <f aca="false">IF($U799&gt;=STRUCT_S,MAX(INDEX($G$649:$G799,152-STRUCT_S):$G799),"")</f>
        <v/>
      </c>
      <c r="AJ799" s="48" t="str">
        <f aca="false">IF($U799&gt;=STRUCT_S,MIN(INDEX($H$649:$H799,152-STRUCT_S):$H799),"")</f>
        <v/>
      </c>
      <c r="AK799" s="48" t="str">
        <f aca="false">IF($U799&gt;=STRUCT_L,MAX(INDEX($G$549:$G799,252-STRUCT_L):$G799),"")</f>
        <v/>
      </c>
      <c r="AL799" s="48" t="str">
        <f aca="false">IF($U799&gt;=STRUCT_L,MIN(INDEX($H$549:$H799,252-STRUCT_L):$H799),"")</f>
        <v/>
      </c>
      <c r="AM799" s="46" t="n">
        <f aca="false">IF($A799&lt;&gt;$A800,1,0)</f>
        <v>0</v>
      </c>
      <c r="AN799" s="47" t="str">
        <f aca="false">IF($AM799=1,$A799,"")</f>
        <v/>
      </c>
    </row>
    <row r="800" customFormat="false" ht="15" hidden="false" customHeight="false" outlineLevel="0" collapsed="false">
      <c r="A800" s="43" t="s">
        <v>147</v>
      </c>
      <c r="B800" s="44" t="s">
        <v>149</v>
      </c>
      <c r="C800" s="45" t="n">
        <v>45927</v>
      </c>
      <c r="D800" s="46" t="n">
        <v>20250927</v>
      </c>
      <c r="E800" s="47" t="s">
        <v>303</v>
      </c>
      <c r="F800" s="48" t="n">
        <v>2439</v>
      </c>
      <c r="G800" s="48" t="n">
        <v>2550</v>
      </c>
      <c r="H800" s="48" t="n">
        <v>2318</v>
      </c>
      <c r="I800" s="48" t="n">
        <v>2486</v>
      </c>
      <c r="J800" s="48" t="n">
        <v>2501</v>
      </c>
      <c r="K800" s="48" t="n">
        <v>2379</v>
      </c>
      <c r="L800" s="48" t="n">
        <v>102324748</v>
      </c>
      <c r="M800" s="48" t="n">
        <v>254379323528</v>
      </c>
      <c r="N800" s="48" t="n">
        <v>2489</v>
      </c>
      <c r="O800" s="48" t="n">
        <v>52699810</v>
      </c>
      <c r="P800" s="48" t="n">
        <v>53903541</v>
      </c>
      <c r="Q800" s="48" t="n">
        <v>1383</v>
      </c>
      <c r="R800" s="48" t="n">
        <v>902</v>
      </c>
      <c r="S800" s="48" t="n">
        <v>49624938</v>
      </c>
      <c r="T800" s="48" t="n">
        <v>48421207</v>
      </c>
      <c r="U800" s="46" t="n">
        <f aca="false">IF($A800=$A799,$U799+1,1)</f>
        <v>16</v>
      </c>
      <c r="V800" s="48" t="str">
        <f aca="false">IF($U800&gt;=MA_SHORT,AVERAGE(INDEX($I$400:$I800,402-MA_SHORT):$I800),"")</f>
        <v/>
      </c>
      <c r="W800" s="48" t="str">
        <f aca="false">IF($U800&gt;=MA_MED,AVERAGE(INDEX($I$400:$I800,402-MA_MED):$I800),"")</f>
        <v/>
      </c>
      <c r="X800" s="48" t="str">
        <f aca="false">IF($U800&gt;=MA_LONG1,AVERAGE(INDEX($I$400:$I800,402-MA_LONG1):$I800),"")</f>
        <v/>
      </c>
      <c r="Y800" s="48" t="str">
        <f aca="false">IF($U800&gt;=MA_LONG2,AVERAGE(INDEX($I$400:$I800,402-MA_LONG2):$I800),"")</f>
        <v/>
      </c>
      <c r="Z800" s="48" t="str">
        <f aca="false">IF($U800&gt;=MA_SHORT,AVERAGE(INDEX($L$680:$L800,122-MA_SHORT):$L800),"")</f>
        <v/>
      </c>
      <c r="AA800" s="48" t="n">
        <f aca="false">IF($U800=1,$G800-$H800,MAX($G800-$H800,ABS($G800-$I799),ABS($H800-$I799)))</f>
        <v>232</v>
      </c>
      <c r="AB800" s="48" t="n">
        <f aca="false">IF($U800&gt;=ATR_PER,AVERAGE(INDEX($AA$680:$AA800,122-ATR_PER):$AA800),"")</f>
        <v>121.285714285714</v>
      </c>
      <c r="AC800" s="48" t="n">
        <f aca="false">$O800-$P800</f>
        <v>-1203731</v>
      </c>
      <c r="AD800" s="48" t="n">
        <f aca="false">$AC800*$I800</f>
        <v>-2992475266</v>
      </c>
      <c r="AE800" s="49" t="n">
        <f aca="false">IF($Q800&gt;0,$O800*$I800/$Q800/1000000,"")</f>
        <v>94.7300995372379</v>
      </c>
      <c r="AF800" s="49" t="n">
        <f aca="false">IF($R800&gt;0,$P800*$I800/$R800/1000000,"")</f>
        <v>148.563417878049</v>
      </c>
      <c r="AG800" s="50" t="n">
        <f aca="false">IF(AND(ISNUMBER($AE800),ISNUMBER($AF800),$AF800&gt;0),$AE800/$AF800,"")</f>
        <v>0.637640819592606</v>
      </c>
      <c r="AH800" s="48" t="n">
        <f aca="false">IF($U800&gt;=5,SUM(INDEX($AD$770:$AD800,32-5):$AD800),"")</f>
        <v>-8154336522</v>
      </c>
      <c r="AI800" s="48" t="str">
        <f aca="false">IF($U800&gt;=STRUCT_S,MAX(INDEX($G$650:$G800,152-STRUCT_S):$G800),"")</f>
        <v/>
      </c>
      <c r="AJ800" s="48" t="str">
        <f aca="false">IF($U800&gt;=STRUCT_S,MIN(INDEX($H$650:$H800,152-STRUCT_S):$H800),"")</f>
        <v/>
      </c>
      <c r="AK800" s="48" t="str">
        <f aca="false">IF($U800&gt;=STRUCT_L,MAX(INDEX($G$550:$G800,252-STRUCT_L):$G800),"")</f>
        <v/>
      </c>
      <c r="AL800" s="48" t="str">
        <f aca="false">IF($U800&gt;=STRUCT_L,MIN(INDEX($H$550:$H800,252-STRUCT_L):$H800),"")</f>
        <v/>
      </c>
      <c r="AM800" s="46" t="n">
        <f aca="false">IF($A800&lt;&gt;$A801,1,0)</f>
        <v>0</v>
      </c>
      <c r="AN800" s="47" t="str">
        <f aca="false">IF($AM800=1,$A800,"")</f>
        <v/>
      </c>
    </row>
    <row r="801" customFormat="false" ht="15" hidden="false" customHeight="false" outlineLevel="0" collapsed="false">
      <c r="A801" s="43" t="s">
        <v>147</v>
      </c>
      <c r="B801" s="44" t="s">
        <v>149</v>
      </c>
      <c r="C801" s="45" t="n">
        <v>45928</v>
      </c>
      <c r="D801" s="46" t="n">
        <v>20250928</v>
      </c>
      <c r="E801" s="47" t="s">
        <v>304</v>
      </c>
      <c r="F801" s="48" t="n">
        <v>2484</v>
      </c>
      <c r="G801" s="48" t="n">
        <v>2510</v>
      </c>
      <c r="H801" s="48" t="n">
        <v>2469</v>
      </c>
      <c r="I801" s="48" t="n">
        <v>2493</v>
      </c>
      <c r="J801" s="48" t="n">
        <v>2506</v>
      </c>
      <c r="K801" s="48" t="n">
        <v>2486</v>
      </c>
      <c r="L801" s="48" t="n">
        <v>76088158</v>
      </c>
      <c r="M801" s="48" t="n">
        <v>189687777894</v>
      </c>
      <c r="N801" s="48" t="n">
        <v>6225</v>
      </c>
      <c r="O801" s="48" t="n">
        <v>30586451</v>
      </c>
      <c r="P801" s="48" t="n">
        <v>43431630</v>
      </c>
      <c r="Q801" s="48" t="n">
        <v>2443</v>
      </c>
      <c r="R801" s="48" t="n">
        <v>1826</v>
      </c>
      <c r="S801" s="48" t="n">
        <v>45501707</v>
      </c>
      <c r="T801" s="48" t="n">
        <v>32656528</v>
      </c>
      <c r="U801" s="46" t="n">
        <f aca="false">IF($A801=$A800,$U800+1,1)</f>
        <v>17</v>
      </c>
      <c r="V801" s="48" t="str">
        <f aca="false">IF($U801&gt;=MA_SHORT,AVERAGE(INDEX($I$401:$I801,402-MA_SHORT):$I801),"")</f>
        <v/>
      </c>
      <c r="W801" s="48" t="str">
        <f aca="false">IF($U801&gt;=MA_MED,AVERAGE(INDEX($I$401:$I801,402-MA_MED):$I801),"")</f>
        <v/>
      </c>
      <c r="X801" s="48" t="str">
        <f aca="false">IF($U801&gt;=MA_LONG1,AVERAGE(INDEX($I$401:$I801,402-MA_LONG1):$I801),"")</f>
        <v/>
      </c>
      <c r="Y801" s="48" t="str">
        <f aca="false">IF($U801&gt;=MA_LONG2,AVERAGE(INDEX($I$401:$I801,402-MA_LONG2):$I801),"")</f>
        <v/>
      </c>
      <c r="Z801" s="48" t="str">
        <f aca="false">IF($U801&gt;=MA_SHORT,AVERAGE(INDEX($L$681:$L801,122-MA_SHORT):$L801),"")</f>
        <v/>
      </c>
      <c r="AA801" s="48" t="n">
        <f aca="false">IF($U801=1,$G801-$H801,MAX($G801-$H801,ABS($G801-$I800),ABS($H801-$I800)))</f>
        <v>41</v>
      </c>
      <c r="AB801" s="48" t="n">
        <f aca="false">IF($U801&gt;=ATR_PER,AVERAGE(INDEX($AA$681:$AA801,122-ATR_PER):$AA801),"")</f>
        <v>112.714285714286</v>
      </c>
      <c r="AC801" s="48" t="n">
        <f aca="false">$O801-$P801</f>
        <v>-12845179</v>
      </c>
      <c r="AD801" s="48" t="n">
        <f aca="false">$AC801*$I801</f>
        <v>-32023031247</v>
      </c>
      <c r="AE801" s="49" t="n">
        <f aca="false">IF($Q801&gt;0,$O801*$I801/$Q801/1000000,"")</f>
        <v>31.2124528624642</v>
      </c>
      <c r="AF801" s="49" t="n">
        <f aca="false">IF($R801&gt;0,$P801*$I801/$R801/1000000,"")</f>
        <v>59.2963053614458</v>
      </c>
      <c r="AG801" s="50" t="n">
        <f aca="false">IF(AND(ISNUMBER($AE801),ISNUMBER($AF801),$AF801&gt;0),$AE801/$AF801,"")</f>
        <v>0.526381073360405</v>
      </c>
      <c r="AH801" s="48" t="n">
        <f aca="false">IF($U801&gt;=5,SUM(INDEX($AD$771:$AD801,32-5):$AD801),"")</f>
        <v>-58354853088</v>
      </c>
      <c r="AI801" s="48" t="str">
        <f aca="false">IF($U801&gt;=STRUCT_S,MAX(INDEX($G$651:$G801,152-STRUCT_S):$G801),"")</f>
        <v/>
      </c>
      <c r="AJ801" s="48" t="str">
        <f aca="false">IF($U801&gt;=STRUCT_S,MIN(INDEX($H$651:$H801,152-STRUCT_S):$H801),"")</f>
        <v/>
      </c>
      <c r="AK801" s="48" t="str">
        <f aca="false">IF($U801&gt;=STRUCT_L,MAX(INDEX($G$551:$G801,252-STRUCT_L):$G801),"")</f>
        <v/>
      </c>
      <c r="AL801" s="48" t="str">
        <f aca="false">IF($U801&gt;=STRUCT_L,MIN(INDEX($H$551:$H801,252-STRUCT_L):$H801),"")</f>
        <v/>
      </c>
      <c r="AM801" s="46" t="n">
        <f aca="false">IF($A801&lt;&gt;$A802,1,0)</f>
        <v>0</v>
      </c>
      <c r="AN801" s="47" t="str">
        <f aca="false">IF($AM801=1,$A801,"")</f>
        <v/>
      </c>
    </row>
    <row r="802" customFormat="false" ht="15" hidden="false" customHeight="false" outlineLevel="0" collapsed="false">
      <c r="A802" s="43" t="s">
        <v>147</v>
      </c>
      <c r="B802" s="44" t="s">
        <v>149</v>
      </c>
      <c r="C802" s="45" t="n">
        <v>45929</v>
      </c>
      <c r="D802" s="46" t="n">
        <v>20250929</v>
      </c>
      <c r="E802" s="47" t="s">
        <v>305</v>
      </c>
      <c r="F802" s="48" t="n">
        <v>2571</v>
      </c>
      <c r="G802" s="48" t="n">
        <v>2622</v>
      </c>
      <c r="H802" s="48" t="n">
        <v>2459</v>
      </c>
      <c r="I802" s="48" t="n">
        <v>2587</v>
      </c>
      <c r="J802" s="48" t="n">
        <v>2563</v>
      </c>
      <c r="K802" s="48" t="n">
        <v>2493</v>
      </c>
      <c r="L802" s="48" t="n">
        <v>70218651</v>
      </c>
      <c r="M802" s="48" t="n">
        <v>181655650137</v>
      </c>
      <c r="N802" s="48" t="n">
        <v>2702</v>
      </c>
      <c r="O802" s="48" t="n">
        <v>42474251</v>
      </c>
      <c r="P802" s="48" t="n">
        <v>25825094</v>
      </c>
      <c r="Q802" s="48" t="n">
        <v>1656</v>
      </c>
      <c r="R802" s="48" t="n">
        <v>643</v>
      </c>
      <c r="S802" s="48" t="n">
        <v>27744400</v>
      </c>
      <c r="T802" s="48" t="n">
        <v>44393557</v>
      </c>
      <c r="U802" s="46" t="n">
        <f aca="false">IF($A802=$A801,$U801+1,1)</f>
        <v>18</v>
      </c>
      <c r="V802" s="48" t="str">
        <f aca="false">IF($U802&gt;=MA_SHORT,AVERAGE(INDEX($I$402:$I802,402-MA_SHORT):$I802),"")</f>
        <v/>
      </c>
      <c r="W802" s="48" t="str">
        <f aca="false">IF($U802&gt;=MA_MED,AVERAGE(INDEX($I$402:$I802,402-MA_MED):$I802),"")</f>
        <v/>
      </c>
      <c r="X802" s="48" t="str">
        <f aca="false">IF($U802&gt;=MA_LONG1,AVERAGE(INDEX($I$402:$I802,402-MA_LONG1):$I802),"")</f>
        <v/>
      </c>
      <c r="Y802" s="48" t="str">
        <f aca="false">IF($U802&gt;=MA_LONG2,AVERAGE(INDEX($I$402:$I802,402-MA_LONG2):$I802),"")</f>
        <v/>
      </c>
      <c r="Z802" s="48" t="str">
        <f aca="false">IF($U802&gt;=MA_SHORT,AVERAGE(INDEX($L$682:$L802,122-MA_SHORT):$L802),"")</f>
        <v/>
      </c>
      <c r="AA802" s="48" t="n">
        <f aca="false">IF($U802=1,$G802-$H802,MAX($G802-$H802,ABS($G802-$I801),ABS($H802-$I801)))</f>
        <v>163</v>
      </c>
      <c r="AB802" s="48" t="n">
        <f aca="false">IF($U802&gt;=ATR_PER,AVERAGE(INDEX($AA$682:$AA802,122-ATR_PER):$AA802),"")</f>
        <v>120.357142857143</v>
      </c>
      <c r="AC802" s="48" t="n">
        <f aca="false">$O802-$P802</f>
        <v>16649157</v>
      </c>
      <c r="AD802" s="48" t="n">
        <f aca="false">$AC802*$I802</f>
        <v>43071369159</v>
      </c>
      <c r="AE802" s="49" t="n">
        <f aca="false">IF($Q802&gt;0,$O802*$I802/$Q802/1000000,"")</f>
        <v>66.3531928363527</v>
      </c>
      <c r="AF802" s="49" t="n">
        <f aca="false">IF($R802&gt;0,$P802*$I802/$R802/1000000,"")</f>
        <v>103.902827648523</v>
      </c>
      <c r="AG802" s="50" t="n">
        <f aca="false">IF(AND(ISNUMBER($AE802),ISNUMBER($AF802),$AF802&gt;0),$AE802/$AF802,"")</f>
        <v>0.638608152809941</v>
      </c>
      <c r="AH802" s="48" t="n">
        <f aca="false">IF($U802&gt;=5,SUM(INDEX($AD$772:$AD802,32-5):$AD802),"")</f>
        <v>-34421885819</v>
      </c>
      <c r="AI802" s="48" t="str">
        <f aca="false">IF($U802&gt;=STRUCT_S,MAX(INDEX($G$652:$G802,152-STRUCT_S):$G802),"")</f>
        <v/>
      </c>
      <c r="AJ802" s="48" t="str">
        <f aca="false">IF($U802&gt;=STRUCT_S,MIN(INDEX($H$652:$H802,152-STRUCT_S):$H802),"")</f>
        <v/>
      </c>
      <c r="AK802" s="48" t="str">
        <f aca="false">IF($U802&gt;=STRUCT_L,MAX(INDEX($G$552:$G802,252-STRUCT_L):$G802),"")</f>
        <v/>
      </c>
      <c r="AL802" s="48" t="str">
        <f aca="false">IF($U802&gt;=STRUCT_L,MIN(INDEX($H$552:$H802,252-STRUCT_L):$H802),"")</f>
        <v/>
      </c>
      <c r="AM802" s="46" t="n">
        <f aca="false">IF($A802&lt;&gt;$A803,1,0)</f>
        <v>0</v>
      </c>
      <c r="AN802" s="47" t="str">
        <f aca="false">IF($AM802=1,$A802,"")</f>
        <v/>
      </c>
    </row>
    <row r="803" customFormat="false" ht="15" hidden="false" customHeight="false" outlineLevel="0" collapsed="false">
      <c r="A803" s="43" t="s">
        <v>147</v>
      </c>
      <c r="B803" s="44" t="s">
        <v>149</v>
      </c>
      <c r="C803" s="45" t="n">
        <v>45930</v>
      </c>
      <c r="D803" s="46" t="n">
        <v>20250930</v>
      </c>
      <c r="E803" s="47" t="s">
        <v>306</v>
      </c>
      <c r="F803" s="48" t="n">
        <v>2606</v>
      </c>
      <c r="G803" s="48" t="n">
        <v>2622</v>
      </c>
      <c r="H803" s="48" t="n">
        <v>2567</v>
      </c>
      <c r="I803" s="48" t="n">
        <v>2602</v>
      </c>
      <c r="J803" s="48" t="n">
        <v>2591</v>
      </c>
      <c r="K803" s="48" t="n">
        <v>2587</v>
      </c>
      <c r="L803" s="48" t="n">
        <v>59255855</v>
      </c>
      <c r="M803" s="48" t="n">
        <v>154183734710</v>
      </c>
      <c r="N803" s="48" t="n">
        <v>1794</v>
      </c>
      <c r="O803" s="48" t="n">
        <v>21367091</v>
      </c>
      <c r="P803" s="48" t="n">
        <v>35673432</v>
      </c>
      <c r="Q803" s="48" t="n">
        <v>1262</v>
      </c>
      <c r="R803" s="48" t="n">
        <v>494</v>
      </c>
      <c r="S803" s="48" t="n">
        <v>37888764</v>
      </c>
      <c r="T803" s="48" t="n">
        <v>23582423</v>
      </c>
      <c r="U803" s="46" t="n">
        <f aca="false">IF($A803=$A802,$U802+1,1)</f>
        <v>19</v>
      </c>
      <c r="V803" s="48" t="str">
        <f aca="false">IF($U803&gt;=MA_SHORT,AVERAGE(INDEX($I$403:$I803,402-MA_SHORT):$I803),"")</f>
        <v/>
      </c>
      <c r="W803" s="48" t="str">
        <f aca="false">IF($U803&gt;=MA_MED,AVERAGE(INDEX($I$403:$I803,402-MA_MED):$I803),"")</f>
        <v/>
      </c>
      <c r="X803" s="48" t="str">
        <f aca="false">IF($U803&gt;=MA_LONG1,AVERAGE(INDEX($I$403:$I803,402-MA_LONG1):$I803),"")</f>
        <v/>
      </c>
      <c r="Y803" s="48" t="str">
        <f aca="false">IF($U803&gt;=MA_LONG2,AVERAGE(INDEX($I$403:$I803,402-MA_LONG2):$I803),"")</f>
        <v/>
      </c>
      <c r="Z803" s="48" t="str">
        <f aca="false">IF($U803&gt;=MA_SHORT,AVERAGE(INDEX($L$683:$L803,122-MA_SHORT):$L803),"")</f>
        <v/>
      </c>
      <c r="AA803" s="48" t="n">
        <f aca="false">IF($U803=1,$G803-$H803,MAX($G803-$H803,ABS($G803-$I802),ABS($H803-$I802)))</f>
        <v>55</v>
      </c>
      <c r="AB803" s="48" t="n">
        <f aca="false">IF($U803&gt;=ATR_PER,AVERAGE(INDEX($AA$683:$AA803,122-ATR_PER):$AA803),"")</f>
        <v>110.928571428571</v>
      </c>
      <c r="AC803" s="48" t="n">
        <f aca="false">$O803-$P803</f>
        <v>-14306341</v>
      </c>
      <c r="AD803" s="48" t="n">
        <f aca="false">$AC803*$I803</f>
        <v>-37225099282</v>
      </c>
      <c r="AE803" s="49" t="n">
        <f aca="false">IF($Q803&gt;0,$O803*$I803/$Q803/1000000,"")</f>
        <v>44.0548104453249</v>
      </c>
      <c r="AF803" s="49" t="n">
        <f aca="false">IF($R803&gt;0,$P803*$I803/$R803/1000000,"")</f>
        <v>187.89933211336</v>
      </c>
      <c r="AG803" s="50" t="n">
        <f aca="false">IF(AND(ISNUMBER($AE803),ISNUMBER($AF803),$AF803&gt;0),$AE803/$AF803,"")</f>
        <v>0.234459643628464</v>
      </c>
      <c r="AH803" s="48" t="n">
        <f aca="false">IF($U803&gt;=5,SUM(INDEX($AD$773:$AD803,32-5):$AD803),"")</f>
        <v>-35765487557</v>
      </c>
      <c r="AI803" s="48" t="str">
        <f aca="false">IF($U803&gt;=STRUCT_S,MAX(INDEX($G$653:$G803,152-STRUCT_S):$G803),"")</f>
        <v/>
      </c>
      <c r="AJ803" s="48" t="str">
        <f aca="false">IF($U803&gt;=STRUCT_S,MIN(INDEX($H$653:$H803,152-STRUCT_S):$H803),"")</f>
        <v/>
      </c>
      <c r="AK803" s="48" t="str">
        <f aca="false">IF($U803&gt;=STRUCT_L,MAX(INDEX($G$553:$G803,252-STRUCT_L):$G803),"")</f>
        <v/>
      </c>
      <c r="AL803" s="48" t="str">
        <f aca="false">IF($U803&gt;=STRUCT_L,MIN(INDEX($H$553:$H803,252-STRUCT_L):$H803),"")</f>
        <v/>
      </c>
      <c r="AM803" s="46" t="n">
        <f aca="false">IF($A803&lt;&gt;$A804,1,0)</f>
        <v>0</v>
      </c>
      <c r="AN803" s="47" t="str">
        <f aca="false">IF($AM803=1,$A803,"")</f>
        <v/>
      </c>
    </row>
    <row r="804" customFormat="false" ht="15" hidden="false" customHeight="false" outlineLevel="0" collapsed="false">
      <c r="A804" s="43" t="s">
        <v>147</v>
      </c>
      <c r="B804" s="44" t="s">
        <v>149</v>
      </c>
      <c r="C804" s="45" t="n">
        <v>45931</v>
      </c>
      <c r="D804" s="46" t="n">
        <v>20251001</v>
      </c>
      <c r="E804" s="47" t="s">
        <v>307</v>
      </c>
      <c r="F804" s="48" t="n">
        <v>2603</v>
      </c>
      <c r="G804" s="48" t="n">
        <v>2675</v>
      </c>
      <c r="H804" s="48" t="n">
        <v>2591</v>
      </c>
      <c r="I804" s="48" t="n">
        <v>2664</v>
      </c>
      <c r="J804" s="48" t="n">
        <v>2611</v>
      </c>
      <c r="K804" s="48" t="n">
        <v>2602</v>
      </c>
      <c r="L804" s="48" t="n">
        <v>65757212</v>
      </c>
      <c r="M804" s="48" t="n">
        <v>175177212768</v>
      </c>
      <c r="N804" s="48" t="n">
        <v>2710</v>
      </c>
      <c r="O804" s="48" t="n">
        <v>31343434</v>
      </c>
      <c r="P804" s="48" t="n">
        <v>38103919</v>
      </c>
      <c r="Q804" s="48" t="n">
        <v>1127</v>
      </c>
      <c r="R804" s="48" t="n">
        <v>863</v>
      </c>
      <c r="S804" s="48" t="n">
        <v>34413778</v>
      </c>
      <c r="T804" s="48" t="n">
        <v>27653293</v>
      </c>
      <c r="U804" s="46" t="n">
        <f aca="false">IF($A804=$A803,$U803+1,1)</f>
        <v>20</v>
      </c>
      <c r="V804" s="48" t="n">
        <f aca="false">IF($U804&gt;=MA_SHORT,AVERAGE(INDEX($I$404:$I804,402-MA_SHORT):$I804),"")</f>
        <v>2447.25</v>
      </c>
      <c r="W804" s="48" t="str">
        <f aca="false">IF($U804&gt;=MA_MED,AVERAGE(INDEX($I$404:$I804,402-MA_MED):$I804),"")</f>
        <v/>
      </c>
      <c r="X804" s="48" t="str">
        <f aca="false">IF($U804&gt;=MA_LONG1,AVERAGE(INDEX($I$404:$I804,402-MA_LONG1):$I804),"")</f>
        <v/>
      </c>
      <c r="Y804" s="48" t="str">
        <f aca="false">IF($U804&gt;=MA_LONG2,AVERAGE(INDEX($I$404:$I804,402-MA_LONG2):$I804),"")</f>
        <v/>
      </c>
      <c r="Z804" s="48" t="n">
        <f aca="false">IF($U804&gt;=MA_SHORT,AVERAGE(INDEX($L$684:$L804,122-MA_SHORT):$L804),"")</f>
        <v>72531077.7</v>
      </c>
      <c r="AA804" s="48" t="n">
        <f aca="false">IF($U804=1,$G804-$H804,MAX($G804-$H804,ABS($G804-$I803),ABS($H804-$I803)))</f>
        <v>84</v>
      </c>
      <c r="AB804" s="48" t="n">
        <f aca="false">IF($U804&gt;=ATR_PER,AVERAGE(INDEX($AA$684:$AA804,122-ATR_PER):$AA804),"")</f>
        <v>113.071428571429</v>
      </c>
      <c r="AC804" s="48" t="n">
        <f aca="false">$O804-$P804</f>
        <v>-6760485</v>
      </c>
      <c r="AD804" s="48" t="n">
        <f aca="false">$AC804*$I804</f>
        <v>-18009932040</v>
      </c>
      <c r="AE804" s="49" t="n">
        <f aca="false">IF($Q804&gt;0,$O804*$I804/$Q804/1000000,"")</f>
        <v>74.0895369795918</v>
      </c>
      <c r="AF804" s="49" t="n">
        <f aca="false">IF($R804&gt;0,$P804*$I804/$R804/1000000,"")</f>
        <v>117.623221571263</v>
      </c>
      <c r="AG804" s="50" t="n">
        <f aca="false">IF(AND(ISNUMBER($AE804),ISNUMBER($AF804),$AF804&gt;0),$AE804/$AF804,"")</f>
        <v>0.629888690259211</v>
      </c>
      <c r="AH804" s="48" t="n">
        <f aca="false">IF($U804&gt;=5,SUM(INDEX($AD$774:$AD804,32-5):$AD804),"")</f>
        <v>-47179168676</v>
      </c>
      <c r="AI804" s="48" t="n">
        <f aca="false">IF($U804&gt;=STRUCT_S,MAX(INDEX($G$654:$G804,152-STRUCT_S):$G804),"")</f>
        <v>2675</v>
      </c>
      <c r="AJ804" s="48" t="n">
        <f aca="false">IF($U804&gt;=STRUCT_S,MIN(INDEX($H$654:$H804,152-STRUCT_S):$H804),"")</f>
        <v>2274</v>
      </c>
      <c r="AK804" s="48" t="str">
        <f aca="false">IF($U804&gt;=STRUCT_L,MAX(INDEX($G$554:$G804,252-STRUCT_L):$G804),"")</f>
        <v/>
      </c>
      <c r="AL804" s="48" t="str">
        <f aca="false">IF($U804&gt;=STRUCT_L,MIN(INDEX($H$554:$H804,252-STRUCT_L):$H804),"")</f>
        <v/>
      </c>
      <c r="AM804" s="46" t="n">
        <f aca="false">IF($A804&lt;&gt;$A805,1,0)</f>
        <v>0</v>
      </c>
      <c r="AN804" s="47" t="str">
        <f aca="false">IF($AM804=1,$A804,"")</f>
        <v/>
      </c>
    </row>
    <row r="805" customFormat="false" ht="15" hidden="false" customHeight="false" outlineLevel="0" collapsed="false">
      <c r="A805" s="43" t="s">
        <v>147</v>
      </c>
      <c r="B805" s="44" t="s">
        <v>149</v>
      </c>
      <c r="C805" s="45" t="n">
        <v>45934</v>
      </c>
      <c r="D805" s="46" t="n">
        <v>20251004</v>
      </c>
      <c r="E805" s="47" t="s">
        <v>308</v>
      </c>
      <c r="F805" s="48" t="n">
        <v>2619</v>
      </c>
      <c r="G805" s="48" t="n">
        <v>2789</v>
      </c>
      <c r="H805" s="48" t="n">
        <v>2519</v>
      </c>
      <c r="I805" s="48" t="n">
        <v>2643</v>
      </c>
      <c r="J805" s="48" t="n">
        <v>2538</v>
      </c>
      <c r="K805" s="48" t="n">
        <v>2664</v>
      </c>
      <c r="L805" s="48" t="n">
        <v>60099866</v>
      </c>
      <c r="M805" s="48" t="n">
        <v>158843945838</v>
      </c>
      <c r="N805" s="48" t="n">
        <v>3757</v>
      </c>
      <c r="O805" s="48" t="n">
        <v>19889357</v>
      </c>
      <c r="P805" s="48" t="n">
        <v>36374867</v>
      </c>
      <c r="Q805" s="48" t="n">
        <v>940</v>
      </c>
      <c r="R805" s="48" t="n">
        <v>2701</v>
      </c>
      <c r="S805" s="48" t="n">
        <v>40210509</v>
      </c>
      <c r="T805" s="48" t="n">
        <v>23724999</v>
      </c>
      <c r="U805" s="46" t="n">
        <f aca="false">IF($A805=$A804,$U804+1,1)</f>
        <v>21</v>
      </c>
      <c r="V805" s="48" t="n">
        <f aca="false">IF($U805&gt;=MA_SHORT,AVERAGE(INDEX($I$405:$I805,402-MA_SHORT):$I805),"")</f>
        <v>2459.95</v>
      </c>
      <c r="W805" s="48" t="str">
        <f aca="false">IF($U805&gt;=MA_MED,AVERAGE(INDEX($I$405:$I805,402-MA_MED):$I805),"")</f>
        <v/>
      </c>
      <c r="X805" s="48" t="str">
        <f aca="false">IF($U805&gt;=MA_LONG1,AVERAGE(INDEX($I$405:$I805,402-MA_LONG1):$I805),"")</f>
        <v/>
      </c>
      <c r="Y805" s="48" t="str">
        <f aca="false">IF($U805&gt;=MA_LONG2,AVERAGE(INDEX($I$405:$I805,402-MA_LONG2):$I805),"")</f>
        <v/>
      </c>
      <c r="Z805" s="48" t="n">
        <f aca="false">IF($U805&gt;=MA_SHORT,AVERAGE(INDEX($L$685:$L805,122-MA_SHORT):$L805),"")</f>
        <v>71431271.25</v>
      </c>
      <c r="AA805" s="48" t="n">
        <f aca="false">IF($U805=1,$G805-$H805,MAX($G805-$H805,ABS($G805-$I804),ABS($H805-$I804)))</f>
        <v>270</v>
      </c>
      <c r="AB805" s="48" t="n">
        <f aca="false">IF($U805&gt;=ATR_PER,AVERAGE(INDEX($AA$685:$AA805,122-ATR_PER):$AA805),"")</f>
        <v>125.142857142857</v>
      </c>
      <c r="AC805" s="48" t="n">
        <f aca="false">$O805-$P805</f>
        <v>-16485510</v>
      </c>
      <c r="AD805" s="48" t="n">
        <f aca="false">$AC805*$I805</f>
        <v>-43571202930</v>
      </c>
      <c r="AE805" s="49" t="n">
        <f aca="false">IF($Q805&gt;0,$O805*$I805/$Q805/1000000,"")</f>
        <v>55.9229473946809</v>
      </c>
      <c r="AF805" s="49" t="n">
        <f aca="false">IF($R805&gt;0,$P805*$I805/$R805/1000000,"")</f>
        <v>35.5937702632358</v>
      </c>
      <c r="AG805" s="50" t="n">
        <f aca="false">IF(AND(ISNUMBER($AE805),ISNUMBER($AF805),$AF805&gt;0),$AE805/$AF805,"")</f>
        <v>1.5711442474652</v>
      </c>
      <c r="AH805" s="48" t="n">
        <f aca="false">IF($U805&gt;=5,SUM(INDEX($AD$775:$AD805,32-5):$AD805),"")</f>
        <v>-87757896340</v>
      </c>
      <c r="AI805" s="48" t="n">
        <f aca="false">IF($U805&gt;=STRUCT_S,MAX(INDEX($G$655:$G805,152-STRUCT_S):$G805),"")</f>
        <v>2789</v>
      </c>
      <c r="AJ805" s="48" t="n">
        <f aca="false">IF($U805&gt;=STRUCT_S,MIN(INDEX($H$655:$H805,152-STRUCT_S):$H805),"")</f>
        <v>2274</v>
      </c>
      <c r="AK805" s="48" t="str">
        <f aca="false">IF($U805&gt;=STRUCT_L,MAX(INDEX($G$555:$G805,252-STRUCT_L):$G805),"")</f>
        <v/>
      </c>
      <c r="AL805" s="48" t="str">
        <f aca="false">IF($U805&gt;=STRUCT_L,MIN(INDEX($H$555:$H805,252-STRUCT_L):$H805),"")</f>
        <v/>
      </c>
      <c r="AM805" s="46" t="n">
        <f aca="false">IF($A805&lt;&gt;$A806,1,0)</f>
        <v>0</v>
      </c>
      <c r="AN805" s="47" t="str">
        <f aca="false">IF($AM805=1,$A805,"")</f>
        <v/>
      </c>
    </row>
    <row r="806" customFormat="false" ht="15" hidden="false" customHeight="false" outlineLevel="0" collapsed="false">
      <c r="A806" s="43" t="s">
        <v>147</v>
      </c>
      <c r="B806" s="44" t="s">
        <v>149</v>
      </c>
      <c r="C806" s="45" t="n">
        <v>45935</v>
      </c>
      <c r="D806" s="46" t="n">
        <v>20251005</v>
      </c>
      <c r="E806" s="47" t="s">
        <v>309</v>
      </c>
      <c r="F806" s="48" t="n">
        <v>2675</v>
      </c>
      <c r="G806" s="48" t="n">
        <v>2681</v>
      </c>
      <c r="H806" s="48" t="n">
        <v>2622</v>
      </c>
      <c r="I806" s="48" t="n">
        <v>2660</v>
      </c>
      <c r="J806" s="48" t="n">
        <v>2650</v>
      </c>
      <c r="K806" s="48" t="n">
        <v>2643</v>
      </c>
      <c r="L806" s="48" t="n">
        <v>59473638</v>
      </c>
      <c r="M806" s="48" t="n">
        <v>158199877080</v>
      </c>
      <c r="N806" s="48" t="n">
        <v>2003</v>
      </c>
      <c r="O806" s="48" t="n">
        <v>26268481</v>
      </c>
      <c r="P806" s="48" t="n">
        <v>31927894</v>
      </c>
      <c r="Q806" s="48" t="n">
        <v>939</v>
      </c>
      <c r="R806" s="48" t="n">
        <v>509</v>
      </c>
      <c r="S806" s="48" t="n">
        <v>33205157</v>
      </c>
      <c r="T806" s="48" t="n">
        <v>27545744</v>
      </c>
      <c r="U806" s="46" t="n">
        <f aca="false">IF($A806=$A805,$U805+1,1)</f>
        <v>22</v>
      </c>
      <c r="V806" s="48" t="n">
        <f aca="false">IF($U806&gt;=MA_SHORT,AVERAGE(INDEX($I$406:$I806,402-MA_SHORT):$I806),"")</f>
        <v>2471.35</v>
      </c>
      <c r="W806" s="48" t="str">
        <f aca="false">IF($U806&gt;=MA_MED,AVERAGE(INDEX($I$406:$I806,402-MA_MED):$I806),"")</f>
        <v/>
      </c>
      <c r="X806" s="48" t="str">
        <f aca="false">IF($U806&gt;=MA_LONG1,AVERAGE(INDEX($I$406:$I806,402-MA_LONG1):$I806),"")</f>
        <v/>
      </c>
      <c r="Y806" s="48" t="str">
        <f aca="false">IF($U806&gt;=MA_LONG2,AVERAGE(INDEX($I$406:$I806,402-MA_LONG2):$I806),"")</f>
        <v/>
      </c>
      <c r="Z806" s="48" t="n">
        <f aca="false">IF($U806&gt;=MA_SHORT,AVERAGE(INDEX($L$686:$L806,122-MA_SHORT):$L806),"")</f>
        <v>70580277.25</v>
      </c>
      <c r="AA806" s="48" t="n">
        <f aca="false">IF($U806=1,$G806-$H806,MAX($G806-$H806,ABS($G806-$I805),ABS($H806-$I805)))</f>
        <v>59</v>
      </c>
      <c r="AB806" s="48" t="n">
        <f aca="false">IF($U806&gt;=ATR_PER,AVERAGE(INDEX($AA$686:$AA806,122-ATR_PER):$AA806),"")</f>
        <v>118.785714285714</v>
      </c>
      <c r="AC806" s="48" t="n">
        <f aca="false">$O806-$P806</f>
        <v>-5659413</v>
      </c>
      <c r="AD806" s="48" t="n">
        <f aca="false">$AC806*$I806</f>
        <v>-15054038580</v>
      </c>
      <c r="AE806" s="49" t="n">
        <f aca="false">IF($Q806&gt;0,$O806*$I806/$Q806/1000000,"")</f>
        <v>74.4133753567625</v>
      </c>
      <c r="AF806" s="49" t="n">
        <f aca="false">IF($R806&gt;0,$P806*$I806/$R806/1000000,"")</f>
        <v>166.853041335953</v>
      </c>
      <c r="AG806" s="50" t="n">
        <f aca="false">IF(AND(ISNUMBER($AE806),ISNUMBER($AF806),$AF806&gt;0),$AE806/$AF806,"")</f>
        <v>0.445981534174938</v>
      </c>
      <c r="AH806" s="48" t="n">
        <f aca="false">IF($U806&gt;=5,SUM(INDEX($AD$776:$AD806,32-5):$AD806),"")</f>
        <v>-70788903673</v>
      </c>
      <c r="AI806" s="48" t="n">
        <f aca="false">IF($U806&gt;=STRUCT_S,MAX(INDEX($G$656:$G806,152-STRUCT_S):$G806),"")</f>
        <v>2789</v>
      </c>
      <c r="AJ806" s="48" t="n">
        <f aca="false">IF($U806&gt;=STRUCT_S,MIN(INDEX($H$656:$H806,152-STRUCT_S):$H806),"")</f>
        <v>2274</v>
      </c>
      <c r="AK806" s="48" t="str">
        <f aca="false">IF($U806&gt;=STRUCT_L,MAX(INDEX($G$556:$G806,252-STRUCT_L):$G806),"")</f>
        <v/>
      </c>
      <c r="AL806" s="48" t="str">
        <f aca="false">IF($U806&gt;=STRUCT_L,MIN(INDEX($H$556:$H806,252-STRUCT_L):$H806),"")</f>
        <v/>
      </c>
      <c r="AM806" s="46" t="n">
        <f aca="false">IF($A806&lt;&gt;$A807,1,0)</f>
        <v>0</v>
      </c>
      <c r="AN806" s="47" t="str">
        <f aca="false">IF($AM806=1,$A806,"")</f>
        <v/>
      </c>
    </row>
    <row r="807" customFormat="false" ht="15" hidden="false" customHeight="false" outlineLevel="0" collapsed="false">
      <c r="A807" s="43" t="s">
        <v>147</v>
      </c>
      <c r="B807" s="44" t="s">
        <v>149</v>
      </c>
      <c r="C807" s="45" t="n">
        <v>45936</v>
      </c>
      <c r="D807" s="46" t="n">
        <v>20251006</v>
      </c>
      <c r="E807" s="47" t="s">
        <v>310</v>
      </c>
      <c r="F807" s="48" t="n">
        <v>2721</v>
      </c>
      <c r="G807" s="48" t="n">
        <v>2739</v>
      </c>
      <c r="H807" s="48" t="n">
        <v>2622</v>
      </c>
      <c r="I807" s="48" t="n">
        <v>2700</v>
      </c>
      <c r="J807" s="48" t="n">
        <v>2648</v>
      </c>
      <c r="K807" s="48" t="n">
        <v>2660</v>
      </c>
      <c r="L807" s="48" t="n">
        <v>110424019</v>
      </c>
      <c r="M807" s="48" t="n">
        <v>298144851300</v>
      </c>
      <c r="N807" s="48" t="n">
        <v>5209</v>
      </c>
      <c r="O807" s="48" t="n">
        <v>51844634</v>
      </c>
      <c r="P807" s="48" t="n">
        <v>58754663</v>
      </c>
      <c r="Q807" s="48" t="n">
        <v>3702</v>
      </c>
      <c r="R807" s="48" t="n">
        <v>1565</v>
      </c>
      <c r="S807" s="48" t="n">
        <v>58579385</v>
      </c>
      <c r="T807" s="48" t="n">
        <v>51669356</v>
      </c>
      <c r="U807" s="46" t="n">
        <f aca="false">IF($A807=$A806,$U806+1,1)</f>
        <v>23</v>
      </c>
      <c r="V807" s="48" t="n">
        <f aca="false">IF($U807&gt;=MA_SHORT,AVERAGE(INDEX($I$407:$I807,402-MA_SHORT):$I807),"")</f>
        <v>2482.35</v>
      </c>
      <c r="W807" s="48" t="str">
        <f aca="false">IF($U807&gt;=MA_MED,AVERAGE(INDEX($I$407:$I807,402-MA_MED):$I807),"")</f>
        <v/>
      </c>
      <c r="X807" s="48" t="str">
        <f aca="false">IF($U807&gt;=MA_LONG1,AVERAGE(INDEX($I$407:$I807,402-MA_LONG1):$I807),"")</f>
        <v/>
      </c>
      <c r="Y807" s="48" t="str">
        <f aca="false">IF($U807&gt;=MA_LONG2,AVERAGE(INDEX($I$407:$I807,402-MA_LONG2):$I807),"")</f>
        <v/>
      </c>
      <c r="Z807" s="48" t="n">
        <f aca="false">IF($U807&gt;=MA_SHORT,AVERAGE(INDEX($L$687:$L807,122-MA_SHORT):$L807),"")</f>
        <v>71269078.7</v>
      </c>
      <c r="AA807" s="48" t="n">
        <f aca="false">IF($U807=1,$G807-$H807,MAX($G807-$H807,ABS($G807-$I806),ABS($H807-$I806)))</f>
        <v>117</v>
      </c>
      <c r="AB807" s="48" t="n">
        <f aca="false">IF($U807&gt;=ATR_PER,AVERAGE(INDEX($AA$687:$AA807,122-ATR_PER):$AA807),"")</f>
        <v>122.857142857143</v>
      </c>
      <c r="AC807" s="48" t="n">
        <f aca="false">$O807-$P807</f>
        <v>-6910029</v>
      </c>
      <c r="AD807" s="48" t="n">
        <f aca="false">$AC807*$I807</f>
        <v>-18657078300</v>
      </c>
      <c r="AE807" s="49" t="n">
        <f aca="false">IF($Q807&gt;0,$O807*$I807/$Q807/1000000,"")</f>
        <v>37.8121317666126</v>
      </c>
      <c r="AF807" s="49" t="n">
        <f aca="false">IF($R807&gt;0,$P807*$I807/$R807/1000000,"")</f>
        <v>101.365872268371</v>
      </c>
      <c r="AG807" s="50" t="n">
        <f aca="false">IF(AND(ISNUMBER($AE807),ISNUMBER($AF807),$AF807&gt;0),$AE807/$AF807,"")</f>
        <v>0.373026255488665</v>
      </c>
      <c r="AH807" s="48" t="n">
        <f aca="false">IF($U807&gt;=5,SUM(INDEX($AD$777:$AD807,32-5):$AD807),"")</f>
        <v>-132517351132</v>
      </c>
      <c r="AI807" s="48" t="n">
        <f aca="false">IF($U807&gt;=STRUCT_S,MAX(INDEX($G$657:$G807,152-STRUCT_S):$G807),"")</f>
        <v>2789</v>
      </c>
      <c r="AJ807" s="48" t="n">
        <f aca="false">IF($U807&gt;=STRUCT_S,MIN(INDEX($H$657:$H807,152-STRUCT_S):$H807),"")</f>
        <v>2274</v>
      </c>
      <c r="AK807" s="48" t="str">
        <f aca="false">IF($U807&gt;=STRUCT_L,MAX(INDEX($G$557:$G807,252-STRUCT_L):$G807),"")</f>
        <v/>
      </c>
      <c r="AL807" s="48" t="str">
        <f aca="false">IF($U807&gt;=STRUCT_L,MIN(INDEX($H$557:$H807,252-STRUCT_L):$H807),"")</f>
        <v/>
      </c>
      <c r="AM807" s="46" t="n">
        <f aca="false">IF($A807&lt;&gt;$A808,1,0)</f>
        <v>0</v>
      </c>
      <c r="AN807" s="47" t="str">
        <f aca="false">IF($AM807=1,$A807,"")</f>
        <v/>
      </c>
    </row>
    <row r="808" customFormat="false" ht="15" hidden="false" customHeight="false" outlineLevel="0" collapsed="false">
      <c r="A808" s="43" t="s">
        <v>147</v>
      </c>
      <c r="B808" s="44" t="s">
        <v>149</v>
      </c>
      <c r="C808" s="45" t="n">
        <v>45937</v>
      </c>
      <c r="D808" s="46" t="n">
        <v>20251007</v>
      </c>
      <c r="E808" s="47" t="s">
        <v>311</v>
      </c>
      <c r="F808" s="48" t="n">
        <v>2779</v>
      </c>
      <c r="G808" s="48" t="n">
        <v>2804</v>
      </c>
      <c r="H808" s="48" t="n">
        <v>2680</v>
      </c>
      <c r="I808" s="48" t="n">
        <v>2783</v>
      </c>
      <c r="J808" s="48" t="n">
        <v>2725</v>
      </c>
      <c r="K808" s="48" t="n">
        <v>2700</v>
      </c>
      <c r="L808" s="48" t="n">
        <v>67825658</v>
      </c>
      <c r="M808" s="48" t="n">
        <v>188758806214</v>
      </c>
      <c r="N808" s="48" t="n">
        <v>3213</v>
      </c>
      <c r="O808" s="48" t="n">
        <v>38415522</v>
      </c>
      <c r="P808" s="48" t="n">
        <v>30693867</v>
      </c>
      <c r="Q808" s="48" t="n">
        <v>1651</v>
      </c>
      <c r="R808" s="48" t="n">
        <v>1285</v>
      </c>
      <c r="S808" s="48" t="n">
        <v>29410136</v>
      </c>
      <c r="T808" s="48" t="n">
        <v>37131791</v>
      </c>
      <c r="U808" s="46" t="n">
        <f aca="false">IF($A808=$A807,$U807+1,1)</f>
        <v>24</v>
      </c>
      <c r="V808" s="48" t="n">
        <f aca="false">IF($U808&gt;=MA_SHORT,AVERAGE(INDEX($I$408:$I808,402-MA_SHORT):$I808),"")</f>
        <v>2498.5</v>
      </c>
      <c r="W808" s="48" t="str">
        <f aca="false">IF($U808&gt;=MA_MED,AVERAGE(INDEX($I$408:$I808,402-MA_MED):$I808),"")</f>
        <v/>
      </c>
      <c r="X808" s="48" t="str">
        <f aca="false">IF($U808&gt;=MA_LONG1,AVERAGE(INDEX($I$408:$I808,402-MA_LONG1):$I808),"")</f>
        <v/>
      </c>
      <c r="Y808" s="48" t="str">
        <f aca="false">IF($U808&gt;=MA_LONG2,AVERAGE(INDEX($I$408:$I808,402-MA_LONG2):$I808),"")</f>
        <v/>
      </c>
      <c r="Z808" s="48" t="n">
        <f aca="false">IF($U808&gt;=MA_SHORT,AVERAGE(INDEX($L$688:$L808,122-MA_SHORT):$L808),"")</f>
        <v>71658635.95</v>
      </c>
      <c r="AA808" s="48" t="n">
        <f aca="false">IF($U808=1,$G808-$H808,MAX($G808-$H808,ABS($G808-$I807),ABS($H808-$I807)))</f>
        <v>124</v>
      </c>
      <c r="AB808" s="48" t="n">
        <f aca="false">IF($U808&gt;=ATR_PER,AVERAGE(INDEX($AA$688:$AA808,122-ATR_PER):$AA808),"")</f>
        <v>121.571428571429</v>
      </c>
      <c r="AC808" s="48" t="n">
        <f aca="false">$O808-$P808</f>
        <v>7721655</v>
      </c>
      <c r="AD808" s="48" t="n">
        <f aca="false">$AC808*$I808</f>
        <v>21489365865</v>
      </c>
      <c r="AE808" s="49" t="n">
        <f aca="false">IF($Q808&gt;0,$O808*$I808/$Q808/1000000,"")</f>
        <v>64.7549350248334</v>
      </c>
      <c r="AF808" s="49" t="n">
        <f aca="false">IF($R808&gt;0,$P808*$I808/$R808/1000000,"")</f>
        <v>66.4755111758755</v>
      </c>
      <c r="AG808" s="50" t="n">
        <f aca="false">IF(AND(ISNUMBER($AE808),ISNUMBER($AF808),$AF808&gt;0),$AE808/$AF808,"")</f>
        <v>0.974117142980821</v>
      </c>
      <c r="AH808" s="48" t="n">
        <f aca="false">IF($U808&gt;=5,SUM(INDEX($AD$778:$AD808,32-5):$AD808),"")</f>
        <v>-73802885985</v>
      </c>
      <c r="AI808" s="48" t="n">
        <f aca="false">IF($U808&gt;=STRUCT_S,MAX(INDEX($G$658:$G808,152-STRUCT_S):$G808),"")</f>
        <v>2804</v>
      </c>
      <c r="AJ808" s="48" t="n">
        <f aca="false">IF($U808&gt;=STRUCT_S,MIN(INDEX($H$658:$H808,152-STRUCT_S):$H808),"")</f>
        <v>2274</v>
      </c>
      <c r="AK808" s="48" t="str">
        <f aca="false">IF($U808&gt;=STRUCT_L,MAX(INDEX($G$558:$G808,252-STRUCT_L):$G808),"")</f>
        <v/>
      </c>
      <c r="AL808" s="48" t="str">
        <f aca="false">IF($U808&gt;=STRUCT_L,MIN(INDEX($H$558:$H808,252-STRUCT_L):$H808),"")</f>
        <v/>
      </c>
      <c r="AM808" s="46" t="n">
        <f aca="false">IF($A808&lt;&gt;$A809,1,0)</f>
        <v>0</v>
      </c>
      <c r="AN808" s="47" t="str">
        <f aca="false">IF($AM808=1,$A808,"")</f>
        <v/>
      </c>
    </row>
    <row r="809" customFormat="false" ht="15" hidden="false" customHeight="false" outlineLevel="0" collapsed="false">
      <c r="A809" s="43" t="s">
        <v>147</v>
      </c>
      <c r="B809" s="44" t="s">
        <v>149</v>
      </c>
      <c r="C809" s="45" t="n">
        <v>45938</v>
      </c>
      <c r="D809" s="46" t="n">
        <v>20251008</v>
      </c>
      <c r="E809" s="47" t="s">
        <v>312</v>
      </c>
      <c r="F809" s="48" t="n">
        <v>2845</v>
      </c>
      <c r="G809" s="48" t="n">
        <v>2911</v>
      </c>
      <c r="H809" s="48" t="n">
        <v>2744</v>
      </c>
      <c r="I809" s="48" t="n">
        <v>2870</v>
      </c>
      <c r="J809" s="48" t="n">
        <v>2783</v>
      </c>
      <c r="K809" s="48" t="n">
        <v>2783</v>
      </c>
      <c r="L809" s="48" t="n">
        <v>82286325</v>
      </c>
      <c r="M809" s="48" t="n">
        <v>236161752750</v>
      </c>
      <c r="N809" s="48" t="n">
        <v>2150</v>
      </c>
      <c r="O809" s="48" t="n">
        <v>39587602</v>
      </c>
      <c r="P809" s="48" t="n">
        <v>39187163</v>
      </c>
      <c r="Q809" s="48" t="n">
        <v>1359</v>
      </c>
      <c r="R809" s="48" t="n">
        <v>794</v>
      </c>
      <c r="S809" s="48" t="n">
        <v>42698723</v>
      </c>
      <c r="T809" s="48" t="n">
        <v>43099162</v>
      </c>
      <c r="U809" s="46" t="n">
        <f aca="false">IF($A809=$A808,$U808+1,1)</f>
        <v>25</v>
      </c>
      <c r="V809" s="48" t="n">
        <f aca="false">IF($U809&gt;=MA_SHORT,AVERAGE(INDEX($I$409:$I809,402-MA_SHORT):$I809),"")</f>
        <v>2519.85</v>
      </c>
      <c r="W809" s="48" t="str">
        <f aca="false">IF($U809&gt;=MA_MED,AVERAGE(INDEX($I$409:$I809,402-MA_MED):$I809),"")</f>
        <v/>
      </c>
      <c r="X809" s="48" t="str">
        <f aca="false">IF($U809&gt;=MA_LONG1,AVERAGE(INDEX($I$409:$I809,402-MA_LONG1):$I809),"")</f>
        <v/>
      </c>
      <c r="Y809" s="48" t="str">
        <f aca="false">IF($U809&gt;=MA_LONG2,AVERAGE(INDEX($I$409:$I809,402-MA_LONG2):$I809),"")</f>
        <v/>
      </c>
      <c r="Z809" s="48" t="n">
        <f aca="false">IF($U809&gt;=MA_SHORT,AVERAGE(INDEX($L$689:$L809,122-MA_SHORT):$L809),"")</f>
        <v>72563476.45</v>
      </c>
      <c r="AA809" s="48" t="n">
        <f aca="false">IF($U809=1,$G809-$H809,MAX($G809-$H809,ABS($G809-$I808),ABS($H809-$I808)))</f>
        <v>167</v>
      </c>
      <c r="AB809" s="48" t="n">
        <f aca="false">IF($U809&gt;=ATR_PER,AVERAGE(INDEX($AA$689:$AA809,122-ATR_PER):$AA809),"")</f>
        <v>126.785714285714</v>
      </c>
      <c r="AC809" s="48" t="n">
        <f aca="false">$O809-$P809</f>
        <v>400439</v>
      </c>
      <c r="AD809" s="48" t="n">
        <f aca="false">$AC809*$I809</f>
        <v>1149259930</v>
      </c>
      <c r="AE809" s="49" t="n">
        <f aca="false">IF($Q809&gt;0,$O809*$I809/$Q809/1000000,"")</f>
        <v>83.6029563944077</v>
      </c>
      <c r="AF809" s="49" t="n">
        <f aca="false">IF($R809&gt;0,$P809*$I809/$R809/1000000,"")</f>
        <v>141.646294471033</v>
      </c>
      <c r="AG809" s="50" t="n">
        <f aca="false">IF(AND(ISNUMBER($AE809),ISNUMBER($AF809),$AF809&gt;0),$AE809/$AF809,"")</f>
        <v>0.590223392052835</v>
      </c>
      <c r="AH809" s="48" t="n">
        <f aca="false">IF($U809&gt;=5,SUM(INDEX($AD$779:$AD809,32-5):$AD809),"")</f>
        <v>-54643694015</v>
      </c>
      <c r="AI809" s="48" t="n">
        <f aca="false">IF($U809&gt;=STRUCT_S,MAX(INDEX($G$659:$G809,152-STRUCT_S):$G809),"")</f>
        <v>2911</v>
      </c>
      <c r="AJ809" s="48" t="n">
        <f aca="false">IF($U809&gt;=STRUCT_S,MIN(INDEX($H$659:$H809,152-STRUCT_S):$H809),"")</f>
        <v>2274</v>
      </c>
      <c r="AK809" s="48" t="str">
        <f aca="false">IF($U809&gt;=STRUCT_L,MAX(INDEX($G$559:$G809,252-STRUCT_L):$G809),"")</f>
        <v/>
      </c>
      <c r="AL809" s="48" t="str">
        <f aca="false">IF($U809&gt;=STRUCT_L,MIN(INDEX($H$559:$H809,252-STRUCT_L):$H809),"")</f>
        <v/>
      </c>
      <c r="AM809" s="46" t="n">
        <f aca="false">IF($A809&lt;&gt;$A810,1,0)</f>
        <v>0</v>
      </c>
      <c r="AN809" s="47" t="str">
        <f aca="false">IF($AM809=1,$A809,"")</f>
        <v/>
      </c>
    </row>
    <row r="810" customFormat="false" ht="15" hidden="false" customHeight="false" outlineLevel="0" collapsed="false">
      <c r="A810" s="43" t="s">
        <v>147</v>
      </c>
      <c r="B810" s="44" t="s">
        <v>149</v>
      </c>
      <c r="C810" s="45" t="n">
        <v>45941</v>
      </c>
      <c r="D810" s="46" t="n">
        <v>20251011</v>
      </c>
      <c r="E810" s="47" t="s">
        <v>313</v>
      </c>
      <c r="F810" s="48" t="n">
        <v>2863</v>
      </c>
      <c r="G810" s="48" t="n">
        <v>2886</v>
      </c>
      <c r="H810" s="48" t="n">
        <v>2857</v>
      </c>
      <c r="I810" s="48" t="n">
        <v>2873</v>
      </c>
      <c r="J810" s="48" t="n">
        <v>2885</v>
      </c>
      <c r="K810" s="48" t="n">
        <v>2870</v>
      </c>
      <c r="L810" s="48" t="n">
        <v>62937092</v>
      </c>
      <c r="M810" s="48" t="n">
        <v>180818265316</v>
      </c>
      <c r="N810" s="48" t="n">
        <v>1916</v>
      </c>
      <c r="O810" s="48" t="n">
        <v>28079468</v>
      </c>
      <c r="P810" s="48" t="n">
        <v>33940888</v>
      </c>
      <c r="Q810" s="48" t="n">
        <v>758</v>
      </c>
      <c r="R810" s="48" t="n">
        <v>637</v>
      </c>
      <c r="S810" s="48" t="n">
        <v>34857624</v>
      </c>
      <c r="T810" s="48" t="n">
        <v>28996204</v>
      </c>
      <c r="U810" s="46" t="n">
        <f aca="false">IF($A810=$A809,$U809+1,1)</f>
        <v>26</v>
      </c>
      <c r="V810" s="48" t="n">
        <f aca="false">IF($U810&gt;=MA_SHORT,AVERAGE(INDEX($I$410:$I810,402-MA_SHORT):$I810),"")</f>
        <v>2541.75</v>
      </c>
      <c r="W810" s="48" t="str">
        <f aca="false">IF($U810&gt;=MA_MED,AVERAGE(INDEX($I$410:$I810,402-MA_MED):$I810),"")</f>
        <v/>
      </c>
      <c r="X810" s="48" t="str">
        <f aca="false">IF($U810&gt;=MA_LONG1,AVERAGE(INDEX($I$410:$I810,402-MA_LONG1):$I810),"")</f>
        <v/>
      </c>
      <c r="Y810" s="48" t="str">
        <f aca="false">IF($U810&gt;=MA_LONG2,AVERAGE(INDEX($I$410:$I810,402-MA_LONG2):$I810),"")</f>
        <v/>
      </c>
      <c r="Z810" s="48" t="n">
        <f aca="false">IF($U810&gt;=MA_SHORT,AVERAGE(INDEX($L$690:$L810,122-MA_SHORT):$L810),"")</f>
        <v>72790890.8</v>
      </c>
      <c r="AA810" s="48" t="n">
        <f aca="false">IF($U810=1,$G810-$H810,MAX($G810-$H810,ABS($G810-$I809),ABS($H810-$I809)))</f>
        <v>29</v>
      </c>
      <c r="AB810" s="48" t="n">
        <f aca="false">IF($U810&gt;=ATR_PER,AVERAGE(INDEX($AA$690:$AA810,122-ATR_PER):$AA810),"")</f>
        <v>122.214285714286</v>
      </c>
      <c r="AC810" s="48" t="n">
        <f aca="false">$O810-$P810</f>
        <v>-5861420</v>
      </c>
      <c r="AD810" s="48" t="n">
        <f aca="false">$AC810*$I810</f>
        <v>-16839859660</v>
      </c>
      <c r="AE810" s="49" t="n">
        <f aca="false">IF($Q810&gt;0,$O810*$I810/$Q810/1000000,"")</f>
        <v>106.427851667546</v>
      </c>
      <c r="AF810" s="49" t="n">
        <f aca="false">IF($R810&gt;0,$P810*$I810/$R810/1000000,"")</f>
        <v>153.080331591837</v>
      </c>
      <c r="AG810" s="50" t="n">
        <f aca="false">IF(AND(ISNUMBER($AE810),ISNUMBER($AF810),$AF810&gt;0),$AE810/$AF810,"")</f>
        <v>0.695241841723458</v>
      </c>
      <c r="AH810" s="48" t="n">
        <f aca="false">IF($U810&gt;=5,SUM(INDEX($AD$780:$AD810,32-5):$AD810),"")</f>
        <v>-27912350745</v>
      </c>
      <c r="AI810" s="48" t="n">
        <f aca="false">IF($U810&gt;=STRUCT_S,MAX(INDEX($G$660:$G810,152-STRUCT_S):$G810),"")</f>
        <v>2911</v>
      </c>
      <c r="AJ810" s="48" t="n">
        <f aca="false">IF($U810&gt;=STRUCT_S,MIN(INDEX($H$660:$H810,152-STRUCT_S):$H810),"")</f>
        <v>2274</v>
      </c>
      <c r="AK810" s="48" t="str">
        <f aca="false">IF($U810&gt;=STRUCT_L,MAX(INDEX($G$560:$G810,252-STRUCT_L):$G810),"")</f>
        <v/>
      </c>
      <c r="AL810" s="48" t="str">
        <f aca="false">IF($U810&gt;=STRUCT_L,MIN(INDEX($H$560:$H810,252-STRUCT_L):$H810),"")</f>
        <v/>
      </c>
      <c r="AM810" s="46" t="n">
        <f aca="false">IF($A810&lt;&gt;$A811,1,0)</f>
        <v>0</v>
      </c>
      <c r="AN810" s="47" t="str">
        <f aca="false">IF($AM810=1,$A810,"")</f>
        <v/>
      </c>
    </row>
    <row r="811" customFormat="false" ht="15" hidden="false" customHeight="false" outlineLevel="0" collapsed="false">
      <c r="A811" s="43" t="s">
        <v>147</v>
      </c>
      <c r="B811" s="44" t="s">
        <v>149</v>
      </c>
      <c r="C811" s="45" t="n">
        <v>45942</v>
      </c>
      <c r="D811" s="46" t="n">
        <v>20251012</v>
      </c>
      <c r="E811" s="47" t="s">
        <v>314</v>
      </c>
      <c r="F811" s="48" t="n">
        <v>2961</v>
      </c>
      <c r="G811" s="48" t="n">
        <v>2966</v>
      </c>
      <c r="H811" s="48" t="n">
        <v>2824</v>
      </c>
      <c r="I811" s="48" t="n">
        <v>2916</v>
      </c>
      <c r="J811" s="48" t="n">
        <v>2881</v>
      </c>
      <c r="K811" s="48" t="n">
        <v>2873</v>
      </c>
      <c r="L811" s="48" t="n">
        <v>84711771</v>
      </c>
      <c r="M811" s="48" t="n">
        <v>247019524236</v>
      </c>
      <c r="N811" s="48" t="n">
        <v>5850</v>
      </c>
      <c r="O811" s="48" t="n">
        <v>47818464</v>
      </c>
      <c r="P811" s="48" t="n">
        <v>35834837</v>
      </c>
      <c r="Q811" s="48" t="n">
        <v>4158</v>
      </c>
      <c r="R811" s="48" t="n">
        <v>1501</v>
      </c>
      <c r="S811" s="48" t="n">
        <v>36893307</v>
      </c>
      <c r="T811" s="48" t="n">
        <v>48876934</v>
      </c>
      <c r="U811" s="46" t="n">
        <f aca="false">IF($A811=$A810,$U810+1,1)</f>
        <v>27</v>
      </c>
      <c r="V811" s="48" t="n">
        <f aca="false">IF($U811&gt;=MA_SHORT,AVERAGE(INDEX($I$411:$I811,402-MA_SHORT):$I811),"")</f>
        <v>2564.55</v>
      </c>
      <c r="W811" s="48" t="str">
        <f aca="false">IF($U811&gt;=MA_MED,AVERAGE(INDEX($I$411:$I811,402-MA_MED):$I811),"")</f>
        <v/>
      </c>
      <c r="X811" s="48" t="str">
        <f aca="false">IF($U811&gt;=MA_LONG1,AVERAGE(INDEX($I$411:$I811,402-MA_LONG1):$I811),"")</f>
        <v/>
      </c>
      <c r="Y811" s="48" t="str">
        <f aca="false">IF($U811&gt;=MA_LONG2,AVERAGE(INDEX($I$411:$I811,402-MA_LONG2):$I811),"")</f>
        <v/>
      </c>
      <c r="Z811" s="48" t="n">
        <f aca="false">IF($U811&gt;=MA_SHORT,AVERAGE(INDEX($L$691:$L811,122-MA_SHORT):$L811),"")</f>
        <v>73348941.1</v>
      </c>
      <c r="AA811" s="48" t="n">
        <f aca="false">IF($U811=1,$G811-$H811,MAX($G811-$H811,ABS($G811-$I810),ABS($H811-$I810)))</f>
        <v>142</v>
      </c>
      <c r="AB811" s="48" t="n">
        <f aca="false">IF($U811&gt;=ATR_PER,AVERAGE(INDEX($AA$691:$AA811,122-ATR_PER):$AA811),"")</f>
        <v>124.285714285714</v>
      </c>
      <c r="AC811" s="48" t="n">
        <f aca="false">$O811-$P811</f>
        <v>11983627</v>
      </c>
      <c r="AD811" s="48" t="n">
        <f aca="false">$AC811*$I811</f>
        <v>34944256332</v>
      </c>
      <c r="AE811" s="49" t="n">
        <f aca="false">IF($Q811&gt;0,$O811*$I811/$Q811/1000000,"")</f>
        <v>33.5350267012987</v>
      </c>
      <c r="AF811" s="49" t="n">
        <f aca="false">IF($R811&gt;0,$P811*$I811/$R811/1000000,"")</f>
        <v>69.6165121199201</v>
      </c>
      <c r="AG811" s="50" t="n">
        <f aca="false">IF(AND(ISNUMBER($AE811),ISNUMBER($AF811),$AF811&gt;0),$AE811/$AF811,"")</f>
        <v>0.48171081371517</v>
      </c>
      <c r="AH811" s="48" t="n">
        <f aca="false">IF($U811&gt;=5,SUM(INDEX($AD$781:$AD811,32-5):$AD811),"")</f>
        <v>22085944167</v>
      </c>
      <c r="AI811" s="48" t="n">
        <f aca="false">IF($U811&gt;=STRUCT_S,MAX(INDEX($G$661:$G811,152-STRUCT_S):$G811),"")</f>
        <v>2966</v>
      </c>
      <c r="AJ811" s="48" t="n">
        <f aca="false">IF($U811&gt;=STRUCT_S,MIN(INDEX($H$661:$H811,152-STRUCT_S):$H811),"")</f>
        <v>2274</v>
      </c>
      <c r="AK811" s="48" t="str">
        <f aca="false">IF($U811&gt;=STRUCT_L,MAX(INDEX($G$561:$G811,252-STRUCT_L):$G811),"")</f>
        <v/>
      </c>
      <c r="AL811" s="48" t="str">
        <f aca="false">IF($U811&gt;=STRUCT_L,MIN(INDEX($H$561:$H811,252-STRUCT_L):$H811),"")</f>
        <v/>
      </c>
      <c r="AM811" s="46" t="n">
        <f aca="false">IF($A811&lt;&gt;$A812,1,0)</f>
        <v>0</v>
      </c>
      <c r="AN811" s="47" t="str">
        <f aca="false">IF($AM811=1,$A811,"")</f>
        <v/>
      </c>
    </row>
    <row r="812" customFormat="false" ht="15" hidden="false" customHeight="false" outlineLevel="0" collapsed="false">
      <c r="A812" s="43" t="s">
        <v>147</v>
      </c>
      <c r="B812" s="44" t="s">
        <v>149</v>
      </c>
      <c r="C812" s="45" t="n">
        <v>45943</v>
      </c>
      <c r="D812" s="46" t="n">
        <v>20251013</v>
      </c>
      <c r="E812" s="47" t="s">
        <v>315</v>
      </c>
      <c r="F812" s="48" t="n">
        <v>2996</v>
      </c>
      <c r="G812" s="48" t="n">
        <v>3046</v>
      </c>
      <c r="H812" s="48" t="n">
        <v>2888</v>
      </c>
      <c r="I812" s="48" t="n">
        <v>3017</v>
      </c>
      <c r="J812" s="48" t="n">
        <v>2918</v>
      </c>
      <c r="K812" s="48" t="n">
        <v>2916</v>
      </c>
      <c r="L812" s="48" t="n">
        <v>69164168</v>
      </c>
      <c r="M812" s="48" t="n">
        <v>208668294856</v>
      </c>
      <c r="N812" s="48" t="n">
        <v>2900</v>
      </c>
      <c r="O812" s="48" t="n">
        <v>37310666</v>
      </c>
      <c r="P812" s="48" t="n">
        <v>39000814</v>
      </c>
      <c r="Q812" s="48" t="n">
        <v>1243</v>
      </c>
      <c r="R812" s="48" t="n">
        <v>1063</v>
      </c>
      <c r="S812" s="48" t="n">
        <v>31853502</v>
      </c>
      <c r="T812" s="48" t="n">
        <v>30163354</v>
      </c>
      <c r="U812" s="46" t="n">
        <f aca="false">IF($A812=$A811,$U811+1,1)</f>
        <v>28</v>
      </c>
      <c r="V812" s="48" t="n">
        <f aca="false">IF($U812&gt;=MA_SHORT,AVERAGE(INDEX($I$412:$I812,402-MA_SHORT):$I812),"")</f>
        <v>2593.45</v>
      </c>
      <c r="W812" s="48" t="str">
        <f aca="false">IF($U812&gt;=MA_MED,AVERAGE(INDEX($I$412:$I812,402-MA_MED):$I812),"")</f>
        <v/>
      </c>
      <c r="X812" s="48" t="str">
        <f aca="false">IF($U812&gt;=MA_LONG1,AVERAGE(INDEX($I$412:$I812,402-MA_LONG1):$I812),"")</f>
        <v/>
      </c>
      <c r="Y812" s="48" t="str">
        <f aca="false">IF($U812&gt;=MA_LONG2,AVERAGE(INDEX($I$412:$I812,402-MA_LONG2):$I812),"")</f>
        <v/>
      </c>
      <c r="Z812" s="48" t="n">
        <f aca="false">IF($U812&gt;=MA_SHORT,AVERAGE(INDEX($L$692:$L812,122-MA_SHORT):$L812),"")</f>
        <v>73797314.15</v>
      </c>
      <c r="AA812" s="48" t="n">
        <f aca="false">IF($U812=1,$G812-$H812,MAX($G812-$H812,ABS($G812-$I811),ABS($H812-$I811)))</f>
        <v>158</v>
      </c>
      <c r="AB812" s="48" t="n">
        <f aca="false">IF($U812&gt;=ATR_PER,AVERAGE(INDEX($AA$692:$AA812,122-ATR_PER):$AA812),"")</f>
        <v>124.857142857143</v>
      </c>
      <c r="AC812" s="48" t="n">
        <f aca="false">$O812-$P812</f>
        <v>-1690148</v>
      </c>
      <c r="AD812" s="48" t="n">
        <f aca="false">$AC812*$I812</f>
        <v>-5099176516</v>
      </c>
      <c r="AE812" s="49" t="n">
        <f aca="false">IF($Q812&gt;0,$O812*$I812/$Q812/1000000,"")</f>
        <v>90.5601603555913</v>
      </c>
      <c r="AF812" s="49" t="n">
        <f aca="false">IF($R812&gt;0,$P812*$I812/$R812/1000000,"")</f>
        <v>110.691868144873</v>
      </c>
      <c r="AG812" s="50" t="n">
        <f aca="false">IF(AND(ISNUMBER($AE812),ISNUMBER($AF812),$AF812&gt;0),$AE812/$AF812,"")</f>
        <v>0.818128394373709</v>
      </c>
      <c r="AH812" s="48" t="n">
        <f aca="false">IF($U812&gt;=5,SUM(INDEX($AD$782:$AD812,32-5):$AD812),"")</f>
        <v>35643845951</v>
      </c>
      <c r="AI812" s="48" t="n">
        <f aca="false">IF($U812&gt;=STRUCT_S,MAX(INDEX($G$662:$G812,152-STRUCT_S):$G812),"")</f>
        <v>3046</v>
      </c>
      <c r="AJ812" s="48" t="n">
        <f aca="false">IF($U812&gt;=STRUCT_S,MIN(INDEX($H$662:$H812,152-STRUCT_S):$H812),"")</f>
        <v>2274</v>
      </c>
      <c r="AK812" s="48" t="str">
        <f aca="false">IF($U812&gt;=STRUCT_L,MAX(INDEX($G$562:$G812,252-STRUCT_L):$G812),"")</f>
        <v/>
      </c>
      <c r="AL812" s="48" t="str">
        <f aca="false">IF($U812&gt;=STRUCT_L,MIN(INDEX($H$562:$H812,252-STRUCT_L):$H812),"")</f>
        <v/>
      </c>
      <c r="AM812" s="46" t="n">
        <f aca="false">IF($A812&lt;&gt;$A813,1,0)</f>
        <v>0</v>
      </c>
      <c r="AN812" s="47" t="str">
        <f aca="false">IF($AM812=1,$A812,"")</f>
        <v/>
      </c>
    </row>
    <row r="813" customFormat="false" ht="15" hidden="false" customHeight="false" outlineLevel="0" collapsed="false">
      <c r="A813" s="43" t="s">
        <v>147</v>
      </c>
      <c r="B813" s="44" t="s">
        <v>149</v>
      </c>
      <c r="C813" s="45" t="n">
        <v>45944</v>
      </c>
      <c r="D813" s="46" t="n">
        <v>20251014</v>
      </c>
      <c r="E813" s="47" t="s">
        <v>316</v>
      </c>
      <c r="F813" s="48" t="n">
        <v>2995</v>
      </c>
      <c r="G813" s="48" t="n">
        <v>3069</v>
      </c>
      <c r="H813" s="48" t="n">
        <v>2820</v>
      </c>
      <c r="I813" s="48" t="n">
        <v>2869</v>
      </c>
      <c r="J813" s="48" t="n">
        <v>3025</v>
      </c>
      <c r="K813" s="48" t="n">
        <v>3017</v>
      </c>
      <c r="L813" s="48" t="n">
        <v>74118232</v>
      </c>
      <c r="M813" s="48" t="n">
        <v>212645207608</v>
      </c>
      <c r="N813" s="48" t="n">
        <v>2916</v>
      </c>
      <c r="O813" s="48" t="n">
        <v>24692773</v>
      </c>
      <c r="P813" s="48" t="n">
        <v>44276640</v>
      </c>
      <c r="Q813" s="48" t="n">
        <v>1114</v>
      </c>
      <c r="R813" s="48" t="n">
        <v>1703</v>
      </c>
      <c r="S813" s="48" t="n">
        <v>49425459</v>
      </c>
      <c r="T813" s="48" t="n">
        <v>29841592</v>
      </c>
      <c r="U813" s="46" t="n">
        <f aca="false">IF($A813=$A812,$U812+1,1)</f>
        <v>29</v>
      </c>
      <c r="V813" s="48" t="n">
        <f aca="false">IF($U813&gt;=MA_SHORT,AVERAGE(INDEX($I$413:$I813,402-MA_SHORT):$I813),"")</f>
        <v>2617.25</v>
      </c>
      <c r="W813" s="48" t="str">
        <f aca="false">IF($U813&gt;=MA_MED,AVERAGE(INDEX($I$413:$I813,402-MA_MED):$I813),"")</f>
        <v/>
      </c>
      <c r="X813" s="48" t="str">
        <f aca="false">IF($U813&gt;=MA_LONG1,AVERAGE(INDEX($I$413:$I813,402-MA_LONG1):$I813),"")</f>
        <v/>
      </c>
      <c r="Y813" s="48" t="str">
        <f aca="false">IF($U813&gt;=MA_LONG2,AVERAGE(INDEX($I$413:$I813,402-MA_LONG2):$I813),"")</f>
        <v/>
      </c>
      <c r="Z813" s="48" t="n">
        <f aca="false">IF($U813&gt;=MA_SHORT,AVERAGE(INDEX($L$693:$L813,122-MA_SHORT):$L813),"")</f>
        <v>74316040.1</v>
      </c>
      <c r="AA813" s="48" t="n">
        <f aca="false">IF($U813=1,$G813-$H813,MAX($G813-$H813,ABS($G813-$I812),ABS($H813-$I812)))</f>
        <v>249</v>
      </c>
      <c r="AB813" s="48" t="n">
        <f aca="false">IF($U813&gt;=ATR_PER,AVERAGE(INDEX($AA$693:$AA813,122-ATR_PER):$AA813),"")</f>
        <v>135</v>
      </c>
      <c r="AC813" s="48" t="n">
        <f aca="false">$O813-$P813</f>
        <v>-19583867</v>
      </c>
      <c r="AD813" s="48" t="n">
        <f aca="false">$AC813*$I813</f>
        <v>-56186114423</v>
      </c>
      <c r="AE813" s="49" t="n">
        <f aca="false">IF($Q813&gt;0,$O813*$I813/$Q813/1000000,"")</f>
        <v>63.5938651140036</v>
      </c>
      <c r="AF813" s="49" t="n">
        <f aca="false">IF($R813&gt;0,$P813*$I813/$R813/1000000,"")</f>
        <v>74.5917088432178</v>
      </c>
      <c r="AG813" s="50" t="n">
        <f aca="false">IF(AND(ISNUMBER($AE813),ISNUMBER($AF813),$AF813&gt;0),$AE813/$AF813,"")</f>
        <v>0.852559434556858</v>
      </c>
      <c r="AH813" s="48" t="n">
        <f aca="false">IF($U813&gt;=5,SUM(INDEX($AD$783:$AD813,32-5):$AD813),"")</f>
        <v>-42031634337</v>
      </c>
      <c r="AI813" s="48" t="n">
        <f aca="false">IF($U813&gt;=STRUCT_S,MAX(INDEX($G$663:$G813,152-STRUCT_S):$G813),"")</f>
        <v>3069</v>
      </c>
      <c r="AJ813" s="48" t="n">
        <f aca="false">IF($U813&gt;=STRUCT_S,MIN(INDEX($H$663:$H813,152-STRUCT_S):$H813),"")</f>
        <v>2274</v>
      </c>
      <c r="AK813" s="48" t="str">
        <f aca="false">IF($U813&gt;=STRUCT_L,MAX(INDEX($G$563:$G813,252-STRUCT_L):$G813),"")</f>
        <v/>
      </c>
      <c r="AL813" s="48" t="str">
        <f aca="false">IF($U813&gt;=STRUCT_L,MIN(INDEX($H$563:$H813,252-STRUCT_L):$H813),"")</f>
        <v/>
      </c>
      <c r="AM813" s="46" t="n">
        <f aca="false">IF($A813&lt;&gt;$A814,1,0)</f>
        <v>0</v>
      </c>
      <c r="AN813" s="47" t="str">
        <f aca="false">IF($AM813=1,$A813,"")</f>
        <v/>
      </c>
    </row>
    <row r="814" customFormat="false" ht="15" hidden="false" customHeight="false" outlineLevel="0" collapsed="false">
      <c r="A814" s="43" t="s">
        <v>147</v>
      </c>
      <c r="B814" s="44" t="s">
        <v>149</v>
      </c>
      <c r="C814" s="45" t="n">
        <v>45945</v>
      </c>
      <c r="D814" s="46" t="n">
        <v>20251015</v>
      </c>
      <c r="E814" s="47" t="s">
        <v>317</v>
      </c>
      <c r="F814" s="48" t="n">
        <v>2916</v>
      </c>
      <c r="G814" s="48" t="n">
        <v>2937</v>
      </c>
      <c r="H814" s="48" t="n">
        <v>2765</v>
      </c>
      <c r="I814" s="48" t="n">
        <v>2832</v>
      </c>
      <c r="J814" s="48" t="n">
        <v>2840</v>
      </c>
      <c r="K814" s="48" t="n">
        <v>2869</v>
      </c>
      <c r="L814" s="48" t="n">
        <v>79862539</v>
      </c>
      <c r="M814" s="48" t="n">
        <v>226170710448</v>
      </c>
      <c r="N814" s="48" t="n">
        <v>3780</v>
      </c>
      <c r="O814" s="48" t="n">
        <v>27943001</v>
      </c>
      <c r="P814" s="48" t="n">
        <v>54154669</v>
      </c>
      <c r="Q814" s="48" t="n">
        <v>1202</v>
      </c>
      <c r="R814" s="48" t="n">
        <v>2626</v>
      </c>
      <c r="S814" s="48" t="n">
        <v>51919538</v>
      </c>
      <c r="T814" s="48" t="n">
        <v>25707870</v>
      </c>
      <c r="U814" s="46" t="n">
        <f aca="false">IF($A814=$A813,$U813+1,1)</f>
        <v>30</v>
      </c>
      <c r="V814" s="48" t="n">
        <f aca="false">IF($U814&gt;=MA_SHORT,AVERAGE(INDEX($I$414:$I814,402-MA_SHORT):$I814),"")</f>
        <v>2640.45</v>
      </c>
      <c r="W814" s="48" t="str">
        <f aca="false">IF($U814&gt;=MA_MED,AVERAGE(INDEX($I$414:$I814,402-MA_MED):$I814),"")</f>
        <v/>
      </c>
      <c r="X814" s="48" t="str">
        <f aca="false">IF($U814&gt;=MA_LONG1,AVERAGE(INDEX($I$414:$I814,402-MA_LONG1):$I814),"")</f>
        <v/>
      </c>
      <c r="Y814" s="48" t="str">
        <f aca="false">IF($U814&gt;=MA_LONG2,AVERAGE(INDEX($I$414:$I814,402-MA_LONG2):$I814),"")</f>
        <v/>
      </c>
      <c r="Z814" s="48" t="n">
        <f aca="false">IF($U814&gt;=MA_SHORT,AVERAGE(INDEX($L$694:$L814,122-MA_SHORT):$L814),"")</f>
        <v>75266510.1</v>
      </c>
      <c r="AA814" s="48" t="n">
        <f aca="false">IF($U814=1,$G814-$H814,MAX($G814-$H814,ABS($G814-$I813),ABS($H814-$I813)))</f>
        <v>172</v>
      </c>
      <c r="AB814" s="48" t="n">
        <f aca="false">IF($U814&gt;=ATR_PER,AVERAGE(INDEX($AA$694:$AA814,122-ATR_PER):$AA814),"")</f>
        <v>130.714285714286</v>
      </c>
      <c r="AC814" s="48" t="n">
        <f aca="false">$O814-$P814</f>
        <v>-26211668</v>
      </c>
      <c r="AD814" s="48" t="n">
        <f aca="false">$AC814*$I814</f>
        <v>-74231443776</v>
      </c>
      <c r="AE814" s="49" t="n">
        <f aca="false">IF($Q814&gt;0,$O814*$I814/$Q814/1000000,"")</f>
        <v>65.8357560998336</v>
      </c>
      <c r="AF814" s="49" t="n">
        <f aca="false">IF($R814&gt;0,$P814*$I814/$R814/1000000,"")</f>
        <v>58.4029027448591</v>
      </c>
      <c r="AG814" s="50" t="n">
        <f aca="false">IF(AND(ISNUMBER($AE814),ISNUMBER($AF814),$AF814&gt;0),$AE814/$AF814,"")</f>
        <v>1.12726856039067</v>
      </c>
      <c r="AH814" s="48" t="n">
        <f aca="false">IF($U814&gt;=5,SUM(INDEX($AD$784:$AD814,32-5):$AD814),"")</f>
        <v>-117412338043</v>
      </c>
      <c r="AI814" s="48" t="n">
        <f aca="false">IF($U814&gt;=STRUCT_S,MAX(INDEX($G$664:$G814,152-STRUCT_S):$G814),"")</f>
        <v>3069</v>
      </c>
      <c r="AJ814" s="48" t="n">
        <f aca="false">IF($U814&gt;=STRUCT_S,MIN(INDEX($H$664:$H814,152-STRUCT_S):$H814),"")</f>
        <v>2274</v>
      </c>
      <c r="AK814" s="48" t="str">
        <f aca="false">IF($U814&gt;=STRUCT_L,MAX(INDEX($G$564:$G814,252-STRUCT_L):$G814),"")</f>
        <v/>
      </c>
      <c r="AL814" s="48" t="str">
        <f aca="false">IF($U814&gt;=STRUCT_L,MIN(INDEX($H$564:$H814,252-STRUCT_L):$H814),"")</f>
        <v/>
      </c>
      <c r="AM814" s="46" t="n">
        <f aca="false">IF($A814&lt;&gt;$A815,1,0)</f>
        <v>0</v>
      </c>
      <c r="AN814" s="47" t="str">
        <f aca="false">IF($AM814=1,$A814,"")</f>
        <v/>
      </c>
    </row>
    <row r="815" customFormat="false" ht="15" hidden="false" customHeight="false" outlineLevel="0" collapsed="false">
      <c r="A815" s="43" t="s">
        <v>147</v>
      </c>
      <c r="B815" s="44" t="s">
        <v>149</v>
      </c>
      <c r="C815" s="45" t="n">
        <v>45948</v>
      </c>
      <c r="D815" s="46" t="n">
        <v>20251018</v>
      </c>
      <c r="E815" s="47" t="s">
        <v>318</v>
      </c>
      <c r="F815" s="48" t="n">
        <v>2816</v>
      </c>
      <c r="G815" s="48" t="n">
        <v>2946</v>
      </c>
      <c r="H815" s="48" t="n">
        <v>2789</v>
      </c>
      <c r="I815" s="48" t="n">
        <v>2902</v>
      </c>
      <c r="J815" s="48" t="n">
        <v>2884</v>
      </c>
      <c r="K815" s="48" t="n">
        <v>2832</v>
      </c>
      <c r="L815" s="48" t="n">
        <v>76648916</v>
      </c>
      <c r="M815" s="48" t="n">
        <v>222435154232</v>
      </c>
      <c r="N815" s="48" t="n">
        <v>2834</v>
      </c>
      <c r="O815" s="48" t="n">
        <v>35556921</v>
      </c>
      <c r="P815" s="48" t="n">
        <v>40079721</v>
      </c>
      <c r="Q815" s="48" t="n">
        <v>1671</v>
      </c>
      <c r="R815" s="48" t="n">
        <v>1079</v>
      </c>
      <c r="S815" s="48" t="n">
        <v>41091995</v>
      </c>
      <c r="T815" s="48" t="n">
        <v>36569195</v>
      </c>
      <c r="U815" s="46" t="n">
        <f aca="false">IF($A815=$A814,$U814+1,1)</f>
        <v>31</v>
      </c>
      <c r="V815" s="48" t="n">
        <f aca="false">IF($U815&gt;=MA_SHORT,AVERAGE(INDEX($I$415:$I815,402-MA_SHORT):$I815),"")</f>
        <v>2670.05</v>
      </c>
      <c r="W815" s="48" t="str">
        <f aca="false">IF($U815&gt;=MA_MED,AVERAGE(INDEX($I$415:$I815,402-MA_MED):$I815),"")</f>
        <v/>
      </c>
      <c r="X815" s="48" t="str">
        <f aca="false">IF($U815&gt;=MA_LONG1,AVERAGE(INDEX($I$415:$I815,402-MA_LONG1):$I815),"")</f>
        <v/>
      </c>
      <c r="Y815" s="48" t="str">
        <f aca="false">IF($U815&gt;=MA_LONG2,AVERAGE(INDEX($I$415:$I815,402-MA_LONG2):$I815),"")</f>
        <v/>
      </c>
      <c r="Z815" s="48" t="n">
        <f aca="false">IF($U815&gt;=MA_SHORT,AVERAGE(INDEX($L$695:$L815,122-MA_SHORT):$L815),"")</f>
        <v>74002614</v>
      </c>
      <c r="AA815" s="48" t="n">
        <f aca="false">IF($U815=1,$G815-$H815,MAX($G815-$H815,ABS($G815-$I814),ABS($H815-$I814)))</f>
        <v>157</v>
      </c>
      <c r="AB815" s="48" t="n">
        <f aca="false">IF($U815&gt;=ATR_PER,AVERAGE(INDEX($AA$695:$AA815,122-ATR_PER):$AA815),"")</f>
        <v>139</v>
      </c>
      <c r="AC815" s="48" t="n">
        <f aca="false">$O815-$P815</f>
        <v>-4522800</v>
      </c>
      <c r="AD815" s="48" t="n">
        <f aca="false">$AC815*$I815</f>
        <v>-13125165600</v>
      </c>
      <c r="AE815" s="49" t="n">
        <f aca="false">IF($Q815&gt;0,$O815*$I815/$Q815/1000000,"")</f>
        <v>61.7511578348294</v>
      </c>
      <c r="AF815" s="49" t="n">
        <f aca="false">IF($R815&gt;0,$P815*$I815/$R815/1000000,"")</f>
        <v>107.795505414272</v>
      </c>
      <c r="AG815" s="50" t="n">
        <f aca="false">IF(AND(ISNUMBER($AE815),ISNUMBER($AF815),$AF815&gt;0),$AE815/$AF815,"")</f>
        <v>0.572854662144878</v>
      </c>
      <c r="AH815" s="48" t="n">
        <f aca="false">IF($U815&gt;=5,SUM(INDEX($AD$785:$AD815,32-5):$AD815),"")</f>
        <v>-113697643983</v>
      </c>
      <c r="AI815" s="48" t="n">
        <f aca="false">IF($U815&gt;=STRUCT_S,MAX(INDEX($G$665:$G815,152-STRUCT_S):$G815),"")</f>
        <v>3069</v>
      </c>
      <c r="AJ815" s="48" t="n">
        <f aca="false">IF($U815&gt;=STRUCT_S,MIN(INDEX($H$665:$H815,152-STRUCT_S):$H815),"")</f>
        <v>2274</v>
      </c>
      <c r="AK815" s="48" t="str">
        <f aca="false">IF($U815&gt;=STRUCT_L,MAX(INDEX($G$565:$G815,252-STRUCT_L):$G815),"")</f>
        <v/>
      </c>
      <c r="AL815" s="48" t="str">
        <f aca="false">IF($U815&gt;=STRUCT_L,MIN(INDEX($H$565:$H815,252-STRUCT_L):$H815),"")</f>
        <v/>
      </c>
      <c r="AM815" s="46" t="n">
        <f aca="false">IF($A815&lt;&gt;$A816,1,0)</f>
        <v>0</v>
      </c>
      <c r="AN815" s="47" t="str">
        <f aca="false">IF($AM815=1,$A815,"")</f>
        <v/>
      </c>
    </row>
    <row r="816" customFormat="false" ht="15" hidden="false" customHeight="false" outlineLevel="0" collapsed="false">
      <c r="A816" s="43" t="s">
        <v>147</v>
      </c>
      <c r="B816" s="44" t="s">
        <v>149</v>
      </c>
      <c r="C816" s="45" t="n">
        <v>45949</v>
      </c>
      <c r="D816" s="46" t="n">
        <v>20251019</v>
      </c>
      <c r="E816" s="47" t="s">
        <v>319</v>
      </c>
      <c r="F816" s="48" t="n">
        <v>2930</v>
      </c>
      <c r="G816" s="48" t="n">
        <v>2947</v>
      </c>
      <c r="H816" s="48" t="n">
        <v>2867</v>
      </c>
      <c r="I816" s="48" t="n">
        <v>2911</v>
      </c>
      <c r="J816" s="48" t="n">
        <v>2894</v>
      </c>
      <c r="K816" s="48" t="n">
        <v>2902</v>
      </c>
      <c r="L816" s="48" t="n">
        <v>76072204</v>
      </c>
      <c r="M816" s="48" t="n">
        <v>221446185844</v>
      </c>
      <c r="N816" s="48" t="n">
        <v>2409</v>
      </c>
      <c r="O816" s="48" t="n">
        <v>31709719</v>
      </c>
      <c r="P816" s="48" t="n">
        <v>41588542</v>
      </c>
      <c r="Q816" s="48" t="n">
        <v>1063</v>
      </c>
      <c r="R816" s="48" t="n">
        <v>629</v>
      </c>
      <c r="S816" s="48" t="n">
        <v>44362485</v>
      </c>
      <c r="T816" s="48" t="n">
        <v>34483662</v>
      </c>
      <c r="U816" s="46" t="n">
        <f aca="false">IF($A816=$A815,$U815+1,1)</f>
        <v>32</v>
      </c>
      <c r="V816" s="48" t="n">
        <f aca="false">IF($U816&gt;=MA_SHORT,AVERAGE(INDEX($I$416:$I816,402-MA_SHORT):$I816),"")</f>
        <v>2699.05</v>
      </c>
      <c r="W816" s="48" t="str">
        <f aca="false">IF($U816&gt;=MA_MED,AVERAGE(INDEX($I$416:$I816,402-MA_MED):$I816),"")</f>
        <v/>
      </c>
      <c r="X816" s="48" t="str">
        <f aca="false">IF($U816&gt;=MA_LONG1,AVERAGE(INDEX($I$416:$I816,402-MA_LONG1):$I816),"")</f>
        <v/>
      </c>
      <c r="Y816" s="48" t="str">
        <f aca="false">IF($U816&gt;=MA_LONG2,AVERAGE(INDEX($I$416:$I816,402-MA_LONG2):$I816),"")</f>
        <v/>
      </c>
      <c r="Z816" s="48" t="n">
        <f aca="false">IF($U816&gt;=MA_SHORT,AVERAGE(INDEX($L$696:$L816,122-MA_SHORT):$L816),"")</f>
        <v>73882424.95</v>
      </c>
      <c r="AA816" s="48" t="n">
        <f aca="false">IF($U816=1,$G816-$H816,MAX($G816-$H816,ABS($G816-$I815),ABS($H816-$I815)))</f>
        <v>80</v>
      </c>
      <c r="AB816" s="48" t="n">
        <f aca="false">IF($U816&gt;=ATR_PER,AVERAGE(INDEX($AA$696:$AA816,122-ATR_PER):$AA816),"")</f>
        <v>133.071428571429</v>
      </c>
      <c r="AC816" s="48" t="n">
        <f aca="false">$O816-$P816</f>
        <v>-9878823</v>
      </c>
      <c r="AD816" s="48" t="n">
        <f aca="false">$AC816*$I816</f>
        <v>-28757253753</v>
      </c>
      <c r="AE816" s="49" t="n">
        <f aca="false">IF($Q816&gt;0,$O816*$I816/$Q816/1000000,"")</f>
        <v>86.8363048062088</v>
      </c>
      <c r="AF816" s="49" t="n">
        <f aca="false">IF($R816&gt;0,$P816*$I816/$R816/1000000,"")</f>
        <v>192.470978953895</v>
      </c>
      <c r="AG816" s="50" t="n">
        <f aca="false">IF(AND(ISNUMBER($AE816),ISNUMBER($AF816),$AF816&gt;0),$AE816/$AF816,"")</f>
        <v>0.451165704451526</v>
      </c>
      <c r="AH816" s="48" t="n">
        <f aca="false">IF($U816&gt;=5,SUM(INDEX($AD$786:$AD816,32-5):$AD816),"")</f>
        <v>-177399154068</v>
      </c>
      <c r="AI816" s="48" t="n">
        <f aca="false">IF($U816&gt;=STRUCT_S,MAX(INDEX($G$666:$G816,152-STRUCT_S):$G816),"")</f>
        <v>3069</v>
      </c>
      <c r="AJ816" s="48" t="n">
        <f aca="false">IF($U816&gt;=STRUCT_S,MIN(INDEX($H$666:$H816,152-STRUCT_S):$H816),"")</f>
        <v>2307</v>
      </c>
      <c r="AK816" s="48" t="str">
        <f aca="false">IF($U816&gt;=STRUCT_L,MAX(INDEX($G$566:$G816,252-STRUCT_L):$G816),"")</f>
        <v/>
      </c>
      <c r="AL816" s="48" t="str">
        <f aca="false">IF($U816&gt;=STRUCT_L,MIN(INDEX($H$566:$H816,252-STRUCT_L):$H816),"")</f>
        <v/>
      </c>
      <c r="AM816" s="46" t="n">
        <f aca="false">IF($A816&lt;&gt;$A817,1,0)</f>
        <v>0</v>
      </c>
      <c r="AN816" s="47" t="str">
        <f aca="false">IF($AM816=1,$A816,"")</f>
        <v/>
      </c>
    </row>
    <row r="817" customFormat="false" ht="15" hidden="false" customHeight="false" outlineLevel="0" collapsed="false">
      <c r="A817" s="43" t="s">
        <v>147</v>
      </c>
      <c r="B817" s="44" t="s">
        <v>149</v>
      </c>
      <c r="C817" s="45" t="n">
        <v>45950</v>
      </c>
      <c r="D817" s="46" t="n">
        <v>20251020</v>
      </c>
      <c r="E817" s="47" t="s">
        <v>320</v>
      </c>
      <c r="F817" s="48" t="n">
        <v>2883</v>
      </c>
      <c r="G817" s="48" t="n">
        <v>2941</v>
      </c>
      <c r="H817" s="48" t="n">
        <v>2854</v>
      </c>
      <c r="I817" s="48" t="n">
        <v>2884</v>
      </c>
      <c r="J817" s="48" t="n">
        <v>2920</v>
      </c>
      <c r="K817" s="48" t="n">
        <v>2911</v>
      </c>
      <c r="L817" s="48" t="n">
        <v>60450469</v>
      </c>
      <c r="M817" s="48" t="n">
        <v>174339152596</v>
      </c>
      <c r="N817" s="48" t="n">
        <v>3787</v>
      </c>
      <c r="O817" s="48" t="n">
        <v>27477738</v>
      </c>
      <c r="P817" s="48" t="n">
        <v>32615086</v>
      </c>
      <c r="Q817" s="48" t="n">
        <v>829</v>
      </c>
      <c r="R817" s="48" t="n">
        <v>1640</v>
      </c>
      <c r="S817" s="48" t="n">
        <v>32972731</v>
      </c>
      <c r="T817" s="48" t="n">
        <v>27835383</v>
      </c>
      <c r="U817" s="46" t="n">
        <f aca="false">IF($A817=$A816,$U816+1,1)</f>
        <v>33</v>
      </c>
      <c r="V817" s="48" t="n">
        <f aca="false">IF($U817&gt;=MA_SHORT,AVERAGE(INDEX($I$417:$I817,402-MA_SHORT):$I817),"")</f>
        <v>2723.5</v>
      </c>
      <c r="W817" s="48" t="str">
        <f aca="false">IF($U817&gt;=MA_MED,AVERAGE(INDEX($I$417:$I817,402-MA_MED):$I817),"")</f>
        <v/>
      </c>
      <c r="X817" s="48" t="str">
        <f aca="false">IF($U817&gt;=MA_LONG1,AVERAGE(INDEX($I$417:$I817,402-MA_LONG1):$I817),"")</f>
        <v/>
      </c>
      <c r="Y817" s="48" t="str">
        <f aca="false">IF($U817&gt;=MA_LONG2,AVERAGE(INDEX($I$417:$I817,402-MA_LONG2):$I817),"")</f>
        <v/>
      </c>
      <c r="Z817" s="48" t="n">
        <f aca="false">IF($U817&gt;=MA_SHORT,AVERAGE(INDEX($L$697:$L817,122-MA_SHORT):$L817),"")</f>
        <v>73570093.9</v>
      </c>
      <c r="AA817" s="48" t="n">
        <f aca="false">IF($U817=1,$G817-$H817,MAX($G817-$H817,ABS($G817-$I816),ABS($H817-$I816)))</f>
        <v>87</v>
      </c>
      <c r="AB817" s="48" t="n">
        <f aca="false">IF($U817&gt;=ATR_PER,AVERAGE(INDEX($AA$697:$AA817,122-ATR_PER):$AA817),"")</f>
        <v>135.357142857143</v>
      </c>
      <c r="AC817" s="48" t="n">
        <f aca="false">$O817-$P817</f>
        <v>-5137348</v>
      </c>
      <c r="AD817" s="48" t="n">
        <f aca="false">$AC817*$I817</f>
        <v>-14816111632</v>
      </c>
      <c r="AE817" s="49" t="n">
        <f aca="false">IF($Q817&gt;0,$O817*$I817/$Q817/1000000,"")</f>
        <v>95.5920342484922</v>
      </c>
      <c r="AF817" s="49" t="n">
        <f aca="false">IF($R817&gt;0,$P817*$I817/$R817/1000000,"")</f>
        <v>57.3548219658537</v>
      </c>
      <c r="AG817" s="50" t="n">
        <f aca="false">IF(AND(ISNUMBER($AE817),ISNUMBER($AF817),$AF817&gt;0),$AE817/$AF817,"")</f>
        <v>1.66667824904771</v>
      </c>
      <c r="AH817" s="48" t="n">
        <f aca="false">IF($U817&gt;=5,SUM(INDEX($AD$787:$AD817,32-5):$AD817),"")</f>
        <v>-187116089184</v>
      </c>
      <c r="AI817" s="48" t="n">
        <f aca="false">IF($U817&gt;=STRUCT_S,MAX(INDEX($G$667:$G817,152-STRUCT_S):$G817),"")</f>
        <v>3069</v>
      </c>
      <c r="AJ817" s="48" t="n">
        <f aca="false">IF($U817&gt;=STRUCT_S,MIN(INDEX($H$667:$H817,152-STRUCT_S):$H817),"")</f>
        <v>2318</v>
      </c>
      <c r="AK817" s="48" t="str">
        <f aca="false">IF($U817&gt;=STRUCT_L,MAX(INDEX($G$567:$G817,252-STRUCT_L):$G817),"")</f>
        <v/>
      </c>
      <c r="AL817" s="48" t="str">
        <f aca="false">IF($U817&gt;=STRUCT_L,MIN(INDEX($H$567:$H817,252-STRUCT_L):$H817),"")</f>
        <v/>
      </c>
      <c r="AM817" s="46" t="n">
        <f aca="false">IF($A817&lt;&gt;$A818,1,0)</f>
        <v>0</v>
      </c>
      <c r="AN817" s="47" t="str">
        <f aca="false">IF($AM817=1,$A817,"")</f>
        <v/>
      </c>
    </row>
    <row r="818" customFormat="false" ht="15" hidden="false" customHeight="false" outlineLevel="0" collapsed="false">
      <c r="A818" s="43" t="s">
        <v>147</v>
      </c>
      <c r="B818" s="44" t="s">
        <v>149</v>
      </c>
      <c r="C818" s="45" t="n">
        <v>45951</v>
      </c>
      <c r="D818" s="46" t="n">
        <v>20251021</v>
      </c>
      <c r="E818" s="47" t="s">
        <v>321</v>
      </c>
      <c r="F818" s="48" t="n">
        <v>2856</v>
      </c>
      <c r="G818" s="48" t="n">
        <v>2938</v>
      </c>
      <c r="H818" s="48" t="n">
        <v>2814</v>
      </c>
      <c r="I818" s="48" t="n">
        <v>2868</v>
      </c>
      <c r="J818" s="48" t="n">
        <v>2891</v>
      </c>
      <c r="K818" s="48" t="n">
        <v>2884</v>
      </c>
      <c r="L818" s="48" t="n">
        <v>59169831</v>
      </c>
      <c r="M818" s="48" t="n">
        <v>169699075308</v>
      </c>
      <c r="N818" s="48" t="n">
        <v>4952</v>
      </c>
      <c r="O818" s="48" t="n">
        <v>22784852</v>
      </c>
      <c r="P818" s="48" t="n">
        <v>33879566</v>
      </c>
      <c r="Q818" s="48" t="n">
        <v>1575</v>
      </c>
      <c r="R818" s="48" t="n">
        <v>3258</v>
      </c>
      <c r="S818" s="48" t="n">
        <v>36384979</v>
      </c>
      <c r="T818" s="48" t="n">
        <v>25290265</v>
      </c>
      <c r="U818" s="46" t="n">
        <f aca="false">IF($A818=$A817,$U817+1,1)</f>
        <v>34</v>
      </c>
      <c r="V818" s="48" t="n">
        <f aca="false">IF($U818&gt;=MA_SHORT,AVERAGE(INDEX($I$418:$I818,402-MA_SHORT):$I818),"")</f>
        <v>2746.95</v>
      </c>
      <c r="W818" s="48" t="str">
        <f aca="false">IF($U818&gt;=MA_MED,AVERAGE(INDEX($I$418:$I818,402-MA_MED):$I818),"")</f>
        <v/>
      </c>
      <c r="X818" s="48" t="str">
        <f aca="false">IF($U818&gt;=MA_LONG1,AVERAGE(INDEX($I$418:$I818,402-MA_LONG1):$I818),"")</f>
        <v/>
      </c>
      <c r="Y818" s="48" t="str">
        <f aca="false">IF($U818&gt;=MA_LONG2,AVERAGE(INDEX($I$418:$I818,402-MA_LONG2):$I818),"")</f>
        <v/>
      </c>
      <c r="Z818" s="48" t="n">
        <f aca="false">IF($U818&gt;=MA_SHORT,AVERAGE(INDEX($L$698:$L818,122-MA_SHORT):$L818),"")</f>
        <v>72917440.35</v>
      </c>
      <c r="AA818" s="48" t="n">
        <f aca="false">IF($U818=1,$G818-$H818,MAX($G818-$H818,ABS($G818-$I817),ABS($H818-$I817)))</f>
        <v>124</v>
      </c>
      <c r="AB818" s="48" t="n">
        <f aca="false">IF($U818&gt;=ATR_PER,AVERAGE(INDEX($AA$698:$AA818,122-ATR_PER):$AA818),"")</f>
        <v>138.214285714286</v>
      </c>
      <c r="AC818" s="48" t="n">
        <f aca="false">$O818-$P818</f>
        <v>-11094714</v>
      </c>
      <c r="AD818" s="48" t="n">
        <f aca="false">$AC818*$I818</f>
        <v>-31819639752</v>
      </c>
      <c r="AE818" s="49" t="n">
        <f aca="false">IF($Q818&gt;0,$O818*$I818/$Q818/1000000,"")</f>
        <v>41.4901304990476</v>
      </c>
      <c r="AF818" s="49" t="n">
        <f aca="false">IF($R818&gt;0,$P818*$I818/$R818/1000000,"")</f>
        <v>29.8240010092081</v>
      </c>
      <c r="AG818" s="50" t="n">
        <f aca="false">IF(AND(ISNUMBER($AE818),ISNUMBER($AF818),$AF818&gt;0),$AE818/$AF818,"")</f>
        <v>1.39116580924999</v>
      </c>
      <c r="AH818" s="48" t="n">
        <f aca="false">IF($U818&gt;=5,SUM(INDEX($AD$788:$AD818,32-5):$AD818),"")</f>
        <v>-162749614513</v>
      </c>
      <c r="AI818" s="48" t="n">
        <f aca="false">IF($U818&gt;=STRUCT_S,MAX(INDEX($G$668:$G818,152-STRUCT_S):$G818),"")</f>
        <v>3069</v>
      </c>
      <c r="AJ818" s="48" t="n">
        <f aca="false">IF($U818&gt;=STRUCT_S,MIN(INDEX($H$668:$H818,152-STRUCT_S):$H818),"")</f>
        <v>2318</v>
      </c>
      <c r="AK818" s="48" t="str">
        <f aca="false">IF($U818&gt;=STRUCT_L,MAX(INDEX($G$568:$G818,252-STRUCT_L):$G818),"")</f>
        <v/>
      </c>
      <c r="AL818" s="48" t="str">
        <f aca="false">IF($U818&gt;=STRUCT_L,MIN(INDEX($H$568:$H818,252-STRUCT_L):$H818),"")</f>
        <v/>
      </c>
      <c r="AM818" s="46" t="n">
        <f aca="false">IF($A818&lt;&gt;$A819,1,0)</f>
        <v>0</v>
      </c>
      <c r="AN818" s="47" t="str">
        <f aca="false">IF($AM818=1,$A818,"")</f>
        <v/>
      </c>
    </row>
    <row r="819" customFormat="false" ht="15" hidden="false" customHeight="false" outlineLevel="0" collapsed="false">
      <c r="A819" s="43" t="s">
        <v>147</v>
      </c>
      <c r="B819" s="44" t="s">
        <v>149</v>
      </c>
      <c r="C819" s="45" t="n">
        <v>45952</v>
      </c>
      <c r="D819" s="46" t="n">
        <v>20251022</v>
      </c>
      <c r="E819" s="47" t="s">
        <v>322</v>
      </c>
      <c r="F819" s="48" t="n">
        <v>2868</v>
      </c>
      <c r="G819" s="48" t="n">
        <v>2899</v>
      </c>
      <c r="H819" s="48" t="n">
        <v>2819</v>
      </c>
      <c r="I819" s="48" t="n">
        <v>2850</v>
      </c>
      <c r="J819" s="48" t="n">
        <v>2831</v>
      </c>
      <c r="K819" s="48" t="n">
        <v>2868</v>
      </c>
      <c r="L819" s="48" t="n">
        <v>63543184</v>
      </c>
      <c r="M819" s="48" t="n">
        <v>181098074400</v>
      </c>
      <c r="N819" s="48" t="n">
        <v>1937</v>
      </c>
      <c r="O819" s="48" t="n">
        <v>21452751</v>
      </c>
      <c r="P819" s="48" t="n">
        <v>40533866</v>
      </c>
      <c r="Q819" s="48" t="n">
        <v>442</v>
      </c>
      <c r="R819" s="48" t="n">
        <v>1316</v>
      </c>
      <c r="S819" s="48" t="n">
        <v>42090433</v>
      </c>
      <c r="T819" s="48" t="n">
        <v>23009318</v>
      </c>
      <c r="U819" s="46" t="n">
        <f aca="false">IF($A819=$A818,$U818+1,1)</f>
        <v>35</v>
      </c>
      <c r="V819" s="48" t="n">
        <f aca="false">IF($U819&gt;=MA_SHORT,AVERAGE(INDEX($I$419:$I819,402-MA_SHORT):$I819),"")</f>
        <v>2770.5</v>
      </c>
      <c r="W819" s="48" t="str">
        <f aca="false">IF($U819&gt;=MA_MED,AVERAGE(INDEX($I$419:$I819,402-MA_MED):$I819),"")</f>
        <v/>
      </c>
      <c r="X819" s="48" t="str">
        <f aca="false">IF($U819&gt;=MA_LONG1,AVERAGE(INDEX($I$419:$I819,402-MA_LONG1):$I819),"")</f>
        <v/>
      </c>
      <c r="Y819" s="48" t="str">
        <f aca="false">IF($U819&gt;=MA_LONG2,AVERAGE(INDEX($I$419:$I819,402-MA_LONG2):$I819),"")</f>
        <v/>
      </c>
      <c r="Z819" s="48" t="n">
        <f aca="false">IF($U819&gt;=MA_SHORT,AVERAGE(INDEX($L$699:$L819,122-MA_SHORT):$L819),"")</f>
        <v>73021626.8</v>
      </c>
      <c r="AA819" s="48" t="n">
        <f aca="false">IF($U819=1,$G819-$H819,MAX($G819-$H819,ABS($G819-$I818),ABS($H819-$I818)))</f>
        <v>80</v>
      </c>
      <c r="AB819" s="48" t="n">
        <f aca="false">IF($U819&gt;=ATR_PER,AVERAGE(INDEX($AA$699:$AA819,122-ATR_PER):$AA819),"")</f>
        <v>124.642857142857</v>
      </c>
      <c r="AC819" s="48" t="n">
        <f aca="false">$O819-$P819</f>
        <v>-19081115</v>
      </c>
      <c r="AD819" s="48" t="n">
        <f aca="false">$AC819*$I819</f>
        <v>-54381177750</v>
      </c>
      <c r="AE819" s="49" t="n">
        <f aca="false">IF($Q819&gt;0,$O819*$I819/$Q819/1000000,"")</f>
        <v>138.326561877828</v>
      </c>
      <c r="AF819" s="49" t="n">
        <f aca="false">IF($R819&gt;0,$P819*$I819/$R819/1000000,"")</f>
        <v>87.7823085866261</v>
      </c>
      <c r="AG819" s="50" t="n">
        <f aca="false">IF(AND(ISNUMBER($AE819),ISNUMBER($AF819),$AF819&gt;0),$AE819/$AF819,"")</f>
        <v>1.57579088662636</v>
      </c>
      <c r="AH819" s="48" t="n">
        <f aca="false">IF($U819&gt;=5,SUM(INDEX($AD$789:$AD819,32-5):$AD819),"")</f>
        <v>-142899348487</v>
      </c>
      <c r="AI819" s="48" t="n">
        <f aca="false">IF($U819&gt;=STRUCT_S,MAX(INDEX($G$669:$G819,152-STRUCT_S):$G819),"")</f>
        <v>3069</v>
      </c>
      <c r="AJ819" s="48" t="n">
        <f aca="false">IF($U819&gt;=STRUCT_S,MIN(INDEX($H$669:$H819,152-STRUCT_S):$H819),"")</f>
        <v>2318</v>
      </c>
      <c r="AK819" s="48" t="str">
        <f aca="false">IF($U819&gt;=STRUCT_L,MAX(INDEX($G$569:$G819,252-STRUCT_L):$G819),"")</f>
        <v/>
      </c>
      <c r="AL819" s="48" t="str">
        <f aca="false">IF($U819&gt;=STRUCT_L,MIN(INDEX($H$569:$H819,252-STRUCT_L):$H819),"")</f>
        <v/>
      </c>
      <c r="AM819" s="46" t="n">
        <f aca="false">IF($A819&lt;&gt;$A820,1,0)</f>
        <v>0</v>
      </c>
      <c r="AN819" s="47" t="str">
        <f aca="false">IF($AM819=1,$A819,"")</f>
        <v/>
      </c>
    </row>
    <row r="820" customFormat="false" ht="15" hidden="false" customHeight="false" outlineLevel="0" collapsed="false">
      <c r="A820" s="43" t="s">
        <v>147</v>
      </c>
      <c r="B820" s="44" t="s">
        <v>149</v>
      </c>
      <c r="C820" s="45" t="n">
        <v>45955</v>
      </c>
      <c r="D820" s="46" t="n">
        <v>20251025</v>
      </c>
      <c r="E820" s="47" t="s">
        <v>323</v>
      </c>
      <c r="F820" s="48" t="n">
        <v>2886</v>
      </c>
      <c r="G820" s="48" t="n">
        <v>2896</v>
      </c>
      <c r="H820" s="48" t="n">
        <v>2696</v>
      </c>
      <c r="I820" s="48" t="n">
        <v>2740</v>
      </c>
      <c r="J820" s="48" t="n">
        <v>2701</v>
      </c>
      <c r="K820" s="48" t="n">
        <v>2850</v>
      </c>
      <c r="L820" s="48" t="n">
        <v>72522686</v>
      </c>
      <c r="M820" s="48" t="n">
        <v>198712159640</v>
      </c>
      <c r="N820" s="48" t="n">
        <v>4061</v>
      </c>
      <c r="O820" s="48" t="n">
        <v>22618229</v>
      </c>
      <c r="P820" s="48" t="n">
        <v>54654495</v>
      </c>
      <c r="Q820" s="48" t="n">
        <v>1200</v>
      </c>
      <c r="R820" s="48" t="n">
        <v>3118</v>
      </c>
      <c r="S820" s="48" t="n">
        <v>49904457</v>
      </c>
      <c r="T820" s="48" t="n">
        <v>17868191</v>
      </c>
      <c r="U820" s="46" t="n">
        <f aca="false">IF($A820=$A819,$U819+1,1)</f>
        <v>36</v>
      </c>
      <c r="V820" s="48" t="n">
        <f aca="false">IF($U820&gt;=MA_SHORT,AVERAGE(INDEX($I$420:$I820,402-MA_SHORT):$I820),"")</f>
        <v>2783.2</v>
      </c>
      <c r="W820" s="48" t="str">
        <f aca="false">IF($U820&gt;=MA_MED,AVERAGE(INDEX($I$420:$I820,402-MA_MED):$I820),"")</f>
        <v/>
      </c>
      <c r="X820" s="48" t="str">
        <f aca="false">IF($U820&gt;=MA_LONG1,AVERAGE(INDEX($I$420:$I820,402-MA_LONG1):$I820),"")</f>
        <v/>
      </c>
      <c r="Y820" s="48" t="str">
        <f aca="false">IF($U820&gt;=MA_LONG2,AVERAGE(INDEX($I$420:$I820,402-MA_LONG2):$I820),"")</f>
        <v/>
      </c>
      <c r="Z820" s="48" t="n">
        <f aca="false">IF($U820&gt;=MA_SHORT,AVERAGE(INDEX($L$700:$L820,122-MA_SHORT):$L820),"")</f>
        <v>71531523.7</v>
      </c>
      <c r="AA820" s="48" t="n">
        <f aca="false">IF($U820=1,$G820-$H820,MAX($G820-$H820,ABS($G820-$I819),ABS($H820-$I819)))</f>
        <v>200</v>
      </c>
      <c r="AB820" s="48" t="n">
        <f aca="false">IF($U820&gt;=ATR_PER,AVERAGE(INDEX($AA$700:$AA820,122-ATR_PER):$AA820),"")</f>
        <v>134.714285714286</v>
      </c>
      <c r="AC820" s="48" t="n">
        <f aca="false">$O820-$P820</f>
        <v>-32036266</v>
      </c>
      <c r="AD820" s="48" t="n">
        <f aca="false">$AC820*$I820</f>
        <v>-87779368840</v>
      </c>
      <c r="AE820" s="49" t="n">
        <f aca="false">IF($Q820&gt;0,$O820*$I820/$Q820/1000000,"")</f>
        <v>51.6449562166667</v>
      </c>
      <c r="AF820" s="49" t="n">
        <f aca="false">IF($R820&gt;0,$P820*$I820/$R820/1000000,"")</f>
        <v>48.0286453816549</v>
      </c>
      <c r="AG820" s="50" t="n">
        <f aca="false">IF(AND(ISNUMBER($AE820),ISNUMBER($AF820),$AF820&gt;0),$AE820/$AF820,"")</f>
        <v>1.07529487467896</v>
      </c>
      <c r="AH820" s="48" t="n">
        <f aca="false">IF($U820&gt;=5,SUM(INDEX($AD$790:$AD820,32-5):$AD820),"")</f>
        <v>-217553551727</v>
      </c>
      <c r="AI820" s="48" t="n">
        <f aca="false">IF($U820&gt;=STRUCT_S,MAX(INDEX($G$670:$G820,152-STRUCT_S):$G820),"")</f>
        <v>3069</v>
      </c>
      <c r="AJ820" s="48" t="n">
        <f aca="false">IF($U820&gt;=STRUCT_S,MIN(INDEX($H$670:$H820,152-STRUCT_S):$H820),"")</f>
        <v>2459</v>
      </c>
      <c r="AK820" s="48" t="str">
        <f aca="false">IF($U820&gt;=STRUCT_L,MAX(INDEX($G$570:$G820,252-STRUCT_L):$G820),"")</f>
        <v/>
      </c>
      <c r="AL820" s="48" t="str">
        <f aca="false">IF($U820&gt;=STRUCT_L,MIN(INDEX($H$570:$H820,252-STRUCT_L):$H820),"")</f>
        <v/>
      </c>
      <c r="AM820" s="46" t="n">
        <f aca="false">IF($A820&lt;&gt;$A821,1,0)</f>
        <v>0</v>
      </c>
      <c r="AN820" s="47" t="str">
        <f aca="false">IF($AM820=1,$A820,"")</f>
        <v/>
      </c>
    </row>
    <row r="821" customFormat="false" ht="15" hidden="false" customHeight="false" outlineLevel="0" collapsed="false">
      <c r="A821" s="43" t="s">
        <v>147</v>
      </c>
      <c r="B821" s="44" t="s">
        <v>149</v>
      </c>
      <c r="C821" s="45" t="n">
        <v>45956</v>
      </c>
      <c r="D821" s="46" t="n">
        <v>20251026</v>
      </c>
      <c r="E821" s="47" t="s">
        <v>324</v>
      </c>
      <c r="F821" s="48" t="n">
        <v>2774</v>
      </c>
      <c r="G821" s="48" t="n">
        <v>2788</v>
      </c>
      <c r="H821" s="48" t="n">
        <v>2713</v>
      </c>
      <c r="I821" s="48" t="n">
        <v>2761</v>
      </c>
      <c r="J821" s="48" t="n">
        <v>2754</v>
      </c>
      <c r="K821" s="48" t="n">
        <v>2740</v>
      </c>
      <c r="L821" s="48" t="n">
        <v>59979486</v>
      </c>
      <c r="M821" s="48" t="n">
        <v>165603360846</v>
      </c>
      <c r="N821" s="48" t="n">
        <v>4218</v>
      </c>
      <c r="O821" s="48" t="n">
        <v>32312299</v>
      </c>
      <c r="P821" s="48" t="n">
        <v>26319683</v>
      </c>
      <c r="Q821" s="48" t="n">
        <v>2673</v>
      </c>
      <c r="R821" s="48" t="n">
        <v>1755</v>
      </c>
      <c r="S821" s="48" t="n">
        <v>27667187</v>
      </c>
      <c r="T821" s="48" t="n">
        <v>33659803</v>
      </c>
      <c r="U821" s="46" t="n">
        <f aca="false">IF($A821=$A820,$U820+1,1)</f>
        <v>37</v>
      </c>
      <c r="V821" s="48" t="n">
        <f aca="false">IF($U821&gt;=MA_SHORT,AVERAGE(INDEX($I$421:$I821,402-MA_SHORT):$I821),"")</f>
        <v>2796.6</v>
      </c>
      <c r="W821" s="48" t="str">
        <f aca="false">IF($U821&gt;=MA_MED,AVERAGE(INDEX($I$421:$I821,402-MA_MED):$I821),"")</f>
        <v/>
      </c>
      <c r="X821" s="48" t="str">
        <f aca="false">IF($U821&gt;=MA_LONG1,AVERAGE(INDEX($I$421:$I821,402-MA_LONG1):$I821),"")</f>
        <v/>
      </c>
      <c r="Y821" s="48" t="str">
        <f aca="false">IF($U821&gt;=MA_LONG2,AVERAGE(INDEX($I$421:$I821,402-MA_LONG2):$I821),"")</f>
        <v/>
      </c>
      <c r="Z821" s="48" t="n">
        <f aca="false">IF($U821&gt;=MA_SHORT,AVERAGE(INDEX($L$701:$L821,122-MA_SHORT):$L821),"")</f>
        <v>70726090.1</v>
      </c>
      <c r="AA821" s="48" t="n">
        <f aca="false">IF($U821=1,$G821-$H821,MAX($G821-$H821,ABS($G821-$I820),ABS($H821-$I820)))</f>
        <v>75</v>
      </c>
      <c r="AB821" s="48" t="n">
        <f aca="false">IF($U821&gt;=ATR_PER,AVERAGE(INDEX($AA$701:$AA821,122-ATR_PER):$AA821),"")</f>
        <v>131.714285714286</v>
      </c>
      <c r="AC821" s="48" t="n">
        <f aca="false">$O821-$P821</f>
        <v>5992616</v>
      </c>
      <c r="AD821" s="48" t="n">
        <f aca="false">$AC821*$I821</f>
        <v>16545612776</v>
      </c>
      <c r="AE821" s="49" t="n">
        <f aca="false">IF($Q821&gt;0,$O821*$I821/$Q821/1000000,"")</f>
        <v>33.3760783909465</v>
      </c>
      <c r="AF821" s="49" t="n">
        <f aca="false">IF($R821&gt;0,$P821*$I821/$R821/1000000,"")</f>
        <v>41.4066351925926</v>
      </c>
      <c r="AG821" s="50" t="n">
        <f aca="false">IF(AND(ISNUMBER($AE821),ISNUMBER($AF821),$AF821&gt;0),$AE821/$AF821,"")</f>
        <v>0.806056281456004</v>
      </c>
      <c r="AH821" s="48" t="n">
        <f aca="false">IF($U821&gt;=5,SUM(INDEX($AD$791:$AD821,32-5):$AD821),"")</f>
        <v>-172250685198</v>
      </c>
      <c r="AI821" s="48" t="n">
        <f aca="false">IF($U821&gt;=STRUCT_S,MAX(INDEX($G$671:$G821,152-STRUCT_S):$G821),"")</f>
        <v>3069</v>
      </c>
      <c r="AJ821" s="48" t="n">
        <f aca="false">IF($U821&gt;=STRUCT_S,MIN(INDEX($H$671:$H821,152-STRUCT_S):$H821),"")</f>
        <v>2459</v>
      </c>
      <c r="AK821" s="48" t="str">
        <f aca="false">IF($U821&gt;=STRUCT_L,MAX(INDEX($G$571:$G821,252-STRUCT_L):$G821),"")</f>
        <v/>
      </c>
      <c r="AL821" s="48" t="str">
        <f aca="false">IF($U821&gt;=STRUCT_L,MIN(INDEX($H$571:$H821,252-STRUCT_L):$H821),"")</f>
        <v/>
      </c>
      <c r="AM821" s="46" t="n">
        <f aca="false">IF($A821&lt;&gt;$A822,1,0)</f>
        <v>0</v>
      </c>
      <c r="AN821" s="47" t="str">
        <f aca="false">IF($AM821=1,$A821,"")</f>
        <v/>
      </c>
    </row>
    <row r="822" customFormat="false" ht="15" hidden="false" customHeight="false" outlineLevel="0" collapsed="false">
      <c r="A822" s="43" t="s">
        <v>147</v>
      </c>
      <c r="B822" s="44" t="s">
        <v>149</v>
      </c>
      <c r="C822" s="45" t="n">
        <v>45957</v>
      </c>
      <c r="D822" s="46" t="n">
        <v>20251027</v>
      </c>
      <c r="E822" s="47" t="s">
        <v>325</v>
      </c>
      <c r="F822" s="48" t="n">
        <v>2774</v>
      </c>
      <c r="G822" s="48" t="n">
        <v>2909</v>
      </c>
      <c r="H822" s="48" t="n">
        <v>2716</v>
      </c>
      <c r="I822" s="48" t="n">
        <v>2862</v>
      </c>
      <c r="J822" s="48" t="n">
        <v>2791</v>
      </c>
      <c r="K822" s="48" t="n">
        <v>2761</v>
      </c>
      <c r="L822" s="48" t="n">
        <v>78493678</v>
      </c>
      <c r="M822" s="48" t="n">
        <v>224648906436</v>
      </c>
      <c r="N822" s="48" t="n">
        <v>4855</v>
      </c>
      <c r="O822" s="48" t="n">
        <v>45739111</v>
      </c>
      <c r="P822" s="48" t="n">
        <v>31039484</v>
      </c>
      <c r="Q822" s="48" t="n">
        <v>3324</v>
      </c>
      <c r="R822" s="48" t="n">
        <v>2013</v>
      </c>
      <c r="S822" s="48" t="n">
        <v>32754567</v>
      </c>
      <c r="T822" s="48" t="n">
        <v>47454194</v>
      </c>
      <c r="U822" s="46" t="n">
        <f aca="false">IF($A822=$A821,$U821+1,1)</f>
        <v>38</v>
      </c>
      <c r="V822" s="48" t="n">
        <f aca="false">IF($U822&gt;=MA_SHORT,AVERAGE(INDEX($I$422:$I822,402-MA_SHORT):$I822),"")</f>
        <v>2810.35</v>
      </c>
      <c r="W822" s="48" t="str">
        <f aca="false">IF($U822&gt;=MA_MED,AVERAGE(INDEX($I$422:$I822,402-MA_MED):$I822),"")</f>
        <v/>
      </c>
      <c r="X822" s="48" t="str">
        <f aca="false">IF($U822&gt;=MA_LONG1,AVERAGE(INDEX($I$422:$I822,402-MA_LONG1):$I822),"")</f>
        <v/>
      </c>
      <c r="Y822" s="48" t="str">
        <f aca="false">IF($U822&gt;=MA_LONG2,AVERAGE(INDEX($I$422:$I822,402-MA_LONG2):$I822),"")</f>
        <v/>
      </c>
      <c r="Z822" s="48" t="n">
        <f aca="false">IF($U822&gt;=MA_SHORT,AVERAGE(INDEX($L$702:$L822,122-MA_SHORT):$L822),"")</f>
        <v>71139841.45</v>
      </c>
      <c r="AA822" s="48" t="n">
        <f aca="false">IF($U822=1,$G822-$H822,MAX($G822-$H822,ABS($G822-$I821),ABS($H822-$I821)))</f>
        <v>193</v>
      </c>
      <c r="AB822" s="48" t="n">
        <f aca="false">IF($U822&gt;=ATR_PER,AVERAGE(INDEX($AA$702:$AA822,122-ATR_PER):$AA822),"")</f>
        <v>136.642857142857</v>
      </c>
      <c r="AC822" s="48" t="n">
        <f aca="false">$O822-$P822</f>
        <v>14699627</v>
      </c>
      <c r="AD822" s="48" t="n">
        <f aca="false">$AC822*$I822</f>
        <v>42070332474</v>
      </c>
      <c r="AE822" s="49" t="n">
        <f aca="false">IF($Q822&gt;0,$O822*$I822/$Q822/1000000,"")</f>
        <v>39.3818699404332</v>
      </c>
      <c r="AF822" s="49" t="n">
        <f aca="false">IF($R822&gt;0,$P822*$I822/$R822/1000000,"")</f>
        <v>44.1306523636364</v>
      </c>
      <c r="AG822" s="50" t="n">
        <f aca="false">IF(AND(ISNUMBER($AE822),ISNUMBER($AF822),$AF822&gt;0),$AE822/$AF822,"")</f>
        <v>0.892392652977953</v>
      </c>
      <c r="AH822" s="48" t="n">
        <f aca="false">IF($U822&gt;=5,SUM(INDEX($AD$792:$AD822,32-5):$AD822),"")</f>
        <v>-115364241092</v>
      </c>
      <c r="AI822" s="48" t="n">
        <f aca="false">IF($U822&gt;=STRUCT_S,MAX(INDEX($G$672:$G822,152-STRUCT_S):$G822),"")</f>
        <v>3069</v>
      </c>
      <c r="AJ822" s="48" t="n">
        <f aca="false">IF($U822&gt;=STRUCT_S,MIN(INDEX($H$672:$H822,152-STRUCT_S):$H822),"")</f>
        <v>2519</v>
      </c>
      <c r="AK822" s="48" t="str">
        <f aca="false">IF($U822&gt;=STRUCT_L,MAX(INDEX($G$572:$G822,252-STRUCT_L):$G822),"")</f>
        <v/>
      </c>
      <c r="AL822" s="48" t="str">
        <f aca="false">IF($U822&gt;=STRUCT_L,MIN(INDEX($H$572:$H822,252-STRUCT_L):$H822),"")</f>
        <v/>
      </c>
      <c r="AM822" s="46" t="n">
        <f aca="false">IF($A822&lt;&gt;$A823,1,0)</f>
        <v>0</v>
      </c>
      <c r="AN822" s="47" t="str">
        <f aca="false">IF($AM822=1,$A822,"")</f>
        <v/>
      </c>
    </row>
    <row r="823" customFormat="false" ht="15" hidden="false" customHeight="false" outlineLevel="0" collapsed="false">
      <c r="A823" s="43" t="s">
        <v>147</v>
      </c>
      <c r="B823" s="44" t="s">
        <v>149</v>
      </c>
      <c r="C823" s="45" t="n">
        <v>45958</v>
      </c>
      <c r="D823" s="46" t="n">
        <v>20251028</v>
      </c>
      <c r="E823" s="47" t="s">
        <v>326</v>
      </c>
      <c r="F823" s="48" t="n">
        <v>2871</v>
      </c>
      <c r="G823" s="48" t="n">
        <v>2908</v>
      </c>
      <c r="H823" s="48" t="n">
        <v>2823</v>
      </c>
      <c r="I823" s="48" t="n">
        <v>2869</v>
      </c>
      <c r="J823" s="48" t="n">
        <v>2863</v>
      </c>
      <c r="K823" s="48" t="n">
        <v>2862</v>
      </c>
      <c r="L823" s="48" t="n">
        <v>90473619</v>
      </c>
      <c r="M823" s="48" t="n">
        <v>259568812911</v>
      </c>
      <c r="N823" s="48" t="n">
        <v>2458</v>
      </c>
      <c r="O823" s="48" t="n">
        <v>34843972</v>
      </c>
      <c r="P823" s="48" t="n">
        <v>58999738</v>
      </c>
      <c r="Q823" s="48" t="n">
        <v>1100</v>
      </c>
      <c r="R823" s="48" t="n">
        <v>602</v>
      </c>
      <c r="S823" s="48" t="n">
        <v>55629647</v>
      </c>
      <c r="T823" s="48" t="n">
        <v>31473881</v>
      </c>
      <c r="U823" s="46" t="n">
        <f aca="false">IF($A823=$A822,$U822+1,1)</f>
        <v>39</v>
      </c>
      <c r="V823" s="48" t="n">
        <f aca="false">IF($U823&gt;=MA_SHORT,AVERAGE(INDEX($I$423:$I823,402-MA_SHORT):$I823),"")</f>
        <v>2823.7</v>
      </c>
      <c r="W823" s="48" t="str">
        <f aca="false">IF($U823&gt;=MA_MED,AVERAGE(INDEX($I$423:$I823,402-MA_MED):$I823),"")</f>
        <v/>
      </c>
      <c r="X823" s="48" t="str">
        <f aca="false">IF($U823&gt;=MA_LONG1,AVERAGE(INDEX($I$423:$I823,402-MA_LONG1):$I823),"")</f>
        <v/>
      </c>
      <c r="Y823" s="48" t="str">
        <f aca="false">IF($U823&gt;=MA_LONG2,AVERAGE(INDEX($I$423:$I823,402-MA_LONG2):$I823),"")</f>
        <v/>
      </c>
      <c r="Z823" s="48" t="n">
        <f aca="false">IF($U823&gt;=MA_SHORT,AVERAGE(INDEX($L$703:$L823,122-MA_SHORT):$L823),"")</f>
        <v>72700729.65</v>
      </c>
      <c r="AA823" s="48" t="n">
        <f aca="false">IF($U823=1,$G823-$H823,MAX($G823-$H823,ABS($G823-$I822),ABS($H823-$I822)))</f>
        <v>85</v>
      </c>
      <c r="AB823" s="48" t="n">
        <f aca="false">IF($U823&gt;=ATR_PER,AVERAGE(INDEX($AA$703:$AA823,122-ATR_PER):$AA823),"")</f>
        <v>130.785714285714</v>
      </c>
      <c r="AC823" s="48" t="n">
        <f aca="false">$O823-$P823</f>
        <v>-24155766</v>
      </c>
      <c r="AD823" s="48" t="n">
        <f aca="false">$AC823*$I823</f>
        <v>-69302892654</v>
      </c>
      <c r="AE823" s="49" t="n">
        <f aca="false">IF($Q823&gt;0,$O823*$I823/$Q823/1000000,"")</f>
        <v>90.8794142436364</v>
      </c>
      <c r="AF823" s="49" t="n">
        <f aca="false">IF($R823&gt;0,$P823*$I823/$R823/1000000,"")</f>
        <v>281.179814488372</v>
      </c>
      <c r="AG823" s="50" t="n">
        <f aca="false">IF(AND(ISNUMBER($AE823),ISNUMBER($AF823),$AF823&gt;0),$AE823/$AF823,"")</f>
        <v>0.323207462132367</v>
      </c>
      <c r="AH823" s="48" t="n">
        <f aca="false">IF($U823&gt;=5,SUM(INDEX($AD$793:$AD823,32-5):$AD823),"")</f>
        <v>-152847493994</v>
      </c>
      <c r="AI823" s="48" t="n">
        <f aca="false">IF($U823&gt;=STRUCT_S,MAX(INDEX($G$673:$G823,152-STRUCT_S):$G823),"")</f>
        <v>3069</v>
      </c>
      <c r="AJ823" s="48" t="n">
        <f aca="false">IF($U823&gt;=STRUCT_S,MIN(INDEX($H$673:$H823,152-STRUCT_S):$H823),"")</f>
        <v>2519</v>
      </c>
      <c r="AK823" s="48" t="str">
        <f aca="false">IF($U823&gt;=STRUCT_L,MAX(INDEX($G$573:$G823,252-STRUCT_L):$G823),"")</f>
        <v/>
      </c>
      <c r="AL823" s="48" t="str">
        <f aca="false">IF($U823&gt;=STRUCT_L,MIN(INDEX($H$573:$H823,252-STRUCT_L):$H823),"")</f>
        <v/>
      </c>
      <c r="AM823" s="46" t="n">
        <f aca="false">IF($A823&lt;&gt;$A824,1,0)</f>
        <v>0</v>
      </c>
      <c r="AN823" s="47" t="str">
        <f aca="false">IF($AM823=1,$A823,"")</f>
        <v/>
      </c>
    </row>
    <row r="824" customFormat="false" ht="15" hidden="false" customHeight="false" outlineLevel="0" collapsed="false">
      <c r="A824" s="43" t="s">
        <v>147</v>
      </c>
      <c r="B824" s="44" t="s">
        <v>149</v>
      </c>
      <c r="C824" s="45" t="n">
        <v>45959</v>
      </c>
      <c r="D824" s="46" t="n">
        <v>20251029</v>
      </c>
      <c r="E824" s="47" t="s">
        <v>327</v>
      </c>
      <c r="F824" s="48" t="n">
        <v>2910</v>
      </c>
      <c r="G824" s="48" t="n">
        <v>2951</v>
      </c>
      <c r="H824" s="48" t="n">
        <v>2805</v>
      </c>
      <c r="I824" s="48" t="n">
        <v>2886</v>
      </c>
      <c r="J824" s="48" t="n">
        <v>2859</v>
      </c>
      <c r="K824" s="48" t="n">
        <v>2869</v>
      </c>
      <c r="L824" s="48" t="n">
        <v>59299554</v>
      </c>
      <c r="M824" s="48" t="n">
        <v>171138512844</v>
      </c>
      <c r="N824" s="48" t="n">
        <v>2476</v>
      </c>
      <c r="O824" s="48" t="n">
        <v>27788365</v>
      </c>
      <c r="P824" s="48" t="n">
        <v>31134261</v>
      </c>
      <c r="Q824" s="48" t="n">
        <v>1684</v>
      </c>
      <c r="R824" s="48" t="n">
        <v>706</v>
      </c>
      <c r="S824" s="48" t="n">
        <v>31511189</v>
      </c>
      <c r="T824" s="48" t="n">
        <v>28165293</v>
      </c>
      <c r="U824" s="46" t="n">
        <f aca="false">IF($A824=$A823,$U823+1,1)</f>
        <v>40</v>
      </c>
      <c r="V824" s="48" t="n">
        <f aca="false">IF($U824&gt;=MA_SHORT,AVERAGE(INDEX($I$424:$I824,402-MA_SHORT):$I824),"")</f>
        <v>2834.8</v>
      </c>
      <c r="W824" s="48" t="str">
        <f aca="false">IF($U824&gt;=MA_MED,AVERAGE(INDEX($I$424:$I824,402-MA_MED):$I824),"")</f>
        <v/>
      </c>
      <c r="X824" s="48" t="str">
        <f aca="false">IF($U824&gt;=MA_LONG1,AVERAGE(INDEX($I$424:$I824,402-MA_LONG1):$I824),"")</f>
        <v/>
      </c>
      <c r="Y824" s="48" t="str">
        <f aca="false">IF($U824&gt;=MA_LONG2,AVERAGE(INDEX($I$424:$I824,402-MA_LONG2):$I824),"")</f>
        <v/>
      </c>
      <c r="Z824" s="48" t="n">
        <f aca="false">IF($U824&gt;=MA_SHORT,AVERAGE(INDEX($L$704:$L824,122-MA_SHORT):$L824),"")</f>
        <v>72377846.75</v>
      </c>
      <c r="AA824" s="48" t="n">
        <f aca="false">IF($U824=1,$G824-$H824,MAX($G824-$H824,ABS($G824-$I823),ABS($H824-$I823)))</f>
        <v>146</v>
      </c>
      <c r="AB824" s="48" t="n">
        <f aca="false">IF($U824&gt;=ATR_PER,AVERAGE(INDEX($AA$704:$AA824,122-ATR_PER):$AA824),"")</f>
        <v>139.142857142857</v>
      </c>
      <c r="AC824" s="48" t="n">
        <f aca="false">$O824-$P824</f>
        <v>-3345896</v>
      </c>
      <c r="AD824" s="48" t="n">
        <f aca="false">$AC824*$I824</f>
        <v>-9656255856</v>
      </c>
      <c r="AE824" s="49" t="n">
        <f aca="false">IF($Q824&gt;0,$O824*$I824/$Q824/1000000,"")</f>
        <v>47.6230530819477</v>
      </c>
      <c r="AF824" s="49" t="n">
        <f aca="false">IF($R824&gt;0,$P824*$I824/$R824/1000000,"")</f>
        <v>127.271214229462</v>
      </c>
      <c r="AG824" s="50" t="n">
        <f aca="false">IF(AND(ISNUMBER($AE824),ISNUMBER($AF824),$AF824&gt;0),$AE824/$AF824,"")</f>
        <v>0.37418557975008</v>
      </c>
      <c r="AH824" s="48" t="n">
        <f aca="false">IF($U824&gt;=5,SUM(INDEX($AD$794:$AD824,32-5):$AD824),"")</f>
        <v>-108122572100</v>
      </c>
      <c r="AI824" s="48" t="n">
        <f aca="false">IF($U824&gt;=STRUCT_S,MAX(INDEX($G$674:$G824,152-STRUCT_S):$G824),"")</f>
        <v>3069</v>
      </c>
      <c r="AJ824" s="48" t="n">
        <f aca="false">IF($U824&gt;=STRUCT_S,MIN(INDEX($H$674:$H824,152-STRUCT_S):$H824),"")</f>
        <v>2519</v>
      </c>
      <c r="AK824" s="48" t="str">
        <f aca="false">IF($U824&gt;=STRUCT_L,MAX(INDEX($G$574:$G824,252-STRUCT_L):$G824),"")</f>
        <v/>
      </c>
      <c r="AL824" s="48" t="str">
        <f aca="false">IF($U824&gt;=STRUCT_L,MIN(INDEX($H$574:$H824,252-STRUCT_L):$H824),"")</f>
        <v/>
      </c>
      <c r="AM824" s="46" t="n">
        <f aca="false">IF($A824&lt;&gt;$A825,1,0)</f>
        <v>0</v>
      </c>
      <c r="AN824" s="47" t="str">
        <f aca="false">IF($AM824=1,$A824,"")</f>
        <v/>
      </c>
    </row>
    <row r="825" customFormat="false" ht="15" hidden="false" customHeight="false" outlineLevel="0" collapsed="false">
      <c r="A825" s="43" t="s">
        <v>147</v>
      </c>
      <c r="B825" s="44" t="s">
        <v>149</v>
      </c>
      <c r="C825" s="45" t="n">
        <v>45962</v>
      </c>
      <c r="D825" s="46" t="n">
        <v>20251101</v>
      </c>
      <c r="E825" s="47" t="s">
        <v>328</v>
      </c>
      <c r="F825" s="48" t="n">
        <v>2931</v>
      </c>
      <c r="G825" s="48" t="n">
        <v>2999</v>
      </c>
      <c r="H825" s="48" t="n">
        <v>2765</v>
      </c>
      <c r="I825" s="48" t="n">
        <v>2878</v>
      </c>
      <c r="J825" s="48" t="n">
        <v>2886</v>
      </c>
      <c r="K825" s="48" t="n">
        <v>2886</v>
      </c>
      <c r="L825" s="48" t="n">
        <v>58216100</v>
      </c>
      <c r="M825" s="48" t="n">
        <v>167545935800</v>
      </c>
      <c r="N825" s="48" t="n">
        <v>1779</v>
      </c>
      <c r="O825" s="48" t="n">
        <v>25019769</v>
      </c>
      <c r="P825" s="48" t="n">
        <v>33481562</v>
      </c>
      <c r="Q825" s="48" t="n">
        <v>454</v>
      </c>
      <c r="R825" s="48" t="n">
        <v>1048</v>
      </c>
      <c r="S825" s="48" t="n">
        <v>33196331</v>
      </c>
      <c r="T825" s="48" t="n">
        <v>24734538</v>
      </c>
      <c r="U825" s="46" t="n">
        <f aca="false">IF($A825=$A824,$U824+1,1)</f>
        <v>41</v>
      </c>
      <c r="V825" s="48" t="n">
        <f aca="false">IF($U825&gt;=MA_SHORT,AVERAGE(INDEX($I$425:$I825,402-MA_SHORT):$I825),"")</f>
        <v>2846.55</v>
      </c>
      <c r="W825" s="48" t="str">
        <f aca="false">IF($U825&gt;=MA_MED,AVERAGE(INDEX($I$425:$I825,402-MA_MED):$I825),"")</f>
        <v/>
      </c>
      <c r="X825" s="48" t="str">
        <f aca="false">IF($U825&gt;=MA_LONG1,AVERAGE(INDEX($I$425:$I825,402-MA_LONG1):$I825),"")</f>
        <v/>
      </c>
      <c r="Y825" s="48" t="str">
        <f aca="false">IF($U825&gt;=MA_LONG2,AVERAGE(INDEX($I$425:$I825,402-MA_LONG2):$I825),"")</f>
        <v/>
      </c>
      <c r="Z825" s="48" t="n">
        <f aca="false">IF($U825&gt;=MA_SHORT,AVERAGE(INDEX($L$705:$L825,122-MA_SHORT):$L825),"")</f>
        <v>72283658.45</v>
      </c>
      <c r="AA825" s="48" t="n">
        <f aca="false">IF($U825=1,$G825-$H825,MAX($G825-$H825,ABS($G825-$I824),ABS($H825-$I824)))</f>
        <v>234</v>
      </c>
      <c r="AB825" s="48" t="n">
        <f aca="false">IF($U825&gt;=ATR_PER,AVERAGE(INDEX($AA$705:$AA825,122-ATR_PER):$AA825),"")</f>
        <v>145.714285714286</v>
      </c>
      <c r="AC825" s="48" t="n">
        <f aca="false">$O825-$P825</f>
        <v>-8461793</v>
      </c>
      <c r="AD825" s="48" t="n">
        <f aca="false">$AC825*$I825</f>
        <v>-24353040254</v>
      </c>
      <c r="AE825" s="49" t="n">
        <f aca="false">IF($Q825&gt;0,$O825*$I825/$Q825/1000000,"")</f>
        <v>158.605495995595</v>
      </c>
      <c r="AF825" s="49" t="n">
        <f aca="false">IF($R825&gt;0,$P825*$I825/$R825/1000000,"")</f>
        <v>91.946503278626</v>
      </c>
      <c r="AG825" s="50" t="n">
        <f aca="false">IF(AND(ISNUMBER($AE825),ISNUMBER($AF825),$AF825&gt;0),$AE825/$AF825,"")</f>
        <v>1.72497583203324</v>
      </c>
      <c r="AH825" s="48" t="n">
        <f aca="false">IF($U825&gt;=5,SUM(INDEX($AD$795:$AD825,32-5):$AD825),"")</f>
        <v>-44696243514</v>
      </c>
      <c r="AI825" s="48" t="n">
        <f aca="false">IF($U825&gt;=STRUCT_S,MAX(INDEX($G$675:$G825,152-STRUCT_S):$G825),"")</f>
        <v>3069</v>
      </c>
      <c r="AJ825" s="48" t="n">
        <f aca="false">IF($U825&gt;=STRUCT_S,MIN(INDEX($H$675:$H825,152-STRUCT_S):$H825),"")</f>
        <v>2622</v>
      </c>
      <c r="AK825" s="48" t="str">
        <f aca="false">IF($U825&gt;=STRUCT_L,MAX(INDEX($G$575:$G825,252-STRUCT_L):$G825),"")</f>
        <v/>
      </c>
      <c r="AL825" s="48" t="str">
        <f aca="false">IF($U825&gt;=STRUCT_L,MIN(INDEX($H$575:$H825,252-STRUCT_L):$H825),"")</f>
        <v/>
      </c>
      <c r="AM825" s="46" t="n">
        <f aca="false">IF($A825&lt;&gt;$A826,1,0)</f>
        <v>0</v>
      </c>
      <c r="AN825" s="47" t="str">
        <f aca="false">IF($AM825=1,$A825,"")</f>
        <v/>
      </c>
    </row>
    <row r="826" customFormat="false" ht="15" hidden="false" customHeight="false" outlineLevel="0" collapsed="false">
      <c r="A826" s="43" t="s">
        <v>147</v>
      </c>
      <c r="B826" s="44" t="s">
        <v>149</v>
      </c>
      <c r="C826" s="45" t="n">
        <v>45963</v>
      </c>
      <c r="D826" s="46" t="n">
        <v>20251102</v>
      </c>
      <c r="E826" s="47" t="s">
        <v>329</v>
      </c>
      <c r="F826" s="48" t="n">
        <v>2912</v>
      </c>
      <c r="G826" s="48" t="n">
        <v>2937</v>
      </c>
      <c r="H826" s="48" t="n">
        <v>2850</v>
      </c>
      <c r="I826" s="48" t="n">
        <v>2908</v>
      </c>
      <c r="J826" s="48" t="n">
        <v>2905</v>
      </c>
      <c r="K826" s="48" t="n">
        <v>2878</v>
      </c>
      <c r="L826" s="48" t="n">
        <v>60845157</v>
      </c>
      <c r="M826" s="48" t="n">
        <v>176937716556</v>
      </c>
      <c r="N826" s="48" t="n">
        <v>1804</v>
      </c>
      <c r="O826" s="48" t="n">
        <v>23982454</v>
      </c>
      <c r="P826" s="48" t="n">
        <v>34494697</v>
      </c>
      <c r="Q826" s="48" t="n">
        <v>1218</v>
      </c>
      <c r="R826" s="48" t="n">
        <v>761</v>
      </c>
      <c r="S826" s="48" t="n">
        <v>36862703</v>
      </c>
      <c r="T826" s="48" t="n">
        <v>26350460</v>
      </c>
      <c r="U826" s="46" t="n">
        <f aca="false">IF($A826=$A825,$U825+1,1)</f>
        <v>42</v>
      </c>
      <c r="V826" s="48" t="n">
        <f aca="false">IF($U826&gt;=MA_SHORT,AVERAGE(INDEX($I$426:$I826,402-MA_SHORT):$I826),"")</f>
        <v>2858.95</v>
      </c>
      <c r="W826" s="48" t="str">
        <f aca="false">IF($U826&gt;=MA_MED,AVERAGE(INDEX($I$426:$I826,402-MA_MED):$I826),"")</f>
        <v/>
      </c>
      <c r="X826" s="48" t="str">
        <f aca="false">IF($U826&gt;=MA_LONG1,AVERAGE(INDEX($I$426:$I826,402-MA_LONG1):$I826),"")</f>
        <v/>
      </c>
      <c r="Y826" s="48" t="str">
        <f aca="false">IF($U826&gt;=MA_LONG2,AVERAGE(INDEX($I$426:$I826,402-MA_LONG2):$I826),"")</f>
        <v/>
      </c>
      <c r="Z826" s="48" t="n">
        <f aca="false">IF($U826&gt;=MA_SHORT,AVERAGE(INDEX($L$706:$L826,122-MA_SHORT):$L826),"")</f>
        <v>72352234.4</v>
      </c>
      <c r="AA826" s="48" t="n">
        <f aca="false">IF($U826=1,$G826-$H826,MAX($G826-$H826,ABS($G826-$I825),ABS($H826-$I825)))</f>
        <v>87</v>
      </c>
      <c r="AB826" s="48" t="n">
        <f aca="false">IF($U826&gt;=ATR_PER,AVERAGE(INDEX($AA$706:$AA826,122-ATR_PER):$AA826),"")</f>
        <v>140.642857142857</v>
      </c>
      <c r="AC826" s="48" t="n">
        <f aca="false">$O826-$P826</f>
        <v>-10512243</v>
      </c>
      <c r="AD826" s="48" t="n">
        <f aca="false">$AC826*$I826</f>
        <v>-30569602644</v>
      </c>
      <c r="AE826" s="49" t="n">
        <f aca="false">IF($Q826&gt;0,$O826*$I826/$Q826/1000000,"")</f>
        <v>57.2586011756979</v>
      </c>
      <c r="AF826" s="49" t="n">
        <f aca="false">IF($R826&gt;0,$P826*$I826/$R826/1000000,"")</f>
        <v>131.814164094612</v>
      </c>
      <c r="AG826" s="50" t="n">
        <f aca="false">IF(AND(ISNUMBER($AE826),ISNUMBER($AF826),$AF826&gt;0),$AE826/$AF826,"")</f>
        <v>0.434388834985892</v>
      </c>
      <c r="AH826" s="48" t="n">
        <f aca="false">IF($U826&gt;=5,SUM(INDEX($AD$796:$AD826,32-5):$AD826),"")</f>
        <v>-91811458934</v>
      </c>
      <c r="AI826" s="48" t="n">
        <f aca="false">IF($U826&gt;=STRUCT_S,MAX(INDEX($G$676:$G826,152-STRUCT_S):$G826),"")</f>
        <v>3069</v>
      </c>
      <c r="AJ826" s="48" t="n">
        <f aca="false">IF($U826&gt;=STRUCT_S,MIN(INDEX($H$676:$H826,152-STRUCT_S):$H826),"")</f>
        <v>2622</v>
      </c>
      <c r="AK826" s="48" t="str">
        <f aca="false">IF($U826&gt;=STRUCT_L,MAX(INDEX($G$576:$G826,252-STRUCT_L):$G826),"")</f>
        <v/>
      </c>
      <c r="AL826" s="48" t="str">
        <f aca="false">IF($U826&gt;=STRUCT_L,MIN(INDEX($H$576:$H826,252-STRUCT_L):$H826),"")</f>
        <v/>
      </c>
      <c r="AM826" s="46" t="n">
        <f aca="false">IF($A826&lt;&gt;$A827,1,0)</f>
        <v>0</v>
      </c>
      <c r="AN826" s="47" t="str">
        <f aca="false">IF($AM826=1,$A826,"")</f>
        <v/>
      </c>
    </row>
    <row r="827" customFormat="false" ht="15" hidden="false" customHeight="false" outlineLevel="0" collapsed="false">
      <c r="A827" s="43" t="s">
        <v>147</v>
      </c>
      <c r="B827" s="44" t="s">
        <v>149</v>
      </c>
      <c r="C827" s="45" t="n">
        <v>45964</v>
      </c>
      <c r="D827" s="46" t="n">
        <v>20251103</v>
      </c>
      <c r="E827" s="47" t="s">
        <v>330</v>
      </c>
      <c r="F827" s="48" t="n">
        <v>2894</v>
      </c>
      <c r="G827" s="48" t="n">
        <v>2942</v>
      </c>
      <c r="H827" s="48" t="n">
        <v>2891</v>
      </c>
      <c r="I827" s="48" t="n">
        <v>2925</v>
      </c>
      <c r="J827" s="48" t="n">
        <v>2933</v>
      </c>
      <c r="K827" s="48" t="n">
        <v>2908</v>
      </c>
      <c r="L827" s="48" t="n">
        <v>90675849</v>
      </c>
      <c r="M827" s="48" t="n">
        <v>265226858325</v>
      </c>
      <c r="N827" s="48" t="n">
        <v>5577</v>
      </c>
      <c r="O827" s="48" t="n">
        <v>43137138</v>
      </c>
      <c r="P827" s="48" t="n">
        <v>45921882</v>
      </c>
      <c r="Q827" s="48" t="n">
        <v>2598</v>
      </c>
      <c r="R827" s="48" t="n">
        <v>2362</v>
      </c>
      <c r="S827" s="48" t="n">
        <v>47538711</v>
      </c>
      <c r="T827" s="48" t="n">
        <v>44753967</v>
      </c>
      <c r="U827" s="46" t="n">
        <f aca="false">IF($A827=$A826,$U826+1,1)</f>
        <v>43</v>
      </c>
      <c r="V827" s="48" t="n">
        <f aca="false">IF($U827&gt;=MA_SHORT,AVERAGE(INDEX($I$427:$I827,402-MA_SHORT):$I827),"")</f>
        <v>2870.2</v>
      </c>
      <c r="W827" s="48" t="str">
        <f aca="false">IF($U827&gt;=MA_MED,AVERAGE(INDEX($I$427:$I827,402-MA_MED):$I827),"")</f>
        <v/>
      </c>
      <c r="X827" s="48" t="str">
        <f aca="false">IF($U827&gt;=MA_LONG1,AVERAGE(INDEX($I$427:$I827,402-MA_LONG1):$I827),"")</f>
        <v/>
      </c>
      <c r="Y827" s="48" t="str">
        <f aca="false">IF($U827&gt;=MA_LONG2,AVERAGE(INDEX($I$427:$I827,402-MA_LONG2):$I827),"")</f>
        <v/>
      </c>
      <c r="Z827" s="48" t="n">
        <f aca="false">IF($U827&gt;=MA_SHORT,AVERAGE(INDEX($L$707:$L827,122-MA_SHORT):$L827),"")</f>
        <v>71364825.9</v>
      </c>
      <c r="AA827" s="48" t="n">
        <f aca="false">IF($U827=1,$G827-$H827,MAX($G827-$H827,ABS($G827-$I826),ABS($H827-$I826)))</f>
        <v>51</v>
      </c>
      <c r="AB827" s="48" t="n">
        <f aca="false">IF($U827&gt;=ATR_PER,AVERAGE(INDEX($AA$707:$AA827,122-ATR_PER):$AA827),"")</f>
        <v>126.5</v>
      </c>
      <c r="AC827" s="48" t="n">
        <f aca="false">$O827-$P827</f>
        <v>-2784744</v>
      </c>
      <c r="AD827" s="48" t="n">
        <f aca="false">$AC827*$I827</f>
        <v>-8145376200</v>
      </c>
      <c r="AE827" s="49" t="n">
        <f aca="false">IF($Q827&gt;0,$O827*$I827/$Q827/1000000,"")</f>
        <v>48.5666392032333</v>
      </c>
      <c r="AF827" s="49" t="n">
        <f aca="false">IF($R827&gt;0,$P827*$I827/$R827/1000000,"")</f>
        <v>56.8676989204064</v>
      </c>
      <c r="AG827" s="50" t="n">
        <f aca="false">IF(AND(ISNUMBER($AE827),ISNUMBER($AF827),$AF827&gt;0),$AE827/$AF827,"")</f>
        <v>0.854028563230744</v>
      </c>
      <c r="AH827" s="48" t="n">
        <f aca="false">IF($U827&gt;=5,SUM(INDEX($AD$797:$AD827,32-5):$AD827),"")</f>
        <v>-142027167608</v>
      </c>
      <c r="AI827" s="48" t="n">
        <f aca="false">IF($U827&gt;=STRUCT_S,MAX(INDEX($G$677:$G827,152-STRUCT_S):$G827),"")</f>
        <v>3069</v>
      </c>
      <c r="AJ827" s="48" t="n">
        <f aca="false">IF($U827&gt;=STRUCT_S,MIN(INDEX($H$677:$H827,152-STRUCT_S):$H827),"")</f>
        <v>2680</v>
      </c>
      <c r="AK827" s="48" t="str">
        <f aca="false">IF($U827&gt;=STRUCT_L,MAX(INDEX($G$577:$G827,252-STRUCT_L):$G827),"")</f>
        <v/>
      </c>
      <c r="AL827" s="48" t="str">
        <f aca="false">IF($U827&gt;=STRUCT_L,MIN(INDEX($H$577:$H827,252-STRUCT_L):$H827),"")</f>
        <v/>
      </c>
      <c r="AM827" s="46" t="n">
        <f aca="false">IF($A827&lt;&gt;$A828,1,0)</f>
        <v>0</v>
      </c>
      <c r="AN827" s="47" t="str">
        <f aca="false">IF($AM827=1,$A827,"")</f>
        <v/>
      </c>
    </row>
    <row r="828" customFormat="false" ht="15" hidden="false" customHeight="false" outlineLevel="0" collapsed="false">
      <c r="A828" s="43" t="s">
        <v>147</v>
      </c>
      <c r="B828" s="44" t="s">
        <v>149</v>
      </c>
      <c r="C828" s="45" t="n">
        <v>45965</v>
      </c>
      <c r="D828" s="46" t="n">
        <v>20251104</v>
      </c>
      <c r="E828" s="47" t="s">
        <v>331</v>
      </c>
      <c r="F828" s="48" t="n">
        <v>2930</v>
      </c>
      <c r="G828" s="48" t="n">
        <v>2968</v>
      </c>
      <c r="H828" s="48" t="n">
        <v>2829</v>
      </c>
      <c r="I828" s="48" t="n">
        <v>2871</v>
      </c>
      <c r="J828" s="48" t="n">
        <v>2935</v>
      </c>
      <c r="K828" s="48" t="n">
        <v>2925</v>
      </c>
      <c r="L828" s="48" t="n">
        <v>63606744</v>
      </c>
      <c r="M828" s="48" t="n">
        <v>182614962024</v>
      </c>
      <c r="N828" s="48" t="n">
        <v>2960</v>
      </c>
      <c r="O828" s="48" t="n">
        <v>18546676</v>
      </c>
      <c r="P828" s="48" t="n">
        <v>43336279</v>
      </c>
      <c r="Q828" s="48" t="n">
        <v>624</v>
      </c>
      <c r="R828" s="48" t="n">
        <v>1629</v>
      </c>
      <c r="S828" s="48" t="n">
        <v>45060068</v>
      </c>
      <c r="T828" s="48" t="n">
        <v>20270465</v>
      </c>
      <c r="U828" s="46" t="n">
        <f aca="false">IF($A828=$A827,$U827+1,1)</f>
        <v>44</v>
      </c>
      <c r="V828" s="48" t="n">
        <f aca="false">IF($U828&gt;=MA_SHORT,AVERAGE(INDEX($I$428:$I828,402-MA_SHORT):$I828),"")</f>
        <v>2874.6</v>
      </c>
      <c r="W828" s="48" t="str">
        <f aca="false">IF($U828&gt;=MA_MED,AVERAGE(INDEX($I$428:$I828,402-MA_MED):$I828),"")</f>
        <v/>
      </c>
      <c r="X828" s="48" t="str">
        <f aca="false">IF($U828&gt;=MA_LONG1,AVERAGE(INDEX($I$428:$I828,402-MA_LONG1):$I828),"")</f>
        <v/>
      </c>
      <c r="Y828" s="48" t="str">
        <f aca="false">IF($U828&gt;=MA_LONG2,AVERAGE(INDEX($I$428:$I828,402-MA_LONG2):$I828),"")</f>
        <v/>
      </c>
      <c r="Z828" s="48" t="n">
        <f aca="false">IF($U828&gt;=MA_SHORT,AVERAGE(INDEX($L$708:$L828,122-MA_SHORT):$L828),"")</f>
        <v>71153880.2</v>
      </c>
      <c r="AA828" s="48" t="n">
        <f aca="false">IF($U828=1,$G828-$H828,MAX($G828-$H828,ABS($G828-$I827),ABS($H828-$I827)))</f>
        <v>139</v>
      </c>
      <c r="AB828" s="48" t="n">
        <f aca="false">IF($U828&gt;=ATR_PER,AVERAGE(INDEX($AA$708:$AA828,122-ATR_PER):$AA828),"")</f>
        <v>124.142857142857</v>
      </c>
      <c r="AC828" s="48" t="n">
        <f aca="false">$O828-$P828</f>
        <v>-24789603</v>
      </c>
      <c r="AD828" s="48" t="n">
        <f aca="false">$AC828*$I828</f>
        <v>-71170950213</v>
      </c>
      <c r="AE828" s="49" t="n">
        <f aca="false">IF($Q828&gt;0,$O828*$I828/$Q828/1000000,"")</f>
        <v>85.3325429423077</v>
      </c>
      <c r="AF828" s="49" t="n">
        <f aca="false">IF($R828&gt;0,$P828*$I828/$R828/1000000,"")</f>
        <v>76.3771989005525</v>
      </c>
      <c r="AG828" s="50" t="n">
        <f aca="false">IF(AND(ISNUMBER($AE828),ISNUMBER($AF828),$AF828&gt;0),$AE828/$AF828,"")</f>
        <v>1.11725153803317</v>
      </c>
      <c r="AH828" s="48" t="n">
        <f aca="false">IF($U828&gt;=5,SUM(INDEX($AD$798:$AD828,32-5):$AD828),"")</f>
        <v>-143895225167</v>
      </c>
      <c r="AI828" s="48" t="n">
        <f aca="false">IF($U828&gt;=STRUCT_S,MAX(INDEX($G$678:$G828,152-STRUCT_S):$G828),"")</f>
        <v>3069</v>
      </c>
      <c r="AJ828" s="48" t="n">
        <f aca="false">IF($U828&gt;=STRUCT_S,MIN(INDEX($H$678:$H828,152-STRUCT_S):$H828),"")</f>
        <v>2696</v>
      </c>
      <c r="AK828" s="48" t="str">
        <f aca="false">IF($U828&gt;=STRUCT_L,MAX(INDEX($G$578:$G828,252-STRUCT_L):$G828),"")</f>
        <v/>
      </c>
      <c r="AL828" s="48" t="str">
        <f aca="false">IF($U828&gt;=STRUCT_L,MIN(INDEX($H$578:$H828,252-STRUCT_L):$H828),"")</f>
        <v/>
      </c>
      <c r="AM828" s="46" t="n">
        <f aca="false">IF($A828&lt;&gt;$A829,1,0)</f>
        <v>0</v>
      </c>
      <c r="AN828" s="47" t="str">
        <f aca="false">IF($AM828=1,$A828,"")</f>
        <v/>
      </c>
    </row>
    <row r="829" customFormat="false" ht="15" hidden="false" customHeight="false" outlineLevel="0" collapsed="false">
      <c r="A829" s="43" t="s">
        <v>147</v>
      </c>
      <c r="B829" s="44" t="s">
        <v>149</v>
      </c>
      <c r="C829" s="45" t="n">
        <v>45966</v>
      </c>
      <c r="D829" s="46" t="n">
        <v>20251105</v>
      </c>
      <c r="E829" s="47" t="s">
        <v>332</v>
      </c>
      <c r="F829" s="48" t="n">
        <v>2870</v>
      </c>
      <c r="G829" s="48" t="n">
        <v>2898</v>
      </c>
      <c r="H829" s="48" t="n">
        <v>2844</v>
      </c>
      <c r="I829" s="48" t="n">
        <v>2871</v>
      </c>
      <c r="J829" s="48" t="n">
        <v>2878</v>
      </c>
      <c r="K829" s="48" t="n">
        <v>2871</v>
      </c>
      <c r="L829" s="48" t="n">
        <v>57263689</v>
      </c>
      <c r="M829" s="48" t="n">
        <v>164404051119</v>
      </c>
      <c r="N829" s="48" t="n">
        <v>1638</v>
      </c>
      <c r="O829" s="48" t="n">
        <v>24076737</v>
      </c>
      <c r="P829" s="48" t="n">
        <v>34972359</v>
      </c>
      <c r="Q829" s="48" t="n">
        <v>449</v>
      </c>
      <c r="R829" s="48" t="n">
        <v>1178</v>
      </c>
      <c r="S829" s="48" t="n">
        <v>33186952</v>
      </c>
      <c r="T829" s="48" t="n">
        <v>22291330</v>
      </c>
      <c r="U829" s="46" t="n">
        <f aca="false">IF($A829=$A828,$U828+1,1)</f>
        <v>45</v>
      </c>
      <c r="V829" s="48" t="n">
        <f aca="false">IF($U829&gt;=MA_SHORT,AVERAGE(INDEX($I$429:$I829,402-MA_SHORT):$I829),"")</f>
        <v>2874.65</v>
      </c>
      <c r="W829" s="48" t="str">
        <f aca="false">IF($U829&gt;=MA_MED,AVERAGE(INDEX($I$429:$I829,402-MA_MED):$I829),"")</f>
        <v/>
      </c>
      <c r="X829" s="48" t="str">
        <f aca="false">IF($U829&gt;=MA_LONG1,AVERAGE(INDEX($I$429:$I829,402-MA_LONG1):$I829),"")</f>
        <v/>
      </c>
      <c r="Y829" s="48" t="str">
        <f aca="false">IF($U829&gt;=MA_LONG2,AVERAGE(INDEX($I$429:$I829,402-MA_LONG2):$I829),"")</f>
        <v/>
      </c>
      <c r="Z829" s="48" t="n">
        <f aca="false">IF($U829&gt;=MA_SHORT,AVERAGE(INDEX($L$709:$L829,122-MA_SHORT):$L829),"")</f>
        <v>69902748.4</v>
      </c>
      <c r="AA829" s="48" t="n">
        <f aca="false">IF($U829=1,$G829-$H829,MAX($G829-$H829,ABS($G829-$I828),ABS($H829-$I828)))</f>
        <v>54</v>
      </c>
      <c r="AB829" s="48" t="n">
        <f aca="false">IF($U829&gt;=ATR_PER,AVERAGE(INDEX($AA$709:$AA829,122-ATR_PER):$AA829),"")</f>
        <v>116.785714285714</v>
      </c>
      <c r="AC829" s="48" t="n">
        <f aca="false">$O829-$P829</f>
        <v>-10895622</v>
      </c>
      <c r="AD829" s="48" t="n">
        <f aca="false">$AC829*$I829</f>
        <v>-31281330762</v>
      </c>
      <c r="AE829" s="49" t="n">
        <f aca="false">IF($Q829&gt;0,$O829*$I829/$Q829/1000000,"")</f>
        <v>153.951696942094</v>
      </c>
      <c r="AF829" s="49" t="n">
        <f aca="false">IF($R829&gt;0,$P829*$I829/$R829/1000000,"")</f>
        <v>85.2339920959253</v>
      </c>
      <c r="AG829" s="50" t="n">
        <f aca="false">IF(AND(ISNUMBER($AE829),ISNUMBER($AF829),$AF829&gt;0),$AE829/$AF829,"")</f>
        <v>1.80622417367042</v>
      </c>
      <c r="AH829" s="48" t="n">
        <f aca="false">IF($U829&gt;=5,SUM(INDEX($AD$799:$AD829,32-5):$AD829),"")</f>
        <v>-165520300073</v>
      </c>
      <c r="AI829" s="48" t="n">
        <f aca="false">IF($U829&gt;=STRUCT_S,MAX(INDEX($G$679:$G829,152-STRUCT_S):$G829),"")</f>
        <v>3069</v>
      </c>
      <c r="AJ829" s="48" t="n">
        <f aca="false">IF($U829&gt;=STRUCT_S,MIN(INDEX($H$679:$H829,152-STRUCT_S):$H829),"")</f>
        <v>2696</v>
      </c>
      <c r="AK829" s="48" t="str">
        <f aca="false">IF($U829&gt;=STRUCT_L,MAX(INDEX($G$579:$G829,252-STRUCT_L):$G829),"")</f>
        <v/>
      </c>
      <c r="AL829" s="48" t="str">
        <f aca="false">IF($U829&gt;=STRUCT_L,MIN(INDEX($H$579:$H829,252-STRUCT_L):$H829),"")</f>
        <v/>
      </c>
      <c r="AM829" s="46" t="n">
        <f aca="false">IF($A829&lt;&gt;$A830,1,0)</f>
        <v>0</v>
      </c>
      <c r="AN829" s="47" t="str">
        <f aca="false">IF($AM829=1,$A829,"")</f>
        <v/>
      </c>
    </row>
    <row r="830" customFormat="false" ht="15" hidden="false" customHeight="false" outlineLevel="0" collapsed="false">
      <c r="A830" s="43" t="s">
        <v>147</v>
      </c>
      <c r="B830" s="44" t="s">
        <v>149</v>
      </c>
      <c r="C830" s="45" t="n">
        <v>45969</v>
      </c>
      <c r="D830" s="46" t="n">
        <v>20251108</v>
      </c>
      <c r="E830" s="47" t="s">
        <v>333</v>
      </c>
      <c r="F830" s="48" t="n">
        <v>2835</v>
      </c>
      <c r="G830" s="48" t="n">
        <v>2908</v>
      </c>
      <c r="H830" s="48" t="n">
        <v>2816</v>
      </c>
      <c r="I830" s="48" t="n">
        <v>2853</v>
      </c>
      <c r="J830" s="48" t="n">
        <v>2866</v>
      </c>
      <c r="K830" s="48" t="n">
        <v>2871</v>
      </c>
      <c r="L830" s="48" t="n">
        <v>68933184</v>
      </c>
      <c r="M830" s="48" t="n">
        <v>196666373952</v>
      </c>
      <c r="N830" s="48" t="n">
        <v>5594</v>
      </c>
      <c r="O830" s="48" t="n">
        <v>24993252</v>
      </c>
      <c r="P830" s="48" t="n">
        <v>43759277</v>
      </c>
      <c r="Q830" s="48" t="n">
        <v>2071</v>
      </c>
      <c r="R830" s="48" t="n">
        <v>2402</v>
      </c>
      <c r="S830" s="48" t="n">
        <v>43939932</v>
      </c>
      <c r="T830" s="48" t="n">
        <v>25173907</v>
      </c>
      <c r="U830" s="46" t="n">
        <f aca="false">IF($A830=$A829,$U829+1,1)</f>
        <v>46</v>
      </c>
      <c r="V830" s="48" t="n">
        <f aca="false">IF($U830&gt;=MA_SHORT,AVERAGE(INDEX($I$430:$I830,402-MA_SHORT):$I830),"")</f>
        <v>2873.65</v>
      </c>
      <c r="W830" s="48" t="str">
        <f aca="false">IF($U830&gt;=MA_MED,AVERAGE(INDEX($I$430:$I830,402-MA_MED):$I830),"")</f>
        <v/>
      </c>
      <c r="X830" s="48" t="str">
        <f aca="false">IF($U830&gt;=MA_LONG1,AVERAGE(INDEX($I$430:$I830,402-MA_LONG1):$I830),"")</f>
        <v/>
      </c>
      <c r="Y830" s="48" t="str">
        <f aca="false">IF($U830&gt;=MA_LONG2,AVERAGE(INDEX($I$430:$I830,402-MA_LONG2):$I830),"")</f>
        <v/>
      </c>
      <c r="Z830" s="48" t="n">
        <f aca="false">IF($U830&gt;=MA_SHORT,AVERAGE(INDEX($L$710:$L830,122-MA_SHORT):$L830),"")</f>
        <v>70202553</v>
      </c>
      <c r="AA830" s="48" t="n">
        <f aca="false">IF($U830=1,$G830-$H830,MAX($G830-$H830,ABS($G830-$I829),ABS($H830-$I829)))</f>
        <v>92</v>
      </c>
      <c r="AB830" s="48" t="n">
        <f aca="false">IF($U830&gt;=ATR_PER,AVERAGE(INDEX($AA$710:$AA830,122-ATR_PER):$AA830),"")</f>
        <v>117.642857142857</v>
      </c>
      <c r="AC830" s="48" t="n">
        <f aca="false">$O830-$P830</f>
        <v>-18766025</v>
      </c>
      <c r="AD830" s="48" t="n">
        <f aca="false">$AC830*$I830</f>
        <v>-53539469325</v>
      </c>
      <c r="AE830" s="49" t="n">
        <f aca="false">IF($Q830&gt;0,$O830*$I830/$Q830/1000000,"")</f>
        <v>34.4305881004346</v>
      </c>
      <c r="AF830" s="49" t="n">
        <f aca="false">IF($R830&gt;0,$P830*$I830/$R830/1000000,"")</f>
        <v>51.9755275940883</v>
      </c>
      <c r="AG830" s="50" t="n">
        <f aca="false">IF(AND(ISNUMBER($AE830),ISNUMBER($AF830),$AF830&gt;0),$AE830/$AF830,"")</f>
        <v>0.662438453137525</v>
      </c>
      <c r="AH830" s="48" t="n">
        <f aca="false">IF($U830&gt;=5,SUM(INDEX($AD$800:$AD830,32-5):$AD830),"")</f>
        <v>-194706729144</v>
      </c>
      <c r="AI830" s="48" t="n">
        <f aca="false">IF($U830&gt;=STRUCT_S,MAX(INDEX($G$680:$G830,152-STRUCT_S):$G830),"")</f>
        <v>3069</v>
      </c>
      <c r="AJ830" s="48" t="n">
        <f aca="false">IF($U830&gt;=STRUCT_S,MIN(INDEX($H$680:$H830,152-STRUCT_S):$H830),"")</f>
        <v>2696</v>
      </c>
      <c r="AK830" s="48" t="str">
        <f aca="false">IF($U830&gt;=STRUCT_L,MAX(INDEX($G$580:$G830,252-STRUCT_L):$G830),"")</f>
        <v/>
      </c>
      <c r="AL830" s="48" t="str">
        <f aca="false">IF($U830&gt;=STRUCT_L,MIN(INDEX($H$580:$H830,252-STRUCT_L):$H830),"")</f>
        <v/>
      </c>
      <c r="AM830" s="46" t="n">
        <f aca="false">IF($A830&lt;&gt;$A831,1,0)</f>
        <v>0</v>
      </c>
      <c r="AN830" s="47" t="str">
        <f aca="false">IF($AM830=1,$A830,"")</f>
        <v/>
      </c>
    </row>
    <row r="831" customFormat="false" ht="15" hidden="false" customHeight="false" outlineLevel="0" collapsed="false">
      <c r="A831" s="43" t="s">
        <v>147</v>
      </c>
      <c r="B831" s="44" t="s">
        <v>149</v>
      </c>
      <c r="C831" s="45" t="n">
        <v>45970</v>
      </c>
      <c r="D831" s="46" t="n">
        <v>20251109</v>
      </c>
      <c r="E831" s="47" t="s">
        <v>334</v>
      </c>
      <c r="F831" s="48" t="n">
        <v>2837</v>
      </c>
      <c r="G831" s="48" t="n">
        <v>2937</v>
      </c>
      <c r="H831" s="48" t="n">
        <v>2826</v>
      </c>
      <c r="I831" s="48" t="n">
        <v>2909</v>
      </c>
      <c r="J831" s="48" t="n">
        <v>2834</v>
      </c>
      <c r="K831" s="48" t="n">
        <v>2853</v>
      </c>
      <c r="L831" s="48" t="n">
        <v>75004226</v>
      </c>
      <c r="M831" s="48" t="n">
        <v>218187293434</v>
      </c>
      <c r="N831" s="48" t="n">
        <v>3893</v>
      </c>
      <c r="O831" s="48" t="n">
        <v>42033307</v>
      </c>
      <c r="P831" s="48" t="n">
        <v>30032674</v>
      </c>
      <c r="Q831" s="48" t="n">
        <v>2212</v>
      </c>
      <c r="R831" s="48" t="n">
        <v>1549</v>
      </c>
      <c r="S831" s="48" t="n">
        <v>32970919</v>
      </c>
      <c r="T831" s="48" t="n">
        <v>44971552</v>
      </c>
      <c r="U831" s="46" t="n">
        <f aca="false">IF($A831=$A830,$U830+1,1)</f>
        <v>47</v>
      </c>
      <c r="V831" s="48" t="n">
        <f aca="false">IF($U831&gt;=MA_SHORT,AVERAGE(INDEX($I$431:$I831,402-MA_SHORT):$I831),"")</f>
        <v>2873.3</v>
      </c>
      <c r="W831" s="48" t="str">
        <f aca="false">IF($U831&gt;=MA_MED,AVERAGE(INDEX($I$431:$I831,402-MA_MED):$I831),"")</f>
        <v/>
      </c>
      <c r="X831" s="48" t="str">
        <f aca="false">IF($U831&gt;=MA_LONG1,AVERAGE(INDEX($I$431:$I831,402-MA_LONG1):$I831),"")</f>
        <v/>
      </c>
      <c r="Y831" s="48" t="str">
        <f aca="false">IF($U831&gt;=MA_LONG2,AVERAGE(INDEX($I$431:$I831,402-MA_LONG2):$I831),"")</f>
        <v/>
      </c>
      <c r="Z831" s="48" t="n">
        <f aca="false">IF($U831&gt;=MA_SHORT,AVERAGE(INDEX($L$711:$L831,122-MA_SHORT):$L831),"")</f>
        <v>69717175.75</v>
      </c>
      <c r="AA831" s="48" t="n">
        <f aca="false">IF($U831=1,$G831-$H831,MAX($G831-$H831,ABS($G831-$I830),ABS($H831-$I830)))</f>
        <v>111</v>
      </c>
      <c r="AB831" s="48" t="n">
        <f aca="false">IF($U831&gt;=ATR_PER,AVERAGE(INDEX($AA$711:$AA831,122-ATR_PER):$AA831),"")</f>
        <v>119.357142857143</v>
      </c>
      <c r="AC831" s="48" t="n">
        <f aca="false">$O831-$P831</f>
        <v>12000633</v>
      </c>
      <c r="AD831" s="48" t="n">
        <f aca="false">$AC831*$I831</f>
        <v>34909841397</v>
      </c>
      <c r="AE831" s="49" t="n">
        <f aca="false">IF($Q831&gt;0,$O831*$I831/$Q831/1000000,"")</f>
        <v>55.277979232821</v>
      </c>
      <c r="AF831" s="49" t="n">
        <f aca="false">IF($R831&gt;0,$P831*$I831/$R831/1000000,"")</f>
        <v>56.4009352265978</v>
      </c>
      <c r="AG831" s="50" t="n">
        <f aca="false">IF(AND(ISNUMBER($AE831),ISNUMBER($AF831),$AF831&gt;0),$AE831/$AF831,"")</f>
        <v>0.98008976288664</v>
      </c>
      <c r="AH831" s="48" t="n">
        <f aca="false">IF($U831&gt;=5,SUM(INDEX($AD$801:$AD831,32-5):$AD831),"")</f>
        <v>-129227285103</v>
      </c>
      <c r="AI831" s="48" t="n">
        <f aca="false">IF($U831&gt;=STRUCT_S,MAX(INDEX($G$681:$G831,152-STRUCT_S):$G831),"")</f>
        <v>3069</v>
      </c>
      <c r="AJ831" s="48" t="n">
        <f aca="false">IF($U831&gt;=STRUCT_S,MIN(INDEX($H$681:$H831,152-STRUCT_S):$H831),"")</f>
        <v>2696</v>
      </c>
      <c r="AK831" s="48" t="str">
        <f aca="false">IF($U831&gt;=STRUCT_L,MAX(INDEX($G$581:$G831,252-STRUCT_L):$G831),"")</f>
        <v/>
      </c>
      <c r="AL831" s="48" t="str">
        <f aca="false">IF($U831&gt;=STRUCT_L,MIN(INDEX($H$581:$H831,252-STRUCT_L):$H831),"")</f>
        <v/>
      </c>
      <c r="AM831" s="46" t="n">
        <f aca="false">IF($A831&lt;&gt;$A832,1,0)</f>
        <v>0</v>
      </c>
      <c r="AN831" s="47" t="str">
        <f aca="false">IF($AM831=1,$A831,"")</f>
        <v/>
      </c>
    </row>
    <row r="832" customFormat="false" ht="15" hidden="false" customHeight="false" outlineLevel="0" collapsed="false">
      <c r="A832" s="43" t="s">
        <v>147</v>
      </c>
      <c r="B832" s="44" t="s">
        <v>149</v>
      </c>
      <c r="C832" s="45" t="n">
        <v>45971</v>
      </c>
      <c r="D832" s="46" t="n">
        <v>20251110</v>
      </c>
      <c r="E832" s="47" t="s">
        <v>335</v>
      </c>
      <c r="F832" s="48" t="n">
        <v>2876</v>
      </c>
      <c r="G832" s="48" t="n">
        <v>2935</v>
      </c>
      <c r="H832" s="48" t="n">
        <v>2806</v>
      </c>
      <c r="I832" s="48" t="n">
        <v>2831</v>
      </c>
      <c r="J832" s="48" t="n">
        <v>2902</v>
      </c>
      <c r="K832" s="48" t="n">
        <v>2909</v>
      </c>
      <c r="L832" s="48" t="n">
        <v>95875664</v>
      </c>
      <c r="M832" s="48" t="n">
        <v>271424004784</v>
      </c>
      <c r="N832" s="48" t="n">
        <v>2746</v>
      </c>
      <c r="O832" s="48" t="n">
        <v>28321339</v>
      </c>
      <c r="P832" s="48" t="n">
        <v>61479958</v>
      </c>
      <c r="Q832" s="48" t="n">
        <v>1054</v>
      </c>
      <c r="R832" s="48" t="n">
        <v>1373</v>
      </c>
      <c r="S832" s="48" t="n">
        <v>67554325</v>
      </c>
      <c r="T832" s="48" t="n">
        <v>34395706</v>
      </c>
      <c r="U832" s="46" t="n">
        <f aca="false">IF($A832=$A831,$U831+1,1)</f>
        <v>48</v>
      </c>
      <c r="V832" s="48" t="n">
        <f aca="false">IF($U832&gt;=MA_SHORT,AVERAGE(INDEX($I$432:$I832,402-MA_SHORT):$I832),"")</f>
        <v>2864</v>
      </c>
      <c r="W832" s="48" t="str">
        <f aca="false">IF($U832&gt;=MA_MED,AVERAGE(INDEX($I$432:$I832,402-MA_MED):$I832),"")</f>
        <v/>
      </c>
      <c r="X832" s="48" t="str">
        <f aca="false">IF($U832&gt;=MA_LONG1,AVERAGE(INDEX($I$432:$I832,402-MA_LONG1):$I832),"")</f>
        <v/>
      </c>
      <c r="Y832" s="48" t="str">
        <f aca="false">IF($U832&gt;=MA_LONG2,AVERAGE(INDEX($I$432:$I832,402-MA_LONG2):$I832),"")</f>
        <v/>
      </c>
      <c r="Z832" s="48" t="n">
        <f aca="false">IF($U832&gt;=MA_SHORT,AVERAGE(INDEX($L$712:$L832,122-MA_SHORT):$L832),"")</f>
        <v>71052750.55</v>
      </c>
      <c r="AA832" s="48" t="n">
        <f aca="false">IF($U832=1,$G832-$H832,MAX($G832-$H832,ABS($G832-$I831),ABS($H832-$I831)))</f>
        <v>129</v>
      </c>
      <c r="AB832" s="48" t="n">
        <f aca="false">IF($U832&gt;=ATR_PER,AVERAGE(INDEX($AA$712:$AA832,122-ATR_PER):$AA832),"")</f>
        <v>119.714285714286</v>
      </c>
      <c r="AC832" s="48" t="n">
        <f aca="false">$O832-$P832</f>
        <v>-33158619</v>
      </c>
      <c r="AD832" s="48" t="n">
        <f aca="false">$AC832*$I832</f>
        <v>-93872050389</v>
      </c>
      <c r="AE832" s="49" t="n">
        <f aca="false">IF($Q832&gt;0,$O832*$I832/$Q832/1000000,"")</f>
        <v>76.0699342590133</v>
      </c>
      <c r="AF832" s="49" t="n">
        <f aca="false">IF($R832&gt;0,$P832*$I832/$R832/1000000,"")</f>
        <v>126.766031389658</v>
      </c>
      <c r="AG832" s="50" t="n">
        <f aca="false">IF(AND(ISNUMBER($AE832),ISNUMBER($AF832),$AF832&gt;0),$AE832/$AF832,"")</f>
        <v>0.600081373733212</v>
      </c>
      <c r="AH832" s="48" t="n">
        <f aca="false">IF($U832&gt;=5,SUM(INDEX($AD$802:$AD832,32-5):$AD832),"")</f>
        <v>-214953959292</v>
      </c>
      <c r="AI832" s="48" t="n">
        <f aca="false">IF($U832&gt;=STRUCT_S,MAX(INDEX($G$682:$G832,152-STRUCT_S):$G832),"")</f>
        <v>3069</v>
      </c>
      <c r="AJ832" s="48" t="n">
        <f aca="false">IF($U832&gt;=STRUCT_S,MIN(INDEX($H$682:$H832,152-STRUCT_S):$H832),"")</f>
        <v>2696</v>
      </c>
      <c r="AK832" s="48" t="str">
        <f aca="false">IF($U832&gt;=STRUCT_L,MAX(INDEX($G$582:$G832,252-STRUCT_L):$G832),"")</f>
        <v/>
      </c>
      <c r="AL832" s="48" t="str">
        <f aca="false">IF($U832&gt;=STRUCT_L,MIN(INDEX($H$582:$H832,252-STRUCT_L):$H832),"")</f>
        <v/>
      </c>
      <c r="AM832" s="46" t="n">
        <f aca="false">IF($A832&lt;&gt;$A833,1,0)</f>
        <v>0</v>
      </c>
      <c r="AN832" s="47" t="str">
        <f aca="false">IF($AM832=1,$A832,"")</f>
        <v/>
      </c>
    </row>
    <row r="833" customFormat="false" ht="15" hidden="false" customHeight="false" outlineLevel="0" collapsed="false">
      <c r="A833" s="43" t="s">
        <v>147</v>
      </c>
      <c r="B833" s="44" t="s">
        <v>149</v>
      </c>
      <c r="C833" s="45" t="n">
        <v>45972</v>
      </c>
      <c r="D833" s="46" t="n">
        <v>20251111</v>
      </c>
      <c r="E833" s="47" t="s">
        <v>336</v>
      </c>
      <c r="F833" s="48" t="n">
        <v>2697</v>
      </c>
      <c r="G833" s="48" t="n">
        <v>2866</v>
      </c>
      <c r="H833" s="48" t="n">
        <v>2660</v>
      </c>
      <c r="I833" s="48" t="n">
        <v>2693</v>
      </c>
      <c r="J833" s="48" t="n">
        <v>2661</v>
      </c>
      <c r="K833" s="48" t="n">
        <v>2831</v>
      </c>
      <c r="L833" s="48" t="n">
        <v>74011953</v>
      </c>
      <c r="M833" s="48" t="n">
        <v>199314189429</v>
      </c>
      <c r="N833" s="48" t="n">
        <v>1885</v>
      </c>
      <c r="O833" s="48" t="n">
        <v>17265235</v>
      </c>
      <c r="P833" s="48" t="n">
        <v>55020561</v>
      </c>
      <c r="Q833" s="48" t="n">
        <v>549</v>
      </c>
      <c r="R833" s="48" t="n">
        <v>1170</v>
      </c>
      <c r="S833" s="48" t="n">
        <v>56746718</v>
      </c>
      <c r="T833" s="48" t="n">
        <v>18991392</v>
      </c>
      <c r="U833" s="46" t="n">
        <f aca="false">IF($A833=$A832,$U832+1,1)</f>
        <v>49</v>
      </c>
      <c r="V833" s="48" t="n">
        <f aca="false">IF($U833&gt;=MA_SHORT,AVERAGE(INDEX($I$433:$I833,402-MA_SHORT):$I833),"")</f>
        <v>2855.2</v>
      </c>
      <c r="W833" s="48" t="str">
        <f aca="false">IF($U833&gt;=MA_MED,AVERAGE(INDEX($I$433:$I833,402-MA_MED):$I833),"")</f>
        <v/>
      </c>
      <c r="X833" s="48" t="str">
        <f aca="false">IF($U833&gt;=MA_LONG1,AVERAGE(INDEX($I$433:$I833,402-MA_LONG1):$I833),"")</f>
        <v/>
      </c>
      <c r="Y833" s="48" t="str">
        <f aca="false">IF($U833&gt;=MA_LONG2,AVERAGE(INDEX($I$433:$I833,402-MA_LONG2):$I833),"")</f>
        <v/>
      </c>
      <c r="Z833" s="48" t="n">
        <f aca="false">IF($U833&gt;=MA_SHORT,AVERAGE(INDEX($L$713:$L833,122-MA_SHORT):$L833),"")</f>
        <v>71047436.6</v>
      </c>
      <c r="AA833" s="48" t="n">
        <f aca="false">IF($U833=1,$G833-$H833,MAX($G833-$H833,ABS($G833-$I832),ABS($H833-$I832)))</f>
        <v>206</v>
      </c>
      <c r="AB833" s="48" t="n">
        <f aca="false">IF($U833&gt;=ATR_PER,AVERAGE(INDEX($AA$713:$AA833,122-ATR_PER):$AA833),"")</f>
        <v>128.714285714286</v>
      </c>
      <c r="AC833" s="48" t="n">
        <f aca="false">$O833-$P833</f>
        <v>-37755326</v>
      </c>
      <c r="AD833" s="48" t="n">
        <f aca="false">$AC833*$I833</f>
        <v>-101675092918</v>
      </c>
      <c r="AE833" s="49" t="n">
        <f aca="false">IF($Q833&gt;0,$O833*$I833/$Q833/1000000,"")</f>
        <v>84.6908521948998</v>
      </c>
      <c r="AF833" s="49" t="n">
        <f aca="false">IF($R833&gt;0,$P833*$I833/$R833/1000000,"")</f>
        <v>126.641342541026</v>
      </c>
      <c r="AG833" s="50" t="n">
        <f aca="false">IF(AND(ISNUMBER($AE833),ISNUMBER($AF833),$AF833&gt;0),$AE833/$AF833,"")</f>
        <v>0.668745691538007</v>
      </c>
      <c r="AH833" s="48" t="n">
        <f aca="false">IF($U833&gt;=5,SUM(INDEX($AD$803:$AD833,32-5):$AD833),"")</f>
        <v>-245458101997</v>
      </c>
      <c r="AI833" s="48" t="n">
        <f aca="false">IF($U833&gt;=STRUCT_S,MAX(INDEX($G$683:$G833,152-STRUCT_S):$G833),"")</f>
        <v>2999</v>
      </c>
      <c r="AJ833" s="48" t="n">
        <f aca="false">IF($U833&gt;=STRUCT_S,MIN(INDEX($H$683:$H833,152-STRUCT_S):$H833),"")</f>
        <v>2660</v>
      </c>
      <c r="AK833" s="48" t="str">
        <f aca="false">IF($U833&gt;=STRUCT_L,MAX(INDEX($G$583:$G833,252-STRUCT_L):$G833),"")</f>
        <v/>
      </c>
      <c r="AL833" s="48" t="str">
        <f aca="false">IF($U833&gt;=STRUCT_L,MIN(INDEX($H$583:$H833,252-STRUCT_L):$H833),"")</f>
        <v/>
      </c>
      <c r="AM833" s="46" t="n">
        <f aca="false">IF($A833&lt;&gt;$A834,1,0)</f>
        <v>0</v>
      </c>
      <c r="AN833" s="47" t="str">
        <f aca="false">IF($AM833=1,$A833,"")</f>
        <v/>
      </c>
    </row>
    <row r="834" customFormat="false" ht="15" hidden="false" customHeight="false" outlineLevel="0" collapsed="false">
      <c r="A834" s="43" t="s">
        <v>147</v>
      </c>
      <c r="B834" s="44" t="s">
        <v>149</v>
      </c>
      <c r="C834" s="45" t="n">
        <v>45973</v>
      </c>
      <c r="D834" s="46" t="n">
        <v>20251112</v>
      </c>
      <c r="E834" s="47" t="s">
        <v>337</v>
      </c>
      <c r="F834" s="48" t="n">
        <v>2680</v>
      </c>
      <c r="G834" s="48" t="n">
        <v>2776</v>
      </c>
      <c r="H834" s="48" t="n">
        <v>2656</v>
      </c>
      <c r="I834" s="48" t="n">
        <v>2738</v>
      </c>
      <c r="J834" s="48" t="n">
        <v>2669</v>
      </c>
      <c r="K834" s="48" t="n">
        <v>2693</v>
      </c>
      <c r="L834" s="48" t="n">
        <v>64927033</v>
      </c>
      <c r="M834" s="48" t="n">
        <v>177770216354</v>
      </c>
      <c r="N834" s="48" t="n">
        <v>1665</v>
      </c>
      <c r="O834" s="48" t="n">
        <v>27664121</v>
      </c>
      <c r="P834" s="48" t="n">
        <v>41090501</v>
      </c>
      <c r="Q834" s="48" t="n">
        <v>1185</v>
      </c>
      <c r="R834" s="48" t="n">
        <v>603</v>
      </c>
      <c r="S834" s="48" t="n">
        <v>37262912</v>
      </c>
      <c r="T834" s="48" t="n">
        <v>23836532</v>
      </c>
      <c r="U834" s="46" t="n">
        <f aca="false">IF($A834=$A833,$U833+1,1)</f>
        <v>50</v>
      </c>
      <c r="V834" s="48" t="n">
        <f aca="false">IF($U834&gt;=MA_SHORT,AVERAGE(INDEX($I$434:$I834,402-MA_SHORT):$I834),"")</f>
        <v>2850.5</v>
      </c>
      <c r="W834" s="48" t="n">
        <f aca="false">IF($U834&gt;=MA_MED,AVERAGE(INDEX($I$434:$I834,402-MA_MED):$I834),"")</f>
        <v>2682.36</v>
      </c>
      <c r="X834" s="48" t="str">
        <f aca="false">IF($U834&gt;=MA_LONG1,AVERAGE(INDEX($I$434:$I834,402-MA_LONG1):$I834),"")</f>
        <v/>
      </c>
      <c r="Y834" s="48" t="str">
        <f aca="false">IF($U834&gt;=MA_LONG2,AVERAGE(INDEX($I$434:$I834,402-MA_LONG2):$I834),"")</f>
        <v/>
      </c>
      <c r="Z834" s="48" t="n">
        <f aca="false">IF($U834&gt;=MA_SHORT,AVERAGE(INDEX($L$714:$L834,122-MA_SHORT):$L834),"")</f>
        <v>70300661.3</v>
      </c>
      <c r="AA834" s="48" t="n">
        <f aca="false">IF($U834=1,$G834-$H834,MAX($G834-$H834,ABS($G834-$I833),ABS($H834-$I833)))</f>
        <v>120</v>
      </c>
      <c r="AB834" s="48" t="n">
        <f aca="false">IF($U834&gt;=ATR_PER,AVERAGE(INDEX($AA$714:$AA834,122-ATR_PER):$AA834),"")</f>
        <v>123</v>
      </c>
      <c r="AC834" s="48" t="n">
        <f aca="false">$O834-$P834</f>
        <v>-13426380</v>
      </c>
      <c r="AD834" s="48" t="n">
        <f aca="false">$AC834*$I834</f>
        <v>-36761428440</v>
      </c>
      <c r="AE834" s="49" t="n">
        <f aca="false">IF($Q834&gt;0,$O834*$I834/$Q834/1000000,"")</f>
        <v>63.9192939223629</v>
      </c>
      <c r="AF834" s="49" t="n">
        <f aca="false">IF($R834&gt;0,$P834*$I834/$R834/1000000,"")</f>
        <v>186.57676905141</v>
      </c>
      <c r="AG834" s="50" t="n">
        <f aca="false">IF(AND(ISNUMBER($AE834),ISNUMBER($AF834),$AF834&gt;0),$AE834/$AF834,"")</f>
        <v>0.342589778177317</v>
      </c>
      <c r="AH834" s="48" t="n">
        <f aca="false">IF($U834&gt;=5,SUM(INDEX($AD$804:$AD834,32-5):$AD834),"")</f>
        <v>-250938199675</v>
      </c>
      <c r="AI834" s="48" t="n">
        <f aca="false">IF($U834&gt;=STRUCT_S,MAX(INDEX($G$684:$G834,152-STRUCT_S):$G834),"")</f>
        <v>2999</v>
      </c>
      <c r="AJ834" s="48" t="n">
        <f aca="false">IF($U834&gt;=STRUCT_S,MIN(INDEX($H$684:$H834,152-STRUCT_S):$H834),"")</f>
        <v>2656</v>
      </c>
      <c r="AK834" s="48" t="str">
        <f aca="false">IF($U834&gt;=STRUCT_L,MAX(INDEX($G$584:$G834,252-STRUCT_L):$G834),"")</f>
        <v/>
      </c>
      <c r="AL834" s="48" t="str">
        <f aca="false">IF($U834&gt;=STRUCT_L,MIN(INDEX($H$584:$H834,252-STRUCT_L):$H834),"")</f>
        <v/>
      </c>
      <c r="AM834" s="46" t="n">
        <f aca="false">IF($A834&lt;&gt;$A835,1,0)</f>
        <v>0</v>
      </c>
      <c r="AN834" s="47" t="str">
        <f aca="false">IF($AM834=1,$A834,"")</f>
        <v/>
      </c>
    </row>
    <row r="835" customFormat="false" ht="15" hidden="false" customHeight="false" outlineLevel="0" collapsed="false">
      <c r="A835" s="43" t="s">
        <v>147</v>
      </c>
      <c r="B835" s="44" t="s">
        <v>149</v>
      </c>
      <c r="C835" s="45" t="n">
        <v>45976</v>
      </c>
      <c r="D835" s="46" t="n">
        <v>20251115</v>
      </c>
      <c r="E835" s="47" t="s">
        <v>338</v>
      </c>
      <c r="F835" s="48" t="n">
        <v>2706</v>
      </c>
      <c r="G835" s="48" t="n">
        <v>2910</v>
      </c>
      <c r="H835" s="48" t="n">
        <v>2692</v>
      </c>
      <c r="I835" s="48" t="n">
        <v>2862</v>
      </c>
      <c r="J835" s="48" t="n">
        <v>2878</v>
      </c>
      <c r="K835" s="48" t="n">
        <v>2738</v>
      </c>
      <c r="L835" s="48" t="n">
        <v>72824020</v>
      </c>
      <c r="M835" s="48" t="n">
        <v>208422345240</v>
      </c>
      <c r="N835" s="48" t="n">
        <v>3616</v>
      </c>
      <c r="O835" s="48" t="n">
        <v>45704339</v>
      </c>
      <c r="P835" s="48" t="n">
        <v>29263822</v>
      </c>
      <c r="Q835" s="48" t="n">
        <v>1782</v>
      </c>
      <c r="R835" s="48" t="n">
        <v>1030</v>
      </c>
      <c r="S835" s="48" t="n">
        <v>27119681</v>
      </c>
      <c r="T835" s="48" t="n">
        <v>43560198</v>
      </c>
      <c r="U835" s="46" t="n">
        <f aca="false">IF($A835=$A834,$U834+1,1)</f>
        <v>51</v>
      </c>
      <c r="V835" s="48" t="n">
        <f aca="false">IF($U835&gt;=MA_SHORT,AVERAGE(INDEX($I$435:$I835,402-MA_SHORT):$I835),"")</f>
        <v>2848.5</v>
      </c>
      <c r="W835" s="48" t="n">
        <f aca="false">IF($U835&gt;=MA_MED,AVERAGE(INDEX($I$435:$I835,402-MA_MED):$I835),"")</f>
        <v>2691.82</v>
      </c>
      <c r="X835" s="48" t="str">
        <f aca="false">IF($U835&gt;=MA_LONG1,AVERAGE(INDEX($I$435:$I835,402-MA_LONG1):$I835),"")</f>
        <v/>
      </c>
      <c r="Y835" s="48" t="str">
        <f aca="false">IF($U835&gt;=MA_LONG2,AVERAGE(INDEX($I$435:$I835,402-MA_LONG2):$I835),"")</f>
        <v/>
      </c>
      <c r="Z835" s="48" t="n">
        <f aca="false">IF($U835&gt;=MA_SHORT,AVERAGE(INDEX($L$715:$L835,122-MA_SHORT):$L835),"")</f>
        <v>70109416.5</v>
      </c>
      <c r="AA835" s="48" t="n">
        <f aca="false">IF($U835=1,$G835-$H835,MAX($G835-$H835,ABS($G835-$I834),ABS($H835-$I834)))</f>
        <v>218</v>
      </c>
      <c r="AB835" s="48" t="n">
        <f aca="false">IF($U835&gt;=ATR_PER,AVERAGE(INDEX($AA$715:$AA835,122-ATR_PER):$AA835),"")</f>
        <v>133.214285714286</v>
      </c>
      <c r="AC835" s="48" t="n">
        <f aca="false">$O835-$P835</f>
        <v>16440517</v>
      </c>
      <c r="AD835" s="48" t="n">
        <f aca="false">$AC835*$I835</f>
        <v>47052759654</v>
      </c>
      <c r="AE835" s="49" t="n">
        <f aca="false">IF($Q835&gt;0,$O835*$I835/$Q835/1000000,"")</f>
        <v>73.4039383939394</v>
      </c>
      <c r="AF835" s="49" t="n">
        <f aca="false">IF($R835&gt;0,$P835*$I835/$R835/1000000,"")</f>
        <v>81.3136490912621</v>
      </c>
      <c r="AG835" s="50" t="n">
        <f aca="false">IF(AND(ISNUMBER($AE835),ISNUMBER($AF835),$AF835&gt;0),$AE835/$AF835,"")</f>
        <v>0.902725916427077</v>
      </c>
      <c r="AH835" s="48" t="n">
        <f aca="false">IF($U835&gt;=5,SUM(INDEX($AD$805:$AD835,32-5):$AD835),"")</f>
        <v>-150345970696</v>
      </c>
      <c r="AI835" s="48" t="n">
        <f aca="false">IF($U835&gt;=STRUCT_S,MAX(INDEX($G$685:$G835,152-STRUCT_S):$G835),"")</f>
        <v>2999</v>
      </c>
      <c r="AJ835" s="48" t="n">
        <f aca="false">IF($U835&gt;=STRUCT_S,MIN(INDEX($H$685:$H835,152-STRUCT_S):$H835),"")</f>
        <v>2656</v>
      </c>
      <c r="AK835" s="48" t="str">
        <f aca="false">IF($U835&gt;=STRUCT_L,MAX(INDEX($G$585:$G835,252-STRUCT_L):$G835),"")</f>
        <v/>
      </c>
      <c r="AL835" s="48" t="str">
        <f aca="false">IF($U835&gt;=STRUCT_L,MIN(INDEX($H$585:$H835,252-STRUCT_L):$H835),"")</f>
        <v/>
      </c>
      <c r="AM835" s="46" t="n">
        <f aca="false">IF($A835&lt;&gt;$A836,1,0)</f>
        <v>0</v>
      </c>
      <c r="AN835" s="47" t="str">
        <f aca="false">IF($AM835=1,$A835,"")</f>
        <v/>
      </c>
    </row>
    <row r="836" customFormat="false" ht="15" hidden="false" customHeight="false" outlineLevel="0" collapsed="false">
      <c r="A836" s="43" t="s">
        <v>147</v>
      </c>
      <c r="B836" s="44" t="s">
        <v>149</v>
      </c>
      <c r="C836" s="45" t="n">
        <v>45977</v>
      </c>
      <c r="D836" s="46" t="n">
        <v>20251116</v>
      </c>
      <c r="E836" s="47" t="s">
        <v>339</v>
      </c>
      <c r="F836" s="48" t="n">
        <v>2832</v>
      </c>
      <c r="G836" s="48" t="n">
        <v>2886</v>
      </c>
      <c r="H836" s="48" t="n">
        <v>2809</v>
      </c>
      <c r="I836" s="48" t="n">
        <v>2833</v>
      </c>
      <c r="J836" s="48" t="n">
        <v>2865</v>
      </c>
      <c r="K836" s="48" t="n">
        <v>2862</v>
      </c>
      <c r="L836" s="48" t="n">
        <v>60745129</v>
      </c>
      <c r="M836" s="48" t="n">
        <v>172090950457</v>
      </c>
      <c r="N836" s="48" t="n">
        <v>2816</v>
      </c>
      <c r="O836" s="48" t="n">
        <v>22203691</v>
      </c>
      <c r="P836" s="48" t="n">
        <v>36548768</v>
      </c>
      <c r="Q836" s="48" t="n">
        <v>754</v>
      </c>
      <c r="R836" s="48" t="n">
        <v>1369</v>
      </c>
      <c r="S836" s="48" t="n">
        <v>38541438</v>
      </c>
      <c r="T836" s="48" t="n">
        <v>24196361</v>
      </c>
      <c r="U836" s="46" t="n">
        <f aca="false">IF($A836=$A835,$U835+1,1)</f>
        <v>52</v>
      </c>
      <c r="V836" s="48" t="n">
        <f aca="false">IF($U836&gt;=MA_SHORT,AVERAGE(INDEX($I$436:$I836,402-MA_SHORT):$I836),"")</f>
        <v>2844.6</v>
      </c>
      <c r="W836" s="48" t="n">
        <f aca="false">IF($U836&gt;=MA_MED,AVERAGE(INDEX($I$436:$I836,402-MA_MED):$I836),"")</f>
        <v>2699.84</v>
      </c>
      <c r="X836" s="48" t="str">
        <f aca="false">IF($U836&gt;=MA_LONG1,AVERAGE(INDEX($I$436:$I836,402-MA_LONG1):$I836),"")</f>
        <v/>
      </c>
      <c r="Y836" s="48" t="str">
        <f aca="false">IF($U836&gt;=MA_LONG2,AVERAGE(INDEX($I$436:$I836,402-MA_LONG2):$I836),"")</f>
        <v/>
      </c>
      <c r="Z836" s="48" t="n">
        <f aca="false">IF($U836&gt;=MA_SHORT,AVERAGE(INDEX($L$716:$L836,122-MA_SHORT):$L836),"")</f>
        <v>69343062.75</v>
      </c>
      <c r="AA836" s="48" t="n">
        <f aca="false">IF($U836=1,$G836-$H836,MAX($G836-$H836,ABS($G836-$I835),ABS($H836-$I835)))</f>
        <v>77</v>
      </c>
      <c r="AB836" s="48" t="n">
        <f aca="false">IF($U836&gt;=ATR_PER,AVERAGE(INDEX($AA$716:$AA836,122-ATR_PER):$AA836),"")</f>
        <v>124.928571428571</v>
      </c>
      <c r="AC836" s="48" t="n">
        <f aca="false">$O836-$P836</f>
        <v>-14345077</v>
      </c>
      <c r="AD836" s="48" t="n">
        <f aca="false">$AC836*$I836</f>
        <v>-40639603141</v>
      </c>
      <c r="AE836" s="49" t="n">
        <f aca="false">IF($Q836&gt;0,$O836*$I836/$Q836/1000000,"")</f>
        <v>83.4258045132626</v>
      </c>
      <c r="AF836" s="49" t="n">
        <f aca="false">IF($R836&gt;0,$P836*$I836/$R836/1000000,"")</f>
        <v>75.6337909013879</v>
      </c>
      <c r="AG836" s="50" t="n">
        <f aca="false">IF(AND(ISNUMBER($AE836),ISNUMBER($AF836),$AF836&gt;0),$AE836/$AF836,"")</f>
        <v>1.10302291500943</v>
      </c>
      <c r="AH836" s="48" t="n">
        <f aca="false">IF($U836&gt;=5,SUM(INDEX($AD$806:$AD836,32-5):$AD836),"")</f>
        <v>-225895415234</v>
      </c>
      <c r="AI836" s="48" t="n">
        <f aca="false">IF($U836&gt;=STRUCT_S,MAX(INDEX($G$686:$G836,152-STRUCT_S):$G836),"")</f>
        <v>2999</v>
      </c>
      <c r="AJ836" s="48" t="n">
        <f aca="false">IF($U836&gt;=STRUCT_S,MIN(INDEX($H$686:$H836,152-STRUCT_S):$H836),"")</f>
        <v>2656</v>
      </c>
      <c r="AK836" s="48" t="str">
        <f aca="false">IF($U836&gt;=STRUCT_L,MAX(INDEX($G$586:$G836,252-STRUCT_L):$G836),"")</f>
        <v/>
      </c>
      <c r="AL836" s="48" t="str">
        <f aca="false">IF($U836&gt;=STRUCT_L,MIN(INDEX($H$586:$H836,252-STRUCT_L):$H836),"")</f>
        <v/>
      </c>
      <c r="AM836" s="46" t="n">
        <f aca="false">IF($A836&lt;&gt;$A837,1,0)</f>
        <v>0</v>
      </c>
      <c r="AN836" s="47" t="str">
        <f aca="false">IF($AM836=1,$A836,"")</f>
        <v/>
      </c>
    </row>
    <row r="837" customFormat="false" ht="15" hidden="false" customHeight="false" outlineLevel="0" collapsed="false">
      <c r="A837" s="43" t="s">
        <v>147</v>
      </c>
      <c r="B837" s="44" t="s">
        <v>149</v>
      </c>
      <c r="C837" s="45" t="n">
        <v>45978</v>
      </c>
      <c r="D837" s="46" t="n">
        <v>20251117</v>
      </c>
      <c r="E837" s="47" t="s">
        <v>340</v>
      </c>
      <c r="F837" s="48" t="n">
        <v>2842</v>
      </c>
      <c r="G837" s="48" t="n">
        <v>2856</v>
      </c>
      <c r="H837" s="48" t="n">
        <v>2801</v>
      </c>
      <c r="I837" s="48" t="n">
        <v>2823</v>
      </c>
      <c r="J837" s="48" t="n">
        <v>2818</v>
      </c>
      <c r="K837" s="48" t="n">
        <v>2833</v>
      </c>
      <c r="L837" s="48" t="n">
        <v>58476475</v>
      </c>
      <c r="M837" s="48" t="n">
        <v>165079088925</v>
      </c>
      <c r="N837" s="48" t="n">
        <v>1649</v>
      </c>
      <c r="O837" s="48" t="n">
        <v>19243843</v>
      </c>
      <c r="P837" s="48" t="n">
        <v>38405571</v>
      </c>
      <c r="Q837" s="48" t="n">
        <v>348</v>
      </c>
      <c r="R837" s="48" t="n">
        <v>727</v>
      </c>
      <c r="S837" s="48" t="n">
        <v>39232632</v>
      </c>
      <c r="T837" s="48" t="n">
        <v>20070904</v>
      </c>
      <c r="U837" s="46" t="n">
        <f aca="false">IF($A837=$A836,$U836+1,1)</f>
        <v>53</v>
      </c>
      <c r="V837" s="48" t="n">
        <f aca="false">IF($U837&gt;=MA_SHORT,AVERAGE(INDEX($I$437:$I837,402-MA_SHORT):$I837),"")</f>
        <v>2841.55</v>
      </c>
      <c r="W837" s="48" t="n">
        <f aca="false">IF($U837&gt;=MA_MED,AVERAGE(INDEX($I$437:$I837,402-MA_MED):$I837),"")</f>
        <v>2706.7</v>
      </c>
      <c r="X837" s="48" t="str">
        <f aca="false">IF($U837&gt;=MA_LONG1,AVERAGE(INDEX($I$437:$I837,402-MA_LONG1):$I837),"")</f>
        <v/>
      </c>
      <c r="Y837" s="48" t="str">
        <f aca="false">IF($U837&gt;=MA_LONG2,AVERAGE(INDEX($I$437:$I837,402-MA_LONG2):$I837),"")</f>
        <v/>
      </c>
      <c r="Z837" s="48" t="n">
        <f aca="false">IF($U837&gt;=MA_SHORT,AVERAGE(INDEX($L$717:$L837,122-MA_SHORT):$L837),"")</f>
        <v>69244363.05</v>
      </c>
      <c r="AA837" s="48" t="n">
        <f aca="false">IF($U837=1,$G837-$H837,MAX($G837-$H837,ABS($G837-$I836),ABS($H837-$I836)))</f>
        <v>55</v>
      </c>
      <c r="AB837" s="48" t="n">
        <f aca="false">IF($U837&gt;=ATR_PER,AVERAGE(INDEX($AA$717:$AA837,122-ATR_PER):$AA837),"")</f>
        <v>122.785714285714</v>
      </c>
      <c r="AC837" s="48" t="n">
        <f aca="false">$O837-$P837</f>
        <v>-19161728</v>
      </c>
      <c r="AD837" s="48" t="n">
        <f aca="false">$AC837*$I837</f>
        <v>-54093558144</v>
      </c>
      <c r="AE837" s="49" t="n">
        <f aca="false">IF($Q837&gt;0,$O837*$I837/$Q837/1000000,"")</f>
        <v>156.107381577586</v>
      </c>
      <c r="AF837" s="49" t="n">
        <f aca="false">IF($R837&gt;0,$P837*$I837/$R837/1000000,"")</f>
        <v>149.131949013755</v>
      </c>
      <c r="AG837" s="50" t="n">
        <f aca="false">IF(AND(ISNUMBER($AE837),ISNUMBER($AF837),$AF837&gt;0),$AE837/$AF837,"")</f>
        <v>1.0467735626736</v>
      </c>
      <c r="AH837" s="48" t="n">
        <f aca="false">IF($U837&gt;=5,SUM(INDEX($AD$807:$AD837,32-5):$AD837),"")</f>
        <v>-186116922989</v>
      </c>
      <c r="AI837" s="48" t="n">
        <f aca="false">IF($U837&gt;=STRUCT_S,MAX(INDEX($G$687:$G837,152-STRUCT_S):$G837),"")</f>
        <v>2999</v>
      </c>
      <c r="AJ837" s="48" t="n">
        <f aca="false">IF($U837&gt;=STRUCT_S,MIN(INDEX($H$687:$H837,152-STRUCT_S):$H837),"")</f>
        <v>2656</v>
      </c>
      <c r="AK837" s="48" t="str">
        <f aca="false">IF($U837&gt;=STRUCT_L,MAX(INDEX($G$587:$G837,252-STRUCT_L):$G837),"")</f>
        <v/>
      </c>
      <c r="AL837" s="48" t="str">
        <f aca="false">IF($U837&gt;=STRUCT_L,MIN(INDEX($H$587:$H837,252-STRUCT_L):$H837),"")</f>
        <v/>
      </c>
      <c r="AM837" s="46" t="n">
        <f aca="false">IF($A837&lt;&gt;$A838,1,0)</f>
        <v>0</v>
      </c>
      <c r="AN837" s="47" t="str">
        <f aca="false">IF($AM837=1,$A837,"")</f>
        <v/>
      </c>
    </row>
    <row r="838" customFormat="false" ht="15" hidden="false" customHeight="false" outlineLevel="0" collapsed="false">
      <c r="A838" s="43" t="s">
        <v>147</v>
      </c>
      <c r="B838" s="44" t="s">
        <v>149</v>
      </c>
      <c r="C838" s="45" t="n">
        <v>45979</v>
      </c>
      <c r="D838" s="46" t="n">
        <v>20251118</v>
      </c>
      <c r="E838" s="47" t="s">
        <v>341</v>
      </c>
      <c r="F838" s="48" t="n">
        <v>2851</v>
      </c>
      <c r="G838" s="48" t="n">
        <v>2907</v>
      </c>
      <c r="H838" s="48" t="n">
        <v>2798</v>
      </c>
      <c r="I838" s="48" t="n">
        <v>2881</v>
      </c>
      <c r="J838" s="48" t="n">
        <v>2901</v>
      </c>
      <c r="K838" s="48" t="n">
        <v>2823</v>
      </c>
      <c r="L838" s="48" t="n">
        <v>68612228</v>
      </c>
      <c r="M838" s="48" t="n">
        <v>197671828868</v>
      </c>
      <c r="N838" s="48" t="n">
        <v>1568</v>
      </c>
      <c r="O838" s="48" t="n">
        <v>35743239</v>
      </c>
      <c r="P838" s="48" t="n">
        <v>31641773</v>
      </c>
      <c r="Q838" s="48" t="n">
        <v>737</v>
      </c>
      <c r="R838" s="48" t="n">
        <v>429</v>
      </c>
      <c r="S838" s="48" t="n">
        <v>32868989</v>
      </c>
      <c r="T838" s="48" t="n">
        <v>36970455</v>
      </c>
      <c r="U838" s="46" t="n">
        <f aca="false">IF($A838=$A837,$U837+1,1)</f>
        <v>54</v>
      </c>
      <c r="V838" s="48" t="n">
        <f aca="false">IF($U838&gt;=MA_SHORT,AVERAGE(INDEX($I$438:$I838,402-MA_SHORT):$I838),"")</f>
        <v>2842.2</v>
      </c>
      <c r="W838" s="48" t="n">
        <f aca="false">IF($U838&gt;=MA_MED,AVERAGE(INDEX($I$438:$I838,402-MA_MED):$I838),"")</f>
        <v>2715.12</v>
      </c>
      <c r="X838" s="48" t="str">
        <f aca="false">IF($U838&gt;=MA_LONG1,AVERAGE(INDEX($I$438:$I838,402-MA_LONG1):$I838),"")</f>
        <v/>
      </c>
      <c r="Y838" s="48" t="str">
        <f aca="false">IF($U838&gt;=MA_LONG2,AVERAGE(INDEX($I$438:$I838,402-MA_LONG2):$I838),"")</f>
        <v/>
      </c>
      <c r="Z838" s="48" t="n">
        <f aca="false">IF($U838&gt;=MA_SHORT,AVERAGE(INDEX($L$718:$L838,122-MA_SHORT):$L838),"")</f>
        <v>69716482.9</v>
      </c>
      <c r="AA838" s="48" t="n">
        <f aca="false">IF($U838=1,$G838-$H838,MAX($G838-$H838,ABS($G838-$I837),ABS($H838-$I837)))</f>
        <v>109</v>
      </c>
      <c r="AB838" s="48" t="n">
        <f aca="false">IF($U838&gt;=ATR_PER,AVERAGE(INDEX($AA$718:$AA838,122-ATR_PER):$AA838),"")</f>
        <v>120.142857142857</v>
      </c>
      <c r="AC838" s="48" t="n">
        <f aca="false">$O838-$P838</f>
        <v>4101466</v>
      </c>
      <c r="AD838" s="48" t="n">
        <f aca="false">$AC838*$I838</f>
        <v>11816323546</v>
      </c>
      <c r="AE838" s="49" t="n">
        <f aca="false">IF($Q838&gt;0,$O838*$I838/$Q838/1000000,"")</f>
        <v>139.723570636364</v>
      </c>
      <c r="AF838" s="49" t="n">
        <f aca="false">IF($R838&gt;0,$P838*$I838/$R838/1000000,"")</f>
        <v>212.494051312354</v>
      </c>
      <c r="AG838" s="50" t="n">
        <f aca="false">IF(AND(ISNUMBER($AE838),ISNUMBER($AF838),$AF838&gt;0),$AE838/$AF838,"")</f>
        <v>0.657541092437349</v>
      </c>
      <c r="AH838" s="48" t="n">
        <f aca="false">IF($U838&gt;=5,SUM(INDEX($AD$808:$AD838,32-5):$AD838),"")</f>
        <v>-72625506525</v>
      </c>
      <c r="AI838" s="48" t="n">
        <f aca="false">IF($U838&gt;=STRUCT_S,MAX(INDEX($G$688:$G838,152-STRUCT_S):$G838),"")</f>
        <v>2999</v>
      </c>
      <c r="AJ838" s="48" t="n">
        <f aca="false">IF($U838&gt;=STRUCT_S,MIN(INDEX($H$688:$H838,152-STRUCT_S):$H838),"")</f>
        <v>2656</v>
      </c>
      <c r="AK838" s="48" t="str">
        <f aca="false">IF($U838&gt;=STRUCT_L,MAX(INDEX($G$588:$G838,252-STRUCT_L):$G838),"")</f>
        <v/>
      </c>
      <c r="AL838" s="48" t="str">
        <f aca="false">IF($U838&gt;=STRUCT_L,MIN(INDEX($H$588:$H838,252-STRUCT_L):$H838),"")</f>
        <v/>
      </c>
      <c r="AM838" s="46" t="n">
        <f aca="false">IF($A838&lt;&gt;$A839,1,0)</f>
        <v>0</v>
      </c>
      <c r="AN838" s="47" t="str">
        <f aca="false">IF($AM838=1,$A838,"")</f>
        <v/>
      </c>
    </row>
    <row r="839" customFormat="false" ht="15" hidden="false" customHeight="false" outlineLevel="0" collapsed="false">
      <c r="A839" s="43" t="s">
        <v>147</v>
      </c>
      <c r="B839" s="44" t="s">
        <v>149</v>
      </c>
      <c r="C839" s="45" t="n">
        <v>45980</v>
      </c>
      <c r="D839" s="46" t="n">
        <v>20251119</v>
      </c>
      <c r="E839" s="47" t="s">
        <v>342</v>
      </c>
      <c r="F839" s="48" t="n">
        <v>2882</v>
      </c>
      <c r="G839" s="48" t="n">
        <v>2902</v>
      </c>
      <c r="H839" s="48" t="n">
        <v>2864</v>
      </c>
      <c r="I839" s="48" t="n">
        <v>2884</v>
      </c>
      <c r="J839" s="48" t="n">
        <v>2890</v>
      </c>
      <c r="K839" s="48" t="n">
        <v>2881</v>
      </c>
      <c r="L839" s="48" t="n">
        <v>60976787</v>
      </c>
      <c r="M839" s="48" t="n">
        <v>175857053708</v>
      </c>
      <c r="N839" s="48" t="n">
        <v>3235</v>
      </c>
      <c r="O839" s="48" t="n">
        <v>23660334</v>
      </c>
      <c r="P839" s="48" t="n">
        <v>39786907</v>
      </c>
      <c r="Q839" s="48" t="n">
        <v>2307</v>
      </c>
      <c r="R839" s="48" t="n">
        <v>976</v>
      </c>
      <c r="S839" s="48" t="n">
        <v>37316453</v>
      </c>
      <c r="T839" s="48" t="n">
        <v>21189880</v>
      </c>
      <c r="U839" s="46" t="n">
        <f aca="false">IF($A839=$A838,$U838+1,1)</f>
        <v>55</v>
      </c>
      <c r="V839" s="48" t="n">
        <f aca="false">IF($U839&gt;=MA_SHORT,AVERAGE(INDEX($I$439:$I839,402-MA_SHORT):$I839),"")</f>
        <v>2843.9</v>
      </c>
      <c r="W839" s="48" t="n">
        <f aca="false">IF($U839&gt;=MA_MED,AVERAGE(INDEX($I$439:$I839,402-MA_MED):$I839),"")</f>
        <v>2723.94</v>
      </c>
      <c r="X839" s="48" t="str">
        <f aca="false">IF($U839&gt;=MA_LONG1,AVERAGE(INDEX($I$439:$I839,402-MA_LONG1):$I839),"")</f>
        <v/>
      </c>
      <c r="Y839" s="48" t="str">
        <f aca="false">IF($U839&gt;=MA_LONG2,AVERAGE(INDEX($I$439:$I839,402-MA_LONG2):$I839),"")</f>
        <v/>
      </c>
      <c r="Z839" s="48" t="n">
        <f aca="false">IF($U839&gt;=MA_SHORT,AVERAGE(INDEX($L$719:$L839,122-MA_SHORT):$L839),"")</f>
        <v>69588163.05</v>
      </c>
      <c r="AA839" s="48" t="n">
        <f aca="false">IF($U839=1,$G839-$H839,MAX($G839-$H839,ABS($G839-$I838),ABS($H839-$I838)))</f>
        <v>38</v>
      </c>
      <c r="AB839" s="48" t="n">
        <f aca="false">IF($U839&gt;=ATR_PER,AVERAGE(INDEX($AA$719:$AA839,122-ATR_PER):$AA839),"")</f>
        <v>106.142857142857</v>
      </c>
      <c r="AC839" s="48" t="n">
        <f aca="false">$O839-$P839</f>
        <v>-16126573</v>
      </c>
      <c r="AD839" s="48" t="n">
        <f aca="false">$AC839*$I839</f>
        <v>-46509036532</v>
      </c>
      <c r="AE839" s="49" t="n">
        <f aca="false">IF($Q839&gt;0,$O839*$I839/$Q839/1000000,"")</f>
        <v>29.5779814720416</v>
      </c>
      <c r="AF839" s="49" t="n">
        <f aca="false">IF($R839&gt;0,$P839*$I839/$R839/1000000,"")</f>
        <v>117.567048963115</v>
      </c>
      <c r="AG839" s="50" t="n">
        <f aca="false">IF(AND(ISNUMBER($AE839),ISNUMBER($AF839),$AF839&gt;0),$AE839/$AF839,"")</f>
        <v>0.251583940678152</v>
      </c>
      <c r="AH839" s="48" t="n">
        <f aca="false">IF($U839&gt;=5,SUM(INDEX($AD$809:$AD839,32-5):$AD839),"")</f>
        <v>-82373114617</v>
      </c>
      <c r="AI839" s="48" t="n">
        <f aca="false">IF($U839&gt;=STRUCT_S,MAX(INDEX($G$689:$G839,152-STRUCT_S):$G839),"")</f>
        <v>2999</v>
      </c>
      <c r="AJ839" s="48" t="n">
        <f aca="false">IF($U839&gt;=STRUCT_S,MIN(INDEX($H$689:$H839,152-STRUCT_S):$H839),"")</f>
        <v>2656</v>
      </c>
      <c r="AK839" s="48" t="str">
        <f aca="false">IF($U839&gt;=STRUCT_L,MAX(INDEX($G$589:$G839,252-STRUCT_L):$G839),"")</f>
        <v/>
      </c>
      <c r="AL839" s="48" t="str">
        <f aca="false">IF($U839&gt;=STRUCT_L,MIN(INDEX($H$589:$H839,252-STRUCT_L):$H839),"")</f>
        <v/>
      </c>
      <c r="AM839" s="46" t="n">
        <f aca="false">IF($A839&lt;&gt;$A840,1,0)</f>
        <v>0</v>
      </c>
      <c r="AN839" s="47" t="str">
        <f aca="false">IF($AM839=1,$A839,"")</f>
        <v/>
      </c>
    </row>
    <row r="840" customFormat="false" ht="15" hidden="false" customHeight="false" outlineLevel="0" collapsed="false">
      <c r="A840" s="43" t="s">
        <v>147</v>
      </c>
      <c r="B840" s="44" t="s">
        <v>149</v>
      </c>
      <c r="C840" s="45" t="n">
        <v>45983</v>
      </c>
      <c r="D840" s="46" t="n">
        <v>20251122</v>
      </c>
      <c r="E840" s="47" t="s">
        <v>343</v>
      </c>
      <c r="F840" s="48" t="n">
        <v>2833</v>
      </c>
      <c r="G840" s="48" t="n">
        <v>2944</v>
      </c>
      <c r="H840" s="48" t="n">
        <v>2765</v>
      </c>
      <c r="I840" s="48" t="n">
        <v>2824</v>
      </c>
      <c r="J840" s="48" t="n">
        <v>2792</v>
      </c>
      <c r="K840" s="48" t="n">
        <v>2884</v>
      </c>
      <c r="L840" s="48" t="n">
        <v>64411722</v>
      </c>
      <c r="M840" s="48" t="n">
        <v>181898702928</v>
      </c>
      <c r="N840" s="48" t="n">
        <v>3136</v>
      </c>
      <c r="O840" s="48" t="n">
        <v>28359595</v>
      </c>
      <c r="P840" s="48" t="n">
        <v>38995990</v>
      </c>
      <c r="Q840" s="48" t="n">
        <v>795</v>
      </c>
      <c r="R840" s="48" t="n">
        <v>1543</v>
      </c>
      <c r="S840" s="48" t="n">
        <v>36052127</v>
      </c>
      <c r="T840" s="48" t="n">
        <v>25415732</v>
      </c>
      <c r="U840" s="46" t="n">
        <f aca="false">IF($A840=$A839,$U839+1,1)</f>
        <v>56</v>
      </c>
      <c r="V840" s="48" t="n">
        <f aca="false">IF($U840&gt;=MA_SHORT,AVERAGE(INDEX($I$440:$I840,402-MA_SHORT):$I840),"")</f>
        <v>2848.1</v>
      </c>
      <c r="W840" s="48" t="n">
        <f aca="false">IF($U840&gt;=MA_MED,AVERAGE(INDEX($I$440:$I840,402-MA_MED):$I840),"")</f>
        <v>2731.72</v>
      </c>
      <c r="X840" s="48" t="str">
        <f aca="false">IF($U840&gt;=MA_LONG1,AVERAGE(INDEX($I$440:$I840,402-MA_LONG1):$I840),"")</f>
        <v/>
      </c>
      <c r="Y840" s="48" t="str">
        <f aca="false">IF($U840&gt;=MA_LONG2,AVERAGE(INDEX($I$440:$I840,402-MA_LONG2):$I840),"")</f>
        <v/>
      </c>
      <c r="Z840" s="48" t="n">
        <f aca="false">IF($U840&gt;=MA_SHORT,AVERAGE(INDEX($L$720:$L840,122-MA_SHORT):$L840),"")</f>
        <v>69182614.85</v>
      </c>
      <c r="AA840" s="48" t="n">
        <f aca="false">IF($U840=1,$G840-$H840,MAX($G840-$H840,ABS($G840-$I839),ABS($H840-$I839)))</f>
        <v>179</v>
      </c>
      <c r="AB840" s="48" t="n">
        <f aca="false">IF($U840&gt;=ATR_PER,AVERAGE(INDEX($AA$720:$AA840,122-ATR_PER):$AA840),"")</f>
        <v>112.714285714286</v>
      </c>
      <c r="AC840" s="48" t="n">
        <f aca="false">$O840-$P840</f>
        <v>-10636395</v>
      </c>
      <c r="AD840" s="48" t="n">
        <f aca="false">$AC840*$I840</f>
        <v>-30037179480</v>
      </c>
      <c r="AE840" s="49" t="n">
        <f aca="false">IF($Q840&gt;0,$O840*$I840/$Q840/1000000,"")</f>
        <v>100.738989031447</v>
      </c>
      <c r="AF840" s="49" t="n">
        <f aca="false">IF($R840&gt;0,$P840*$I840/$R840/1000000,"")</f>
        <v>71.3704962799741</v>
      </c>
      <c r="AG840" s="50" t="n">
        <f aca="false">IF(AND(ISNUMBER($AE840),ISNUMBER($AF840),$AF840&gt;0),$AE840/$AF840,"")</f>
        <v>1.41149346413769</v>
      </c>
      <c r="AH840" s="48" t="n">
        <f aca="false">IF($U840&gt;=5,SUM(INDEX($AD$810:$AD840,32-5):$AD840),"")</f>
        <v>-159463053751</v>
      </c>
      <c r="AI840" s="48" t="n">
        <f aca="false">IF($U840&gt;=STRUCT_S,MAX(INDEX($G$690:$G840,152-STRUCT_S):$G840),"")</f>
        <v>2999</v>
      </c>
      <c r="AJ840" s="48" t="n">
        <f aca="false">IF($U840&gt;=STRUCT_S,MIN(INDEX($H$690:$H840,152-STRUCT_S):$H840),"")</f>
        <v>2656</v>
      </c>
      <c r="AK840" s="48" t="str">
        <f aca="false">IF($U840&gt;=STRUCT_L,MAX(INDEX($G$590:$G840,252-STRUCT_L):$G840),"")</f>
        <v/>
      </c>
      <c r="AL840" s="48" t="str">
        <f aca="false">IF($U840&gt;=STRUCT_L,MIN(INDEX($H$590:$H840,252-STRUCT_L):$H840),"")</f>
        <v/>
      </c>
      <c r="AM840" s="46" t="n">
        <f aca="false">IF($A840&lt;&gt;$A841,1,0)</f>
        <v>0</v>
      </c>
      <c r="AN840" s="47" t="str">
        <f aca="false">IF($AM840=1,$A840,"")</f>
        <v/>
      </c>
    </row>
    <row r="841" customFormat="false" ht="15" hidden="false" customHeight="false" outlineLevel="0" collapsed="false">
      <c r="A841" s="43" t="s">
        <v>147</v>
      </c>
      <c r="B841" s="44" t="s">
        <v>149</v>
      </c>
      <c r="C841" s="45" t="n">
        <v>45984</v>
      </c>
      <c r="D841" s="46" t="n">
        <v>20251123</v>
      </c>
      <c r="E841" s="47" t="s">
        <v>344</v>
      </c>
      <c r="F841" s="48" t="n">
        <v>2795</v>
      </c>
      <c r="G841" s="48" t="n">
        <v>2953</v>
      </c>
      <c r="H841" s="48" t="n">
        <v>2785</v>
      </c>
      <c r="I841" s="48" t="n">
        <v>2913</v>
      </c>
      <c r="J841" s="48" t="n">
        <v>2827</v>
      </c>
      <c r="K841" s="48" t="n">
        <v>2824</v>
      </c>
      <c r="L841" s="48" t="n">
        <v>100611298</v>
      </c>
      <c r="M841" s="48" t="n">
        <v>293080711074</v>
      </c>
      <c r="N841" s="48" t="n">
        <v>10549</v>
      </c>
      <c r="O841" s="48" t="n">
        <v>59117158</v>
      </c>
      <c r="P841" s="48" t="n">
        <v>41558695</v>
      </c>
      <c r="Q841" s="48" t="n">
        <v>4913</v>
      </c>
      <c r="R841" s="48" t="n">
        <v>3208</v>
      </c>
      <c r="S841" s="48" t="n">
        <v>41494140</v>
      </c>
      <c r="T841" s="48" t="n">
        <v>59052603</v>
      </c>
      <c r="U841" s="46" t="n">
        <f aca="false">IF($A841=$A840,$U840+1,1)</f>
        <v>57</v>
      </c>
      <c r="V841" s="48" t="n">
        <f aca="false">IF($U841&gt;=MA_SHORT,AVERAGE(INDEX($I$441:$I841,402-MA_SHORT):$I841),"")</f>
        <v>2855.7</v>
      </c>
      <c r="W841" s="48" t="n">
        <f aca="false">IF($U841&gt;=MA_MED,AVERAGE(INDEX($I$441:$I841,402-MA_MED):$I841),"")</f>
        <v>2740.78</v>
      </c>
      <c r="X841" s="48" t="str">
        <f aca="false">IF($U841&gt;=MA_LONG1,AVERAGE(INDEX($I$441:$I841,402-MA_LONG1):$I841),"")</f>
        <v/>
      </c>
      <c r="Y841" s="48" t="str">
        <f aca="false">IF($U841&gt;=MA_LONG2,AVERAGE(INDEX($I$441:$I841,402-MA_LONG2):$I841),"")</f>
        <v/>
      </c>
      <c r="Z841" s="48" t="n">
        <f aca="false">IF($U841&gt;=MA_SHORT,AVERAGE(INDEX($L$721:$L841,122-MA_SHORT):$L841),"")</f>
        <v>71214205.45</v>
      </c>
      <c r="AA841" s="48" t="n">
        <f aca="false">IF($U841=1,$G841-$H841,MAX($G841-$H841,ABS($G841-$I840),ABS($H841-$I840)))</f>
        <v>168</v>
      </c>
      <c r="AB841" s="48" t="n">
        <f aca="false">IF($U841&gt;=ATR_PER,AVERAGE(INDEX($AA$721:$AA841,122-ATR_PER):$AA841),"")</f>
        <v>121.071428571429</v>
      </c>
      <c r="AC841" s="48" t="n">
        <f aca="false">$O841-$P841</f>
        <v>17558463</v>
      </c>
      <c r="AD841" s="48" t="n">
        <f aca="false">$AC841*$I841</f>
        <v>51147802719</v>
      </c>
      <c r="AE841" s="49" t="n">
        <f aca="false">IF($Q841&gt;0,$O841*$I841/$Q841/1000000,"")</f>
        <v>35.0515532778343</v>
      </c>
      <c r="AF841" s="49" t="n">
        <f aca="false">IF($R841&gt;0,$P841*$I841/$R841/1000000,"")</f>
        <v>37.7370568999377</v>
      </c>
      <c r="AG841" s="50" t="n">
        <f aca="false">IF(AND(ISNUMBER($AE841),ISNUMBER($AF841),$AF841&gt;0),$AE841/$AF841,"")</f>
        <v>0.92883643180696</v>
      </c>
      <c r="AH841" s="48" t="n">
        <f aca="false">IF($U841&gt;=5,SUM(INDEX($AD$811:$AD841,32-5):$AD841),"")</f>
        <v>-67675647891</v>
      </c>
      <c r="AI841" s="48" t="n">
        <f aca="false">IF($U841&gt;=STRUCT_S,MAX(INDEX($G$691:$G841,152-STRUCT_S):$G841),"")</f>
        <v>2999</v>
      </c>
      <c r="AJ841" s="48" t="n">
        <f aca="false">IF($U841&gt;=STRUCT_S,MIN(INDEX($H$691:$H841,152-STRUCT_S):$H841),"")</f>
        <v>2656</v>
      </c>
      <c r="AK841" s="48" t="str">
        <f aca="false">IF($U841&gt;=STRUCT_L,MAX(INDEX($G$591:$G841,252-STRUCT_L):$G841),"")</f>
        <v/>
      </c>
      <c r="AL841" s="48" t="str">
        <f aca="false">IF($U841&gt;=STRUCT_L,MIN(INDEX($H$591:$H841,252-STRUCT_L):$H841),"")</f>
        <v/>
      </c>
      <c r="AM841" s="46" t="n">
        <f aca="false">IF($A841&lt;&gt;$A842,1,0)</f>
        <v>0</v>
      </c>
      <c r="AN841" s="47" t="str">
        <f aca="false">IF($AM841=1,$A841,"")</f>
        <v/>
      </c>
    </row>
    <row r="842" customFormat="false" ht="15" hidden="false" customHeight="false" outlineLevel="0" collapsed="false">
      <c r="A842" s="43" t="s">
        <v>147</v>
      </c>
      <c r="B842" s="44" t="s">
        <v>149</v>
      </c>
      <c r="C842" s="45" t="n">
        <v>45985</v>
      </c>
      <c r="D842" s="46" t="n">
        <v>20251124</v>
      </c>
      <c r="E842" s="47" t="s">
        <v>345</v>
      </c>
      <c r="F842" s="48" t="n">
        <v>2888</v>
      </c>
      <c r="G842" s="48" t="n">
        <v>2972</v>
      </c>
      <c r="H842" s="48" t="n">
        <v>2850</v>
      </c>
      <c r="I842" s="48" t="n">
        <v>2909</v>
      </c>
      <c r="J842" s="48" t="n">
        <v>2891</v>
      </c>
      <c r="K842" s="48" t="n">
        <v>2913</v>
      </c>
      <c r="L842" s="48" t="n">
        <v>60685933</v>
      </c>
      <c r="M842" s="48" t="n">
        <v>176535379097</v>
      </c>
      <c r="N842" s="48" t="n">
        <v>1600</v>
      </c>
      <c r="O842" s="48" t="n">
        <v>24874119</v>
      </c>
      <c r="P842" s="48" t="n">
        <v>36140044</v>
      </c>
      <c r="Q842" s="48" t="n">
        <v>448</v>
      </c>
      <c r="R842" s="48" t="n">
        <v>762</v>
      </c>
      <c r="S842" s="48" t="n">
        <v>35811814</v>
      </c>
      <c r="T842" s="48" t="n">
        <v>24545889</v>
      </c>
      <c r="U842" s="46" t="n">
        <f aca="false">IF($A842=$A841,$U841+1,1)</f>
        <v>58</v>
      </c>
      <c r="V842" s="48" t="n">
        <f aca="false">IF($U842&gt;=MA_SHORT,AVERAGE(INDEX($I$442:$I842,402-MA_SHORT):$I842),"")</f>
        <v>2858.05</v>
      </c>
      <c r="W842" s="48" t="n">
        <f aca="false">IF($U842&gt;=MA_MED,AVERAGE(INDEX($I$442:$I842,402-MA_MED):$I842),"")</f>
        <v>2750.18</v>
      </c>
      <c r="X842" s="48" t="str">
        <f aca="false">IF($U842&gt;=MA_LONG1,AVERAGE(INDEX($I$442:$I842,402-MA_LONG1):$I842),"")</f>
        <v/>
      </c>
      <c r="Y842" s="48" t="str">
        <f aca="false">IF($U842&gt;=MA_LONG2,AVERAGE(INDEX($I$442:$I842,402-MA_LONG2):$I842),"")</f>
        <v/>
      </c>
      <c r="Z842" s="48" t="n">
        <f aca="false">IF($U842&gt;=MA_SHORT,AVERAGE(INDEX($L$722:$L842,122-MA_SHORT):$L842),"")</f>
        <v>70323818.2</v>
      </c>
      <c r="AA842" s="48" t="n">
        <f aca="false">IF($U842=1,$G842-$H842,MAX($G842-$H842,ABS($G842-$I841),ABS($H842-$I841)))</f>
        <v>122</v>
      </c>
      <c r="AB842" s="48" t="n">
        <f aca="false">IF($U842&gt;=ATR_PER,AVERAGE(INDEX($AA$722:$AA842,122-ATR_PER):$AA842),"")</f>
        <v>119.857142857143</v>
      </c>
      <c r="AC842" s="48" t="n">
        <f aca="false">$O842-$P842</f>
        <v>-11265925</v>
      </c>
      <c r="AD842" s="48" t="n">
        <f aca="false">$AC842*$I842</f>
        <v>-32772575825</v>
      </c>
      <c r="AE842" s="49" t="n">
        <f aca="false">IF($Q842&gt;0,$O842*$I842/$Q842/1000000,"")</f>
        <v>161.515205738839</v>
      </c>
      <c r="AF842" s="49" t="n">
        <f aca="false">IF($R842&gt;0,$P842*$I842/$R842/1000000,"")</f>
        <v>137.967700782152</v>
      </c>
      <c r="AG842" s="50" t="n">
        <f aca="false">IF(AND(ISNUMBER($AE842),ISNUMBER($AF842),$AF842&gt;0),$AE842/$AF842,"")</f>
        <v>1.17067404054133</v>
      </c>
      <c r="AH842" s="48" t="n">
        <f aca="false">IF($U842&gt;=5,SUM(INDEX($AD$812:$AD842,32-5):$AD842),"")</f>
        <v>-46354665572</v>
      </c>
      <c r="AI842" s="48" t="n">
        <f aca="false">IF($U842&gt;=STRUCT_S,MAX(INDEX($G$692:$G842,152-STRUCT_S):$G842),"")</f>
        <v>2999</v>
      </c>
      <c r="AJ842" s="48" t="n">
        <f aca="false">IF($U842&gt;=STRUCT_S,MIN(INDEX($H$692:$H842,152-STRUCT_S):$H842),"")</f>
        <v>2656</v>
      </c>
      <c r="AK842" s="48" t="str">
        <f aca="false">IF($U842&gt;=STRUCT_L,MAX(INDEX($G$592:$G842,252-STRUCT_L):$G842),"")</f>
        <v/>
      </c>
      <c r="AL842" s="48" t="str">
        <f aca="false">IF($U842&gt;=STRUCT_L,MIN(INDEX($H$592:$H842,252-STRUCT_L):$H842),"")</f>
        <v/>
      </c>
      <c r="AM842" s="46" t="n">
        <f aca="false">IF($A842&lt;&gt;$A843,1,0)</f>
        <v>0</v>
      </c>
      <c r="AN842" s="47" t="str">
        <f aca="false">IF($AM842=1,$A842,"")</f>
        <v/>
      </c>
    </row>
    <row r="843" customFormat="false" ht="15" hidden="false" customHeight="false" outlineLevel="0" collapsed="false">
      <c r="A843" s="43" t="s">
        <v>147</v>
      </c>
      <c r="B843" s="44" t="s">
        <v>149</v>
      </c>
      <c r="C843" s="45" t="n">
        <v>45986</v>
      </c>
      <c r="D843" s="46" t="n">
        <v>20251125</v>
      </c>
      <c r="E843" s="47" t="s">
        <v>346</v>
      </c>
      <c r="F843" s="48" t="n">
        <v>2970</v>
      </c>
      <c r="G843" s="48" t="n">
        <v>2989</v>
      </c>
      <c r="H843" s="48" t="n">
        <v>2865</v>
      </c>
      <c r="I843" s="48" t="n">
        <v>2944</v>
      </c>
      <c r="J843" s="48" t="n">
        <v>2973</v>
      </c>
      <c r="K843" s="48" t="n">
        <v>2909</v>
      </c>
      <c r="L843" s="48" t="n">
        <v>84108330</v>
      </c>
      <c r="M843" s="48" t="n">
        <v>247614923520</v>
      </c>
      <c r="N843" s="48" t="n">
        <v>5022</v>
      </c>
      <c r="O843" s="48" t="n">
        <v>40190060</v>
      </c>
      <c r="P843" s="48" t="n">
        <v>40657266</v>
      </c>
      <c r="Q843" s="48" t="n">
        <v>3542</v>
      </c>
      <c r="R843" s="48" t="n">
        <v>1447</v>
      </c>
      <c r="S843" s="48" t="n">
        <v>43918270</v>
      </c>
      <c r="T843" s="48" t="n">
        <v>43451064</v>
      </c>
      <c r="U843" s="46" t="n">
        <f aca="false">IF($A843=$A842,$U842+1,1)</f>
        <v>59</v>
      </c>
      <c r="V843" s="48" t="n">
        <f aca="false">IF($U843&gt;=MA_SHORT,AVERAGE(INDEX($I$443:$I843,402-MA_SHORT):$I843),"")</f>
        <v>2861.8</v>
      </c>
      <c r="W843" s="48" t="n">
        <f aca="false">IF($U843&gt;=MA_MED,AVERAGE(INDEX($I$443:$I843,402-MA_MED):$I843),"")</f>
        <v>2761.2</v>
      </c>
      <c r="X843" s="48" t="str">
        <f aca="false">IF($U843&gt;=MA_LONG1,AVERAGE(INDEX($I$443:$I843,402-MA_LONG1):$I843),"")</f>
        <v/>
      </c>
      <c r="Y843" s="48" t="str">
        <f aca="false">IF($U843&gt;=MA_LONG2,AVERAGE(INDEX($I$443:$I843,402-MA_LONG2):$I843),"")</f>
        <v/>
      </c>
      <c r="Z843" s="48" t="n">
        <f aca="false">IF($U843&gt;=MA_SHORT,AVERAGE(INDEX($L$723:$L843,122-MA_SHORT):$L843),"")</f>
        <v>70005553.75</v>
      </c>
      <c r="AA843" s="48" t="n">
        <f aca="false">IF($U843=1,$G843-$H843,MAX($G843-$H843,ABS($G843-$I842),ABS($H843-$I842)))</f>
        <v>124</v>
      </c>
      <c r="AB843" s="48" t="n">
        <f aca="false">IF($U843&gt;=ATR_PER,AVERAGE(INDEX($AA$723:$AA843,122-ATR_PER):$AA843),"")</f>
        <v>124.857142857143</v>
      </c>
      <c r="AC843" s="48" t="n">
        <f aca="false">$O843-$P843</f>
        <v>-467206</v>
      </c>
      <c r="AD843" s="48" t="n">
        <f aca="false">$AC843*$I843</f>
        <v>-1375454464</v>
      </c>
      <c r="AE843" s="49" t="n">
        <f aca="false">IF($Q843&gt;0,$O843*$I843/$Q843/1000000,"")</f>
        <v>33.4047251948052</v>
      </c>
      <c r="AF843" s="49" t="n">
        <f aca="false">IF($R843&gt;0,$P843*$I843/$R843/1000000,"")</f>
        <v>82.7194133407049</v>
      </c>
      <c r="AG843" s="50" t="n">
        <f aca="false">IF(AND(ISNUMBER($AE843),ISNUMBER($AF843),$AF843&gt;0),$AE843/$AF843,"")</f>
        <v>0.403831746934879</v>
      </c>
      <c r="AH843" s="48" t="n">
        <f aca="false">IF($U843&gt;=5,SUM(INDEX($AD$813:$AD843,32-5):$AD843),"")</f>
        <v>-59546443582</v>
      </c>
      <c r="AI843" s="48" t="n">
        <f aca="false">IF($U843&gt;=STRUCT_S,MAX(INDEX($G$693:$G843,152-STRUCT_S):$G843),"")</f>
        <v>2999</v>
      </c>
      <c r="AJ843" s="48" t="n">
        <f aca="false">IF($U843&gt;=STRUCT_S,MIN(INDEX($H$693:$H843,152-STRUCT_S):$H843),"")</f>
        <v>2656</v>
      </c>
      <c r="AK843" s="48" t="str">
        <f aca="false">IF($U843&gt;=STRUCT_L,MAX(INDEX($G$593:$G843,252-STRUCT_L):$G843),"")</f>
        <v/>
      </c>
      <c r="AL843" s="48" t="str">
        <f aca="false">IF($U843&gt;=STRUCT_L,MIN(INDEX($H$593:$H843,252-STRUCT_L):$H843),"")</f>
        <v/>
      </c>
      <c r="AM843" s="46" t="n">
        <f aca="false">IF($A843&lt;&gt;$A844,1,0)</f>
        <v>0</v>
      </c>
      <c r="AN843" s="47" t="str">
        <f aca="false">IF($AM843=1,$A843,"")</f>
        <v/>
      </c>
    </row>
    <row r="844" customFormat="false" ht="15" hidden="false" customHeight="false" outlineLevel="0" collapsed="false">
      <c r="A844" s="43" t="s">
        <v>147</v>
      </c>
      <c r="B844" s="44" t="s">
        <v>149</v>
      </c>
      <c r="C844" s="45" t="n">
        <v>45987</v>
      </c>
      <c r="D844" s="46" t="n">
        <v>20251126</v>
      </c>
      <c r="E844" s="47" t="s">
        <v>347</v>
      </c>
      <c r="F844" s="48" t="n">
        <v>3018</v>
      </c>
      <c r="G844" s="48" t="n">
        <v>3019</v>
      </c>
      <c r="H844" s="48" t="n">
        <v>2852</v>
      </c>
      <c r="I844" s="48" t="n">
        <v>2926</v>
      </c>
      <c r="J844" s="48" t="n">
        <v>2928</v>
      </c>
      <c r="K844" s="48" t="n">
        <v>2944</v>
      </c>
      <c r="L844" s="48" t="n">
        <v>59364395</v>
      </c>
      <c r="M844" s="48" t="n">
        <v>173700219770</v>
      </c>
      <c r="N844" s="48" t="n">
        <v>1387</v>
      </c>
      <c r="O844" s="48" t="n">
        <v>27142795</v>
      </c>
      <c r="P844" s="48" t="n">
        <v>31143684</v>
      </c>
      <c r="Q844" s="48" t="n">
        <v>429</v>
      </c>
      <c r="R844" s="48" t="n">
        <v>593</v>
      </c>
      <c r="S844" s="48" t="n">
        <v>32221600</v>
      </c>
      <c r="T844" s="48" t="n">
        <v>28220711</v>
      </c>
      <c r="U844" s="46" t="n">
        <f aca="false">IF($A844=$A843,$U843+1,1)</f>
        <v>60</v>
      </c>
      <c r="V844" s="48" t="n">
        <f aca="false">IF($U844&gt;=MA_SHORT,AVERAGE(INDEX($I$444:$I844,402-MA_SHORT):$I844),"")</f>
        <v>2863.8</v>
      </c>
      <c r="W844" s="48" t="n">
        <f aca="false">IF($U844&gt;=MA_MED,AVERAGE(INDEX($I$444:$I844,402-MA_MED):$I844),"")</f>
        <v>2772.36</v>
      </c>
      <c r="X844" s="48" t="str">
        <f aca="false">IF($U844&gt;=MA_LONG1,AVERAGE(INDEX($I$444:$I844,402-MA_LONG1):$I844),"")</f>
        <v/>
      </c>
      <c r="Y844" s="48" t="str">
        <f aca="false">IF($U844&gt;=MA_LONG2,AVERAGE(INDEX($I$444:$I844,402-MA_LONG2):$I844),"")</f>
        <v/>
      </c>
      <c r="Z844" s="48" t="n">
        <f aca="false">IF($U844&gt;=MA_SHORT,AVERAGE(INDEX($L$724:$L844,122-MA_SHORT):$L844),"")</f>
        <v>70008795.8</v>
      </c>
      <c r="AA844" s="48" t="n">
        <f aca="false">IF($U844=1,$G844-$H844,MAX($G844-$H844,ABS($G844-$I843),ABS($H844-$I843)))</f>
        <v>167</v>
      </c>
      <c r="AB844" s="48" t="n">
        <f aca="false">IF($U844&gt;=ATR_PER,AVERAGE(INDEX($AA$724:$AA844,122-ATR_PER):$AA844),"")</f>
        <v>130.214285714286</v>
      </c>
      <c r="AC844" s="48" t="n">
        <f aca="false">$O844-$P844</f>
        <v>-4000889</v>
      </c>
      <c r="AD844" s="48" t="n">
        <f aca="false">$AC844*$I844</f>
        <v>-11706601214</v>
      </c>
      <c r="AE844" s="49" t="n">
        <f aca="false">IF($Q844&gt;0,$O844*$I844/$Q844/1000000,"")</f>
        <v>185.127781282051</v>
      </c>
      <c r="AF844" s="49" t="n">
        <f aca="false">IF($R844&gt;0,$P844*$I844/$R844/1000000,"")</f>
        <v>153.670184458685</v>
      </c>
      <c r="AG844" s="50" t="n">
        <f aca="false">IF(AND(ISNUMBER($AE844),ISNUMBER($AF844),$AF844&gt;0),$AE844/$AF844,"")</f>
        <v>1.20470852517148</v>
      </c>
      <c r="AH844" s="48" t="n">
        <f aca="false">IF($U844&gt;=5,SUM(INDEX($AD$814:$AD844,32-5):$AD844),"")</f>
        <v>-24744008264</v>
      </c>
      <c r="AI844" s="48" t="n">
        <f aca="false">IF($U844&gt;=STRUCT_S,MAX(INDEX($G$694:$G844,152-STRUCT_S):$G844),"")</f>
        <v>3019</v>
      </c>
      <c r="AJ844" s="48" t="n">
        <f aca="false">IF($U844&gt;=STRUCT_S,MIN(INDEX($H$694:$H844,152-STRUCT_S):$H844),"")</f>
        <v>2656</v>
      </c>
      <c r="AK844" s="48" t="n">
        <f aca="false">IF($U844&gt;=STRUCT_L,MAX(INDEX($G$594:$G844,252-STRUCT_L):$G844),"")</f>
        <v>3069</v>
      </c>
      <c r="AL844" s="48" t="n">
        <f aca="false">IF($U844&gt;=STRUCT_L,MIN(INDEX($H$594:$H844,252-STRUCT_L):$H844),"")</f>
        <v>2274</v>
      </c>
      <c r="AM844" s="46" t="n">
        <f aca="false">IF($A844&lt;&gt;$A845,1,0)</f>
        <v>0</v>
      </c>
      <c r="AN844" s="47" t="str">
        <f aca="false">IF($AM844=1,$A844,"")</f>
        <v/>
      </c>
    </row>
    <row r="845" customFormat="false" ht="15" hidden="false" customHeight="false" outlineLevel="0" collapsed="false">
      <c r="A845" s="43" t="s">
        <v>147</v>
      </c>
      <c r="B845" s="44" t="s">
        <v>149</v>
      </c>
      <c r="C845" s="45" t="n">
        <v>45990</v>
      </c>
      <c r="D845" s="46" t="n">
        <v>20251129</v>
      </c>
      <c r="E845" s="47" t="s">
        <v>348</v>
      </c>
      <c r="F845" s="48" t="n">
        <v>2915</v>
      </c>
      <c r="G845" s="48" t="n">
        <v>2968</v>
      </c>
      <c r="H845" s="48" t="n">
        <v>2910</v>
      </c>
      <c r="I845" s="48" t="n">
        <v>2952</v>
      </c>
      <c r="J845" s="48" t="n">
        <v>2951</v>
      </c>
      <c r="K845" s="48" t="n">
        <v>2926</v>
      </c>
      <c r="L845" s="48" t="n">
        <v>60316709</v>
      </c>
      <c r="M845" s="48" t="n">
        <v>178054924968</v>
      </c>
      <c r="N845" s="48" t="n">
        <v>5568</v>
      </c>
      <c r="O845" s="48" t="n">
        <v>23395832</v>
      </c>
      <c r="P845" s="48" t="n">
        <v>35982111</v>
      </c>
      <c r="Q845" s="48" t="n">
        <v>2850</v>
      </c>
      <c r="R845" s="48" t="n">
        <v>1955</v>
      </c>
      <c r="S845" s="48" t="n">
        <v>36920877</v>
      </c>
      <c r="T845" s="48" t="n">
        <v>24334598</v>
      </c>
      <c r="U845" s="46" t="n">
        <f aca="false">IF($A845=$A844,$U844+1,1)</f>
        <v>61</v>
      </c>
      <c r="V845" s="48" t="n">
        <f aca="false">IF($U845&gt;=MA_SHORT,AVERAGE(INDEX($I$445:$I845,402-MA_SHORT):$I845),"")</f>
        <v>2867.5</v>
      </c>
      <c r="W845" s="48" t="n">
        <f aca="false">IF($U845&gt;=MA_MED,AVERAGE(INDEX($I$445:$I845,402-MA_MED):$I845),"")</f>
        <v>2785.2</v>
      </c>
      <c r="X845" s="48" t="str">
        <f aca="false">IF($U845&gt;=MA_LONG1,AVERAGE(INDEX($I$445:$I845,402-MA_LONG1):$I845),"")</f>
        <v/>
      </c>
      <c r="Y845" s="48" t="str">
        <f aca="false">IF($U845&gt;=MA_LONG2,AVERAGE(INDEX($I$445:$I845,402-MA_LONG2):$I845),"")</f>
        <v/>
      </c>
      <c r="Z845" s="48" t="n">
        <f aca="false">IF($U845&gt;=MA_SHORT,AVERAGE(INDEX($L$725:$L845,122-MA_SHORT):$L845),"")</f>
        <v>70113826.25</v>
      </c>
      <c r="AA845" s="48" t="n">
        <f aca="false">IF($U845=1,$G845-$H845,MAX($G845-$H845,ABS($G845-$I844),ABS($H845-$I844)))</f>
        <v>58</v>
      </c>
      <c r="AB845" s="48" t="n">
        <f aca="false">IF($U845&gt;=ATR_PER,AVERAGE(INDEX($AA$725:$AA845,122-ATR_PER):$AA845),"")</f>
        <v>126.428571428571</v>
      </c>
      <c r="AC845" s="48" t="n">
        <f aca="false">$O845-$P845</f>
        <v>-12586279</v>
      </c>
      <c r="AD845" s="48" t="n">
        <f aca="false">$AC845*$I845</f>
        <v>-37154695608</v>
      </c>
      <c r="AE845" s="49" t="n">
        <f aca="false">IF($Q845&gt;0,$O845*$I845/$Q845/1000000,"")</f>
        <v>24.2331565136842</v>
      </c>
      <c r="AF845" s="49" t="n">
        <f aca="false">IF($R845&gt;0,$P845*$I845/$R845/1000000,"")</f>
        <v>54.3320673514067</v>
      </c>
      <c r="AG845" s="50" t="n">
        <f aca="false">IF(AND(ISNUMBER($AE845),ISNUMBER($AF845),$AF845&gt;0),$AE845/$AF845,"")</f>
        <v>0.446019407966754</v>
      </c>
      <c r="AH845" s="48" t="n">
        <f aca="false">IF($U845&gt;=5,SUM(INDEX($AD$815:$AD845,32-5):$AD845),"")</f>
        <v>-31861524392</v>
      </c>
      <c r="AI845" s="48" t="n">
        <f aca="false">IF($U845&gt;=STRUCT_S,MAX(INDEX($G$695:$G845,152-STRUCT_S):$G845),"")</f>
        <v>3019</v>
      </c>
      <c r="AJ845" s="48" t="n">
        <f aca="false">IF($U845&gt;=STRUCT_S,MIN(INDEX($H$695:$H845,152-STRUCT_S):$H845),"")</f>
        <v>2656</v>
      </c>
      <c r="AK845" s="48" t="n">
        <f aca="false">IF($U845&gt;=STRUCT_L,MAX(INDEX($G$595:$G845,252-STRUCT_L):$G845),"")</f>
        <v>3069</v>
      </c>
      <c r="AL845" s="48" t="n">
        <f aca="false">IF($U845&gt;=STRUCT_L,MIN(INDEX($H$595:$H845,252-STRUCT_L):$H845),"")</f>
        <v>2274</v>
      </c>
      <c r="AM845" s="46" t="n">
        <f aca="false">IF($A845&lt;&gt;$A846,1,0)</f>
        <v>0</v>
      </c>
      <c r="AN845" s="47" t="str">
        <f aca="false">IF($AM845=1,$A845,"")</f>
        <v/>
      </c>
    </row>
    <row r="846" customFormat="false" ht="15" hidden="false" customHeight="false" outlineLevel="0" collapsed="false">
      <c r="A846" s="43" t="s">
        <v>147</v>
      </c>
      <c r="B846" s="44" t="s">
        <v>149</v>
      </c>
      <c r="C846" s="45" t="n">
        <v>45991</v>
      </c>
      <c r="D846" s="46" t="n">
        <v>20251130</v>
      </c>
      <c r="E846" s="47" t="s">
        <v>349</v>
      </c>
      <c r="F846" s="48" t="n">
        <v>3034</v>
      </c>
      <c r="G846" s="48" t="n">
        <v>3150</v>
      </c>
      <c r="H846" s="48" t="n">
        <v>2828</v>
      </c>
      <c r="I846" s="48" t="n">
        <v>3023</v>
      </c>
      <c r="J846" s="48" t="n">
        <v>2845</v>
      </c>
      <c r="K846" s="48" t="n">
        <v>2952</v>
      </c>
      <c r="L846" s="48" t="n">
        <v>74740068</v>
      </c>
      <c r="M846" s="48" t="n">
        <v>225939225564</v>
      </c>
      <c r="N846" s="48" t="n">
        <v>1758</v>
      </c>
      <c r="O846" s="48" t="n">
        <v>38199484</v>
      </c>
      <c r="P846" s="48" t="n">
        <v>41731448</v>
      </c>
      <c r="Q846" s="48" t="n">
        <v>871</v>
      </c>
      <c r="R846" s="48" t="n">
        <v>483</v>
      </c>
      <c r="S846" s="48" t="n">
        <v>36540584</v>
      </c>
      <c r="T846" s="48" t="n">
        <v>33008620</v>
      </c>
      <c r="U846" s="46" t="n">
        <f aca="false">IF($A846=$A845,$U845+1,1)</f>
        <v>62</v>
      </c>
      <c r="V846" s="48" t="n">
        <f aca="false">IF($U846&gt;=MA_SHORT,AVERAGE(INDEX($I$446:$I846,402-MA_SHORT):$I846),"")</f>
        <v>2873.25</v>
      </c>
      <c r="W846" s="48" t="n">
        <f aca="false">IF($U846&gt;=MA_MED,AVERAGE(INDEX($I$446:$I846,402-MA_MED):$I846),"")</f>
        <v>2799.04</v>
      </c>
      <c r="X846" s="48" t="str">
        <f aca="false">IF($U846&gt;=MA_LONG1,AVERAGE(INDEX($I$446:$I846,402-MA_LONG1):$I846),"")</f>
        <v/>
      </c>
      <c r="Y846" s="48" t="str">
        <f aca="false">IF($U846&gt;=MA_LONG2,AVERAGE(INDEX($I$446:$I846,402-MA_LONG2):$I846),"")</f>
        <v/>
      </c>
      <c r="Z846" s="48" t="n">
        <f aca="false">IF($U846&gt;=MA_SHORT,AVERAGE(INDEX($L$726:$L846,122-MA_SHORT):$L846),"")</f>
        <v>70808571.8</v>
      </c>
      <c r="AA846" s="48" t="n">
        <f aca="false">IF($U846=1,$G846-$H846,MAX($G846-$H846,ABS($G846-$I845),ABS($H846-$I845)))</f>
        <v>322</v>
      </c>
      <c r="AB846" s="48" t="n">
        <f aca="false">IF($U846&gt;=ATR_PER,AVERAGE(INDEX($AA$726:$AA846,122-ATR_PER):$AA846),"")</f>
        <v>140.214285714286</v>
      </c>
      <c r="AC846" s="48" t="n">
        <f aca="false">$O846-$P846</f>
        <v>-3531964</v>
      </c>
      <c r="AD846" s="48" t="n">
        <f aca="false">$AC846*$I846</f>
        <v>-10677127172</v>
      </c>
      <c r="AE846" s="49" t="n">
        <f aca="false">IF($Q846&gt;0,$O846*$I846/$Q846/1000000,"")</f>
        <v>132.579839416762</v>
      </c>
      <c r="AF846" s="49" t="n">
        <f aca="false">IF($R846&gt;0,$P846*$I846/$R846/1000000,"")</f>
        <v>261.188752182195</v>
      </c>
      <c r="AG846" s="50" t="n">
        <f aca="false">IF(AND(ISNUMBER($AE846),ISNUMBER($AF846),$AF846&gt;0),$AE846/$AF846,"")</f>
        <v>0.507601641759367</v>
      </c>
      <c r="AH846" s="48" t="n">
        <f aca="false">IF($U846&gt;=5,SUM(INDEX($AD$816:$AD846,32-5):$AD846),"")</f>
        <v>-93686454283</v>
      </c>
      <c r="AI846" s="48" t="n">
        <f aca="false">IF($U846&gt;=STRUCT_S,MAX(INDEX($G$696:$G846,152-STRUCT_S):$G846),"")</f>
        <v>3150</v>
      </c>
      <c r="AJ846" s="48" t="n">
        <f aca="false">IF($U846&gt;=STRUCT_S,MIN(INDEX($H$696:$H846,152-STRUCT_S):$H846),"")</f>
        <v>2656</v>
      </c>
      <c r="AK846" s="48" t="n">
        <f aca="false">IF($U846&gt;=STRUCT_L,MAX(INDEX($G$596:$G846,252-STRUCT_L):$G846),"")</f>
        <v>3150</v>
      </c>
      <c r="AL846" s="48" t="n">
        <f aca="false">IF($U846&gt;=STRUCT_L,MIN(INDEX($H$596:$H846,252-STRUCT_L):$H846),"")</f>
        <v>2274</v>
      </c>
      <c r="AM846" s="46" t="n">
        <f aca="false">IF($A846&lt;&gt;$A847,1,0)</f>
        <v>0</v>
      </c>
      <c r="AN846" s="47" t="str">
        <f aca="false">IF($AM846=1,$A846,"")</f>
        <v/>
      </c>
    </row>
    <row r="847" customFormat="false" ht="15" hidden="false" customHeight="false" outlineLevel="0" collapsed="false">
      <c r="A847" s="43" t="s">
        <v>147</v>
      </c>
      <c r="B847" s="44" t="s">
        <v>149</v>
      </c>
      <c r="C847" s="45" t="n">
        <v>45992</v>
      </c>
      <c r="D847" s="46" t="n">
        <v>20251201</v>
      </c>
      <c r="E847" s="47" t="s">
        <v>350</v>
      </c>
      <c r="F847" s="48" t="n">
        <v>3187</v>
      </c>
      <c r="G847" s="48" t="n">
        <v>3192</v>
      </c>
      <c r="H847" s="48" t="n">
        <v>2927</v>
      </c>
      <c r="I847" s="48" t="n">
        <v>3093</v>
      </c>
      <c r="J847" s="48" t="n">
        <v>3002</v>
      </c>
      <c r="K847" s="48" t="n">
        <v>3023</v>
      </c>
      <c r="L847" s="48" t="n">
        <v>88932090</v>
      </c>
      <c r="M847" s="48" t="n">
        <v>275066954370</v>
      </c>
      <c r="N847" s="48" t="n">
        <v>2138</v>
      </c>
      <c r="O847" s="48" t="n">
        <v>38569397</v>
      </c>
      <c r="P847" s="48" t="n">
        <v>49824181</v>
      </c>
      <c r="Q847" s="48" t="n">
        <v>1385</v>
      </c>
      <c r="R847" s="48" t="n">
        <v>704</v>
      </c>
      <c r="S847" s="48" t="n">
        <v>50362693</v>
      </c>
      <c r="T847" s="48" t="n">
        <v>39107909</v>
      </c>
      <c r="U847" s="46" t="n">
        <f aca="false">IF($A847=$A846,$U846+1,1)</f>
        <v>63</v>
      </c>
      <c r="V847" s="48" t="n">
        <f aca="false">IF($U847&gt;=MA_SHORT,AVERAGE(INDEX($I$447:$I847,402-MA_SHORT):$I847),"")</f>
        <v>2881.65</v>
      </c>
      <c r="W847" s="48" t="n">
        <f aca="false">IF($U847&gt;=MA_MED,AVERAGE(INDEX($I$447:$I847,402-MA_MED):$I847),"")</f>
        <v>2813</v>
      </c>
      <c r="X847" s="48" t="str">
        <f aca="false">IF($U847&gt;=MA_LONG1,AVERAGE(INDEX($I$447:$I847,402-MA_LONG1):$I847),"")</f>
        <v/>
      </c>
      <c r="Y847" s="48" t="str">
        <f aca="false">IF($U847&gt;=MA_LONG2,AVERAGE(INDEX($I$447:$I847,402-MA_LONG2):$I847),"")</f>
        <v/>
      </c>
      <c r="Z847" s="48" t="n">
        <f aca="false">IF($U847&gt;=MA_SHORT,AVERAGE(INDEX($L$727:$L847,122-MA_SHORT):$L847),"")</f>
        <v>70721383.85</v>
      </c>
      <c r="AA847" s="48" t="n">
        <f aca="false">IF($U847=1,$G847-$H847,MAX($G847-$H847,ABS($G847-$I846),ABS($H847-$I846)))</f>
        <v>265</v>
      </c>
      <c r="AB847" s="48" t="n">
        <f aca="false">IF($U847&gt;=ATR_PER,AVERAGE(INDEX($AA$727:$AA847,122-ATR_PER):$AA847),"")</f>
        <v>144.428571428571</v>
      </c>
      <c r="AC847" s="48" t="n">
        <f aca="false">$O847-$P847</f>
        <v>-11254784</v>
      </c>
      <c r="AD847" s="48" t="n">
        <f aca="false">$AC847*$I847</f>
        <v>-34811046912</v>
      </c>
      <c r="AE847" s="49" t="n">
        <f aca="false">IF($Q847&gt;0,$O847*$I847/$Q847/1000000,"")</f>
        <v>86.1336786433213</v>
      </c>
      <c r="AF847" s="49" t="n">
        <f aca="false">IF($R847&gt;0,$P847*$I847/$R847/1000000,"")</f>
        <v>218.900840671875</v>
      </c>
      <c r="AG847" s="50" t="n">
        <f aca="false">IF(AND(ISNUMBER($AE847),ISNUMBER($AF847),$AF847&gt;0),$AE847/$AF847,"")</f>
        <v>0.39348263066944</v>
      </c>
      <c r="AH847" s="48" t="n">
        <f aca="false">IF($U847&gt;=5,SUM(INDEX($AD$817:$AD847,32-5):$AD847),"")</f>
        <v>-95724925370</v>
      </c>
      <c r="AI847" s="48" t="n">
        <f aca="false">IF($U847&gt;=STRUCT_S,MAX(INDEX($G$697:$G847,152-STRUCT_S):$G847),"")</f>
        <v>3192</v>
      </c>
      <c r="AJ847" s="48" t="n">
        <f aca="false">IF($U847&gt;=STRUCT_S,MIN(INDEX($H$697:$H847,152-STRUCT_S):$H847),"")</f>
        <v>2656</v>
      </c>
      <c r="AK847" s="48" t="n">
        <f aca="false">IF($U847&gt;=STRUCT_L,MAX(INDEX($G$597:$G847,252-STRUCT_L):$G847),"")</f>
        <v>3192</v>
      </c>
      <c r="AL847" s="48" t="n">
        <f aca="false">IF($U847&gt;=STRUCT_L,MIN(INDEX($H$597:$H847,252-STRUCT_L):$H847),"")</f>
        <v>2274</v>
      </c>
      <c r="AM847" s="46" t="n">
        <f aca="false">IF($A847&lt;&gt;$A848,1,0)</f>
        <v>0</v>
      </c>
      <c r="AN847" s="47" t="str">
        <f aca="false">IF($AM847=1,$A847,"")</f>
        <v/>
      </c>
    </row>
    <row r="848" customFormat="false" ht="15" hidden="false" customHeight="false" outlineLevel="0" collapsed="false">
      <c r="A848" s="43" t="s">
        <v>147</v>
      </c>
      <c r="B848" s="44" t="s">
        <v>149</v>
      </c>
      <c r="C848" s="45" t="n">
        <v>45993</v>
      </c>
      <c r="D848" s="46" t="n">
        <v>20251202</v>
      </c>
      <c r="E848" s="47" t="s">
        <v>351</v>
      </c>
      <c r="F848" s="48" t="n">
        <v>3022</v>
      </c>
      <c r="G848" s="48" t="n">
        <v>3124</v>
      </c>
      <c r="H848" s="48" t="n">
        <v>3008</v>
      </c>
      <c r="I848" s="48" t="n">
        <v>3038</v>
      </c>
      <c r="J848" s="48" t="n">
        <v>3059</v>
      </c>
      <c r="K848" s="48" t="n">
        <v>3093</v>
      </c>
      <c r="L848" s="48" t="n">
        <v>76226143</v>
      </c>
      <c r="M848" s="48" t="n">
        <v>231575022434</v>
      </c>
      <c r="N848" s="48" t="n">
        <v>1946</v>
      </c>
      <c r="O848" s="48" t="n">
        <v>33176209</v>
      </c>
      <c r="P848" s="48" t="n">
        <v>47951131</v>
      </c>
      <c r="Q848" s="48" t="n">
        <v>571</v>
      </c>
      <c r="R848" s="48" t="n">
        <v>1097</v>
      </c>
      <c r="S848" s="48" t="n">
        <v>43049934</v>
      </c>
      <c r="T848" s="48" t="n">
        <v>28275012</v>
      </c>
      <c r="U848" s="46" t="n">
        <f aca="false">IF($A848=$A847,$U847+1,1)</f>
        <v>64</v>
      </c>
      <c r="V848" s="48" t="n">
        <f aca="false">IF($U848&gt;=MA_SHORT,AVERAGE(INDEX($I$448:$I848,402-MA_SHORT):$I848),"")</f>
        <v>2890</v>
      </c>
      <c r="W848" s="48" t="n">
        <f aca="false">IF($U848&gt;=MA_MED,AVERAGE(INDEX($I$448:$I848,402-MA_MED):$I848),"")</f>
        <v>2825.78</v>
      </c>
      <c r="X848" s="48" t="str">
        <f aca="false">IF($U848&gt;=MA_LONG1,AVERAGE(INDEX($I$448:$I848,402-MA_LONG1):$I848),"")</f>
        <v/>
      </c>
      <c r="Y848" s="48" t="str">
        <f aca="false">IF($U848&gt;=MA_LONG2,AVERAGE(INDEX($I$448:$I848,402-MA_LONG2):$I848),"")</f>
        <v/>
      </c>
      <c r="Z848" s="48" t="n">
        <f aca="false">IF($U848&gt;=MA_SHORT,AVERAGE(INDEX($L$728:$L848,122-MA_SHORT):$L848),"")</f>
        <v>71352353.8</v>
      </c>
      <c r="AA848" s="48" t="n">
        <f aca="false">IF($U848=1,$G848-$H848,MAX($G848-$H848,ABS($G848-$I847),ABS($H848-$I847)))</f>
        <v>116</v>
      </c>
      <c r="AB848" s="48" t="n">
        <f aca="false">IF($U848&gt;=ATR_PER,AVERAGE(INDEX($AA$728:$AA848,122-ATR_PER):$AA848),"")</f>
        <v>144.142857142857</v>
      </c>
      <c r="AC848" s="48" t="n">
        <f aca="false">$O848-$P848</f>
        <v>-14774922</v>
      </c>
      <c r="AD848" s="48" t="n">
        <f aca="false">$AC848*$I848</f>
        <v>-44886213036</v>
      </c>
      <c r="AE848" s="49" t="n">
        <f aca="false">IF($Q848&gt;0,$O848*$I848/$Q848/1000000,"")</f>
        <v>176.513700423818</v>
      </c>
      <c r="AF848" s="49" t="n">
        <f aca="false">IF($R848&gt;0,$P848*$I848/$R848/1000000,"")</f>
        <v>132.794472176846</v>
      </c>
      <c r="AG848" s="50" t="n">
        <f aca="false">IF(AND(ISNUMBER($AE848),ISNUMBER($AF848),$AF848&gt;0),$AE848/$AF848,"")</f>
        <v>1.32922476011464</v>
      </c>
      <c r="AH848" s="48" t="n">
        <f aca="false">IF($U848&gt;=5,SUM(INDEX($AD$818:$AD848,32-5):$AD848),"")</f>
        <v>-139235683942</v>
      </c>
      <c r="AI848" s="48" t="n">
        <f aca="false">IF($U848&gt;=STRUCT_S,MAX(INDEX($G$698:$G848,152-STRUCT_S):$G848),"")</f>
        <v>3192</v>
      </c>
      <c r="AJ848" s="48" t="n">
        <f aca="false">IF($U848&gt;=STRUCT_S,MIN(INDEX($H$698:$H848,152-STRUCT_S):$H848),"")</f>
        <v>2656</v>
      </c>
      <c r="AK848" s="48" t="n">
        <f aca="false">IF($U848&gt;=STRUCT_L,MAX(INDEX($G$598:$G848,252-STRUCT_L):$G848),"")</f>
        <v>3192</v>
      </c>
      <c r="AL848" s="48" t="n">
        <f aca="false">IF($U848&gt;=STRUCT_L,MIN(INDEX($H$598:$H848,252-STRUCT_L):$H848),"")</f>
        <v>2274</v>
      </c>
      <c r="AM848" s="46" t="n">
        <f aca="false">IF($A848&lt;&gt;$A849,1,0)</f>
        <v>0</v>
      </c>
      <c r="AN848" s="47" t="str">
        <f aca="false">IF($AM848=1,$A848,"")</f>
        <v/>
      </c>
    </row>
    <row r="849" customFormat="false" ht="15" hidden="false" customHeight="false" outlineLevel="0" collapsed="false">
      <c r="A849" s="43" t="s">
        <v>147</v>
      </c>
      <c r="B849" s="44" t="s">
        <v>149</v>
      </c>
      <c r="C849" s="45" t="n">
        <v>45994</v>
      </c>
      <c r="D849" s="46" t="n">
        <v>20251203</v>
      </c>
      <c r="E849" s="47" t="s">
        <v>352</v>
      </c>
      <c r="F849" s="48" t="n">
        <v>3041</v>
      </c>
      <c r="G849" s="48" t="n">
        <v>3147</v>
      </c>
      <c r="H849" s="48" t="n">
        <v>2985</v>
      </c>
      <c r="I849" s="48" t="n">
        <v>3093</v>
      </c>
      <c r="J849" s="48" t="n">
        <v>3069</v>
      </c>
      <c r="K849" s="48" t="n">
        <v>3038</v>
      </c>
      <c r="L849" s="48" t="n">
        <v>205404528</v>
      </c>
      <c r="M849" s="48" t="n">
        <v>635316205104</v>
      </c>
      <c r="N849" s="48" t="n">
        <v>4671</v>
      </c>
      <c r="O849" s="48" t="n">
        <v>110870239</v>
      </c>
      <c r="P849" s="48" t="n">
        <v>84773178</v>
      </c>
      <c r="Q849" s="48" t="n">
        <v>2387</v>
      </c>
      <c r="R849" s="48" t="n">
        <v>1333</v>
      </c>
      <c r="S849" s="48" t="n">
        <v>94534289</v>
      </c>
      <c r="T849" s="48" t="n">
        <v>120631350</v>
      </c>
      <c r="U849" s="46" t="n">
        <f aca="false">IF($A849=$A848,$U848+1,1)</f>
        <v>65</v>
      </c>
      <c r="V849" s="48" t="n">
        <f aca="false">IF($U849&gt;=MA_SHORT,AVERAGE(INDEX($I$449:$I849,402-MA_SHORT):$I849),"")</f>
        <v>2901.1</v>
      </c>
      <c r="W849" s="48" t="n">
        <f aca="false">IF($U849&gt;=MA_MED,AVERAGE(INDEX($I$449:$I849,402-MA_MED):$I849),"")</f>
        <v>2840.06</v>
      </c>
      <c r="X849" s="48" t="str">
        <f aca="false">IF($U849&gt;=MA_LONG1,AVERAGE(INDEX($I$449:$I849,402-MA_LONG1):$I849),"")</f>
        <v/>
      </c>
      <c r="Y849" s="48" t="str">
        <f aca="false">IF($U849&gt;=MA_LONG2,AVERAGE(INDEX($I$449:$I849,402-MA_LONG2):$I849),"")</f>
        <v/>
      </c>
      <c r="Z849" s="48" t="n">
        <f aca="false">IF($U849&gt;=MA_SHORT,AVERAGE(INDEX($L$729:$L849,122-MA_SHORT):$L849),"")</f>
        <v>78759395.75</v>
      </c>
      <c r="AA849" s="48" t="n">
        <f aca="false">IF($U849=1,$G849-$H849,MAX($G849-$H849,ABS($G849-$I848),ABS($H849-$I848)))</f>
        <v>162</v>
      </c>
      <c r="AB849" s="48" t="n">
        <f aca="false">IF($U849&gt;=ATR_PER,AVERAGE(INDEX($AA$729:$AA849,122-ATR_PER):$AA849),"")</f>
        <v>140.142857142857</v>
      </c>
      <c r="AC849" s="48" t="n">
        <f aca="false">$O849-$P849</f>
        <v>26097061</v>
      </c>
      <c r="AD849" s="48" t="n">
        <f aca="false">$AC849*$I849</f>
        <v>80718209673</v>
      </c>
      <c r="AE849" s="49" t="n">
        <f aca="false">IF($Q849&gt;0,$O849*$I849/$Q849/1000000,"")</f>
        <v>143.662190710934</v>
      </c>
      <c r="AF849" s="49" t="n">
        <f aca="false">IF($R849&gt;0,$P849*$I849/$R849/1000000,"")</f>
        <v>196.701755104276</v>
      </c>
      <c r="AG849" s="50" t="n">
        <f aca="false">IF(AND(ISNUMBER($AE849),ISNUMBER($AF849),$AF849&gt;0),$AE849/$AF849,"")</f>
        <v>0.73035540854618</v>
      </c>
      <c r="AH849" s="48" t="n">
        <f aca="false">IF($U849&gt;=5,SUM(INDEX($AD$819:$AD849,32-5):$AD849),"")</f>
        <v>-46810873055</v>
      </c>
      <c r="AI849" s="48" t="n">
        <f aca="false">IF($U849&gt;=STRUCT_S,MAX(INDEX($G$699:$G849,152-STRUCT_S):$G849),"")</f>
        <v>3192</v>
      </c>
      <c r="AJ849" s="48" t="n">
        <f aca="false">IF($U849&gt;=STRUCT_S,MIN(INDEX($H$699:$H849,152-STRUCT_S):$H849),"")</f>
        <v>2656</v>
      </c>
      <c r="AK849" s="48" t="n">
        <f aca="false">IF($U849&gt;=STRUCT_L,MAX(INDEX($G$599:$G849,252-STRUCT_L):$G849),"")</f>
        <v>3192</v>
      </c>
      <c r="AL849" s="48" t="n">
        <f aca="false">IF($U849&gt;=STRUCT_L,MIN(INDEX($H$599:$H849,252-STRUCT_L):$H849),"")</f>
        <v>2274</v>
      </c>
      <c r="AM849" s="46" t="n">
        <f aca="false">IF($A849&lt;&gt;$A850,1,0)</f>
        <v>0</v>
      </c>
      <c r="AN849" s="47" t="str">
        <f aca="false">IF($AM849=1,$A849,"")</f>
        <v/>
      </c>
    </row>
    <row r="850" customFormat="false" ht="15" hidden="false" customHeight="false" outlineLevel="0" collapsed="false">
      <c r="A850" s="43" t="s">
        <v>147</v>
      </c>
      <c r="B850" s="44" t="s">
        <v>149</v>
      </c>
      <c r="C850" s="45" t="n">
        <v>45997</v>
      </c>
      <c r="D850" s="46" t="n">
        <v>20251206</v>
      </c>
      <c r="E850" s="47" t="s">
        <v>353</v>
      </c>
      <c r="F850" s="48" t="n">
        <v>3143</v>
      </c>
      <c r="G850" s="48" t="n">
        <v>3219</v>
      </c>
      <c r="H850" s="48" t="n">
        <v>2913</v>
      </c>
      <c r="I850" s="48" t="n">
        <v>3037</v>
      </c>
      <c r="J850" s="48" t="n">
        <v>3089</v>
      </c>
      <c r="K850" s="48" t="n">
        <v>3093</v>
      </c>
      <c r="L850" s="48" t="n">
        <v>63484381</v>
      </c>
      <c r="M850" s="48" t="n">
        <v>192802065097</v>
      </c>
      <c r="N850" s="48" t="n">
        <v>2424</v>
      </c>
      <c r="O850" s="48" t="n">
        <v>26627236</v>
      </c>
      <c r="P850" s="48" t="n">
        <v>36663696</v>
      </c>
      <c r="Q850" s="48" t="n">
        <v>538</v>
      </c>
      <c r="R850" s="48" t="n">
        <v>1748</v>
      </c>
      <c r="S850" s="48" t="n">
        <v>36857145</v>
      </c>
      <c r="T850" s="48" t="n">
        <v>26820685</v>
      </c>
      <c r="U850" s="46" t="n">
        <f aca="false">IF($A850=$A849,$U849+1,1)</f>
        <v>66</v>
      </c>
      <c r="V850" s="48" t="n">
        <f aca="false">IF($U850&gt;=MA_SHORT,AVERAGE(INDEX($I$450:$I850,402-MA_SHORT):$I850),"")</f>
        <v>2910.3</v>
      </c>
      <c r="W850" s="48" t="n">
        <f aca="false">IF($U850&gt;=MA_MED,AVERAGE(INDEX($I$450:$I850,402-MA_MED):$I850),"")</f>
        <v>2851.08</v>
      </c>
      <c r="X850" s="48" t="str">
        <f aca="false">IF($U850&gt;=MA_LONG1,AVERAGE(INDEX($I$450:$I850,402-MA_LONG1):$I850),"")</f>
        <v/>
      </c>
      <c r="Y850" s="48" t="str">
        <f aca="false">IF($U850&gt;=MA_LONG2,AVERAGE(INDEX($I$450:$I850,402-MA_LONG2):$I850),"")</f>
        <v/>
      </c>
      <c r="Z850" s="48" t="n">
        <f aca="false">IF($U850&gt;=MA_SHORT,AVERAGE(INDEX($L$730:$L850,122-MA_SHORT):$L850),"")</f>
        <v>78486955.6</v>
      </c>
      <c r="AA850" s="48" t="n">
        <f aca="false">IF($U850=1,$G850-$H850,MAX($G850-$H850,ABS($G850-$I849),ABS($H850-$I849)))</f>
        <v>306</v>
      </c>
      <c r="AB850" s="48" t="n">
        <f aca="false">IF($U850&gt;=ATR_PER,AVERAGE(INDEX($AA$730:$AA850,122-ATR_PER):$AA850),"")</f>
        <v>156.5</v>
      </c>
      <c r="AC850" s="48" t="n">
        <f aca="false">$O850-$P850</f>
        <v>-10036460</v>
      </c>
      <c r="AD850" s="48" t="n">
        <f aca="false">$AC850*$I850</f>
        <v>-30480729020</v>
      </c>
      <c r="AE850" s="49" t="n">
        <f aca="false">IF($Q850&gt;0,$O850*$I850/$Q850/1000000,"")</f>
        <v>150.310252289963</v>
      </c>
      <c r="AF850" s="49" t="n">
        <f aca="false">IF($R850&gt;0,$P850*$I850/$R850/1000000,"")</f>
        <v>63.7000256018307</v>
      </c>
      <c r="AG850" s="50" t="n">
        <f aca="false">IF(AND(ISNUMBER($AE850),ISNUMBER($AF850),$AF850&gt;0),$AE850/$AF850,"")</f>
        <v>2.3596576433031</v>
      </c>
      <c r="AH850" s="48" t="n">
        <f aca="false">IF($U850&gt;=5,SUM(INDEX($AD$820:$AD850,32-5):$AD850),"")</f>
        <v>-40136906467</v>
      </c>
      <c r="AI850" s="48" t="n">
        <f aca="false">IF($U850&gt;=STRUCT_S,MAX(INDEX($G$700:$G850,152-STRUCT_S):$G850),"")</f>
        <v>3219</v>
      </c>
      <c r="AJ850" s="48" t="n">
        <f aca="false">IF($U850&gt;=STRUCT_S,MIN(INDEX($H$700:$H850,152-STRUCT_S):$H850),"")</f>
        <v>2656</v>
      </c>
      <c r="AK850" s="48" t="n">
        <f aca="false">IF($U850&gt;=STRUCT_L,MAX(INDEX($G$600:$G850,252-STRUCT_L):$G850),"")</f>
        <v>3219</v>
      </c>
      <c r="AL850" s="48" t="n">
        <f aca="false">IF($U850&gt;=STRUCT_L,MIN(INDEX($H$600:$H850,252-STRUCT_L):$H850),"")</f>
        <v>2274</v>
      </c>
      <c r="AM850" s="46" t="n">
        <f aca="false">IF($A850&lt;&gt;$A851,1,0)</f>
        <v>0</v>
      </c>
      <c r="AN850" s="47" t="str">
        <f aca="false">IF($AM850=1,$A850,"")</f>
        <v/>
      </c>
    </row>
    <row r="851" customFormat="false" ht="15" hidden="false" customHeight="false" outlineLevel="0" collapsed="false">
      <c r="A851" s="43" t="s">
        <v>147</v>
      </c>
      <c r="B851" s="44" t="s">
        <v>149</v>
      </c>
      <c r="C851" s="45" t="n">
        <v>45998</v>
      </c>
      <c r="D851" s="46" t="n">
        <v>20251207</v>
      </c>
      <c r="E851" s="47" t="s">
        <v>354</v>
      </c>
      <c r="F851" s="48" t="n">
        <v>3036</v>
      </c>
      <c r="G851" s="48" t="n">
        <v>3070</v>
      </c>
      <c r="H851" s="48" t="n">
        <v>2997</v>
      </c>
      <c r="I851" s="48" t="n">
        <v>3030</v>
      </c>
      <c r="J851" s="48" t="n">
        <v>3055</v>
      </c>
      <c r="K851" s="48" t="n">
        <v>3037</v>
      </c>
      <c r="L851" s="48" t="n">
        <v>58055614</v>
      </c>
      <c r="M851" s="48" t="n">
        <v>175908510420</v>
      </c>
      <c r="N851" s="48" t="n">
        <v>2402</v>
      </c>
      <c r="O851" s="48" t="n">
        <v>21519926</v>
      </c>
      <c r="P851" s="48" t="n">
        <v>37538446</v>
      </c>
      <c r="Q851" s="48" t="n">
        <v>594</v>
      </c>
      <c r="R851" s="48" t="n">
        <v>1774</v>
      </c>
      <c r="S851" s="48" t="n">
        <v>36535688</v>
      </c>
      <c r="T851" s="48" t="n">
        <v>20517168</v>
      </c>
      <c r="U851" s="46" t="n">
        <f aca="false">IF($A851=$A850,$U850+1,1)</f>
        <v>67</v>
      </c>
      <c r="V851" s="48" t="n">
        <f aca="false">IF($U851&gt;=MA_SHORT,AVERAGE(INDEX($I$451:$I851,402-MA_SHORT):$I851),"")</f>
        <v>2916.35</v>
      </c>
      <c r="W851" s="48" t="n">
        <f aca="false">IF($U851&gt;=MA_MED,AVERAGE(INDEX($I$451:$I851,402-MA_MED):$I851),"")</f>
        <v>2861.82</v>
      </c>
      <c r="X851" s="48" t="str">
        <f aca="false">IF($U851&gt;=MA_LONG1,AVERAGE(INDEX($I$451:$I851,402-MA_LONG1):$I851),"")</f>
        <v/>
      </c>
      <c r="Y851" s="48" t="str">
        <f aca="false">IF($U851&gt;=MA_LONG2,AVERAGE(INDEX($I$451:$I851,402-MA_LONG2):$I851),"")</f>
        <v/>
      </c>
      <c r="Z851" s="48" t="n">
        <f aca="false">IF($U851&gt;=MA_SHORT,AVERAGE(INDEX($L$731:$L851,122-MA_SHORT):$L851),"")</f>
        <v>77639525</v>
      </c>
      <c r="AA851" s="48" t="n">
        <f aca="false">IF($U851=1,$G851-$H851,MAX($G851-$H851,ABS($G851-$I850),ABS($H851-$I850)))</f>
        <v>73</v>
      </c>
      <c r="AB851" s="48" t="n">
        <f aca="false">IF($U851&gt;=ATR_PER,AVERAGE(INDEX($AA$731:$AA851,122-ATR_PER):$AA851),"")</f>
        <v>157.785714285714</v>
      </c>
      <c r="AC851" s="48" t="n">
        <f aca="false">$O851-$P851</f>
        <v>-16018520</v>
      </c>
      <c r="AD851" s="48" t="n">
        <f aca="false">$AC851*$I851</f>
        <v>-48536115600</v>
      </c>
      <c r="AE851" s="49" t="n">
        <f aca="false">IF($Q851&gt;0,$O851*$I851/$Q851/1000000,"")</f>
        <v>109.77335989899</v>
      </c>
      <c r="AF851" s="49" t="n">
        <f aca="false">IF($R851&gt;0,$P851*$I851/$R851/1000000,"")</f>
        <v>64.1158350507328</v>
      </c>
      <c r="AG851" s="50" t="n">
        <f aca="false">IF(AND(ISNUMBER($AE851),ISNUMBER($AF851),$AF851&gt;0),$AE851/$AF851,"")</f>
        <v>1.71210996179227</v>
      </c>
      <c r="AH851" s="48" t="n">
        <f aca="false">IF($U851&gt;=5,SUM(INDEX($AD$821:$AD851,32-5):$AD851),"")</f>
        <v>-77995894895</v>
      </c>
      <c r="AI851" s="48" t="n">
        <f aca="false">IF($U851&gt;=STRUCT_S,MAX(INDEX($G$701:$G851,152-STRUCT_S):$G851),"")</f>
        <v>3219</v>
      </c>
      <c r="AJ851" s="48" t="n">
        <f aca="false">IF($U851&gt;=STRUCT_S,MIN(INDEX($H$701:$H851,152-STRUCT_S):$H851),"")</f>
        <v>2656</v>
      </c>
      <c r="AK851" s="48" t="n">
        <f aca="false">IF($U851&gt;=STRUCT_L,MAX(INDEX($G$601:$G851,252-STRUCT_L):$G851),"")</f>
        <v>3219</v>
      </c>
      <c r="AL851" s="48" t="n">
        <f aca="false">IF($U851&gt;=STRUCT_L,MIN(INDEX($H$601:$H851,252-STRUCT_L):$H851),"")</f>
        <v>2274</v>
      </c>
      <c r="AM851" s="46" t="n">
        <f aca="false">IF($A851&lt;&gt;$A852,1,0)</f>
        <v>0</v>
      </c>
      <c r="AN851" s="47" t="str">
        <f aca="false">IF($AM851=1,$A851,"")</f>
        <v/>
      </c>
    </row>
    <row r="852" customFormat="false" ht="15" hidden="false" customHeight="false" outlineLevel="0" collapsed="false">
      <c r="A852" s="43" t="s">
        <v>147</v>
      </c>
      <c r="B852" s="44" t="s">
        <v>149</v>
      </c>
      <c r="C852" s="45" t="n">
        <v>45999</v>
      </c>
      <c r="D852" s="46" t="n">
        <v>20251208</v>
      </c>
      <c r="E852" s="47" t="s">
        <v>355</v>
      </c>
      <c r="F852" s="48" t="n">
        <v>3043</v>
      </c>
      <c r="G852" s="48" t="n">
        <v>3048</v>
      </c>
      <c r="H852" s="48" t="n">
        <v>3014</v>
      </c>
      <c r="I852" s="48" t="n">
        <v>3032</v>
      </c>
      <c r="J852" s="48" t="n">
        <v>3031</v>
      </c>
      <c r="K852" s="48" t="n">
        <v>3030</v>
      </c>
      <c r="L852" s="48" t="n">
        <v>90364332</v>
      </c>
      <c r="M852" s="48" t="n">
        <v>273984654624</v>
      </c>
      <c r="N852" s="48" t="n">
        <v>2678</v>
      </c>
      <c r="O852" s="48" t="n">
        <v>36964374</v>
      </c>
      <c r="P852" s="48" t="n">
        <v>49766255</v>
      </c>
      <c r="Q852" s="48" t="n">
        <v>1141</v>
      </c>
      <c r="R852" s="48" t="n">
        <v>743</v>
      </c>
      <c r="S852" s="48" t="n">
        <v>53399958</v>
      </c>
      <c r="T852" s="48" t="n">
        <v>40598077</v>
      </c>
      <c r="U852" s="46" t="n">
        <f aca="false">IF($A852=$A851,$U851+1,1)</f>
        <v>68</v>
      </c>
      <c r="V852" s="48" t="n">
        <f aca="false">IF($U852&gt;=MA_SHORT,AVERAGE(INDEX($I$452:$I852,402-MA_SHORT):$I852),"")</f>
        <v>2926.4</v>
      </c>
      <c r="W852" s="48" t="n">
        <f aca="false">IF($U852&gt;=MA_MED,AVERAGE(INDEX($I$452:$I852,402-MA_MED):$I852),"")</f>
        <v>2870.72</v>
      </c>
      <c r="X852" s="48" t="str">
        <f aca="false">IF($U852&gt;=MA_LONG1,AVERAGE(INDEX($I$452:$I852,402-MA_LONG1):$I852),"")</f>
        <v/>
      </c>
      <c r="Y852" s="48" t="str">
        <f aca="false">IF($U852&gt;=MA_LONG2,AVERAGE(INDEX($I$452:$I852,402-MA_LONG2):$I852),"")</f>
        <v/>
      </c>
      <c r="Z852" s="48" t="n">
        <f aca="false">IF($U852&gt;=MA_SHORT,AVERAGE(INDEX($L$732:$L852,122-MA_SHORT):$L852),"")</f>
        <v>77363958.4</v>
      </c>
      <c r="AA852" s="48" t="n">
        <f aca="false">IF($U852=1,$G852-$H852,MAX($G852-$H852,ABS($G852-$I851),ABS($H852-$I851)))</f>
        <v>34</v>
      </c>
      <c r="AB852" s="48" t="n">
        <f aca="false">IF($U852&gt;=ATR_PER,AVERAGE(INDEX($AA$732:$AA852,122-ATR_PER):$AA852),"")</f>
        <v>152.428571428571</v>
      </c>
      <c r="AC852" s="48" t="n">
        <f aca="false">$O852-$P852</f>
        <v>-12801881</v>
      </c>
      <c r="AD852" s="48" t="n">
        <f aca="false">$AC852*$I852</f>
        <v>-38815303192</v>
      </c>
      <c r="AE852" s="49" t="n">
        <f aca="false">IF($Q852&gt;0,$O852*$I852/$Q852/1000000,"")</f>
        <v>98.2261016371604</v>
      </c>
      <c r="AF852" s="49" t="n">
        <f aca="false">IF($R852&gt;0,$P852*$I852/$R852/1000000,"")</f>
        <v>203.083829286676</v>
      </c>
      <c r="AG852" s="50" t="n">
        <f aca="false">IF(AND(ISNUMBER($AE852),ISNUMBER($AF852),$AF852&gt;0),$AE852/$AF852,"")</f>
        <v>0.483672688180915</v>
      </c>
      <c r="AH852" s="48" t="n">
        <f aca="false">IF($U852&gt;=5,SUM(INDEX($AD$822:$AD852,32-5):$AD852),"")</f>
        <v>-82000151175</v>
      </c>
      <c r="AI852" s="48" t="n">
        <f aca="false">IF($U852&gt;=STRUCT_S,MAX(INDEX($G$702:$G852,152-STRUCT_S):$G852),"")</f>
        <v>3219</v>
      </c>
      <c r="AJ852" s="48" t="n">
        <f aca="false">IF($U852&gt;=STRUCT_S,MIN(INDEX($H$702:$H852,152-STRUCT_S):$H852),"")</f>
        <v>2656</v>
      </c>
      <c r="AK852" s="48" t="n">
        <f aca="false">IF($U852&gt;=STRUCT_L,MAX(INDEX($G$602:$G852,252-STRUCT_L):$G852),"")</f>
        <v>3219</v>
      </c>
      <c r="AL852" s="48" t="n">
        <f aca="false">IF($U852&gt;=STRUCT_L,MIN(INDEX($H$602:$H852,252-STRUCT_L):$H852),"")</f>
        <v>2274</v>
      </c>
      <c r="AM852" s="46" t="n">
        <f aca="false">IF($A852&lt;&gt;$A853,1,0)</f>
        <v>0</v>
      </c>
      <c r="AN852" s="47" t="str">
        <f aca="false">IF($AM852=1,$A852,"")</f>
        <v/>
      </c>
    </row>
    <row r="853" customFormat="false" ht="15" hidden="false" customHeight="false" outlineLevel="0" collapsed="false">
      <c r="A853" s="43" t="s">
        <v>147</v>
      </c>
      <c r="B853" s="44" t="s">
        <v>149</v>
      </c>
      <c r="C853" s="45" t="n">
        <v>46000</v>
      </c>
      <c r="D853" s="46" t="n">
        <v>20251209</v>
      </c>
      <c r="E853" s="47" t="s">
        <v>356</v>
      </c>
      <c r="F853" s="48" t="n">
        <v>3031</v>
      </c>
      <c r="G853" s="48" t="n">
        <v>3076</v>
      </c>
      <c r="H853" s="48" t="n">
        <v>2974</v>
      </c>
      <c r="I853" s="48" t="n">
        <v>3017</v>
      </c>
      <c r="J853" s="48" t="n">
        <v>2998</v>
      </c>
      <c r="K853" s="48" t="n">
        <v>3032</v>
      </c>
      <c r="L853" s="48" t="n">
        <v>58963469</v>
      </c>
      <c r="M853" s="48" t="n">
        <v>177892785973</v>
      </c>
      <c r="N853" s="48" t="n">
        <v>2190</v>
      </c>
      <c r="O853" s="48" t="n">
        <v>27277560</v>
      </c>
      <c r="P853" s="48" t="n">
        <v>32933799</v>
      </c>
      <c r="Q853" s="48" t="n">
        <v>831</v>
      </c>
      <c r="R853" s="48" t="n">
        <v>1229</v>
      </c>
      <c r="S853" s="48" t="n">
        <v>31685909</v>
      </c>
      <c r="T853" s="48" t="n">
        <v>26029670</v>
      </c>
      <c r="U853" s="46" t="n">
        <f aca="false">IF($A853=$A852,$U852+1,1)</f>
        <v>69</v>
      </c>
      <c r="V853" s="48" t="n">
        <f aca="false">IF($U853&gt;=MA_SHORT,AVERAGE(INDEX($I$453:$I853,402-MA_SHORT):$I853),"")</f>
        <v>2942.6</v>
      </c>
      <c r="W853" s="48" t="n">
        <f aca="false">IF($U853&gt;=MA_MED,AVERAGE(INDEX($I$453:$I853,402-MA_MED):$I853),"")</f>
        <v>2879.02</v>
      </c>
      <c r="X853" s="48" t="str">
        <f aca="false">IF($U853&gt;=MA_LONG1,AVERAGE(INDEX($I$453:$I853,402-MA_LONG1):$I853),"")</f>
        <v/>
      </c>
      <c r="Y853" s="48" t="str">
        <f aca="false">IF($U853&gt;=MA_LONG2,AVERAGE(INDEX($I$453:$I853,402-MA_LONG2):$I853),"")</f>
        <v/>
      </c>
      <c r="Z853" s="48" t="n">
        <f aca="false">IF($U853&gt;=MA_SHORT,AVERAGE(INDEX($L$733:$L853,122-MA_SHORT):$L853),"")</f>
        <v>76611534.2</v>
      </c>
      <c r="AA853" s="48" t="n">
        <f aca="false">IF($U853=1,$G853-$H853,MAX($G853-$H853,ABS($G853-$I852),ABS($H853-$I852)))</f>
        <v>102</v>
      </c>
      <c r="AB853" s="48" t="n">
        <f aca="false">IF($U853&gt;=ATR_PER,AVERAGE(INDEX($AA$733:$AA853,122-ATR_PER):$AA853),"")</f>
        <v>157</v>
      </c>
      <c r="AC853" s="48" t="n">
        <f aca="false">$O853-$P853</f>
        <v>-5656239</v>
      </c>
      <c r="AD853" s="48" t="n">
        <f aca="false">$AC853*$I853</f>
        <v>-17064873063</v>
      </c>
      <c r="AE853" s="49" t="n">
        <f aca="false">IF($Q853&gt;0,$O853*$I853/$Q853/1000000,"")</f>
        <v>99.0329705415163</v>
      </c>
      <c r="AF853" s="49" t="n">
        <f aca="false">IF($R853&gt;0,$P853*$I853/$R853/1000000,"")</f>
        <v>80.8472510846216</v>
      </c>
      <c r="AG853" s="50" t="n">
        <f aca="false">IF(AND(ISNUMBER($AE853),ISNUMBER($AF853),$AF853&gt;0),$AE853/$AF853,"")</f>
        <v>1.2249392429912</v>
      </c>
      <c r="AH853" s="48" t="n">
        <f aca="false">IF($U853&gt;=5,SUM(INDEX($AD$823:$AD853,32-5):$AD853),"")</f>
        <v>-54178811202</v>
      </c>
      <c r="AI853" s="48" t="n">
        <f aca="false">IF($U853&gt;=STRUCT_S,MAX(INDEX($G$703:$G853,152-STRUCT_S):$G853),"")</f>
        <v>3219</v>
      </c>
      <c r="AJ853" s="48" t="n">
        <f aca="false">IF($U853&gt;=STRUCT_S,MIN(INDEX($H$703:$H853,152-STRUCT_S):$H853),"")</f>
        <v>2656</v>
      </c>
      <c r="AK853" s="48" t="n">
        <f aca="false">IF($U853&gt;=STRUCT_L,MAX(INDEX($G$603:$G853,252-STRUCT_L):$G853),"")</f>
        <v>3219</v>
      </c>
      <c r="AL853" s="48" t="n">
        <f aca="false">IF($U853&gt;=STRUCT_L,MIN(INDEX($H$603:$H853,252-STRUCT_L):$H853),"")</f>
        <v>2274</v>
      </c>
      <c r="AM853" s="46" t="n">
        <f aca="false">IF($A853&lt;&gt;$A854,1,0)</f>
        <v>0</v>
      </c>
      <c r="AN853" s="47" t="str">
        <f aca="false">IF($AM853=1,$A853,"")</f>
        <v/>
      </c>
    </row>
    <row r="854" customFormat="false" ht="15" hidden="false" customHeight="false" outlineLevel="0" collapsed="false">
      <c r="A854" s="43" t="s">
        <v>147</v>
      </c>
      <c r="B854" s="44" t="s">
        <v>149</v>
      </c>
      <c r="C854" s="45" t="n">
        <v>46001</v>
      </c>
      <c r="D854" s="46" t="n">
        <v>20251210</v>
      </c>
      <c r="E854" s="47" t="s">
        <v>357</v>
      </c>
      <c r="F854" s="48" t="n">
        <v>3015</v>
      </c>
      <c r="G854" s="48" t="n">
        <v>3050</v>
      </c>
      <c r="H854" s="48" t="n">
        <v>2986</v>
      </c>
      <c r="I854" s="48" t="n">
        <v>3019</v>
      </c>
      <c r="J854" s="48" t="n">
        <v>3049</v>
      </c>
      <c r="K854" s="48" t="n">
        <v>3017</v>
      </c>
      <c r="L854" s="48" t="n">
        <v>62082046</v>
      </c>
      <c r="M854" s="48" t="n">
        <v>187425696874</v>
      </c>
      <c r="N854" s="48" t="n">
        <v>1786</v>
      </c>
      <c r="O854" s="48" t="n">
        <v>28051631</v>
      </c>
      <c r="P854" s="48" t="n">
        <v>35266613</v>
      </c>
      <c r="Q854" s="48" t="n">
        <v>704</v>
      </c>
      <c r="R854" s="48" t="n">
        <v>625</v>
      </c>
      <c r="S854" s="48" t="n">
        <v>34030415</v>
      </c>
      <c r="T854" s="48" t="n">
        <v>26815433</v>
      </c>
      <c r="U854" s="46" t="n">
        <f aca="false">IF($A854=$A853,$U853+1,1)</f>
        <v>70</v>
      </c>
      <c r="V854" s="48" t="n">
        <f aca="false">IF($U854&gt;=MA_SHORT,AVERAGE(INDEX($I$454:$I854,402-MA_SHORT):$I854),"")</f>
        <v>2956.65</v>
      </c>
      <c r="W854" s="48" t="n">
        <f aca="false">IF($U854&gt;=MA_MED,AVERAGE(INDEX($I$454:$I854,402-MA_MED):$I854),"")</f>
        <v>2886.12</v>
      </c>
      <c r="X854" s="48" t="str">
        <f aca="false">IF($U854&gt;=MA_LONG1,AVERAGE(INDEX($I$454:$I854,402-MA_LONG1):$I854),"")</f>
        <v/>
      </c>
      <c r="Y854" s="48" t="str">
        <f aca="false">IF($U854&gt;=MA_LONG2,AVERAGE(INDEX($I$454:$I854,402-MA_LONG2):$I854),"")</f>
        <v/>
      </c>
      <c r="Z854" s="48" t="n">
        <f aca="false">IF($U854&gt;=MA_SHORT,AVERAGE(INDEX($L$734:$L854,122-MA_SHORT):$L854),"")</f>
        <v>76469284.85</v>
      </c>
      <c r="AA854" s="48" t="n">
        <f aca="false">IF($U854=1,$G854-$H854,MAX($G854-$H854,ABS($G854-$I853),ABS($H854-$I853)))</f>
        <v>64</v>
      </c>
      <c r="AB854" s="48" t="n">
        <f aca="false">IF($U854&gt;=ATR_PER,AVERAGE(INDEX($AA$734:$AA854,122-ATR_PER):$AA854),"")</f>
        <v>148.785714285714</v>
      </c>
      <c r="AC854" s="48" t="n">
        <f aca="false">$O854-$P854</f>
        <v>-7214982</v>
      </c>
      <c r="AD854" s="48" t="n">
        <f aca="false">$AC854*$I854</f>
        <v>-21782030658</v>
      </c>
      <c r="AE854" s="49" t="n">
        <f aca="false">IF($Q854&gt;0,$O854*$I854/$Q854/1000000,"")</f>
        <v>120.295275552557</v>
      </c>
      <c r="AF854" s="49" t="n">
        <f aca="false">IF($R854&gt;0,$P854*$I854/$R854/1000000,"")</f>
        <v>170.3518474352</v>
      </c>
      <c r="AG854" s="50" t="n">
        <f aca="false">IF(AND(ISNUMBER($AE854),ISNUMBER($AF854),$AF854&gt;0),$AE854/$AF854,"")</f>
        <v>0.706157739782164</v>
      </c>
      <c r="AH854" s="48" t="n">
        <f aca="false">IF($U854&gt;=5,SUM(INDEX($AD$824:$AD854,32-5):$AD854),"")</f>
        <v>-156679051533</v>
      </c>
      <c r="AI854" s="48" t="n">
        <f aca="false">IF($U854&gt;=STRUCT_S,MAX(INDEX($G$704:$G854,152-STRUCT_S):$G854),"")</f>
        <v>3219</v>
      </c>
      <c r="AJ854" s="48" t="n">
        <f aca="false">IF($U854&gt;=STRUCT_S,MIN(INDEX($H$704:$H854,152-STRUCT_S):$H854),"")</f>
        <v>2692</v>
      </c>
      <c r="AK854" s="48" t="n">
        <f aca="false">IF($U854&gt;=STRUCT_L,MAX(INDEX($G$604:$G854,252-STRUCT_L):$G854),"")</f>
        <v>3219</v>
      </c>
      <c r="AL854" s="48" t="n">
        <f aca="false">IF($U854&gt;=STRUCT_L,MIN(INDEX($H$604:$H854,252-STRUCT_L):$H854),"")</f>
        <v>2274</v>
      </c>
      <c r="AM854" s="46" t="n">
        <f aca="false">IF($A854&lt;&gt;$A855,1,0)</f>
        <v>0</v>
      </c>
      <c r="AN854" s="47" t="str">
        <f aca="false">IF($AM854=1,$A854,"")</f>
        <v/>
      </c>
    </row>
    <row r="855" customFormat="false" ht="15" hidden="false" customHeight="false" outlineLevel="0" collapsed="false">
      <c r="A855" s="43" t="s">
        <v>147</v>
      </c>
      <c r="B855" s="44" t="s">
        <v>149</v>
      </c>
      <c r="C855" s="45" t="n">
        <v>46004</v>
      </c>
      <c r="D855" s="46" t="n">
        <v>20251213</v>
      </c>
      <c r="E855" s="47" t="s">
        <v>358</v>
      </c>
      <c r="F855" s="48" t="n">
        <v>2880</v>
      </c>
      <c r="G855" s="48" t="n">
        <v>3099</v>
      </c>
      <c r="H855" s="48" t="n">
        <v>2819</v>
      </c>
      <c r="I855" s="48" t="n">
        <v>2896</v>
      </c>
      <c r="J855" s="48" t="n">
        <v>2890</v>
      </c>
      <c r="K855" s="48" t="n">
        <v>3019</v>
      </c>
      <c r="L855" s="48" t="n">
        <v>71261901</v>
      </c>
      <c r="M855" s="48" t="n">
        <v>206374465296</v>
      </c>
      <c r="N855" s="48" t="n">
        <v>1889</v>
      </c>
      <c r="O855" s="48" t="n">
        <v>19349682</v>
      </c>
      <c r="P855" s="48" t="n">
        <v>47650463</v>
      </c>
      <c r="Q855" s="48" t="n">
        <v>722</v>
      </c>
      <c r="R855" s="48" t="n">
        <v>1438</v>
      </c>
      <c r="S855" s="48" t="n">
        <v>51912219</v>
      </c>
      <c r="T855" s="48" t="n">
        <v>23611438</v>
      </c>
      <c r="U855" s="46" t="n">
        <f aca="false">IF($A855=$A854,$U854+1,1)</f>
        <v>71</v>
      </c>
      <c r="V855" s="48" t="n">
        <f aca="false">IF($U855&gt;=MA_SHORT,AVERAGE(INDEX($I$455:$I855,402-MA_SHORT):$I855),"")</f>
        <v>2958.35</v>
      </c>
      <c r="W855" s="48" t="n">
        <f aca="false">IF($U855&gt;=MA_MED,AVERAGE(INDEX($I$455:$I855,402-MA_MED):$I855),"")</f>
        <v>2891.18</v>
      </c>
      <c r="X855" s="48" t="str">
        <f aca="false">IF($U855&gt;=MA_LONG1,AVERAGE(INDEX($I$455:$I855,402-MA_LONG1):$I855),"")</f>
        <v/>
      </c>
      <c r="Y855" s="48" t="str">
        <f aca="false">IF($U855&gt;=MA_LONG2,AVERAGE(INDEX($I$455:$I855,402-MA_LONG2):$I855),"")</f>
        <v/>
      </c>
      <c r="Z855" s="48" t="n">
        <f aca="false">IF($U855&gt;=MA_SHORT,AVERAGE(INDEX($L$735:$L855,122-MA_SHORT):$L855),"")</f>
        <v>76391178.9</v>
      </c>
      <c r="AA855" s="48" t="n">
        <f aca="false">IF($U855=1,$G855-$H855,MAX($G855-$H855,ABS($G855-$I854),ABS($H855-$I854)))</f>
        <v>280</v>
      </c>
      <c r="AB855" s="48" t="n">
        <f aca="false">IF($U855&gt;=ATR_PER,AVERAGE(INDEX($AA$735:$AA855,122-ATR_PER):$AA855),"")</f>
        <v>156.785714285714</v>
      </c>
      <c r="AC855" s="48" t="n">
        <f aca="false">$O855-$P855</f>
        <v>-28300781</v>
      </c>
      <c r="AD855" s="48" t="n">
        <f aca="false">$AC855*$I855</f>
        <v>-81959061776</v>
      </c>
      <c r="AE855" s="49" t="n">
        <f aca="false">IF($Q855&gt;0,$O855*$I855/$Q855/1000000,"")</f>
        <v>77.6131289085873</v>
      </c>
      <c r="AF855" s="49" t="n">
        <f aca="false">IF($R855&gt;0,$P855*$I855/$R855/1000000,"")</f>
        <v>95.9636584478442</v>
      </c>
      <c r="AG855" s="50" t="n">
        <f aca="false">IF(AND(ISNUMBER($AE855),ISNUMBER($AF855),$AF855&gt;0),$AE855/$AF855,"")</f>
        <v>0.808776261388259</v>
      </c>
      <c r="AH855" s="48" t="n">
        <f aca="false">IF($U855&gt;=5,SUM(INDEX($AD$825:$AD855,32-5):$AD855),"")</f>
        <v>-208157384289</v>
      </c>
      <c r="AI855" s="48" t="n">
        <f aca="false">IF($U855&gt;=STRUCT_S,MAX(INDEX($G$705:$G855,152-STRUCT_S):$G855),"")</f>
        <v>3219</v>
      </c>
      <c r="AJ855" s="48" t="n">
        <f aca="false">IF($U855&gt;=STRUCT_S,MIN(INDEX($H$705:$H855,152-STRUCT_S):$H855),"")</f>
        <v>2765</v>
      </c>
      <c r="AK855" s="48" t="n">
        <f aca="false">IF($U855&gt;=STRUCT_L,MAX(INDEX($G$605:$G855,252-STRUCT_L):$G855),"")</f>
        <v>3219</v>
      </c>
      <c r="AL855" s="48" t="n">
        <f aca="false">IF($U855&gt;=STRUCT_L,MIN(INDEX($H$605:$H855,252-STRUCT_L):$H855),"")</f>
        <v>2274</v>
      </c>
      <c r="AM855" s="46" t="n">
        <f aca="false">IF($A855&lt;&gt;$A856,1,0)</f>
        <v>0</v>
      </c>
      <c r="AN855" s="47" t="str">
        <f aca="false">IF($AM855=1,$A855,"")</f>
        <v/>
      </c>
    </row>
    <row r="856" customFormat="false" ht="15" hidden="false" customHeight="false" outlineLevel="0" collapsed="false">
      <c r="A856" s="43" t="s">
        <v>147</v>
      </c>
      <c r="B856" s="44" t="s">
        <v>149</v>
      </c>
      <c r="C856" s="45" t="n">
        <v>46005</v>
      </c>
      <c r="D856" s="46" t="n">
        <v>20251214</v>
      </c>
      <c r="E856" s="47" t="s">
        <v>359</v>
      </c>
      <c r="F856" s="48" t="n">
        <v>2895</v>
      </c>
      <c r="G856" s="48" t="n">
        <v>2938</v>
      </c>
      <c r="H856" s="48" t="n">
        <v>2813</v>
      </c>
      <c r="I856" s="48" t="n">
        <v>2854</v>
      </c>
      <c r="J856" s="48" t="n">
        <v>2933</v>
      </c>
      <c r="K856" s="48" t="n">
        <v>2896</v>
      </c>
      <c r="L856" s="48" t="n">
        <v>78247272</v>
      </c>
      <c r="M856" s="48" t="n">
        <v>223317714288</v>
      </c>
      <c r="N856" s="48" t="n">
        <v>1744</v>
      </c>
      <c r="O856" s="48" t="n">
        <v>29291671</v>
      </c>
      <c r="P856" s="48" t="n">
        <v>51017177</v>
      </c>
      <c r="Q856" s="48" t="n">
        <v>473</v>
      </c>
      <c r="R856" s="48" t="n">
        <v>870</v>
      </c>
      <c r="S856" s="48" t="n">
        <v>48955601</v>
      </c>
      <c r="T856" s="48" t="n">
        <v>27230095</v>
      </c>
      <c r="U856" s="46" t="n">
        <f aca="false">IF($A856=$A855,$U855+1,1)</f>
        <v>72</v>
      </c>
      <c r="V856" s="48" t="n">
        <f aca="false">IF($U856&gt;=MA_SHORT,AVERAGE(INDEX($I$456:$I856,402-MA_SHORT):$I856),"")</f>
        <v>2959.4</v>
      </c>
      <c r="W856" s="48" t="n">
        <f aca="false">IF($U856&gt;=MA_MED,AVERAGE(INDEX($I$456:$I856,402-MA_MED):$I856),"")</f>
        <v>2895.06</v>
      </c>
      <c r="X856" s="48" t="str">
        <f aca="false">IF($U856&gt;=MA_LONG1,AVERAGE(INDEX($I$456:$I856,402-MA_LONG1):$I856),"")</f>
        <v/>
      </c>
      <c r="Y856" s="48" t="str">
        <f aca="false">IF($U856&gt;=MA_LONG2,AVERAGE(INDEX($I$456:$I856,402-MA_LONG2):$I856),"")</f>
        <v/>
      </c>
      <c r="Z856" s="48" t="n">
        <f aca="false">IF($U856&gt;=MA_SHORT,AVERAGE(INDEX($L$736:$L856,122-MA_SHORT):$L856),"")</f>
        <v>77266286.05</v>
      </c>
      <c r="AA856" s="48" t="n">
        <f aca="false">IF($U856=1,$G856-$H856,MAX($G856-$H856,ABS($G856-$I855),ABS($H856-$I855)))</f>
        <v>125</v>
      </c>
      <c r="AB856" s="48" t="n">
        <f aca="false">IF($U856&gt;=ATR_PER,AVERAGE(INDEX($AA$736:$AA856,122-ATR_PER):$AA856),"")</f>
        <v>157</v>
      </c>
      <c r="AC856" s="48" t="n">
        <f aca="false">$O856-$P856</f>
        <v>-21725506</v>
      </c>
      <c r="AD856" s="48" t="n">
        <f aca="false">$AC856*$I856</f>
        <v>-62004594124</v>
      </c>
      <c r="AE856" s="49" t="n">
        <f aca="false">IF($Q856&gt;0,$O856*$I856/$Q856/1000000,"")</f>
        <v>176.740864765328</v>
      </c>
      <c r="AF856" s="49" t="n">
        <f aca="false">IF($R856&gt;0,$P856*$I856/$R856/1000000,"")</f>
        <v>167.359796733333</v>
      </c>
      <c r="AG856" s="50" t="n">
        <f aca="false">IF(AND(ISNUMBER($AE856),ISNUMBER($AF856),$AF856&gt;0),$AE856/$AF856,"")</f>
        <v>1.056053294848</v>
      </c>
      <c r="AH856" s="48" t="n">
        <f aca="false">IF($U856&gt;=5,SUM(INDEX($AD$826:$AD856,32-5):$AD856),"")</f>
        <v>-221625862813</v>
      </c>
      <c r="AI856" s="48" t="n">
        <f aca="false">IF($U856&gt;=STRUCT_S,MAX(INDEX($G$706:$G856,152-STRUCT_S):$G856),"")</f>
        <v>3219</v>
      </c>
      <c r="AJ856" s="48" t="n">
        <f aca="false">IF($U856&gt;=STRUCT_S,MIN(INDEX($H$706:$H856,152-STRUCT_S):$H856),"")</f>
        <v>2765</v>
      </c>
      <c r="AK856" s="48" t="n">
        <f aca="false">IF($U856&gt;=STRUCT_L,MAX(INDEX($G$606:$G856,252-STRUCT_L):$G856),"")</f>
        <v>3219</v>
      </c>
      <c r="AL856" s="48" t="n">
        <f aca="false">IF($U856&gt;=STRUCT_L,MIN(INDEX($H$606:$H856,252-STRUCT_L):$H856),"")</f>
        <v>2307</v>
      </c>
      <c r="AM856" s="46" t="n">
        <f aca="false">IF($A856&lt;&gt;$A857,1,0)</f>
        <v>0</v>
      </c>
      <c r="AN856" s="47" t="str">
        <f aca="false">IF($AM856=1,$A856,"")</f>
        <v/>
      </c>
    </row>
    <row r="857" customFormat="false" ht="15" hidden="false" customHeight="false" outlineLevel="0" collapsed="false">
      <c r="A857" s="43" t="s">
        <v>147</v>
      </c>
      <c r="B857" s="44" t="s">
        <v>149</v>
      </c>
      <c r="C857" s="45" t="n">
        <v>46006</v>
      </c>
      <c r="D857" s="46" t="n">
        <v>20251215</v>
      </c>
      <c r="E857" s="47" t="s">
        <v>360</v>
      </c>
      <c r="F857" s="48" t="n">
        <v>2846</v>
      </c>
      <c r="G857" s="48" t="n">
        <v>2935</v>
      </c>
      <c r="H857" s="48" t="n">
        <v>2830</v>
      </c>
      <c r="I857" s="48" t="n">
        <v>2911</v>
      </c>
      <c r="J857" s="48" t="n">
        <v>2846</v>
      </c>
      <c r="K857" s="48" t="n">
        <v>2854</v>
      </c>
      <c r="L857" s="48" t="n">
        <v>64125701</v>
      </c>
      <c r="M857" s="48" t="n">
        <v>186669915611</v>
      </c>
      <c r="N857" s="48" t="n">
        <v>6673</v>
      </c>
      <c r="O857" s="48" t="n">
        <v>32251952</v>
      </c>
      <c r="P857" s="48" t="n">
        <v>33670724</v>
      </c>
      <c r="Q857" s="48" t="n">
        <v>3732</v>
      </c>
      <c r="R857" s="48" t="n">
        <v>2522</v>
      </c>
      <c r="S857" s="48" t="n">
        <v>31873749</v>
      </c>
      <c r="T857" s="48" t="n">
        <v>30454977</v>
      </c>
      <c r="U857" s="46" t="n">
        <f aca="false">IF($A857=$A856,$U856+1,1)</f>
        <v>73</v>
      </c>
      <c r="V857" s="48" t="n">
        <f aca="false">IF($U857&gt;=MA_SHORT,AVERAGE(INDEX($I$457:$I857,402-MA_SHORT):$I857),"")</f>
        <v>2963.8</v>
      </c>
      <c r="W857" s="48" t="n">
        <f aca="false">IF($U857&gt;=MA_MED,AVERAGE(INDEX($I$457:$I857,402-MA_MED):$I857),"")</f>
        <v>2899.28</v>
      </c>
      <c r="X857" s="48" t="str">
        <f aca="false">IF($U857&gt;=MA_LONG1,AVERAGE(INDEX($I$457:$I857,402-MA_LONG1):$I857),"")</f>
        <v/>
      </c>
      <c r="Y857" s="48" t="str">
        <f aca="false">IF($U857&gt;=MA_LONG2,AVERAGE(INDEX($I$457:$I857,402-MA_LONG2):$I857),"")</f>
        <v/>
      </c>
      <c r="Z857" s="48" t="n">
        <f aca="false">IF($U857&gt;=MA_SHORT,AVERAGE(INDEX($L$737:$L857,122-MA_SHORT):$L857),"")</f>
        <v>77548747.35</v>
      </c>
      <c r="AA857" s="48" t="n">
        <f aca="false">IF($U857=1,$G857-$H857,MAX($G857-$H857,ABS($G857-$I856),ABS($H857-$I856)))</f>
        <v>105</v>
      </c>
      <c r="AB857" s="48" t="n">
        <f aca="false">IF($U857&gt;=ATR_PER,AVERAGE(INDEX($AA$737:$AA857,122-ATR_PER):$AA857),"")</f>
        <v>155.642857142857</v>
      </c>
      <c r="AC857" s="48" t="n">
        <f aca="false">$O857-$P857</f>
        <v>-1418772</v>
      </c>
      <c r="AD857" s="48" t="n">
        <f aca="false">$AC857*$I857</f>
        <v>-4130045292</v>
      </c>
      <c r="AE857" s="49" t="n">
        <f aca="false">IF($Q857&gt;0,$O857*$I857/$Q857/1000000,"")</f>
        <v>25.1568682400857</v>
      </c>
      <c r="AF857" s="49" t="n">
        <f aca="false">IF($R857&gt;0,$P857*$I857/$R857/1000000,"")</f>
        <v>38.8641861871531</v>
      </c>
      <c r="AG857" s="50" t="n">
        <f aca="false">IF(AND(ISNUMBER($AE857),ISNUMBER($AF857),$AF857&gt;0),$AE857/$AF857,"")</f>
        <v>0.647302071859711</v>
      </c>
      <c r="AH857" s="48" t="n">
        <f aca="false">IF($U857&gt;=5,SUM(INDEX($AD$827:$AD857,32-5):$AD857),"")</f>
        <v>-186940604913</v>
      </c>
      <c r="AI857" s="48" t="n">
        <f aca="false">IF($U857&gt;=STRUCT_S,MAX(INDEX($G$707:$G857,152-STRUCT_S):$G857),"")</f>
        <v>3219</v>
      </c>
      <c r="AJ857" s="48" t="n">
        <f aca="false">IF($U857&gt;=STRUCT_S,MIN(INDEX($H$707:$H857,152-STRUCT_S):$H857),"")</f>
        <v>2765</v>
      </c>
      <c r="AK857" s="48" t="n">
        <f aca="false">IF($U857&gt;=STRUCT_L,MAX(INDEX($G$607:$G857,252-STRUCT_L):$G857),"")</f>
        <v>3219</v>
      </c>
      <c r="AL857" s="48" t="n">
        <f aca="false">IF($U857&gt;=STRUCT_L,MIN(INDEX($H$607:$H857,252-STRUCT_L):$H857),"")</f>
        <v>2318</v>
      </c>
      <c r="AM857" s="46" t="n">
        <f aca="false">IF($A857&lt;&gt;$A858,1,0)</f>
        <v>0</v>
      </c>
      <c r="AN857" s="47" t="str">
        <f aca="false">IF($AM857=1,$A857,"")</f>
        <v/>
      </c>
    </row>
    <row r="858" customFormat="false" ht="15" hidden="false" customHeight="false" outlineLevel="0" collapsed="false">
      <c r="A858" s="43" t="s">
        <v>147</v>
      </c>
      <c r="B858" s="44" t="s">
        <v>149</v>
      </c>
      <c r="C858" s="45" t="n">
        <v>46007</v>
      </c>
      <c r="D858" s="46" t="n">
        <v>20251216</v>
      </c>
      <c r="E858" s="47" t="s">
        <v>361</v>
      </c>
      <c r="F858" s="48" t="n">
        <v>2846</v>
      </c>
      <c r="G858" s="48" t="n">
        <v>2929</v>
      </c>
      <c r="H858" s="48" t="n">
        <v>2789</v>
      </c>
      <c r="I858" s="48" t="n">
        <v>2806</v>
      </c>
      <c r="J858" s="48" t="n">
        <v>2874</v>
      </c>
      <c r="K858" s="48" t="n">
        <v>2911</v>
      </c>
      <c r="L858" s="48" t="n">
        <v>75961263</v>
      </c>
      <c r="M858" s="48" t="n">
        <v>213147303978</v>
      </c>
      <c r="N858" s="48" t="n">
        <v>3311</v>
      </c>
      <c r="O858" s="48" t="n">
        <v>19174274</v>
      </c>
      <c r="P858" s="48" t="n">
        <v>54658919</v>
      </c>
      <c r="Q858" s="48" t="n">
        <v>992</v>
      </c>
      <c r="R858" s="48" t="n">
        <v>2542</v>
      </c>
      <c r="S858" s="48" t="n">
        <v>56786989</v>
      </c>
      <c r="T858" s="48" t="n">
        <v>21302344</v>
      </c>
      <c r="U858" s="46" t="n">
        <f aca="false">IF($A858=$A857,$U857+1,1)</f>
        <v>74</v>
      </c>
      <c r="V858" s="48" t="n">
        <f aca="false">IF($U858&gt;=MA_SHORT,AVERAGE(INDEX($I$458:$I858,402-MA_SHORT):$I858),"")</f>
        <v>2960.05</v>
      </c>
      <c r="W858" s="48" t="n">
        <f aca="false">IF($U858&gt;=MA_MED,AVERAGE(INDEX($I$458:$I858,402-MA_MED):$I858),"")</f>
        <v>2899.74</v>
      </c>
      <c r="X858" s="48" t="str">
        <f aca="false">IF($U858&gt;=MA_LONG1,AVERAGE(INDEX($I$458:$I858,402-MA_LONG1):$I858),"")</f>
        <v/>
      </c>
      <c r="Y858" s="48" t="str">
        <f aca="false">IF($U858&gt;=MA_LONG2,AVERAGE(INDEX($I$458:$I858,402-MA_LONG2):$I858),"")</f>
        <v/>
      </c>
      <c r="Z858" s="48" t="n">
        <f aca="false">IF($U858&gt;=MA_SHORT,AVERAGE(INDEX($L$738:$L858,122-MA_SHORT):$L858),"")</f>
        <v>77916199.1</v>
      </c>
      <c r="AA858" s="48" t="n">
        <f aca="false">IF($U858=1,$G858-$H858,MAX($G858-$H858,ABS($G858-$I857),ABS($H858-$I857)))</f>
        <v>140</v>
      </c>
      <c r="AB858" s="48" t="n">
        <f aca="false">IF($U858&gt;=ATR_PER,AVERAGE(INDEX($AA$738:$AA858,122-ATR_PER):$AA858),"")</f>
        <v>153.714285714286</v>
      </c>
      <c r="AC858" s="48" t="n">
        <f aca="false">$O858-$P858</f>
        <v>-35484645</v>
      </c>
      <c r="AD858" s="48" t="n">
        <f aca="false">$AC858*$I858</f>
        <v>-99569913870</v>
      </c>
      <c r="AE858" s="49" t="n">
        <f aca="false">IF($Q858&gt;0,$O858*$I858/$Q858/1000000,"")</f>
        <v>54.236908108871</v>
      </c>
      <c r="AF858" s="49" t="n">
        <f aca="false">IF($R858&gt;0,$P858*$I858/$R858/1000000,"")</f>
        <v>60.3355337191188</v>
      </c>
      <c r="AG858" s="50" t="n">
        <f aca="false">IF(AND(ISNUMBER($AE858),ISNUMBER($AF858),$AF858&gt;0),$AE858/$AF858,"")</f>
        <v>0.898921493946853</v>
      </c>
      <c r="AH858" s="48" t="n">
        <f aca="false">IF($U858&gt;=5,SUM(INDEX($AD$828:$AD858,32-5):$AD858),"")</f>
        <v>-269445645720</v>
      </c>
      <c r="AI858" s="48" t="n">
        <f aca="false">IF($U858&gt;=STRUCT_S,MAX(INDEX($G$708:$G858,152-STRUCT_S):$G858),"")</f>
        <v>3219</v>
      </c>
      <c r="AJ858" s="48" t="n">
        <f aca="false">IF($U858&gt;=STRUCT_S,MIN(INDEX($H$708:$H858,152-STRUCT_S):$H858),"")</f>
        <v>2765</v>
      </c>
      <c r="AK858" s="48" t="n">
        <f aca="false">IF($U858&gt;=STRUCT_L,MAX(INDEX($G$608:$G858,252-STRUCT_L):$G858),"")</f>
        <v>3219</v>
      </c>
      <c r="AL858" s="48" t="n">
        <f aca="false">IF($U858&gt;=STRUCT_L,MIN(INDEX($H$608:$H858,252-STRUCT_L):$H858),"")</f>
        <v>2318</v>
      </c>
      <c r="AM858" s="46" t="n">
        <f aca="false">IF($A858&lt;&gt;$A859,1,0)</f>
        <v>0</v>
      </c>
      <c r="AN858" s="47" t="str">
        <f aca="false">IF($AM858=1,$A858,"")</f>
        <v/>
      </c>
    </row>
    <row r="859" customFormat="false" ht="15" hidden="false" customHeight="false" outlineLevel="0" collapsed="false">
      <c r="A859" s="43" t="s">
        <v>147</v>
      </c>
      <c r="B859" s="44" t="s">
        <v>149</v>
      </c>
      <c r="C859" s="45" t="n">
        <v>46008</v>
      </c>
      <c r="D859" s="46" t="n">
        <v>20251217</v>
      </c>
      <c r="E859" s="47" t="s">
        <v>362</v>
      </c>
      <c r="F859" s="48" t="n">
        <v>2787</v>
      </c>
      <c r="G859" s="48" t="n">
        <v>2869</v>
      </c>
      <c r="H859" s="48" t="n">
        <v>2716</v>
      </c>
      <c r="I859" s="48" t="n">
        <v>2778</v>
      </c>
      <c r="J859" s="48" t="n">
        <v>2775</v>
      </c>
      <c r="K859" s="48" t="n">
        <v>2806</v>
      </c>
      <c r="L859" s="48" t="n">
        <v>67391335</v>
      </c>
      <c r="M859" s="48" t="n">
        <v>187213128630</v>
      </c>
      <c r="N859" s="48" t="n">
        <v>2270</v>
      </c>
      <c r="O859" s="48" t="n">
        <v>24887729</v>
      </c>
      <c r="P859" s="48" t="n">
        <v>45861458</v>
      </c>
      <c r="Q859" s="48" t="n">
        <v>627</v>
      </c>
      <c r="R859" s="48" t="n">
        <v>1729</v>
      </c>
      <c r="S859" s="48" t="n">
        <v>42503606</v>
      </c>
      <c r="T859" s="48" t="n">
        <v>21529877</v>
      </c>
      <c r="U859" s="46" t="n">
        <f aca="false">IF($A859=$A858,$U858+1,1)</f>
        <v>75</v>
      </c>
      <c r="V859" s="48" t="n">
        <f aca="false">IF($U859&gt;=MA_SHORT,AVERAGE(INDEX($I$459:$I859,402-MA_SHORT):$I859),"")</f>
        <v>2954.75</v>
      </c>
      <c r="W859" s="48" t="n">
        <f aca="false">IF($U859&gt;=MA_MED,AVERAGE(INDEX($I$459:$I859,402-MA_MED):$I859),"")</f>
        <v>2897.9</v>
      </c>
      <c r="X859" s="48" t="str">
        <f aca="false">IF($U859&gt;=MA_LONG1,AVERAGE(INDEX($I$459:$I859,402-MA_LONG1):$I859),"")</f>
        <v/>
      </c>
      <c r="Y859" s="48" t="str">
        <f aca="false">IF($U859&gt;=MA_LONG2,AVERAGE(INDEX($I$459:$I859,402-MA_LONG2):$I859),"")</f>
        <v/>
      </c>
      <c r="Z859" s="48" t="n">
        <f aca="false">IF($U859&gt;=MA_SHORT,AVERAGE(INDEX($L$739:$L859,122-MA_SHORT):$L859),"")</f>
        <v>78236926.5</v>
      </c>
      <c r="AA859" s="48" t="n">
        <f aca="false">IF($U859=1,$G859-$H859,MAX($G859-$H859,ABS($G859-$I858),ABS($H859-$I858)))</f>
        <v>153</v>
      </c>
      <c r="AB859" s="48" t="n">
        <f aca="false">IF($U859&gt;=ATR_PER,AVERAGE(INDEX($AA$739:$AA859,122-ATR_PER):$AA859),"")</f>
        <v>160.5</v>
      </c>
      <c r="AC859" s="48" t="n">
        <f aca="false">$O859-$P859</f>
        <v>-20973729</v>
      </c>
      <c r="AD859" s="48" t="n">
        <f aca="false">$AC859*$I859</f>
        <v>-58265019162</v>
      </c>
      <c r="AE859" s="49" t="n">
        <f aca="false">IF($Q859&gt;0,$O859*$I859/$Q859/1000000,"")</f>
        <v>110.268119875598</v>
      </c>
      <c r="AF859" s="49" t="n">
        <f aca="false">IF($R859&gt;0,$P859*$I859/$R859/1000000,"")</f>
        <v>73.6860210086755</v>
      </c>
      <c r="AG859" s="50" t="n">
        <f aca="false">IF(AND(ISNUMBER($AE859),ISNUMBER($AF859),$AF859&gt;0),$AE859/$AF859,"")</f>
        <v>1.49645914335116</v>
      </c>
      <c r="AH859" s="48" t="n">
        <f aca="false">IF($U859&gt;=5,SUM(INDEX($AD$829:$AD859,32-5):$AD859),"")</f>
        <v>-305928634224</v>
      </c>
      <c r="AI859" s="48" t="n">
        <f aca="false">IF($U859&gt;=STRUCT_S,MAX(INDEX($G$709:$G859,152-STRUCT_S):$G859),"")</f>
        <v>3219</v>
      </c>
      <c r="AJ859" s="48" t="n">
        <f aca="false">IF($U859&gt;=STRUCT_S,MIN(INDEX($H$709:$H859,152-STRUCT_S):$H859),"")</f>
        <v>2716</v>
      </c>
      <c r="AK859" s="48" t="n">
        <f aca="false">IF($U859&gt;=STRUCT_L,MAX(INDEX($G$609:$G859,252-STRUCT_L):$G859),"")</f>
        <v>3219</v>
      </c>
      <c r="AL859" s="48" t="n">
        <f aca="false">IF($U859&gt;=STRUCT_L,MIN(INDEX($H$609:$H859,252-STRUCT_L):$H859),"")</f>
        <v>2318</v>
      </c>
      <c r="AM859" s="46" t="n">
        <f aca="false">IF($A859&lt;&gt;$A860,1,0)</f>
        <v>0</v>
      </c>
      <c r="AN859" s="47" t="str">
        <f aca="false">IF($AM859=1,$A859,"")</f>
        <v/>
      </c>
    </row>
    <row r="860" customFormat="false" ht="15" hidden="false" customHeight="false" outlineLevel="0" collapsed="false">
      <c r="A860" s="43" t="s">
        <v>147</v>
      </c>
      <c r="B860" s="44" t="s">
        <v>149</v>
      </c>
      <c r="C860" s="45" t="n">
        <v>46011</v>
      </c>
      <c r="D860" s="46" t="n">
        <v>20251220</v>
      </c>
      <c r="E860" s="47" t="s">
        <v>363</v>
      </c>
      <c r="F860" s="48" t="n">
        <v>2735</v>
      </c>
      <c r="G860" s="48" t="n">
        <v>2900</v>
      </c>
      <c r="H860" s="48" t="n">
        <v>2730</v>
      </c>
      <c r="I860" s="48" t="n">
        <v>2851</v>
      </c>
      <c r="J860" s="48" t="n">
        <v>2899</v>
      </c>
      <c r="K860" s="48" t="n">
        <v>2778</v>
      </c>
      <c r="L860" s="48" t="n">
        <v>69914655</v>
      </c>
      <c r="M860" s="48" t="n">
        <v>199326681405</v>
      </c>
      <c r="N860" s="48" t="n">
        <v>2752</v>
      </c>
      <c r="O860" s="48" t="n">
        <v>38960142</v>
      </c>
      <c r="P860" s="48" t="n">
        <v>30499466</v>
      </c>
      <c r="Q860" s="48" t="n">
        <v>1814</v>
      </c>
      <c r="R860" s="48" t="n">
        <v>881</v>
      </c>
      <c r="S860" s="48" t="n">
        <v>30954513</v>
      </c>
      <c r="T860" s="48" t="n">
        <v>39415189</v>
      </c>
      <c r="U860" s="46" t="n">
        <f aca="false">IF($A860=$A859,$U859+1,1)</f>
        <v>76</v>
      </c>
      <c r="V860" s="48" t="n">
        <f aca="false">IF($U860&gt;=MA_SHORT,AVERAGE(INDEX($I$460:$I860,402-MA_SHORT):$I860),"")</f>
        <v>2956.1</v>
      </c>
      <c r="W860" s="48" t="n">
        <f aca="false">IF($U860&gt;=MA_MED,AVERAGE(INDEX($I$460:$I860,402-MA_MED):$I860),"")</f>
        <v>2897.46</v>
      </c>
      <c r="X860" s="48" t="str">
        <f aca="false">IF($U860&gt;=MA_LONG1,AVERAGE(INDEX($I$460:$I860,402-MA_LONG1):$I860),"")</f>
        <v/>
      </c>
      <c r="Y860" s="48" t="str">
        <f aca="false">IF($U860&gt;=MA_LONG2,AVERAGE(INDEX($I$460:$I860,402-MA_LONG2):$I860),"")</f>
        <v/>
      </c>
      <c r="Z860" s="48" t="n">
        <f aca="false">IF($U860&gt;=MA_SHORT,AVERAGE(INDEX($L$740:$L860,122-MA_SHORT):$L860),"")</f>
        <v>78512073.15</v>
      </c>
      <c r="AA860" s="48" t="n">
        <f aca="false">IF($U860=1,$G860-$H860,MAX($G860-$H860,ABS($G860-$I859),ABS($H860-$I859)))</f>
        <v>170</v>
      </c>
      <c r="AB860" s="48" t="n">
        <f aca="false">IF($U860&gt;=ATR_PER,AVERAGE(INDEX($AA$740:$AA860,122-ATR_PER):$AA860),"")</f>
        <v>149.642857142857</v>
      </c>
      <c r="AC860" s="48" t="n">
        <f aca="false">$O860-$P860</f>
        <v>8460676</v>
      </c>
      <c r="AD860" s="48" t="n">
        <f aca="false">$AC860*$I860</f>
        <v>24121387276</v>
      </c>
      <c r="AE860" s="49" t="n">
        <f aca="false">IF($Q860&gt;0,$O860*$I860/$Q860/1000000,"")</f>
        <v>61.2322849184124</v>
      </c>
      <c r="AF860" s="49" t="n">
        <f aca="false">IF($R860&gt;0,$P860*$I860/$R860/1000000,"")</f>
        <v>98.699179984109</v>
      </c>
      <c r="AG860" s="50" t="n">
        <f aca="false">IF(AND(ISNUMBER($AE860),ISNUMBER($AF860),$AF860&gt;0),$AE860/$AF860,"")</f>
        <v>0.620393046105054</v>
      </c>
      <c r="AH860" s="48" t="n">
        <f aca="false">IF($U860&gt;=5,SUM(INDEX($AD$830:$AD860,32-5):$AD860),"")</f>
        <v>-199848185172</v>
      </c>
      <c r="AI860" s="48" t="n">
        <f aca="false">IF($U860&gt;=STRUCT_S,MAX(INDEX($G$710:$G860,152-STRUCT_S):$G860),"")</f>
        <v>3219</v>
      </c>
      <c r="AJ860" s="48" t="n">
        <f aca="false">IF($U860&gt;=STRUCT_S,MIN(INDEX($H$710:$H860,152-STRUCT_S):$H860),"")</f>
        <v>2716</v>
      </c>
      <c r="AK860" s="48" t="n">
        <f aca="false">IF($U860&gt;=STRUCT_L,MAX(INDEX($G$610:$G860,252-STRUCT_L):$G860),"")</f>
        <v>3219</v>
      </c>
      <c r="AL860" s="48" t="n">
        <f aca="false">IF($U860&gt;=STRUCT_L,MIN(INDEX($H$610:$H860,252-STRUCT_L):$H860),"")</f>
        <v>2459</v>
      </c>
      <c r="AM860" s="46" t="n">
        <f aca="false">IF($A860&lt;&gt;$A861,1,0)</f>
        <v>0</v>
      </c>
      <c r="AN860" s="47" t="str">
        <f aca="false">IF($AM860=1,$A860,"")</f>
        <v/>
      </c>
    </row>
    <row r="861" customFormat="false" ht="15" hidden="false" customHeight="false" outlineLevel="0" collapsed="false">
      <c r="A861" s="43" t="s">
        <v>147</v>
      </c>
      <c r="B861" s="44" t="s">
        <v>149</v>
      </c>
      <c r="C861" s="45" t="n">
        <v>46012</v>
      </c>
      <c r="D861" s="46" t="n">
        <v>20251221</v>
      </c>
      <c r="E861" s="47" t="s">
        <v>364</v>
      </c>
      <c r="F861" s="48" t="n">
        <v>2789</v>
      </c>
      <c r="G861" s="48" t="n">
        <v>2859</v>
      </c>
      <c r="H861" s="48" t="n">
        <v>2752</v>
      </c>
      <c r="I861" s="48" t="n">
        <v>2760</v>
      </c>
      <c r="J861" s="48" t="n">
        <v>2820</v>
      </c>
      <c r="K861" s="48" t="n">
        <v>2851</v>
      </c>
      <c r="L861" s="48" t="n">
        <v>71424207</v>
      </c>
      <c r="M861" s="48" t="n">
        <v>197130811320</v>
      </c>
      <c r="N861" s="48" t="n">
        <v>2357</v>
      </c>
      <c r="O861" s="48" t="n">
        <v>24338803</v>
      </c>
      <c r="P861" s="48" t="n">
        <v>52961978</v>
      </c>
      <c r="Q861" s="48" t="n">
        <v>534</v>
      </c>
      <c r="R861" s="48" t="n">
        <v>1664</v>
      </c>
      <c r="S861" s="48" t="n">
        <v>47085404</v>
      </c>
      <c r="T861" s="48" t="n">
        <v>18462229</v>
      </c>
      <c r="U861" s="46" t="n">
        <f aca="false">IF($A861=$A860,$U860+1,1)</f>
        <v>77</v>
      </c>
      <c r="V861" s="48" t="n">
        <f aca="false">IF($U861&gt;=MA_SHORT,AVERAGE(INDEX($I$461:$I861,402-MA_SHORT):$I861),"")</f>
        <v>2948.45</v>
      </c>
      <c r="W861" s="48" t="n">
        <f aca="false">IF($U861&gt;=MA_MED,AVERAGE(INDEX($I$461:$I861,402-MA_MED):$I861),"")</f>
        <v>2894.34</v>
      </c>
      <c r="X861" s="48" t="str">
        <f aca="false">IF($U861&gt;=MA_LONG1,AVERAGE(INDEX($I$461:$I861,402-MA_LONG1):$I861),"")</f>
        <v/>
      </c>
      <c r="Y861" s="48" t="str">
        <f aca="false">IF($U861&gt;=MA_LONG2,AVERAGE(INDEX($I$461:$I861,402-MA_LONG2):$I861),"")</f>
        <v/>
      </c>
      <c r="Z861" s="48" t="n">
        <f aca="false">IF($U861&gt;=MA_SHORT,AVERAGE(INDEX($L$741:$L861,122-MA_SHORT):$L861),"")</f>
        <v>77052718.6</v>
      </c>
      <c r="AA861" s="48" t="n">
        <f aca="false">IF($U861=1,$G861-$H861,MAX($G861-$H861,ABS($G861-$I860),ABS($H861-$I860)))</f>
        <v>107</v>
      </c>
      <c r="AB861" s="48" t="n">
        <f aca="false">IF($U861&gt;=ATR_PER,AVERAGE(INDEX($AA$741:$AA861,122-ATR_PER):$AA861),"")</f>
        <v>138.357142857143</v>
      </c>
      <c r="AC861" s="48" t="n">
        <f aca="false">$O861-$P861</f>
        <v>-28623175</v>
      </c>
      <c r="AD861" s="48" t="n">
        <f aca="false">$AC861*$I861</f>
        <v>-78999963000</v>
      </c>
      <c r="AE861" s="49" t="n">
        <f aca="false">IF($Q861&gt;0,$O861*$I861/$Q861/1000000,"")</f>
        <v>125.796060449438</v>
      </c>
      <c r="AF861" s="49" t="n">
        <f aca="false">IF($R861&gt;0,$P861*$I861/$R861/1000000,"")</f>
        <v>87.8455885096154</v>
      </c>
      <c r="AG861" s="50" t="n">
        <f aca="false">IF(AND(ISNUMBER($AE861),ISNUMBER($AF861),$AF861&gt;0),$AE861/$AF861,"")</f>
        <v>1.43201340652034</v>
      </c>
      <c r="AH861" s="48" t="n">
        <f aca="false">IF($U861&gt;=5,SUM(INDEX($AD$831:$AD861,32-5):$AD861),"")</f>
        <v>-216843554048</v>
      </c>
      <c r="AI861" s="48" t="n">
        <f aca="false">IF($U861&gt;=STRUCT_S,MAX(INDEX($G$711:$G861,152-STRUCT_S):$G861),"")</f>
        <v>3219</v>
      </c>
      <c r="AJ861" s="48" t="n">
        <f aca="false">IF($U861&gt;=STRUCT_S,MIN(INDEX($H$711:$H861,152-STRUCT_S):$H861),"")</f>
        <v>2716</v>
      </c>
      <c r="AK861" s="48" t="n">
        <f aca="false">IF($U861&gt;=STRUCT_L,MAX(INDEX($G$611:$G861,252-STRUCT_L):$G861),"")</f>
        <v>3219</v>
      </c>
      <c r="AL861" s="48" t="n">
        <f aca="false">IF($U861&gt;=STRUCT_L,MIN(INDEX($H$611:$H861,252-STRUCT_L):$H861),"")</f>
        <v>2459</v>
      </c>
      <c r="AM861" s="46" t="n">
        <f aca="false">IF($A861&lt;&gt;$A862,1,0)</f>
        <v>0</v>
      </c>
      <c r="AN861" s="47" t="str">
        <f aca="false">IF($AM861=1,$A861,"")</f>
        <v/>
      </c>
    </row>
    <row r="862" customFormat="false" ht="15" hidden="false" customHeight="false" outlineLevel="0" collapsed="false">
      <c r="A862" s="43" t="s">
        <v>147</v>
      </c>
      <c r="B862" s="44" t="s">
        <v>149</v>
      </c>
      <c r="C862" s="45" t="n">
        <v>46013</v>
      </c>
      <c r="D862" s="46" t="n">
        <v>20251222</v>
      </c>
      <c r="E862" s="47" t="s">
        <v>365</v>
      </c>
      <c r="F862" s="48" t="n">
        <v>2810</v>
      </c>
      <c r="G862" s="48" t="n">
        <v>2870</v>
      </c>
      <c r="H862" s="48" t="n">
        <v>2730</v>
      </c>
      <c r="I862" s="48" t="n">
        <v>2839</v>
      </c>
      <c r="J862" s="48" t="n">
        <v>2847</v>
      </c>
      <c r="K862" s="48" t="n">
        <v>2760</v>
      </c>
      <c r="L862" s="48" t="n">
        <v>67098105</v>
      </c>
      <c r="M862" s="48" t="n">
        <v>190491520095</v>
      </c>
      <c r="N862" s="48" t="n">
        <v>1780</v>
      </c>
      <c r="O862" s="48" t="n">
        <v>38262535</v>
      </c>
      <c r="P862" s="48" t="n">
        <v>26080810</v>
      </c>
      <c r="Q862" s="48" t="n">
        <v>705</v>
      </c>
      <c r="R862" s="48" t="n">
        <v>599</v>
      </c>
      <c r="S862" s="48" t="n">
        <v>28835570</v>
      </c>
      <c r="T862" s="48" t="n">
        <v>41017295</v>
      </c>
      <c r="U862" s="46" t="n">
        <f aca="false">IF($A862=$A861,$U861+1,1)</f>
        <v>78</v>
      </c>
      <c r="V862" s="48" t="n">
        <f aca="false">IF($U862&gt;=MA_SHORT,AVERAGE(INDEX($I$462:$I862,402-MA_SHORT):$I862),"")</f>
        <v>2944.95</v>
      </c>
      <c r="W862" s="48" t="n">
        <f aca="false">IF($U862&gt;=MA_MED,AVERAGE(INDEX($I$462:$I862,402-MA_MED):$I862),"")</f>
        <v>2890.78</v>
      </c>
      <c r="X862" s="48" t="str">
        <f aca="false">IF($U862&gt;=MA_LONG1,AVERAGE(INDEX($I$462:$I862,402-MA_LONG1):$I862),"")</f>
        <v/>
      </c>
      <c r="Y862" s="48" t="str">
        <f aca="false">IF($U862&gt;=MA_LONG2,AVERAGE(INDEX($I$462:$I862,402-MA_LONG2):$I862),"")</f>
        <v/>
      </c>
      <c r="Z862" s="48" t="n">
        <f aca="false">IF($U862&gt;=MA_SHORT,AVERAGE(INDEX($L$742:$L862,122-MA_SHORT):$L862),"")</f>
        <v>77373327.2</v>
      </c>
      <c r="AA862" s="48" t="n">
        <f aca="false">IF($U862=1,$G862-$H862,MAX($G862-$H862,ABS($G862-$I861),ABS($H862-$I861)))</f>
        <v>140</v>
      </c>
      <c r="AB862" s="48" t="n">
        <f aca="false">IF($U862&gt;=ATR_PER,AVERAGE(INDEX($AA$742:$AA862,122-ATR_PER):$AA862),"")</f>
        <v>140.071428571429</v>
      </c>
      <c r="AC862" s="48" t="n">
        <f aca="false">$O862-$P862</f>
        <v>12181725</v>
      </c>
      <c r="AD862" s="48" t="n">
        <f aca="false">$AC862*$I862</f>
        <v>34583917275</v>
      </c>
      <c r="AE862" s="49" t="n">
        <f aca="false">IF($Q862&gt;0,$O862*$I862/$Q862/1000000,"")</f>
        <v>154.081328886525</v>
      </c>
      <c r="AF862" s="49" t="n">
        <f aca="false">IF($R862&gt;0,$P862*$I862/$R862/1000000,"")</f>
        <v>123.61171884808</v>
      </c>
      <c r="AG862" s="50" t="n">
        <f aca="false">IF(AND(ISNUMBER($AE862),ISNUMBER($AF862),$AF862&gt;0),$AE862/$AF862,"")</f>
        <v>1.24649450976321</v>
      </c>
      <c r="AH862" s="48" t="n">
        <f aca="false">IF($U862&gt;=5,SUM(INDEX($AD$832:$AD862,32-5):$AD862),"")</f>
        <v>-178129591481</v>
      </c>
      <c r="AI862" s="48" t="n">
        <f aca="false">IF($U862&gt;=STRUCT_S,MAX(INDEX($G$712:$G862,152-STRUCT_S):$G862),"")</f>
        <v>3219</v>
      </c>
      <c r="AJ862" s="48" t="n">
        <f aca="false">IF($U862&gt;=STRUCT_S,MIN(INDEX($H$712:$H862,152-STRUCT_S):$H862),"")</f>
        <v>2716</v>
      </c>
      <c r="AK862" s="48" t="n">
        <f aca="false">IF($U862&gt;=STRUCT_L,MAX(INDEX($G$612:$G862,252-STRUCT_L):$G862),"")</f>
        <v>3219</v>
      </c>
      <c r="AL862" s="48" t="n">
        <f aca="false">IF($U862&gt;=STRUCT_L,MIN(INDEX($H$612:$H862,252-STRUCT_L):$H862),"")</f>
        <v>2519</v>
      </c>
      <c r="AM862" s="46" t="n">
        <f aca="false">IF($A862&lt;&gt;$A863,1,0)</f>
        <v>0</v>
      </c>
      <c r="AN862" s="47" t="str">
        <f aca="false">IF($AM862=1,$A862,"")</f>
        <v/>
      </c>
    </row>
    <row r="863" customFormat="false" ht="15" hidden="false" customHeight="false" outlineLevel="0" collapsed="false">
      <c r="A863" s="43" t="s">
        <v>147</v>
      </c>
      <c r="B863" s="44" t="s">
        <v>149</v>
      </c>
      <c r="C863" s="45" t="n">
        <v>46014</v>
      </c>
      <c r="D863" s="46" t="n">
        <v>20251223</v>
      </c>
      <c r="E863" s="47" t="s">
        <v>366</v>
      </c>
      <c r="F863" s="48" t="n">
        <v>2887</v>
      </c>
      <c r="G863" s="48" t="n">
        <v>2901</v>
      </c>
      <c r="H863" s="48" t="n">
        <v>2742</v>
      </c>
      <c r="I863" s="48" t="n">
        <v>2803</v>
      </c>
      <c r="J863" s="48" t="n">
        <v>2835</v>
      </c>
      <c r="K863" s="48" t="n">
        <v>2839</v>
      </c>
      <c r="L863" s="48" t="n">
        <v>61620490</v>
      </c>
      <c r="M863" s="48" t="n">
        <v>172722233470</v>
      </c>
      <c r="N863" s="48" t="n">
        <v>2127</v>
      </c>
      <c r="O863" s="48" t="n">
        <v>18383960</v>
      </c>
      <c r="P863" s="48" t="n">
        <v>42763730</v>
      </c>
      <c r="Q863" s="48" t="n">
        <v>725</v>
      </c>
      <c r="R863" s="48" t="n">
        <v>1393</v>
      </c>
      <c r="S863" s="48" t="n">
        <v>43236530</v>
      </c>
      <c r="T863" s="48" t="n">
        <v>18856760</v>
      </c>
      <c r="U863" s="46" t="n">
        <f aca="false">IF($A863=$A862,$U862+1,1)</f>
        <v>79</v>
      </c>
      <c r="V863" s="48" t="n">
        <f aca="false">IF($U863&gt;=MA_SHORT,AVERAGE(INDEX($I$463:$I863,402-MA_SHORT):$I863),"")</f>
        <v>2937.9</v>
      </c>
      <c r="W863" s="48" t="n">
        <f aca="false">IF($U863&gt;=MA_MED,AVERAGE(INDEX($I$463:$I863,402-MA_MED):$I863),"")</f>
        <v>2889.46</v>
      </c>
      <c r="X863" s="48" t="str">
        <f aca="false">IF($U863&gt;=MA_LONG1,AVERAGE(INDEX($I$463:$I863,402-MA_LONG1):$I863),"")</f>
        <v/>
      </c>
      <c r="Y863" s="48" t="str">
        <f aca="false">IF($U863&gt;=MA_LONG2,AVERAGE(INDEX($I$463:$I863,402-MA_LONG2):$I863),"")</f>
        <v/>
      </c>
      <c r="Z863" s="48" t="n">
        <f aca="false">IF($U863&gt;=MA_SHORT,AVERAGE(INDEX($L$743:$L863,122-MA_SHORT):$L863),"")</f>
        <v>76248935.2</v>
      </c>
      <c r="AA863" s="48" t="n">
        <f aca="false">IF($U863=1,$G863-$H863,MAX($G863-$H863,ABS($G863-$I862),ABS($H863-$I862)))</f>
        <v>159</v>
      </c>
      <c r="AB863" s="48" t="n">
        <f aca="false">IF($U863&gt;=ATR_PER,AVERAGE(INDEX($AA$743:$AA863,122-ATR_PER):$AA863),"")</f>
        <v>139.857142857143</v>
      </c>
      <c r="AC863" s="48" t="n">
        <f aca="false">$O863-$P863</f>
        <v>-24379770</v>
      </c>
      <c r="AD863" s="48" t="n">
        <f aca="false">$AC863*$I863</f>
        <v>-68336495310</v>
      </c>
      <c r="AE863" s="49" t="n">
        <f aca="false">IF($Q863&gt;0,$O863*$I863/$Q863/1000000,"")</f>
        <v>71.076192937931</v>
      </c>
      <c r="AF863" s="49" t="n">
        <f aca="false">IF($R863&gt;0,$P863*$I863/$R863/1000000,"")</f>
        <v>86.0493432806892</v>
      </c>
      <c r="AG863" s="50" t="n">
        <f aca="false">IF(AND(ISNUMBER($AE863),ISNUMBER($AF863),$AF863&gt;0),$AE863/$AF863,"")</f>
        <v>0.825993438509851</v>
      </c>
      <c r="AH863" s="48" t="n">
        <f aca="false">IF($U863&gt;=5,SUM(INDEX($AD$833:$AD863,32-5):$AD863),"")</f>
        <v>-146896172921</v>
      </c>
      <c r="AI863" s="48" t="n">
        <f aca="false">IF($U863&gt;=STRUCT_S,MAX(INDEX($G$713:$G863,152-STRUCT_S):$G863),"")</f>
        <v>3219</v>
      </c>
      <c r="AJ863" s="48" t="n">
        <f aca="false">IF($U863&gt;=STRUCT_S,MIN(INDEX($H$713:$H863,152-STRUCT_S):$H863),"")</f>
        <v>2716</v>
      </c>
      <c r="AK863" s="48" t="n">
        <f aca="false">IF($U863&gt;=STRUCT_L,MAX(INDEX($G$613:$G863,252-STRUCT_L):$G863),"")</f>
        <v>3219</v>
      </c>
      <c r="AL863" s="48" t="n">
        <f aca="false">IF($U863&gt;=STRUCT_L,MIN(INDEX($H$613:$H863,252-STRUCT_L):$H863),"")</f>
        <v>2519</v>
      </c>
      <c r="AM863" s="46" t="n">
        <f aca="false">IF($A863&lt;&gt;$A864,1,0)</f>
        <v>0</v>
      </c>
      <c r="AN863" s="47" t="str">
        <f aca="false">IF($AM863=1,$A863,"")</f>
        <v/>
      </c>
    </row>
    <row r="864" customFormat="false" ht="15" hidden="false" customHeight="false" outlineLevel="0" collapsed="false">
      <c r="A864" s="43" t="s">
        <v>147</v>
      </c>
      <c r="B864" s="44" t="s">
        <v>149</v>
      </c>
      <c r="C864" s="45" t="n">
        <v>46015</v>
      </c>
      <c r="D864" s="46" t="n">
        <v>20251224</v>
      </c>
      <c r="E864" s="47" t="s">
        <v>367</v>
      </c>
      <c r="F864" s="48" t="n">
        <v>2827</v>
      </c>
      <c r="G864" s="48" t="n">
        <v>2895</v>
      </c>
      <c r="H864" s="48" t="n">
        <v>2754</v>
      </c>
      <c r="I864" s="48" t="n">
        <v>2845</v>
      </c>
      <c r="J864" s="48" t="n">
        <v>2838</v>
      </c>
      <c r="K864" s="48" t="n">
        <v>2803</v>
      </c>
      <c r="L864" s="48" t="n">
        <v>62411905</v>
      </c>
      <c r="M864" s="48" t="n">
        <v>177561869725</v>
      </c>
      <c r="N864" s="48" t="n">
        <v>2657</v>
      </c>
      <c r="O864" s="48" t="n">
        <v>32950212</v>
      </c>
      <c r="P864" s="48" t="n">
        <v>29558136</v>
      </c>
      <c r="Q864" s="48" t="n">
        <v>1429</v>
      </c>
      <c r="R864" s="48" t="n">
        <v>873</v>
      </c>
      <c r="S864" s="48" t="n">
        <v>29461693</v>
      </c>
      <c r="T864" s="48" t="n">
        <v>32853769</v>
      </c>
      <c r="U864" s="46" t="n">
        <f aca="false">IF($A864=$A863,$U863+1,1)</f>
        <v>80</v>
      </c>
      <c r="V864" s="48" t="n">
        <f aca="false">IF($U864&gt;=MA_SHORT,AVERAGE(INDEX($I$464:$I864,402-MA_SHORT):$I864),"")</f>
        <v>2933.85</v>
      </c>
      <c r="W864" s="48" t="n">
        <f aca="false">IF($U864&gt;=MA_MED,AVERAGE(INDEX($I$464:$I864,402-MA_MED):$I864),"")</f>
        <v>2889.72</v>
      </c>
      <c r="X864" s="48" t="str">
        <f aca="false">IF($U864&gt;=MA_LONG1,AVERAGE(INDEX($I$464:$I864,402-MA_LONG1):$I864),"")</f>
        <v/>
      </c>
      <c r="Y864" s="48" t="str">
        <f aca="false">IF($U864&gt;=MA_LONG2,AVERAGE(INDEX($I$464:$I864,402-MA_LONG2):$I864),"")</f>
        <v/>
      </c>
      <c r="Z864" s="48" t="n">
        <f aca="false">IF($U864&gt;=MA_SHORT,AVERAGE(INDEX($L$744:$L864,122-MA_SHORT):$L864),"")</f>
        <v>76401310.7</v>
      </c>
      <c r="AA864" s="48" t="n">
        <f aca="false">IF($U864=1,$G864-$H864,MAX($G864-$H864,ABS($G864-$I863),ABS($H864-$I863)))</f>
        <v>141</v>
      </c>
      <c r="AB864" s="48" t="n">
        <f aca="false">IF($U864&gt;=ATR_PER,AVERAGE(INDEX($AA$744:$AA864,122-ATR_PER):$AA864),"")</f>
        <v>128.071428571429</v>
      </c>
      <c r="AC864" s="48" t="n">
        <f aca="false">$O864-$P864</f>
        <v>3392076</v>
      </c>
      <c r="AD864" s="48" t="n">
        <f aca="false">$AC864*$I864</f>
        <v>9650456220</v>
      </c>
      <c r="AE864" s="49" t="n">
        <f aca="false">IF($Q864&gt;0,$O864*$I864/$Q864/1000000,"")</f>
        <v>65.6006669979006</v>
      </c>
      <c r="AF864" s="49" t="n">
        <f aca="false">IF($R864&gt;0,$P864*$I864/$R864/1000000,"")</f>
        <v>96.3263424054983</v>
      </c>
      <c r="AG864" s="50" t="n">
        <f aca="false">IF(AND(ISNUMBER($AE864),ISNUMBER($AF864),$AF864&gt;0),$AE864/$AF864,"")</f>
        <v>0.681025204110274</v>
      </c>
      <c r="AH864" s="48" t="n">
        <f aca="false">IF($U864&gt;=5,SUM(INDEX($AD$834:$AD864,32-5):$AD864),"")</f>
        <v>-78980697539</v>
      </c>
      <c r="AI864" s="48" t="n">
        <f aca="false">IF($U864&gt;=STRUCT_S,MAX(INDEX($G$714:$G864,152-STRUCT_S):$G864),"")</f>
        <v>3219</v>
      </c>
      <c r="AJ864" s="48" t="n">
        <f aca="false">IF($U864&gt;=STRUCT_S,MIN(INDEX($H$714:$H864,152-STRUCT_S):$H864),"")</f>
        <v>2716</v>
      </c>
      <c r="AK864" s="48" t="n">
        <f aca="false">IF($U864&gt;=STRUCT_L,MAX(INDEX($G$614:$G864,252-STRUCT_L):$G864),"")</f>
        <v>3219</v>
      </c>
      <c r="AL864" s="48" t="n">
        <f aca="false">IF($U864&gt;=STRUCT_L,MIN(INDEX($H$614:$H864,252-STRUCT_L):$H864),"")</f>
        <v>2519</v>
      </c>
      <c r="AM864" s="46" t="n">
        <f aca="false">IF($A864&lt;&gt;$A865,1,0)</f>
        <v>0</v>
      </c>
      <c r="AN864" s="47" t="str">
        <f aca="false">IF($AM864=1,$A864,"")</f>
        <v/>
      </c>
    </row>
    <row r="865" customFormat="false" ht="15" hidden="false" customHeight="false" outlineLevel="0" collapsed="false">
      <c r="A865" s="43" t="s">
        <v>147</v>
      </c>
      <c r="B865" s="44" t="s">
        <v>149</v>
      </c>
      <c r="C865" s="45" t="n">
        <v>46018</v>
      </c>
      <c r="D865" s="46" t="n">
        <v>20251227</v>
      </c>
      <c r="E865" s="47" t="s">
        <v>368</v>
      </c>
      <c r="F865" s="48" t="n">
        <v>2826</v>
      </c>
      <c r="G865" s="48" t="n">
        <v>2903</v>
      </c>
      <c r="H865" s="48" t="n">
        <v>2773</v>
      </c>
      <c r="I865" s="48" t="n">
        <v>2830</v>
      </c>
      <c r="J865" s="48" t="n">
        <v>2804</v>
      </c>
      <c r="K865" s="48" t="n">
        <v>2845</v>
      </c>
      <c r="L865" s="48" t="n">
        <v>69467310</v>
      </c>
      <c r="M865" s="48" t="n">
        <v>196592487300</v>
      </c>
      <c r="N865" s="48" t="n">
        <v>7294</v>
      </c>
      <c r="O865" s="48" t="n">
        <v>26229571</v>
      </c>
      <c r="P865" s="48" t="n">
        <v>47972228</v>
      </c>
      <c r="Q865" s="48" t="n">
        <v>1589</v>
      </c>
      <c r="R865" s="48" t="n">
        <v>5667</v>
      </c>
      <c r="S865" s="48" t="n">
        <v>43237739</v>
      </c>
      <c r="T865" s="48" t="n">
        <v>21495082</v>
      </c>
      <c r="U865" s="46" t="n">
        <f aca="false">IF($A865=$A864,$U864+1,1)</f>
        <v>81</v>
      </c>
      <c r="V865" s="48" t="n">
        <f aca="false">IF($U865&gt;=MA_SHORT,AVERAGE(INDEX($I$465:$I865,402-MA_SHORT):$I865),"")</f>
        <v>2927.75</v>
      </c>
      <c r="W865" s="48" t="n">
        <f aca="false">IF($U865&gt;=MA_MED,AVERAGE(INDEX($I$465:$I865,402-MA_MED):$I865),"")</f>
        <v>2888.28</v>
      </c>
      <c r="X865" s="48" t="str">
        <f aca="false">IF($U865&gt;=MA_LONG1,AVERAGE(INDEX($I$465:$I865,402-MA_LONG1):$I865),"")</f>
        <v/>
      </c>
      <c r="Y865" s="48" t="str">
        <f aca="false">IF($U865&gt;=MA_LONG2,AVERAGE(INDEX($I$465:$I865,402-MA_LONG2):$I865),"")</f>
        <v/>
      </c>
      <c r="Z865" s="48" t="n">
        <f aca="false">IF($U865&gt;=MA_SHORT,AVERAGE(INDEX($L$745:$L865,122-MA_SHORT):$L865),"")</f>
        <v>76858840.75</v>
      </c>
      <c r="AA865" s="48" t="n">
        <f aca="false">IF($U865=1,$G865-$H865,MAX($G865-$H865,ABS($G865-$I864),ABS($H865-$I864)))</f>
        <v>130</v>
      </c>
      <c r="AB865" s="48" t="n">
        <f aca="false">IF($U865&gt;=ATR_PER,AVERAGE(INDEX($AA$745:$AA865,122-ATR_PER):$AA865),"")</f>
        <v>132.142857142857</v>
      </c>
      <c r="AC865" s="48" t="n">
        <f aca="false">$O865-$P865</f>
        <v>-21742657</v>
      </c>
      <c r="AD865" s="48" t="n">
        <f aca="false">$AC865*$I865</f>
        <v>-61531719310</v>
      </c>
      <c r="AE865" s="49" t="n">
        <f aca="false">IF($Q865&gt;0,$O865*$I865/$Q865/1000000,"")</f>
        <v>46.7147173882945</v>
      </c>
      <c r="AF865" s="49" t="n">
        <f aca="false">IF($R865&gt;0,$P865*$I865/$R865/1000000,"")</f>
        <v>23.9564858373037</v>
      </c>
      <c r="AG865" s="50" t="n">
        <f aca="false">IF(AND(ISNUMBER($AE865),ISNUMBER($AF865),$AF865&gt;0),$AE865/$AF865,"")</f>
        <v>1.94998205102157</v>
      </c>
      <c r="AH865" s="48" t="n">
        <f aca="false">IF($U865&gt;=5,SUM(INDEX($AD$835:$AD865,32-5):$AD865),"")</f>
        <v>-164633804125</v>
      </c>
      <c r="AI865" s="48" t="n">
        <f aca="false">IF($U865&gt;=STRUCT_S,MAX(INDEX($G$715:$G865,152-STRUCT_S):$G865),"")</f>
        <v>3219</v>
      </c>
      <c r="AJ865" s="48" t="n">
        <f aca="false">IF($U865&gt;=STRUCT_S,MIN(INDEX($H$715:$H865,152-STRUCT_S):$H865),"")</f>
        <v>2716</v>
      </c>
      <c r="AK865" s="48" t="n">
        <f aca="false">IF($U865&gt;=STRUCT_L,MAX(INDEX($G$615:$G865,252-STRUCT_L):$G865),"")</f>
        <v>3219</v>
      </c>
      <c r="AL865" s="48" t="n">
        <f aca="false">IF($U865&gt;=STRUCT_L,MIN(INDEX($H$615:$H865,252-STRUCT_L):$H865),"")</f>
        <v>2622</v>
      </c>
      <c r="AM865" s="46" t="n">
        <f aca="false">IF($A865&lt;&gt;$A866,1,0)</f>
        <v>0</v>
      </c>
      <c r="AN865" s="47" t="str">
        <f aca="false">IF($AM865=1,$A865,"")</f>
        <v/>
      </c>
    </row>
    <row r="866" customFormat="false" ht="15" hidden="false" customHeight="false" outlineLevel="0" collapsed="false">
      <c r="A866" s="43" t="s">
        <v>147</v>
      </c>
      <c r="B866" s="44" t="s">
        <v>149</v>
      </c>
      <c r="C866" s="45" t="n">
        <v>46019</v>
      </c>
      <c r="D866" s="46" t="n">
        <v>20251228</v>
      </c>
      <c r="E866" s="47" t="s">
        <v>369</v>
      </c>
      <c r="F866" s="48" t="n">
        <v>2882</v>
      </c>
      <c r="G866" s="48" t="n">
        <v>2937</v>
      </c>
      <c r="H866" s="48" t="n">
        <v>2785</v>
      </c>
      <c r="I866" s="48" t="n">
        <v>2891</v>
      </c>
      <c r="J866" s="48" t="n">
        <v>2788</v>
      </c>
      <c r="K866" s="48" t="n">
        <v>2830</v>
      </c>
      <c r="L866" s="48" t="n">
        <v>64669523</v>
      </c>
      <c r="M866" s="48" t="n">
        <v>186959590993</v>
      </c>
      <c r="N866" s="48" t="n">
        <v>1653</v>
      </c>
      <c r="O866" s="48" t="n">
        <v>30748966</v>
      </c>
      <c r="P866" s="48" t="n">
        <v>34894751</v>
      </c>
      <c r="Q866" s="48" t="n">
        <v>1124</v>
      </c>
      <c r="R866" s="48" t="n">
        <v>570</v>
      </c>
      <c r="S866" s="48" t="n">
        <v>33920557</v>
      </c>
      <c r="T866" s="48" t="n">
        <v>29774772</v>
      </c>
      <c r="U866" s="46" t="n">
        <f aca="false">IF($A866=$A865,$U865+1,1)</f>
        <v>82</v>
      </c>
      <c r="V866" s="48" t="n">
        <f aca="false">IF($U866&gt;=MA_SHORT,AVERAGE(INDEX($I$466:$I866,402-MA_SHORT):$I866),"")</f>
        <v>2921.15</v>
      </c>
      <c r="W866" s="48" t="n">
        <f aca="false">IF($U866&gt;=MA_MED,AVERAGE(INDEX($I$466:$I866,402-MA_MED):$I866),"")</f>
        <v>2887.88</v>
      </c>
      <c r="X866" s="48" t="str">
        <f aca="false">IF($U866&gt;=MA_LONG1,AVERAGE(INDEX($I$466:$I866,402-MA_LONG1):$I866),"")</f>
        <v/>
      </c>
      <c r="Y866" s="48" t="str">
        <f aca="false">IF($U866&gt;=MA_LONG2,AVERAGE(INDEX($I$466:$I866,402-MA_LONG2):$I866),"")</f>
        <v/>
      </c>
      <c r="Z866" s="48" t="n">
        <f aca="false">IF($U866&gt;=MA_SHORT,AVERAGE(INDEX($L$746:$L866,122-MA_SHORT):$L866),"")</f>
        <v>76355313.5</v>
      </c>
      <c r="AA866" s="48" t="n">
        <f aca="false">IF($U866=1,$G866-$H866,MAX($G866-$H866,ABS($G866-$I865),ABS($H866-$I865)))</f>
        <v>152</v>
      </c>
      <c r="AB866" s="48" t="n">
        <f aca="false">IF($U866&gt;=ATR_PER,AVERAGE(INDEX($AA$746:$AA866,122-ATR_PER):$AA866),"")</f>
        <v>140.571428571429</v>
      </c>
      <c r="AC866" s="48" t="n">
        <f aca="false">$O866-$P866</f>
        <v>-4145785</v>
      </c>
      <c r="AD866" s="48" t="n">
        <f aca="false">$AC866*$I866</f>
        <v>-11985464435</v>
      </c>
      <c r="AE866" s="49" t="n">
        <f aca="false">IF($Q866&gt;0,$O866*$I866/$Q866/1000000,"")</f>
        <v>79.0883102366548</v>
      </c>
      <c r="AF866" s="49" t="n">
        <f aca="false">IF($R866&gt;0,$P866*$I866/$R866/1000000,"")</f>
        <v>176.983728317544</v>
      </c>
      <c r="AG866" s="50" t="n">
        <f aca="false">IF(AND(ISNUMBER($AE866),ISNUMBER($AF866),$AF866&gt;0),$AE866/$AF866,"")</f>
        <v>0.4468676922364</v>
      </c>
      <c r="AH866" s="48" t="n">
        <f aca="false">IF($U866&gt;=5,SUM(INDEX($AD$836:$AD866,32-5):$AD866),"")</f>
        <v>-97619305560</v>
      </c>
      <c r="AI866" s="48" t="n">
        <f aca="false">IF($U866&gt;=STRUCT_S,MAX(INDEX($G$716:$G866,152-STRUCT_S):$G866),"")</f>
        <v>3219</v>
      </c>
      <c r="AJ866" s="48" t="n">
        <f aca="false">IF($U866&gt;=STRUCT_S,MIN(INDEX($H$716:$H866,152-STRUCT_S):$H866),"")</f>
        <v>2716</v>
      </c>
      <c r="AK866" s="48" t="n">
        <f aca="false">IF($U866&gt;=STRUCT_L,MAX(INDEX($G$616:$G866,252-STRUCT_L):$G866),"")</f>
        <v>3219</v>
      </c>
      <c r="AL866" s="48" t="n">
        <f aca="false">IF($U866&gt;=STRUCT_L,MIN(INDEX($H$616:$H866,252-STRUCT_L):$H866),"")</f>
        <v>2622</v>
      </c>
      <c r="AM866" s="46" t="n">
        <f aca="false">IF($A866&lt;&gt;$A867,1,0)</f>
        <v>0</v>
      </c>
      <c r="AN866" s="47" t="str">
        <f aca="false">IF($AM866=1,$A866,"")</f>
        <v/>
      </c>
    </row>
    <row r="867" customFormat="false" ht="15" hidden="false" customHeight="false" outlineLevel="0" collapsed="false">
      <c r="A867" s="43" t="s">
        <v>147</v>
      </c>
      <c r="B867" s="44" t="s">
        <v>149</v>
      </c>
      <c r="C867" s="45" t="n">
        <v>46020</v>
      </c>
      <c r="D867" s="46" t="n">
        <v>20251229</v>
      </c>
      <c r="E867" s="47" t="s">
        <v>370</v>
      </c>
      <c r="F867" s="48" t="n">
        <v>2805</v>
      </c>
      <c r="G867" s="48" t="n">
        <v>2954</v>
      </c>
      <c r="H867" s="48" t="n">
        <v>2757</v>
      </c>
      <c r="I867" s="48" t="n">
        <v>2819</v>
      </c>
      <c r="J867" s="48" t="n">
        <v>2840</v>
      </c>
      <c r="K867" s="48" t="n">
        <v>2891</v>
      </c>
      <c r="L867" s="48" t="n">
        <v>76727899</v>
      </c>
      <c r="M867" s="48" t="n">
        <v>216295947281</v>
      </c>
      <c r="N867" s="48" t="n">
        <v>2074</v>
      </c>
      <c r="O867" s="48" t="n">
        <v>28834204</v>
      </c>
      <c r="P867" s="48" t="n">
        <v>54731322</v>
      </c>
      <c r="Q867" s="48" t="n">
        <v>485</v>
      </c>
      <c r="R867" s="48" t="n">
        <v>922</v>
      </c>
      <c r="S867" s="48" t="n">
        <v>47893695</v>
      </c>
      <c r="T867" s="48" t="n">
        <v>21996577</v>
      </c>
      <c r="U867" s="46" t="n">
        <f aca="false">IF($A867=$A866,$U866+1,1)</f>
        <v>83</v>
      </c>
      <c r="V867" s="48" t="n">
        <f aca="false">IF($U867&gt;=MA_SHORT,AVERAGE(INDEX($I$467:$I867,402-MA_SHORT):$I867),"")</f>
        <v>2907.45</v>
      </c>
      <c r="W867" s="48" t="n">
        <f aca="false">IF($U867&gt;=MA_MED,AVERAGE(INDEX($I$467:$I867,402-MA_MED):$I867),"")</f>
        <v>2886.58</v>
      </c>
      <c r="X867" s="48" t="str">
        <f aca="false">IF($U867&gt;=MA_LONG1,AVERAGE(INDEX($I$467:$I867,402-MA_LONG1):$I867),"")</f>
        <v/>
      </c>
      <c r="Y867" s="48" t="str">
        <f aca="false">IF($U867&gt;=MA_LONG2,AVERAGE(INDEX($I$467:$I867,402-MA_LONG2):$I867),"")</f>
        <v/>
      </c>
      <c r="Z867" s="48" t="n">
        <f aca="false">IF($U867&gt;=MA_SHORT,AVERAGE(INDEX($L$747:$L867,122-MA_SHORT):$L867),"")</f>
        <v>75745103.95</v>
      </c>
      <c r="AA867" s="48" t="n">
        <f aca="false">IF($U867=1,$G867-$H867,MAX($G867-$H867,ABS($G867-$I866),ABS($H867-$I866)))</f>
        <v>197</v>
      </c>
      <c r="AB867" s="48" t="n">
        <f aca="false">IF($U867&gt;=ATR_PER,AVERAGE(INDEX($AA$747:$AA867,122-ATR_PER):$AA867),"")</f>
        <v>147.357142857143</v>
      </c>
      <c r="AC867" s="48" t="n">
        <f aca="false">$O867-$P867</f>
        <v>-25897118</v>
      </c>
      <c r="AD867" s="48" t="n">
        <f aca="false">$AC867*$I867</f>
        <v>-73003975642</v>
      </c>
      <c r="AE867" s="49" t="n">
        <f aca="false">IF($Q867&gt;0,$O867*$I867/$Q867/1000000,"")</f>
        <v>167.595095002062</v>
      </c>
      <c r="AF867" s="49" t="n">
        <f aca="false">IF($R867&gt;0,$P867*$I867/$R867/1000000,"")</f>
        <v>167.340126592191</v>
      </c>
      <c r="AG867" s="50" t="n">
        <f aca="false">IF(AND(ISNUMBER($AE867),ISNUMBER($AF867),$AF867&gt;0),$AE867/$AF867,"")</f>
        <v>1.00152365374082</v>
      </c>
      <c r="AH867" s="48" t="n">
        <f aca="false">IF($U867&gt;=5,SUM(INDEX($AD$837:$AD867,32-5):$AD867),"")</f>
        <v>-205207198477</v>
      </c>
      <c r="AI867" s="48" t="n">
        <f aca="false">IF($U867&gt;=STRUCT_S,MAX(INDEX($G$717:$G867,152-STRUCT_S):$G867),"")</f>
        <v>3219</v>
      </c>
      <c r="AJ867" s="48" t="n">
        <f aca="false">IF($U867&gt;=STRUCT_S,MIN(INDEX($H$717:$H867,152-STRUCT_S):$H867),"")</f>
        <v>2716</v>
      </c>
      <c r="AK867" s="48" t="n">
        <f aca="false">IF($U867&gt;=STRUCT_L,MAX(INDEX($G$617:$G867,252-STRUCT_L):$G867),"")</f>
        <v>3219</v>
      </c>
      <c r="AL867" s="48" t="n">
        <f aca="false">IF($U867&gt;=STRUCT_L,MIN(INDEX($H$617:$H867,252-STRUCT_L):$H867),"")</f>
        <v>2656</v>
      </c>
      <c r="AM867" s="46" t="n">
        <f aca="false">IF($A867&lt;&gt;$A868,1,0)</f>
        <v>0</v>
      </c>
      <c r="AN867" s="47" t="str">
        <f aca="false">IF($AM867=1,$A867,"")</f>
        <v/>
      </c>
    </row>
    <row r="868" customFormat="false" ht="15" hidden="false" customHeight="false" outlineLevel="0" collapsed="false">
      <c r="A868" s="43" t="s">
        <v>147</v>
      </c>
      <c r="B868" s="44" t="s">
        <v>149</v>
      </c>
      <c r="C868" s="45" t="n">
        <v>46021</v>
      </c>
      <c r="D868" s="46" t="n">
        <v>20251230</v>
      </c>
      <c r="E868" s="47" t="s">
        <v>371</v>
      </c>
      <c r="F868" s="48" t="n">
        <v>2929</v>
      </c>
      <c r="G868" s="48" t="n">
        <v>2938</v>
      </c>
      <c r="H868" s="48" t="n">
        <v>2790</v>
      </c>
      <c r="I868" s="48" t="n">
        <v>2908</v>
      </c>
      <c r="J868" s="48" t="n">
        <v>2813</v>
      </c>
      <c r="K868" s="48" t="n">
        <v>2819</v>
      </c>
      <c r="L868" s="48" t="n">
        <v>71900805</v>
      </c>
      <c r="M868" s="48" t="n">
        <v>209087540940</v>
      </c>
      <c r="N868" s="48" t="n">
        <v>1879</v>
      </c>
      <c r="O868" s="48" t="n">
        <v>45879248</v>
      </c>
      <c r="P868" s="48" t="n">
        <v>27296083</v>
      </c>
      <c r="Q868" s="48" t="n">
        <v>849</v>
      </c>
      <c r="R868" s="48" t="n">
        <v>758</v>
      </c>
      <c r="S868" s="48" t="n">
        <v>26021557</v>
      </c>
      <c r="T868" s="48" t="n">
        <v>44604722</v>
      </c>
      <c r="U868" s="46" t="n">
        <f aca="false">IF($A868=$A867,$U867+1,1)</f>
        <v>84</v>
      </c>
      <c r="V868" s="48" t="n">
        <f aca="false">IF($U868&gt;=MA_SHORT,AVERAGE(INDEX($I$468:$I868,402-MA_SHORT):$I868),"")</f>
        <v>2900.95</v>
      </c>
      <c r="W868" s="48" t="n">
        <f aca="false">IF($U868&gt;=MA_MED,AVERAGE(INDEX($I$468:$I868,402-MA_MED):$I868),"")</f>
        <v>2887.38</v>
      </c>
      <c r="X868" s="48" t="str">
        <f aca="false">IF($U868&gt;=MA_LONG1,AVERAGE(INDEX($I$468:$I868,402-MA_LONG1):$I868),"")</f>
        <v/>
      </c>
      <c r="Y868" s="48" t="str">
        <f aca="false">IF($U868&gt;=MA_LONG2,AVERAGE(INDEX($I$468:$I868,402-MA_LONG2):$I868),"")</f>
        <v/>
      </c>
      <c r="Z868" s="48" t="n">
        <f aca="false">IF($U868&gt;=MA_SHORT,AVERAGE(INDEX($L$748:$L868,122-MA_SHORT):$L868),"")</f>
        <v>75528837.05</v>
      </c>
      <c r="AA868" s="48" t="n">
        <f aca="false">IF($U868=1,$G868-$H868,MAX($G868-$H868,ABS($G868-$I867),ABS($H868-$I867)))</f>
        <v>148</v>
      </c>
      <c r="AB868" s="48" t="n">
        <f aca="false">IF($U868&gt;=ATR_PER,AVERAGE(INDEX($AA$748:$AA868,122-ATR_PER):$AA868),"")</f>
        <v>153.357142857143</v>
      </c>
      <c r="AC868" s="48" t="n">
        <f aca="false">$O868-$P868</f>
        <v>18583165</v>
      </c>
      <c r="AD868" s="48" t="n">
        <f aca="false">$AC868*$I868</f>
        <v>54039843820</v>
      </c>
      <c r="AE868" s="49" t="n">
        <f aca="false">IF($Q868&gt;0,$O868*$I868/$Q868/1000000,"")</f>
        <v>157.145881253239</v>
      </c>
      <c r="AF868" s="49" t="n">
        <f aca="false">IF($R868&gt;0,$P868*$I868/$R868/1000000,"")</f>
        <v>104.71900971504</v>
      </c>
      <c r="AG868" s="50" t="n">
        <f aca="false">IF(AND(ISNUMBER($AE868),ISNUMBER($AF868),$AF868&gt;0),$AE868/$AF868,"")</f>
        <v>1.50064330899292</v>
      </c>
      <c r="AH868" s="48" t="n">
        <f aca="false">IF($U868&gt;=5,SUM(INDEX($AD$838:$AD868,32-5):$AD868),"")</f>
        <v>-82830859347</v>
      </c>
      <c r="AI868" s="48" t="n">
        <f aca="false">IF($U868&gt;=STRUCT_S,MAX(INDEX($G$718:$G868,152-STRUCT_S):$G868),"")</f>
        <v>3219</v>
      </c>
      <c r="AJ868" s="48" t="n">
        <f aca="false">IF($U868&gt;=STRUCT_S,MIN(INDEX($H$718:$H868,152-STRUCT_S):$H868),"")</f>
        <v>2716</v>
      </c>
      <c r="AK868" s="48" t="n">
        <f aca="false">IF($U868&gt;=STRUCT_L,MAX(INDEX($G$618:$G868,252-STRUCT_L):$G868),"")</f>
        <v>3219</v>
      </c>
      <c r="AL868" s="48" t="n">
        <f aca="false">IF($U868&gt;=STRUCT_L,MIN(INDEX($H$618:$H868,252-STRUCT_L):$H868),"")</f>
        <v>2656</v>
      </c>
      <c r="AM868" s="46" t="n">
        <f aca="false">IF($A868&lt;&gt;$A869,1,0)</f>
        <v>0</v>
      </c>
      <c r="AN868" s="47" t="str">
        <f aca="false">IF($AM868=1,$A868,"")</f>
        <v/>
      </c>
    </row>
    <row r="869" customFormat="false" ht="15" hidden="false" customHeight="false" outlineLevel="0" collapsed="false">
      <c r="A869" s="43" t="s">
        <v>147</v>
      </c>
      <c r="B869" s="44" t="s">
        <v>149</v>
      </c>
      <c r="C869" s="45" t="n">
        <v>46022</v>
      </c>
      <c r="D869" s="46" t="n">
        <v>20251231</v>
      </c>
      <c r="E869" s="47" t="s">
        <v>372</v>
      </c>
      <c r="F869" s="48" t="n">
        <v>2963</v>
      </c>
      <c r="G869" s="48" t="n">
        <v>3071</v>
      </c>
      <c r="H869" s="48" t="n">
        <v>2883</v>
      </c>
      <c r="I869" s="48" t="n">
        <v>3045</v>
      </c>
      <c r="J869" s="48" t="n">
        <v>2934</v>
      </c>
      <c r="K869" s="48" t="n">
        <v>2908</v>
      </c>
      <c r="L869" s="48" t="n">
        <v>73450330</v>
      </c>
      <c r="M869" s="48" t="n">
        <v>223656254850</v>
      </c>
      <c r="N869" s="48" t="n">
        <v>6048</v>
      </c>
      <c r="O869" s="48" t="n">
        <v>42135762</v>
      </c>
      <c r="P869" s="48" t="n">
        <v>28074418</v>
      </c>
      <c r="Q869" s="48" t="n">
        <v>2954</v>
      </c>
      <c r="R869" s="48" t="n">
        <v>2296</v>
      </c>
      <c r="S869" s="48" t="n">
        <v>31314568</v>
      </c>
      <c r="T869" s="48" t="n">
        <v>45375912</v>
      </c>
      <c r="U869" s="46" t="n">
        <f aca="false">IF($A869=$A868,$U868+1,1)</f>
        <v>85</v>
      </c>
      <c r="V869" s="48" t="n">
        <f aca="false">IF($U869&gt;=MA_SHORT,AVERAGE(INDEX($I$469:$I869,402-MA_SHORT):$I869),"")</f>
        <v>2898.55</v>
      </c>
      <c r="W869" s="48" t="n">
        <f aca="false">IF($U869&gt;=MA_MED,AVERAGE(INDEX($I$469:$I869,402-MA_MED):$I869),"")</f>
        <v>2891.28</v>
      </c>
      <c r="X869" s="48" t="str">
        <f aca="false">IF($U869&gt;=MA_LONG1,AVERAGE(INDEX($I$469:$I869,402-MA_LONG1):$I869),"")</f>
        <v/>
      </c>
      <c r="Y869" s="48" t="str">
        <f aca="false">IF($U869&gt;=MA_LONG2,AVERAGE(INDEX($I$469:$I869,402-MA_LONG2):$I869),"")</f>
        <v/>
      </c>
      <c r="Z869" s="48" t="n">
        <f aca="false">IF($U869&gt;=MA_SHORT,AVERAGE(INDEX($L$749:$L869,122-MA_SHORT):$L869),"")</f>
        <v>68931127.15</v>
      </c>
      <c r="AA869" s="48" t="n">
        <f aca="false">IF($U869=1,$G869-$H869,MAX($G869-$H869,ABS($G869-$I868),ABS($H869-$I868)))</f>
        <v>188</v>
      </c>
      <c r="AB869" s="48" t="n">
        <f aca="false">IF($U869&gt;=ATR_PER,AVERAGE(INDEX($AA$749:$AA869,122-ATR_PER):$AA869),"")</f>
        <v>146.785714285714</v>
      </c>
      <c r="AC869" s="48" t="n">
        <f aca="false">$O869-$P869</f>
        <v>14061344</v>
      </c>
      <c r="AD869" s="48" t="n">
        <f aca="false">$AC869*$I869</f>
        <v>42816792480</v>
      </c>
      <c r="AE869" s="49" t="n">
        <f aca="false">IF($Q869&gt;0,$O869*$I869/$Q869/1000000,"")</f>
        <v>43.4337831042654</v>
      </c>
      <c r="AF869" s="49" t="n">
        <f aca="false">IF($R869&gt;0,$P869*$I869/$R869/1000000,"")</f>
        <v>37.232840945122</v>
      </c>
      <c r="AG869" s="50" t="n">
        <f aca="false">IF(AND(ISNUMBER($AE869),ISNUMBER($AF869),$AF869&gt;0),$AE869/$AF869,"")</f>
        <v>1.16654496411604</v>
      </c>
      <c r="AH869" s="48" t="n">
        <f aca="false">IF($U869&gt;=5,SUM(INDEX($AD$839:$AD869,32-5):$AD869),"")</f>
        <v>-49664523087</v>
      </c>
      <c r="AI869" s="48" t="n">
        <f aca="false">IF($U869&gt;=STRUCT_S,MAX(INDEX($G$719:$G869,152-STRUCT_S):$G869),"")</f>
        <v>3219</v>
      </c>
      <c r="AJ869" s="48" t="n">
        <f aca="false">IF($U869&gt;=STRUCT_S,MIN(INDEX($H$719:$H869,152-STRUCT_S):$H869),"")</f>
        <v>2716</v>
      </c>
      <c r="AK869" s="48" t="n">
        <f aca="false">IF($U869&gt;=STRUCT_L,MAX(INDEX($G$619:$G869,252-STRUCT_L):$G869),"")</f>
        <v>3219</v>
      </c>
      <c r="AL869" s="48" t="n">
        <f aca="false">IF($U869&gt;=STRUCT_L,MIN(INDEX($H$619:$H869,252-STRUCT_L):$H869),"")</f>
        <v>2656</v>
      </c>
      <c r="AM869" s="46" t="n">
        <f aca="false">IF($A869&lt;&gt;$A870,1,0)</f>
        <v>0</v>
      </c>
      <c r="AN869" s="47" t="str">
        <f aca="false">IF($AM869=1,$A869,"")</f>
        <v/>
      </c>
    </row>
    <row r="870" customFormat="false" ht="15" hidden="false" customHeight="false" outlineLevel="0" collapsed="false">
      <c r="A870" s="43" t="s">
        <v>147</v>
      </c>
      <c r="B870" s="44" t="s">
        <v>149</v>
      </c>
      <c r="C870" s="45" t="n">
        <v>46025</v>
      </c>
      <c r="D870" s="46" t="n">
        <v>20260103</v>
      </c>
      <c r="E870" s="47" t="s">
        <v>373</v>
      </c>
      <c r="F870" s="48" t="n">
        <v>3105</v>
      </c>
      <c r="G870" s="48" t="n">
        <v>3118</v>
      </c>
      <c r="H870" s="48" t="n">
        <v>3024</v>
      </c>
      <c r="I870" s="48" t="n">
        <v>3096</v>
      </c>
      <c r="J870" s="48" t="n">
        <v>3086</v>
      </c>
      <c r="K870" s="48" t="n">
        <v>3045</v>
      </c>
      <c r="L870" s="48" t="n">
        <v>92781858</v>
      </c>
      <c r="M870" s="48" t="n">
        <v>287252632368</v>
      </c>
      <c r="N870" s="48" t="n">
        <v>4050</v>
      </c>
      <c r="O870" s="48" t="n">
        <v>51743288</v>
      </c>
      <c r="P870" s="48" t="n">
        <v>34008763</v>
      </c>
      <c r="Q870" s="48" t="n">
        <v>2165</v>
      </c>
      <c r="R870" s="48" t="n">
        <v>1394</v>
      </c>
      <c r="S870" s="48" t="n">
        <v>41038570</v>
      </c>
      <c r="T870" s="48" t="n">
        <v>58773095</v>
      </c>
      <c r="U870" s="46" t="n">
        <f aca="false">IF($A870=$A869,$U869+1,1)</f>
        <v>86</v>
      </c>
      <c r="V870" s="48" t="n">
        <f aca="false">IF($U870&gt;=MA_SHORT,AVERAGE(INDEX($I$470:$I870,402-MA_SHORT):$I870),"")</f>
        <v>2901.5</v>
      </c>
      <c r="W870" s="48" t="n">
        <f aca="false">IF($U870&gt;=MA_MED,AVERAGE(INDEX($I$470:$I870,402-MA_MED):$I870),"")</f>
        <v>2898.4</v>
      </c>
      <c r="X870" s="48" t="str">
        <f aca="false">IF($U870&gt;=MA_LONG1,AVERAGE(INDEX($I$470:$I870,402-MA_LONG1):$I870),"")</f>
        <v/>
      </c>
      <c r="Y870" s="48" t="str">
        <f aca="false">IF($U870&gt;=MA_LONG2,AVERAGE(INDEX($I$470:$I870,402-MA_LONG2):$I870),"")</f>
        <v/>
      </c>
      <c r="Z870" s="48" t="n">
        <f aca="false">IF($U870&gt;=MA_SHORT,AVERAGE(INDEX($L$750:$L870,122-MA_SHORT):$L870),"")</f>
        <v>70396001</v>
      </c>
      <c r="AA870" s="48" t="n">
        <f aca="false">IF($U870=1,$G870-$H870,MAX($G870-$H870,ABS($G870-$I869),ABS($H870-$I869)))</f>
        <v>94</v>
      </c>
      <c r="AB870" s="48" t="n">
        <f aca="false">IF($U870&gt;=ATR_PER,AVERAGE(INDEX($AA$750:$AA870,122-ATR_PER):$AA870),"")</f>
        <v>144.571428571429</v>
      </c>
      <c r="AC870" s="48" t="n">
        <f aca="false">$O870-$P870</f>
        <v>17734525</v>
      </c>
      <c r="AD870" s="48" t="n">
        <f aca="false">$AC870*$I870</f>
        <v>54906089400</v>
      </c>
      <c r="AE870" s="49" t="n">
        <f aca="false">IF($Q870&gt;0,$O870*$I870/$Q870/1000000,"")</f>
        <v>73.9940968351039</v>
      </c>
      <c r="AF870" s="49" t="n">
        <f aca="false">IF($R870&gt;0,$P870*$I870/$R870/1000000,"")</f>
        <v>75.5316572797704</v>
      </c>
      <c r="AG870" s="50" t="n">
        <f aca="false">IF(AND(ISNUMBER($AE870),ISNUMBER($AF870),$AF870&gt;0),$AE870/$AF870,"")</f>
        <v>0.979643496514695</v>
      </c>
      <c r="AH870" s="48" t="n">
        <f aca="false">IF($U870&gt;=5,SUM(INDEX($AD$840:$AD870,32-5):$AD870),"")</f>
        <v>66773285623</v>
      </c>
      <c r="AI870" s="48" t="n">
        <f aca="false">IF($U870&gt;=STRUCT_S,MAX(INDEX($G$720:$G870,152-STRUCT_S):$G870),"")</f>
        <v>3118</v>
      </c>
      <c r="AJ870" s="48" t="n">
        <f aca="false">IF($U870&gt;=STRUCT_S,MIN(INDEX($H$720:$H870,152-STRUCT_S):$H870),"")</f>
        <v>2716</v>
      </c>
      <c r="AK870" s="48" t="n">
        <f aca="false">IF($U870&gt;=STRUCT_L,MAX(INDEX($G$620:$G870,252-STRUCT_L):$G870),"")</f>
        <v>3219</v>
      </c>
      <c r="AL870" s="48" t="n">
        <f aca="false">IF($U870&gt;=STRUCT_L,MIN(INDEX($H$620:$H870,252-STRUCT_L):$H870),"")</f>
        <v>2656</v>
      </c>
      <c r="AM870" s="46" t="n">
        <f aca="false">IF($A870&lt;&gt;$A871,1,0)</f>
        <v>0</v>
      </c>
      <c r="AN870" s="47" t="str">
        <f aca="false">IF($AM870=1,$A870,"")</f>
        <v/>
      </c>
    </row>
    <row r="871" customFormat="false" ht="15" hidden="false" customHeight="false" outlineLevel="0" collapsed="false">
      <c r="A871" s="43" t="s">
        <v>147</v>
      </c>
      <c r="B871" s="44" t="s">
        <v>149</v>
      </c>
      <c r="C871" s="45" t="n">
        <v>46026</v>
      </c>
      <c r="D871" s="46" t="n">
        <v>20260104</v>
      </c>
      <c r="E871" s="47" t="s">
        <v>374</v>
      </c>
      <c r="F871" s="48" t="n">
        <v>3058</v>
      </c>
      <c r="G871" s="48" t="n">
        <v>3134</v>
      </c>
      <c r="H871" s="48" t="n">
        <v>3025</v>
      </c>
      <c r="I871" s="48" t="n">
        <v>3063</v>
      </c>
      <c r="J871" s="48" t="n">
        <v>3104</v>
      </c>
      <c r="K871" s="48" t="n">
        <v>3096</v>
      </c>
      <c r="L871" s="48" t="n">
        <v>60925902</v>
      </c>
      <c r="M871" s="48" t="n">
        <v>186616037826</v>
      </c>
      <c r="N871" s="48" t="n">
        <v>2897</v>
      </c>
      <c r="O871" s="48" t="n">
        <v>18352387</v>
      </c>
      <c r="P871" s="48" t="n">
        <v>38258798</v>
      </c>
      <c r="Q871" s="48" t="n">
        <v>877</v>
      </c>
      <c r="R871" s="48" t="n">
        <v>1888</v>
      </c>
      <c r="S871" s="48" t="n">
        <v>42573515</v>
      </c>
      <c r="T871" s="48" t="n">
        <v>22667104</v>
      </c>
      <c r="U871" s="46" t="n">
        <f aca="false">IF($A871=$A870,$U870+1,1)</f>
        <v>87</v>
      </c>
      <c r="V871" s="48" t="n">
        <f aca="false">IF($U871&gt;=MA_SHORT,AVERAGE(INDEX($I$471:$I871,402-MA_SHORT):$I871),"")</f>
        <v>2903.15</v>
      </c>
      <c r="W871" s="48" t="n">
        <f aca="false">IF($U871&gt;=MA_MED,AVERAGE(INDEX($I$471:$I871,402-MA_MED):$I871),"")</f>
        <v>2904.44</v>
      </c>
      <c r="X871" s="48" t="str">
        <f aca="false">IF($U871&gt;=MA_LONG1,AVERAGE(INDEX($I$471:$I871,402-MA_LONG1):$I871),"")</f>
        <v/>
      </c>
      <c r="Y871" s="48" t="str">
        <f aca="false">IF($U871&gt;=MA_LONG2,AVERAGE(INDEX($I$471:$I871,402-MA_LONG2):$I871),"")</f>
        <v/>
      </c>
      <c r="Z871" s="48" t="n">
        <f aca="false">IF($U871&gt;=MA_SHORT,AVERAGE(INDEX($L$751:$L871,122-MA_SHORT):$L871),"")</f>
        <v>70539515.4</v>
      </c>
      <c r="AA871" s="48" t="n">
        <f aca="false">IF($U871=1,$G871-$H871,MAX($G871-$H871,ABS($G871-$I870),ABS($H871-$I870)))</f>
        <v>109</v>
      </c>
      <c r="AB871" s="48" t="n">
        <f aca="false">IF($U871&gt;=ATR_PER,AVERAGE(INDEX($AA$751:$AA871,122-ATR_PER):$AA871),"")</f>
        <v>144.857142857143</v>
      </c>
      <c r="AC871" s="48" t="n">
        <f aca="false">$O871-$P871</f>
        <v>-19906411</v>
      </c>
      <c r="AD871" s="48" t="n">
        <f aca="false">$AC871*$I871</f>
        <v>-60973336893</v>
      </c>
      <c r="AE871" s="49" t="n">
        <f aca="false">IF($Q871&gt;0,$O871*$I871/$Q871/1000000,"")</f>
        <v>64.0973333876853</v>
      </c>
      <c r="AF871" s="49" t="n">
        <f aca="false">IF($R871&gt;0,$P871*$I871/$R871/1000000,"")</f>
        <v>62.0692257807203</v>
      </c>
      <c r="AG871" s="50" t="n">
        <f aca="false">IF(AND(ISNUMBER($AE871),ISNUMBER($AF871),$AF871&gt;0),$AE871/$AF871,"")</f>
        <v>1.03267492999075</v>
      </c>
      <c r="AH871" s="48" t="n">
        <f aca="false">IF($U871&gt;=5,SUM(INDEX($AD$841:$AD871,32-5):$AD871),"")</f>
        <v>17785413165</v>
      </c>
      <c r="AI871" s="48" t="n">
        <f aca="false">IF($U871&gt;=STRUCT_S,MAX(INDEX($G$721:$G871,152-STRUCT_S):$G871),"")</f>
        <v>3134</v>
      </c>
      <c r="AJ871" s="48" t="n">
        <f aca="false">IF($U871&gt;=STRUCT_S,MIN(INDEX($H$721:$H871,152-STRUCT_S):$H871),"")</f>
        <v>2716</v>
      </c>
      <c r="AK871" s="48" t="n">
        <f aca="false">IF($U871&gt;=STRUCT_L,MAX(INDEX($G$621:$G871,252-STRUCT_L):$G871),"")</f>
        <v>3219</v>
      </c>
      <c r="AL871" s="48" t="n">
        <f aca="false">IF($U871&gt;=STRUCT_L,MIN(INDEX($H$621:$H871,252-STRUCT_L):$H871),"")</f>
        <v>2656</v>
      </c>
      <c r="AM871" s="46" t="n">
        <f aca="false">IF($A871&lt;&gt;$A872,1,0)</f>
        <v>0</v>
      </c>
      <c r="AN871" s="47" t="str">
        <f aca="false">IF($AM871=1,$A871,"")</f>
        <v/>
      </c>
    </row>
    <row r="872" customFormat="false" ht="15" hidden="false" customHeight="false" outlineLevel="0" collapsed="false">
      <c r="A872" s="43" t="s">
        <v>147</v>
      </c>
      <c r="B872" s="44" t="s">
        <v>149</v>
      </c>
      <c r="C872" s="45" t="n">
        <v>46027</v>
      </c>
      <c r="D872" s="46" t="n">
        <v>20260105</v>
      </c>
      <c r="E872" s="47" t="s">
        <v>375</v>
      </c>
      <c r="F872" s="48" t="n">
        <v>3061</v>
      </c>
      <c r="G872" s="48" t="n">
        <v>3078</v>
      </c>
      <c r="H872" s="48" t="n">
        <v>3042</v>
      </c>
      <c r="I872" s="48" t="n">
        <v>3057</v>
      </c>
      <c r="J872" s="48" t="n">
        <v>3074</v>
      </c>
      <c r="K872" s="48" t="n">
        <v>3063</v>
      </c>
      <c r="L872" s="48" t="n">
        <v>57936720</v>
      </c>
      <c r="M872" s="48" t="n">
        <v>177112553040</v>
      </c>
      <c r="N872" s="48" t="n">
        <v>3102</v>
      </c>
      <c r="O872" s="48" t="n">
        <v>24907322</v>
      </c>
      <c r="P872" s="48" t="n">
        <v>33233490</v>
      </c>
      <c r="Q872" s="48" t="n">
        <v>795</v>
      </c>
      <c r="R872" s="48" t="n">
        <v>2355</v>
      </c>
      <c r="S872" s="48" t="n">
        <v>33029398</v>
      </c>
      <c r="T872" s="48" t="n">
        <v>24703230</v>
      </c>
      <c r="U872" s="46" t="n">
        <f aca="false">IF($A872=$A871,$U871+1,1)</f>
        <v>88</v>
      </c>
      <c r="V872" s="48" t="n">
        <f aca="false">IF($U872&gt;=MA_SHORT,AVERAGE(INDEX($I$472:$I872,402-MA_SHORT):$I872),"")</f>
        <v>2904.4</v>
      </c>
      <c r="W872" s="48" t="n">
        <f aca="false">IF($U872&gt;=MA_MED,AVERAGE(INDEX($I$472:$I872,402-MA_MED):$I872),"")</f>
        <v>2908.34</v>
      </c>
      <c r="X872" s="48" t="str">
        <f aca="false">IF($U872&gt;=MA_LONG1,AVERAGE(INDEX($I$472:$I872,402-MA_LONG1):$I872),"")</f>
        <v/>
      </c>
      <c r="Y872" s="48" t="str">
        <f aca="false">IF($U872&gt;=MA_LONG2,AVERAGE(INDEX($I$472:$I872,402-MA_LONG2):$I872),"")</f>
        <v/>
      </c>
      <c r="Z872" s="48" t="n">
        <f aca="false">IF($U872&gt;=MA_SHORT,AVERAGE(INDEX($L$752:$L872,122-MA_SHORT):$L872),"")</f>
        <v>68918134.8</v>
      </c>
      <c r="AA872" s="48" t="n">
        <f aca="false">IF($U872=1,$G872-$H872,MAX($G872-$H872,ABS($G872-$I871),ABS($H872-$I871)))</f>
        <v>36</v>
      </c>
      <c r="AB872" s="48" t="n">
        <f aca="false">IF($U872&gt;=ATR_PER,AVERAGE(INDEX($AA$752:$AA872,122-ATR_PER):$AA872),"")</f>
        <v>137.428571428571</v>
      </c>
      <c r="AC872" s="48" t="n">
        <f aca="false">$O872-$P872</f>
        <v>-8326168</v>
      </c>
      <c r="AD872" s="48" t="n">
        <f aca="false">$AC872*$I872</f>
        <v>-25453095576</v>
      </c>
      <c r="AE872" s="49" t="n">
        <f aca="false">IF($Q872&gt;0,$O872*$I872/$Q872/1000000,"")</f>
        <v>95.7757023320755</v>
      </c>
      <c r="AF872" s="49" t="n">
        <f aca="false">IF($R872&gt;0,$P872*$I872/$R872/1000000,"")</f>
        <v>43.1400335159236</v>
      </c>
      <c r="AG872" s="50" t="n">
        <f aca="false">IF(AND(ISNUMBER($AE872),ISNUMBER($AF872),$AF872&gt;0),$AE872/$AF872,"")</f>
        <v>2.22011191291086</v>
      </c>
      <c r="AH872" s="48" t="n">
        <f aca="false">IF($U872&gt;=5,SUM(INDEX($AD$842:$AD872,32-5):$AD872),"")</f>
        <v>65336293231</v>
      </c>
      <c r="AI872" s="48" t="n">
        <f aca="false">IF($U872&gt;=STRUCT_S,MAX(INDEX($G$722:$G872,152-STRUCT_S):$G872),"")</f>
        <v>3134</v>
      </c>
      <c r="AJ872" s="48" t="n">
        <f aca="false">IF($U872&gt;=STRUCT_S,MIN(INDEX($H$722:$H872,152-STRUCT_S):$H872),"")</f>
        <v>2716</v>
      </c>
      <c r="AK872" s="48" t="n">
        <f aca="false">IF($U872&gt;=STRUCT_L,MAX(INDEX($G$622:$G872,252-STRUCT_L):$G872),"")</f>
        <v>3219</v>
      </c>
      <c r="AL872" s="48" t="n">
        <f aca="false">IF($U872&gt;=STRUCT_L,MIN(INDEX($H$622:$H872,252-STRUCT_L):$H872),"")</f>
        <v>2656</v>
      </c>
      <c r="AM872" s="46" t="n">
        <f aca="false">IF($A872&lt;&gt;$A873,1,0)</f>
        <v>0</v>
      </c>
      <c r="AN872" s="47" t="str">
        <f aca="false">IF($AM872=1,$A872,"")</f>
        <v/>
      </c>
    </row>
    <row r="873" customFormat="false" ht="15" hidden="false" customHeight="false" outlineLevel="0" collapsed="false">
      <c r="A873" s="43" t="s">
        <v>147</v>
      </c>
      <c r="B873" s="44" t="s">
        <v>149</v>
      </c>
      <c r="C873" s="45" t="n">
        <v>46028</v>
      </c>
      <c r="D873" s="46" t="n">
        <v>20260106</v>
      </c>
      <c r="E873" s="47" t="s">
        <v>376</v>
      </c>
      <c r="F873" s="48" t="n">
        <v>3023</v>
      </c>
      <c r="G873" s="48" t="n">
        <v>3070</v>
      </c>
      <c r="H873" s="48" t="n">
        <v>2957</v>
      </c>
      <c r="I873" s="48" t="n">
        <v>2969</v>
      </c>
      <c r="J873" s="48" t="n">
        <v>2982</v>
      </c>
      <c r="K873" s="48" t="n">
        <v>3057</v>
      </c>
      <c r="L873" s="48" t="n">
        <v>67154179</v>
      </c>
      <c r="M873" s="48" t="n">
        <v>199380757451</v>
      </c>
      <c r="N873" s="48" t="n">
        <v>5677</v>
      </c>
      <c r="O873" s="48" t="n">
        <v>21336560</v>
      </c>
      <c r="P873" s="48" t="n">
        <v>45283170</v>
      </c>
      <c r="Q873" s="48" t="n">
        <v>1523</v>
      </c>
      <c r="R873" s="48" t="n">
        <v>3954</v>
      </c>
      <c r="S873" s="48" t="n">
        <v>45817619</v>
      </c>
      <c r="T873" s="48" t="n">
        <v>21871009</v>
      </c>
      <c r="U873" s="46" t="n">
        <f aca="false">IF($A873=$A872,$U872+1,1)</f>
        <v>89</v>
      </c>
      <c r="V873" s="48" t="n">
        <f aca="false">IF($U873&gt;=MA_SHORT,AVERAGE(INDEX($I$473:$I873,402-MA_SHORT):$I873),"")</f>
        <v>2902</v>
      </c>
      <c r="W873" s="48" t="n">
        <f aca="false">IF($U873&gt;=MA_MED,AVERAGE(INDEX($I$473:$I873,402-MA_MED):$I873),"")</f>
        <v>2910.34</v>
      </c>
      <c r="X873" s="48" t="str">
        <f aca="false">IF($U873&gt;=MA_LONG1,AVERAGE(INDEX($I$473:$I873,402-MA_LONG1):$I873),"")</f>
        <v/>
      </c>
      <c r="Y873" s="48" t="str">
        <f aca="false">IF($U873&gt;=MA_LONG2,AVERAGE(INDEX($I$473:$I873,402-MA_LONG2):$I873),"")</f>
        <v/>
      </c>
      <c r="Z873" s="48" t="n">
        <f aca="false">IF($U873&gt;=MA_SHORT,AVERAGE(INDEX($L$753:$L873,122-MA_SHORT):$L873),"")</f>
        <v>69327670.3</v>
      </c>
      <c r="AA873" s="48" t="n">
        <f aca="false">IF($U873=1,$G873-$H873,MAX($G873-$H873,ABS($G873-$I872),ABS($H873-$I872)))</f>
        <v>113</v>
      </c>
      <c r="AB873" s="48" t="n">
        <f aca="false">IF($U873&gt;=ATR_PER,AVERAGE(INDEX($AA$753:$AA873,122-ATR_PER):$AA873),"")</f>
        <v>134.571428571429</v>
      </c>
      <c r="AC873" s="48" t="n">
        <f aca="false">$O873-$P873</f>
        <v>-23946610</v>
      </c>
      <c r="AD873" s="48" t="n">
        <f aca="false">$AC873*$I873</f>
        <v>-71097485090</v>
      </c>
      <c r="AE873" s="49" t="n">
        <f aca="false">IF($Q873&gt;0,$O873*$I873/$Q873/1000000,"")</f>
        <v>41.594383873933</v>
      </c>
      <c r="AF873" s="49" t="n">
        <f aca="false">IF($R873&gt;0,$P873*$I873/$R873/1000000,"")</f>
        <v>34.0024612367223</v>
      </c>
      <c r="AG873" s="50" t="n">
        <f aca="false">IF(AND(ISNUMBER($AE873),ISNUMBER($AF873),$AF873&gt;0),$AE873/$AF873,"")</f>
        <v>1.22327567949733</v>
      </c>
      <c r="AH873" s="48" t="n">
        <f aca="false">IF($U873&gt;=5,SUM(INDEX($AD$843:$AD873,32-5):$AD873),"")</f>
        <v>-59801035679</v>
      </c>
      <c r="AI873" s="48" t="n">
        <f aca="false">IF($U873&gt;=STRUCT_S,MAX(INDEX($G$723:$G873,152-STRUCT_S):$G873),"")</f>
        <v>3134</v>
      </c>
      <c r="AJ873" s="48" t="n">
        <f aca="false">IF($U873&gt;=STRUCT_S,MIN(INDEX($H$723:$H873,152-STRUCT_S):$H873),"")</f>
        <v>2716</v>
      </c>
      <c r="AK873" s="48" t="n">
        <f aca="false">IF($U873&gt;=STRUCT_L,MAX(INDEX($G$623:$G873,252-STRUCT_L):$G873),"")</f>
        <v>3219</v>
      </c>
      <c r="AL873" s="48" t="n">
        <f aca="false">IF($U873&gt;=STRUCT_L,MIN(INDEX($H$623:$H873,252-STRUCT_L):$H873),"")</f>
        <v>2656</v>
      </c>
      <c r="AM873" s="46" t="n">
        <f aca="false">IF($A873&lt;&gt;$A874,1,0)</f>
        <v>0</v>
      </c>
      <c r="AN873" s="47" t="str">
        <f aca="false">IF($AM873=1,$A873,"")</f>
        <v/>
      </c>
    </row>
    <row r="874" customFormat="false" ht="15" hidden="false" customHeight="false" outlineLevel="0" collapsed="false">
      <c r="A874" s="43" t="s">
        <v>147</v>
      </c>
      <c r="B874" s="44" t="s">
        <v>149</v>
      </c>
      <c r="C874" s="45" t="n">
        <v>46029</v>
      </c>
      <c r="D874" s="46" t="n">
        <v>20260107</v>
      </c>
      <c r="E874" s="47" t="s">
        <v>377</v>
      </c>
      <c r="F874" s="48" t="n">
        <v>3030</v>
      </c>
      <c r="G874" s="48" t="n">
        <v>3043</v>
      </c>
      <c r="H874" s="48" t="n">
        <v>2879</v>
      </c>
      <c r="I874" s="48" t="n">
        <v>2952</v>
      </c>
      <c r="J874" s="48" t="n">
        <v>3035</v>
      </c>
      <c r="K874" s="48" t="n">
        <v>2969</v>
      </c>
      <c r="L874" s="48" t="n">
        <v>59230983</v>
      </c>
      <c r="M874" s="48" t="n">
        <v>174849861816</v>
      </c>
      <c r="N874" s="48" t="n">
        <v>2127</v>
      </c>
      <c r="O874" s="48" t="n">
        <v>21089164</v>
      </c>
      <c r="P874" s="48" t="n">
        <v>37635408</v>
      </c>
      <c r="Q874" s="48" t="n">
        <v>608</v>
      </c>
      <c r="R874" s="48" t="n">
        <v>1213</v>
      </c>
      <c r="S874" s="48" t="n">
        <v>38141819</v>
      </c>
      <c r="T874" s="48" t="n">
        <v>21595575</v>
      </c>
      <c r="U874" s="46" t="n">
        <f aca="false">IF($A874=$A873,$U873+1,1)</f>
        <v>90</v>
      </c>
      <c r="V874" s="48" t="n">
        <f aca="false">IF($U874&gt;=MA_SHORT,AVERAGE(INDEX($I$474:$I874,402-MA_SHORT):$I874),"")</f>
        <v>2898.65</v>
      </c>
      <c r="W874" s="48" t="n">
        <f aca="false">IF($U874&gt;=MA_MED,AVERAGE(INDEX($I$474:$I874,402-MA_MED):$I874),"")</f>
        <v>2911.66</v>
      </c>
      <c r="X874" s="48" t="str">
        <f aca="false">IF($U874&gt;=MA_LONG1,AVERAGE(INDEX($I$474:$I874,402-MA_LONG1):$I874),"")</f>
        <v/>
      </c>
      <c r="Y874" s="48" t="str">
        <f aca="false">IF($U874&gt;=MA_LONG2,AVERAGE(INDEX($I$474:$I874,402-MA_LONG2):$I874),"")</f>
        <v/>
      </c>
      <c r="Z874" s="48" t="n">
        <f aca="false">IF($U874&gt;=MA_SHORT,AVERAGE(INDEX($L$754:$L874,122-MA_SHORT):$L874),"")</f>
        <v>69185117.15</v>
      </c>
      <c r="AA874" s="48" t="n">
        <f aca="false">IF($U874=1,$G874-$H874,MAX($G874-$H874,ABS($G874-$I873),ABS($H874-$I873)))</f>
        <v>164</v>
      </c>
      <c r="AB874" s="48" t="n">
        <f aca="false">IF($U874&gt;=ATR_PER,AVERAGE(INDEX($AA$754:$AA874,122-ATR_PER):$AA874),"")</f>
        <v>134.142857142857</v>
      </c>
      <c r="AC874" s="48" t="n">
        <f aca="false">$O874-$P874</f>
        <v>-16546244</v>
      </c>
      <c r="AD874" s="48" t="n">
        <f aca="false">$AC874*$I874</f>
        <v>-48844512288</v>
      </c>
      <c r="AE874" s="49" t="n">
        <f aca="false">IF($Q874&gt;0,$O874*$I874/$Q874/1000000,"")</f>
        <v>102.393441</v>
      </c>
      <c r="AF874" s="49" t="n">
        <f aca="false">IF($R874&gt;0,$P874*$I874/$R874/1000000,"")</f>
        <v>91.5908692629843</v>
      </c>
      <c r="AG874" s="50" t="n">
        <f aca="false">IF(AND(ISNUMBER($AE874),ISNUMBER($AF874),$AF874&gt;0),$AE874/$AF874,"")</f>
        <v>1.11794376255998</v>
      </c>
      <c r="AH874" s="48" t="n">
        <f aca="false">IF($U874&gt;=5,SUM(INDEX($AD$844:$AD874,32-5):$AD874),"")</f>
        <v>-151462340447</v>
      </c>
      <c r="AI874" s="48" t="n">
        <f aca="false">IF($U874&gt;=STRUCT_S,MAX(INDEX($G$724:$G874,152-STRUCT_S):$G874),"")</f>
        <v>3134</v>
      </c>
      <c r="AJ874" s="48" t="n">
        <f aca="false">IF($U874&gt;=STRUCT_S,MIN(INDEX($H$724:$H874,152-STRUCT_S):$H874),"")</f>
        <v>2716</v>
      </c>
      <c r="AK874" s="48" t="n">
        <f aca="false">IF($U874&gt;=STRUCT_L,MAX(INDEX($G$624:$G874,252-STRUCT_L):$G874),"")</f>
        <v>3219</v>
      </c>
      <c r="AL874" s="48" t="n">
        <f aca="false">IF($U874&gt;=STRUCT_L,MIN(INDEX($H$624:$H874,252-STRUCT_L):$H874),"")</f>
        <v>2656</v>
      </c>
      <c r="AM874" s="46" t="n">
        <f aca="false">IF($A874&lt;&gt;$A875,1,0)</f>
        <v>0</v>
      </c>
      <c r="AN874" s="47" t="str">
        <f aca="false">IF($AM874=1,$A874,"")</f>
        <v/>
      </c>
    </row>
    <row r="875" customFormat="false" ht="15" hidden="false" customHeight="false" outlineLevel="0" collapsed="false">
      <c r="A875" s="43" t="s">
        <v>147</v>
      </c>
      <c r="B875" s="44" t="s">
        <v>149</v>
      </c>
      <c r="C875" s="45" t="n">
        <v>46032</v>
      </c>
      <c r="D875" s="46" t="n">
        <v>20260110</v>
      </c>
      <c r="E875" s="47" t="s">
        <v>378</v>
      </c>
      <c r="F875" s="48" t="n">
        <v>2927</v>
      </c>
      <c r="G875" s="48" t="n">
        <v>3018</v>
      </c>
      <c r="H875" s="48" t="n">
        <v>2924</v>
      </c>
      <c r="I875" s="48" t="n">
        <v>2990</v>
      </c>
      <c r="J875" s="48" t="n">
        <v>3012</v>
      </c>
      <c r="K875" s="48" t="n">
        <v>2952</v>
      </c>
      <c r="L875" s="48" t="n">
        <v>68664102</v>
      </c>
      <c r="M875" s="48" t="n">
        <v>205305664980</v>
      </c>
      <c r="N875" s="48" t="n">
        <v>1702</v>
      </c>
      <c r="O875" s="48" t="n">
        <v>34228724</v>
      </c>
      <c r="P875" s="48" t="n">
        <v>33351020</v>
      </c>
      <c r="Q875" s="48" t="n">
        <v>701</v>
      </c>
      <c r="R875" s="48" t="n">
        <v>621</v>
      </c>
      <c r="S875" s="48" t="n">
        <v>34435378</v>
      </c>
      <c r="T875" s="48" t="n">
        <v>35313082</v>
      </c>
      <c r="U875" s="46" t="n">
        <f aca="false">IF($A875=$A874,$U874+1,1)</f>
        <v>91</v>
      </c>
      <c r="V875" s="48" t="n">
        <f aca="false">IF($U875&gt;=MA_SHORT,AVERAGE(INDEX($I$475:$I875,402-MA_SHORT):$I875),"")</f>
        <v>2903.35</v>
      </c>
      <c r="W875" s="48" t="n">
        <f aca="false">IF($U875&gt;=MA_MED,AVERAGE(INDEX($I$475:$I875,402-MA_MED):$I875),"")</f>
        <v>2913.9</v>
      </c>
      <c r="X875" s="48" t="str">
        <f aca="false">IF($U875&gt;=MA_LONG1,AVERAGE(INDEX($I$475:$I875,402-MA_LONG1):$I875),"")</f>
        <v/>
      </c>
      <c r="Y875" s="48" t="str">
        <f aca="false">IF($U875&gt;=MA_LONG2,AVERAGE(INDEX($I$475:$I875,402-MA_LONG2):$I875),"")</f>
        <v/>
      </c>
      <c r="Z875" s="48" t="n">
        <f aca="false">IF($U875&gt;=MA_SHORT,AVERAGE(INDEX($L$755:$L875,122-MA_SHORT):$L875),"")</f>
        <v>69055227.2</v>
      </c>
      <c r="AA875" s="48" t="n">
        <f aca="false">IF($U875=1,$G875-$H875,MAX($G875-$H875,ABS($G875-$I874),ABS($H875-$I874)))</f>
        <v>94</v>
      </c>
      <c r="AB875" s="48" t="n">
        <f aca="false">IF($U875&gt;=ATR_PER,AVERAGE(INDEX($AA$755:$AA875,122-ATR_PER):$AA875),"")</f>
        <v>133.214285714286</v>
      </c>
      <c r="AC875" s="48" t="n">
        <f aca="false">$O875-$P875</f>
        <v>877704</v>
      </c>
      <c r="AD875" s="48" t="n">
        <f aca="false">$AC875*$I875</f>
        <v>2624334960</v>
      </c>
      <c r="AE875" s="49" t="n">
        <f aca="false">IF($Q875&gt;0,$O875*$I875/$Q875/1000000,"")</f>
        <v>145.99698253923</v>
      </c>
      <c r="AF875" s="49" t="n">
        <f aca="false">IF($R875&gt;0,$P875*$I875/$R875/1000000,"")</f>
        <v>160.578985185185</v>
      </c>
      <c r="AG875" s="50" t="n">
        <f aca="false">IF(AND(ISNUMBER($AE875),ISNUMBER($AF875),$AF875&gt;0),$AE875/$AF875,"")</f>
        <v>0.909191089798338</v>
      </c>
      <c r="AH875" s="48" t="n">
        <f aca="false">IF($U875&gt;=5,SUM(INDEX($AD$845:$AD875,32-5):$AD875),"")</f>
        <v>-203744094887</v>
      </c>
      <c r="AI875" s="48" t="n">
        <f aca="false">IF($U875&gt;=STRUCT_S,MAX(INDEX($G$725:$G875,152-STRUCT_S):$G875),"")</f>
        <v>3134</v>
      </c>
      <c r="AJ875" s="48" t="n">
        <f aca="false">IF($U875&gt;=STRUCT_S,MIN(INDEX($H$725:$H875,152-STRUCT_S):$H875),"")</f>
        <v>2716</v>
      </c>
      <c r="AK875" s="48" t="n">
        <f aca="false">IF($U875&gt;=STRUCT_L,MAX(INDEX($G$625:$G875,252-STRUCT_L):$G875),"")</f>
        <v>3219</v>
      </c>
      <c r="AL875" s="48" t="n">
        <f aca="false">IF($U875&gt;=STRUCT_L,MIN(INDEX($H$625:$H875,252-STRUCT_L):$H875),"")</f>
        <v>2656</v>
      </c>
      <c r="AM875" s="46" t="n">
        <f aca="false">IF($A875&lt;&gt;$A876,1,0)</f>
        <v>0</v>
      </c>
      <c r="AN875" s="47" t="str">
        <f aca="false">IF($AM875=1,$A875,"")</f>
        <v/>
      </c>
    </row>
    <row r="876" customFormat="false" ht="15" hidden="false" customHeight="false" outlineLevel="0" collapsed="false">
      <c r="A876" s="43" t="s">
        <v>147</v>
      </c>
      <c r="B876" s="44" t="s">
        <v>149</v>
      </c>
      <c r="C876" s="45" t="n">
        <v>46033</v>
      </c>
      <c r="D876" s="46" t="n">
        <v>20260111</v>
      </c>
      <c r="E876" s="47" t="s">
        <v>379</v>
      </c>
      <c r="F876" s="48" t="n">
        <v>3006</v>
      </c>
      <c r="G876" s="48" t="n">
        <v>3067</v>
      </c>
      <c r="H876" s="48" t="n">
        <v>2973</v>
      </c>
      <c r="I876" s="48" t="n">
        <v>3050</v>
      </c>
      <c r="J876" s="48" t="n">
        <v>3039</v>
      </c>
      <c r="K876" s="48" t="n">
        <v>2990</v>
      </c>
      <c r="L876" s="48" t="n">
        <v>66176679</v>
      </c>
      <c r="M876" s="48" t="n">
        <v>201838870950</v>
      </c>
      <c r="N876" s="48" t="n">
        <v>2511</v>
      </c>
      <c r="O876" s="48" t="n">
        <v>29967411</v>
      </c>
      <c r="P876" s="48" t="n">
        <v>34766178</v>
      </c>
      <c r="Q876" s="48" t="n">
        <v>1399</v>
      </c>
      <c r="R876" s="48" t="n">
        <v>982</v>
      </c>
      <c r="S876" s="48" t="n">
        <v>36209268</v>
      </c>
      <c r="T876" s="48" t="n">
        <v>31410501</v>
      </c>
      <c r="U876" s="46" t="n">
        <f aca="false">IF($A876=$A875,$U875+1,1)</f>
        <v>92</v>
      </c>
      <c r="V876" s="48" t="n">
        <f aca="false">IF($U876&gt;=MA_SHORT,AVERAGE(INDEX($I$476:$I876,402-MA_SHORT):$I876),"")</f>
        <v>2913.15</v>
      </c>
      <c r="W876" s="48" t="n">
        <f aca="false">IF($U876&gt;=MA_MED,AVERAGE(INDEX($I$476:$I876,402-MA_MED):$I876),"")</f>
        <v>2916.74</v>
      </c>
      <c r="X876" s="48" t="str">
        <f aca="false">IF($U876&gt;=MA_LONG1,AVERAGE(INDEX($I$476:$I876,402-MA_LONG1):$I876),"")</f>
        <v/>
      </c>
      <c r="Y876" s="48" t="str">
        <f aca="false">IF($U876&gt;=MA_LONG2,AVERAGE(INDEX($I$476:$I876,402-MA_LONG2):$I876),"")</f>
        <v/>
      </c>
      <c r="Z876" s="48" t="n">
        <f aca="false">IF($U876&gt;=MA_SHORT,AVERAGE(INDEX($L$756:$L876,122-MA_SHORT):$L876),"")</f>
        <v>68451697.55</v>
      </c>
      <c r="AA876" s="48" t="n">
        <f aca="false">IF($U876=1,$G876-$H876,MAX($G876-$H876,ABS($G876-$I875),ABS($H876-$I875)))</f>
        <v>94</v>
      </c>
      <c r="AB876" s="48" t="n">
        <f aca="false">IF($U876&gt;=ATR_PER,AVERAGE(INDEX($AA$756:$AA876,122-ATR_PER):$AA876),"")</f>
        <v>129.928571428571</v>
      </c>
      <c r="AC876" s="48" t="n">
        <f aca="false">$O876-$P876</f>
        <v>-4798767</v>
      </c>
      <c r="AD876" s="48" t="n">
        <f aca="false">$AC876*$I876</f>
        <v>-14636239350</v>
      </c>
      <c r="AE876" s="49" t="n">
        <f aca="false">IF($Q876&gt;0,$O876*$I876/$Q876/1000000,"")</f>
        <v>65.3328116869192</v>
      </c>
      <c r="AF876" s="49" t="n">
        <f aca="false">IF($R876&gt;0,$P876*$I876/$R876/1000000,"")</f>
        <v>107.980491751528</v>
      </c>
      <c r="AG876" s="50" t="n">
        <f aca="false">IF(AND(ISNUMBER($AE876),ISNUMBER($AF876),$AF876&gt;0),$AE876/$AF876,"")</f>
        <v>0.605042731582069</v>
      </c>
      <c r="AH876" s="48" t="n">
        <f aca="false">IF($U876&gt;=5,SUM(INDEX($AD$846:$AD876,32-5):$AD876),"")</f>
        <v>-157406997344</v>
      </c>
      <c r="AI876" s="48" t="n">
        <f aca="false">IF($U876&gt;=STRUCT_S,MAX(INDEX($G$726:$G876,152-STRUCT_S):$G876),"")</f>
        <v>3134</v>
      </c>
      <c r="AJ876" s="48" t="n">
        <f aca="false">IF($U876&gt;=STRUCT_S,MIN(INDEX($H$726:$H876,152-STRUCT_S):$H876),"")</f>
        <v>2716</v>
      </c>
      <c r="AK876" s="48" t="n">
        <f aca="false">IF($U876&gt;=STRUCT_L,MAX(INDEX($G$626:$G876,252-STRUCT_L):$G876),"")</f>
        <v>3219</v>
      </c>
      <c r="AL876" s="48" t="n">
        <f aca="false">IF($U876&gt;=STRUCT_L,MIN(INDEX($H$626:$H876,252-STRUCT_L):$H876),"")</f>
        <v>2656</v>
      </c>
      <c r="AM876" s="46" t="n">
        <f aca="false">IF($A876&lt;&gt;$A877,1,0)</f>
        <v>0</v>
      </c>
      <c r="AN876" s="47" t="str">
        <f aca="false">IF($AM876=1,$A876,"")</f>
        <v/>
      </c>
    </row>
    <row r="877" customFormat="false" ht="15" hidden="false" customHeight="false" outlineLevel="0" collapsed="false">
      <c r="A877" s="43" t="s">
        <v>147</v>
      </c>
      <c r="B877" s="44" t="s">
        <v>149</v>
      </c>
      <c r="C877" s="45" t="n">
        <v>46034</v>
      </c>
      <c r="D877" s="46" t="n">
        <v>20260112</v>
      </c>
      <c r="E877" s="47" t="s">
        <v>380</v>
      </c>
      <c r="F877" s="48" t="n">
        <v>3004</v>
      </c>
      <c r="G877" s="48" t="n">
        <v>3092</v>
      </c>
      <c r="H877" s="48" t="n">
        <v>2956</v>
      </c>
      <c r="I877" s="48" t="n">
        <v>2998</v>
      </c>
      <c r="J877" s="48" t="n">
        <v>3091</v>
      </c>
      <c r="K877" s="48" t="n">
        <v>3050</v>
      </c>
      <c r="L877" s="48" t="n">
        <v>63121483</v>
      </c>
      <c r="M877" s="48" t="n">
        <v>189238206034</v>
      </c>
      <c r="N877" s="48" t="n">
        <v>2006</v>
      </c>
      <c r="O877" s="48" t="n">
        <v>18656496</v>
      </c>
      <c r="P877" s="48" t="n">
        <v>40121371</v>
      </c>
      <c r="Q877" s="48" t="n">
        <v>509</v>
      </c>
      <c r="R877" s="48" t="n">
        <v>1000</v>
      </c>
      <c r="S877" s="48" t="n">
        <v>44464987</v>
      </c>
      <c r="T877" s="48" t="n">
        <v>23000112</v>
      </c>
      <c r="U877" s="46" t="n">
        <f aca="false">IF($A877=$A876,$U876+1,1)</f>
        <v>93</v>
      </c>
      <c r="V877" s="48" t="n">
        <f aca="false">IF($U877&gt;=MA_SHORT,AVERAGE(INDEX($I$477:$I877,402-MA_SHORT):$I877),"")</f>
        <v>2917.5</v>
      </c>
      <c r="W877" s="48" t="n">
        <f aca="false">IF($U877&gt;=MA_MED,AVERAGE(INDEX($I$477:$I877,402-MA_MED):$I877),"")</f>
        <v>2918.2</v>
      </c>
      <c r="X877" s="48" t="str">
        <f aca="false">IF($U877&gt;=MA_LONG1,AVERAGE(INDEX($I$477:$I877,402-MA_LONG1):$I877),"")</f>
        <v/>
      </c>
      <c r="Y877" s="48" t="str">
        <f aca="false">IF($U877&gt;=MA_LONG2,AVERAGE(INDEX($I$477:$I877,402-MA_LONG2):$I877),"")</f>
        <v/>
      </c>
      <c r="Z877" s="48" t="n">
        <f aca="false">IF($U877&gt;=MA_SHORT,AVERAGE(INDEX($L$757:$L877,122-MA_SHORT):$L877),"")</f>
        <v>68401486.65</v>
      </c>
      <c r="AA877" s="48" t="n">
        <f aca="false">IF($U877=1,$G877-$H877,MAX($G877-$H877,ABS($G877-$I876),ABS($H877-$I876)))</f>
        <v>136</v>
      </c>
      <c r="AB877" s="48" t="n">
        <f aca="false">IF($U877&gt;=ATR_PER,AVERAGE(INDEX($AA$757:$AA877,122-ATR_PER):$AA877),"")</f>
        <v>128.285714285714</v>
      </c>
      <c r="AC877" s="48" t="n">
        <f aca="false">$O877-$P877</f>
        <v>-21464875</v>
      </c>
      <c r="AD877" s="48" t="n">
        <f aca="false">$AC877*$I877</f>
        <v>-64351695250</v>
      </c>
      <c r="AE877" s="49" t="n">
        <f aca="false">IF($Q877&gt;0,$O877*$I877/$Q877/1000000,"")</f>
        <v>109.886394907662</v>
      </c>
      <c r="AF877" s="49" t="n">
        <f aca="false">IF($R877&gt;0,$P877*$I877/$R877/1000000,"")</f>
        <v>120.283870258</v>
      </c>
      <c r="AG877" s="50" t="n">
        <f aca="false">IF(AND(ISNUMBER($AE877),ISNUMBER($AF877),$AF877&gt;0),$AE877/$AF877,"")</f>
        <v>0.913558855995936</v>
      </c>
      <c r="AH877" s="48" t="n">
        <f aca="false">IF($U877&gt;=5,SUM(INDEX($AD$847:$AD877,32-5):$AD877),"")</f>
        <v>-196305597018</v>
      </c>
      <c r="AI877" s="48" t="n">
        <f aca="false">IF($U877&gt;=STRUCT_S,MAX(INDEX($G$727:$G877,152-STRUCT_S):$G877),"")</f>
        <v>3134</v>
      </c>
      <c r="AJ877" s="48" t="n">
        <f aca="false">IF($U877&gt;=STRUCT_S,MIN(INDEX($H$727:$H877,152-STRUCT_S):$H877),"")</f>
        <v>2716</v>
      </c>
      <c r="AK877" s="48" t="n">
        <f aca="false">IF($U877&gt;=STRUCT_L,MAX(INDEX($G$627:$G877,252-STRUCT_L):$G877),"")</f>
        <v>3219</v>
      </c>
      <c r="AL877" s="48" t="n">
        <f aca="false">IF($U877&gt;=STRUCT_L,MIN(INDEX($H$627:$H877,252-STRUCT_L):$H877),"")</f>
        <v>2656</v>
      </c>
      <c r="AM877" s="46" t="n">
        <f aca="false">IF($A877&lt;&gt;$A878,1,0)</f>
        <v>0</v>
      </c>
      <c r="AN877" s="47" t="str">
        <f aca="false">IF($AM877=1,$A877,"")</f>
        <v/>
      </c>
    </row>
    <row r="878" customFormat="false" ht="15" hidden="false" customHeight="false" outlineLevel="0" collapsed="false">
      <c r="A878" s="43" t="s">
        <v>147</v>
      </c>
      <c r="B878" s="44" t="s">
        <v>149</v>
      </c>
      <c r="C878" s="45" t="n">
        <v>46035</v>
      </c>
      <c r="D878" s="46" t="n">
        <v>20260113</v>
      </c>
      <c r="E878" s="47" t="s">
        <v>381</v>
      </c>
      <c r="F878" s="48" t="n">
        <v>2966</v>
      </c>
      <c r="G878" s="48" t="n">
        <v>3152</v>
      </c>
      <c r="H878" s="48" t="n">
        <v>2904</v>
      </c>
      <c r="I878" s="48" t="n">
        <v>3056</v>
      </c>
      <c r="J878" s="48" t="n">
        <v>3003</v>
      </c>
      <c r="K878" s="48" t="n">
        <v>2998</v>
      </c>
      <c r="L878" s="48" t="n">
        <v>128557689</v>
      </c>
      <c r="M878" s="48" t="n">
        <v>392872297584</v>
      </c>
      <c r="N878" s="48" t="n">
        <v>4849</v>
      </c>
      <c r="O878" s="48" t="n">
        <v>59298455</v>
      </c>
      <c r="P878" s="48" t="n">
        <v>71247690</v>
      </c>
      <c r="Q878" s="48" t="n">
        <v>2822</v>
      </c>
      <c r="R878" s="48" t="n">
        <v>1888</v>
      </c>
      <c r="S878" s="48" t="n">
        <v>69259234</v>
      </c>
      <c r="T878" s="48" t="n">
        <v>57309999</v>
      </c>
      <c r="U878" s="46" t="n">
        <f aca="false">IF($A878=$A877,$U877+1,1)</f>
        <v>94</v>
      </c>
      <c r="V878" s="48" t="n">
        <f aca="false">IF($U878&gt;=MA_SHORT,AVERAGE(INDEX($I$478:$I878,402-MA_SHORT):$I878),"")</f>
        <v>2930</v>
      </c>
      <c r="W878" s="48" t="n">
        <f aca="false">IF($U878&gt;=MA_MED,AVERAGE(INDEX($I$478:$I878,402-MA_MED):$I878),"")</f>
        <v>2921.9</v>
      </c>
      <c r="X878" s="48" t="str">
        <f aca="false">IF($U878&gt;=MA_LONG1,AVERAGE(INDEX($I$478:$I878,402-MA_LONG1):$I878),"")</f>
        <v/>
      </c>
      <c r="Y878" s="48" t="str">
        <f aca="false">IF($U878&gt;=MA_LONG2,AVERAGE(INDEX($I$478:$I878,402-MA_LONG2):$I878),"")</f>
        <v/>
      </c>
      <c r="Z878" s="48" t="n">
        <f aca="false">IF($U878&gt;=MA_SHORT,AVERAGE(INDEX($L$758:$L878,122-MA_SHORT):$L878),"")</f>
        <v>71031307.95</v>
      </c>
      <c r="AA878" s="48" t="n">
        <f aca="false">IF($U878=1,$G878-$H878,MAX($G878-$H878,ABS($G878-$I877),ABS($H878-$I877)))</f>
        <v>248</v>
      </c>
      <c r="AB878" s="48" t="n">
        <f aca="false">IF($U878&gt;=ATR_PER,AVERAGE(INDEX($AA$758:$AA878,122-ATR_PER):$AA878),"")</f>
        <v>135.928571428571</v>
      </c>
      <c r="AC878" s="48" t="n">
        <f aca="false">$O878-$P878</f>
        <v>-11949235</v>
      </c>
      <c r="AD878" s="48" t="n">
        <f aca="false">$AC878*$I878</f>
        <v>-36516862160</v>
      </c>
      <c r="AE878" s="49" t="n">
        <f aca="false">IF($Q878&gt;0,$O878*$I878/$Q878/1000000,"")</f>
        <v>64.2154778454997</v>
      </c>
      <c r="AF878" s="49" t="n">
        <f aca="false">IF($R878&gt;0,$P878*$I878/$R878/1000000,"")</f>
        <v>115.324650762712</v>
      </c>
      <c r="AG878" s="50" t="n">
        <f aca="false">IF(AND(ISNUMBER($AE878),ISNUMBER($AF878),$AF878&gt;0),$AE878/$AF878,"")</f>
        <v>0.556823518829702</v>
      </c>
      <c r="AH878" s="48" t="n">
        <f aca="false">IF($U878&gt;=5,SUM(INDEX($AD$848:$AD878,32-5):$AD878),"")</f>
        <v>-161724974088</v>
      </c>
      <c r="AI878" s="48" t="n">
        <f aca="false">IF($U878&gt;=STRUCT_S,MAX(INDEX($G$728:$G878,152-STRUCT_S):$G878),"")</f>
        <v>3152</v>
      </c>
      <c r="AJ878" s="48" t="n">
        <f aca="false">IF($U878&gt;=STRUCT_S,MIN(INDEX($H$728:$H878,152-STRUCT_S):$H878),"")</f>
        <v>2716</v>
      </c>
      <c r="AK878" s="48" t="n">
        <f aca="false">IF($U878&gt;=STRUCT_L,MAX(INDEX($G$628:$G878,252-STRUCT_L):$G878),"")</f>
        <v>3219</v>
      </c>
      <c r="AL878" s="48" t="n">
        <f aca="false">IF($U878&gt;=STRUCT_L,MIN(INDEX($H$628:$H878,252-STRUCT_L):$H878),"")</f>
        <v>2656</v>
      </c>
      <c r="AM878" s="46" t="n">
        <f aca="false">IF($A878&lt;&gt;$A879,1,0)</f>
        <v>0</v>
      </c>
      <c r="AN878" s="47" t="str">
        <f aca="false">IF($AM878=1,$A878,"")</f>
        <v/>
      </c>
    </row>
    <row r="879" customFormat="false" ht="15" hidden="false" customHeight="false" outlineLevel="0" collapsed="false">
      <c r="A879" s="43" t="s">
        <v>147</v>
      </c>
      <c r="B879" s="44" t="s">
        <v>149</v>
      </c>
      <c r="C879" s="45" t="n">
        <v>46036</v>
      </c>
      <c r="D879" s="46" t="n">
        <v>20260114</v>
      </c>
      <c r="E879" s="47" t="s">
        <v>382</v>
      </c>
      <c r="F879" s="48" t="n">
        <v>3130</v>
      </c>
      <c r="G879" s="48" t="n">
        <v>3155</v>
      </c>
      <c r="H879" s="48" t="n">
        <v>2997</v>
      </c>
      <c r="I879" s="48" t="n">
        <v>3096</v>
      </c>
      <c r="J879" s="48" t="n">
        <v>2998</v>
      </c>
      <c r="K879" s="48" t="n">
        <v>3056</v>
      </c>
      <c r="L879" s="48" t="n">
        <v>61760837</v>
      </c>
      <c r="M879" s="48" t="n">
        <v>191211551352</v>
      </c>
      <c r="N879" s="48" t="n">
        <v>2527</v>
      </c>
      <c r="O879" s="48" t="n">
        <v>28987793</v>
      </c>
      <c r="P879" s="48" t="n">
        <v>28468893</v>
      </c>
      <c r="Q879" s="48" t="n">
        <v>1417</v>
      </c>
      <c r="R879" s="48" t="n">
        <v>938</v>
      </c>
      <c r="S879" s="48" t="n">
        <v>32773044</v>
      </c>
      <c r="T879" s="48" t="n">
        <v>33291944</v>
      </c>
      <c r="U879" s="46" t="n">
        <f aca="false">IF($A879=$A878,$U878+1,1)</f>
        <v>95</v>
      </c>
      <c r="V879" s="48" t="n">
        <f aca="false">IF($U879&gt;=MA_SHORT,AVERAGE(INDEX($I$479:$I879,402-MA_SHORT):$I879),"")</f>
        <v>2945.9</v>
      </c>
      <c r="W879" s="48" t="n">
        <f aca="false">IF($U879&gt;=MA_MED,AVERAGE(INDEX($I$479:$I879,402-MA_MED):$I879),"")</f>
        <v>2926.4</v>
      </c>
      <c r="X879" s="48" t="str">
        <f aca="false">IF($U879&gt;=MA_LONG1,AVERAGE(INDEX($I$479:$I879,402-MA_LONG1):$I879),"")</f>
        <v/>
      </c>
      <c r="Y879" s="48" t="str">
        <f aca="false">IF($U879&gt;=MA_LONG2,AVERAGE(INDEX($I$479:$I879,402-MA_LONG2):$I879),"")</f>
        <v/>
      </c>
      <c r="Z879" s="48" t="n">
        <f aca="false">IF($U879&gt;=MA_SHORT,AVERAGE(INDEX($L$759:$L879,122-MA_SHORT):$L879),"")</f>
        <v>70749783.05</v>
      </c>
      <c r="AA879" s="48" t="n">
        <f aca="false">IF($U879=1,$G879-$H879,MAX($G879-$H879,ABS($G879-$I878),ABS($H879-$I878)))</f>
        <v>158</v>
      </c>
      <c r="AB879" s="48" t="n">
        <f aca="false">IF($U879&gt;=ATR_PER,AVERAGE(INDEX($AA$759:$AA879,122-ATR_PER):$AA879),"")</f>
        <v>137.928571428571</v>
      </c>
      <c r="AC879" s="48" t="n">
        <f aca="false">$O879-$P879</f>
        <v>518900</v>
      </c>
      <c r="AD879" s="48" t="n">
        <f aca="false">$AC879*$I879</f>
        <v>1606514400</v>
      </c>
      <c r="AE879" s="49" t="n">
        <f aca="false">IF($Q879&gt;0,$O879*$I879/$Q879/1000000,"")</f>
        <v>63.3353614170783</v>
      </c>
      <c r="AF879" s="49" t="n">
        <f aca="false">IF($R879&gt;0,$P879*$I879/$R879/1000000,"")</f>
        <v>93.9655572793177</v>
      </c>
      <c r="AG879" s="50" t="n">
        <f aca="false">IF(AND(ISNUMBER($AE879),ISNUMBER($AF879),$AF879&gt;0),$AE879/$AF879,"")</f>
        <v>0.674027412286936</v>
      </c>
      <c r="AH879" s="48" t="n">
        <f aca="false">IF($U879&gt;=5,SUM(INDEX($AD$849:$AD879,32-5):$AD879),"")</f>
        <v>-111273947400</v>
      </c>
      <c r="AI879" s="48" t="n">
        <f aca="false">IF($U879&gt;=STRUCT_S,MAX(INDEX($G$729:$G879,152-STRUCT_S):$G879),"")</f>
        <v>3155</v>
      </c>
      <c r="AJ879" s="48" t="n">
        <f aca="false">IF($U879&gt;=STRUCT_S,MIN(INDEX($H$729:$H879,152-STRUCT_S):$H879),"")</f>
        <v>2730</v>
      </c>
      <c r="AK879" s="48" t="n">
        <f aca="false">IF($U879&gt;=STRUCT_L,MAX(INDEX($G$629:$G879,252-STRUCT_L):$G879),"")</f>
        <v>3219</v>
      </c>
      <c r="AL879" s="48" t="n">
        <f aca="false">IF($U879&gt;=STRUCT_L,MIN(INDEX($H$629:$H879,252-STRUCT_L):$H879),"")</f>
        <v>2656</v>
      </c>
      <c r="AM879" s="46" t="n">
        <f aca="false">IF($A879&lt;&gt;$A880,1,0)</f>
        <v>0</v>
      </c>
      <c r="AN879" s="47" t="str">
        <f aca="false">IF($AM879=1,$A879,"")</f>
        <v/>
      </c>
    </row>
    <row r="880" customFormat="false" ht="15" hidden="false" customHeight="false" outlineLevel="0" collapsed="false">
      <c r="A880" s="43" t="s">
        <v>147</v>
      </c>
      <c r="B880" s="44" t="s">
        <v>149</v>
      </c>
      <c r="C880" s="45" t="n">
        <v>46039</v>
      </c>
      <c r="D880" s="46" t="n">
        <v>20260117</v>
      </c>
      <c r="E880" s="47" t="s">
        <v>383</v>
      </c>
      <c r="F880" s="48" t="n">
        <v>3066</v>
      </c>
      <c r="G880" s="48" t="n">
        <v>3123</v>
      </c>
      <c r="H880" s="48" t="n">
        <v>3064</v>
      </c>
      <c r="I880" s="48" t="n">
        <v>3091</v>
      </c>
      <c r="J880" s="48" t="n">
        <v>3073</v>
      </c>
      <c r="K880" s="48" t="n">
        <v>3096</v>
      </c>
      <c r="L880" s="48" t="n">
        <v>90922060</v>
      </c>
      <c r="M880" s="48" t="n">
        <v>281040087460</v>
      </c>
      <c r="N880" s="48" t="n">
        <v>4359</v>
      </c>
      <c r="O880" s="48" t="n">
        <v>37616471</v>
      </c>
      <c r="P880" s="48" t="n">
        <v>48362604</v>
      </c>
      <c r="Q880" s="48" t="n">
        <v>1554</v>
      </c>
      <c r="R880" s="48" t="n">
        <v>3218</v>
      </c>
      <c r="S880" s="48" t="n">
        <v>53305589</v>
      </c>
      <c r="T880" s="48" t="n">
        <v>42559456</v>
      </c>
      <c r="U880" s="46" t="n">
        <f aca="false">IF($A880=$A879,$U879+1,1)</f>
        <v>96</v>
      </c>
      <c r="V880" s="48" t="n">
        <f aca="false">IF($U880&gt;=MA_SHORT,AVERAGE(INDEX($I$480:$I880,402-MA_SHORT):$I880),"")</f>
        <v>2957.9</v>
      </c>
      <c r="W880" s="48" t="n">
        <f aca="false">IF($U880&gt;=MA_MED,AVERAGE(INDEX($I$480:$I880,402-MA_MED):$I880),"")</f>
        <v>2931.16</v>
      </c>
      <c r="X880" s="48" t="str">
        <f aca="false">IF($U880&gt;=MA_LONG1,AVERAGE(INDEX($I$480:$I880,402-MA_LONG1):$I880),"")</f>
        <v/>
      </c>
      <c r="Y880" s="48" t="str">
        <f aca="false">IF($U880&gt;=MA_LONG2,AVERAGE(INDEX($I$480:$I880,402-MA_LONG2):$I880),"")</f>
        <v/>
      </c>
      <c r="Z880" s="48" t="n">
        <f aca="false">IF($U880&gt;=MA_SHORT,AVERAGE(INDEX($L$760:$L880,122-MA_SHORT):$L880),"")</f>
        <v>71800153.3</v>
      </c>
      <c r="AA880" s="48" t="n">
        <f aca="false">IF($U880=1,$G880-$H880,MAX($G880-$H880,ABS($G880-$I879),ABS($H880-$I879)))</f>
        <v>59</v>
      </c>
      <c r="AB880" s="48" t="n">
        <f aca="false">IF($U880&gt;=ATR_PER,AVERAGE(INDEX($AA$760:$AA880,122-ATR_PER):$AA880),"")</f>
        <v>131.285714285714</v>
      </c>
      <c r="AC880" s="48" t="n">
        <f aca="false">$O880-$P880</f>
        <v>-10746133</v>
      </c>
      <c r="AD880" s="48" t="n">
        <f aca="false">$AC880*$I880</f>
        <v>-33216297103</v>
      </c>
      <c r="AE880" s="49" t="n">
        <f aca="false">IF($Q880&gt;0,$O880*$I880/$Q880/1000000,"")</f>
        <v>74.8214362039897</v>
      </c>
      <c r="AF880" s="49" t="n">
        <f aca="false">IF($R880&gt;0,$P880*$I880/$R880/1000000,"")</f>
        <v>46.4539493362337</v>
      </c>
      <c r="AG880" s="50" t="n">
        <f aca="false">IF(AND(ISNUMBER($AE880),ISNUMBER($AF880),$AF880&gt;0),$AE880/$AF880,"")</f>
        <v>1.61065823838641</v>
      </c>
      <c r="AH880" s="48" t="n">
        <f aca="false">IF($U880&gt;=5,SUM(INDEX($AD$850:$AD880,32-5):$AD880),"")</f>
        <v>-147114579463</v>
      </c>
      <c r="AI880" s="48" t="n">
        <f aca="false">IF($U880&gt;=STRUCT_S,MAX(INDEX($G$730:$G880,152-STRUCT_S):$G880),"")</f>
        <v>3155</v>
      </c>
      <c r="AJ880" s="48" t="n">
        <f aca="false">IF($U880&gt;=STRUCT_S,MIN(INDEX($H$730:$H880,152-STRUCT_S):$H880),"")</f>
        <v>2730</v>
      </c>
      <c r="AK880" s="48" t="n">
        <f aca="false">IF($U880&gt;=STRUCT_L,MAX(INDEX($G$630:$G880,252-STRUCT_L):$G880),"")</f>
        <v>3219</v>
      </c>
      <c r="AL880" s="48" t="n">
        <f aca="false">IF($U880&gt;=STRUCT_L,MIN(INDEX($H$630:$H880,252-STRUCT_L):$H880),"")</f>
        <v>2656</v>
      </c>
      <c r="AM880" s="46" t="n">
        <f aca="false">IF($A880&lt;&gt;$A881,1,0)</f>
        <v>0</v>
      </c>
      <c r="AN880" s="47" t="str">
        <f aca="false">IF($AM880=1,$A880,"")</f>
        <v/>
      </c>
    </row>
    <row r="881" customFormat="false" ht="15" hidden="false" customHeight="false" outlineLevel="0" collapsed="false">
      <c r="A881" s="43" t="s">
        <v>147</v>
      </c>
      <c r="B881" s="44" t="s">
        <v>149</v>
      </c>
      <c r="C881" s="45" t="n">
        <v>46040</v>
      </c>
      <c r="D881" s="46" t="n">
        <v>20260118</v>
      </c>
      <c r="E881" s="47" t="s">
        <v>384</v>
      </c>
      <c r="F881" s="48" t="n">
        <v>3048</v>
      </c>
      <c r="G881" s="48" t="n">
        <v>3201</v>
      </c>
      <c r="H881" s="48" t="n">
        <v>2995</v>
      </c>
      <c r="I881" s="48" t="n">
        <v>3104</v>
      </c>
      <c r="J881" s="48" t="n">
        <v>3115</v>
      </c>
      <c r="K881" s="48" t="n">
        <v>3091</v>
      </c>
      <c r="L881" s="48" t="n">
        <v>58708713</v>
      </c>
      <c r="M881" s="48" t="n">
        <v>182231845152</v>
      </c>
      <c r="N881" s="48" t="n">
        <v>3224</v>
      </c>
      <c r="O881" s="48" t="n">
        <v>27330687</v>
      </c>
      <c r="P881" s="48" t="n">
        <v>29736279</v>
      </c>
      <c r="Q881" s="48" t="n">
        <v>1643</v>
      </c>
      <c r="R881" s="48" t="n">
        <v>912</v>
      </c>
      <c r="S881" s="48" t="n">
        <v>31378026</v>
      </c>
      <c r="T881" s="48" t="n">
        <v>28972434</v>
      </c>
      <c r="U881" s="46" t="n">
        <f aca="false">IF($A881=$A880,$U880+1,1)</f>
        <v>97</v>
      </c>
      <c r="V881" s="48" t="n">
        <f aca="false">IF($U881&gt;=MA_SHORT,AVERAGE(INDEX($I$481:$I881,402-MA_SHORT):$I881),"")</f>
        <v>2975.1</v>
      </c>
      <c r="W881" s="48" t="n">
        <f aca="false">IF($U881&gt;=MA_MED,AVERAGE(INDEX($I$481:$I881,402-MA_MED):$I881),"")</f>
        <v>2935.06</v>
      </c>
      <c r="X881" s="48" t="str">
        <f aca="false">IF($U881&gt;=MA_LONG1,AVERAGE(INDEX($I$481:$I881,402-MA_LONG1):$I881),"")</f>
        <v/>
      </c>
      <c r="Y881" s="48" t="str">
        <f aca="false">IF($U881&gt;=MA_LONG2,AVERAGE(INDEX($I$481:$I881,402-MA_LONG2):$I881),"")</f>
        <v/>
      </c>
      <c r="Z881" s="48" t="n">
        <f aca="false">IF($U881&gt;=MA_SHORT,AVERAGE(INDEX($L$761:$L881,122-MA_SHORT):$L881),"")</f>
        <v>71164378.6</v>
      </c>
      <c r="AA881" s="48" t="n">
        <f aca="false">IF($U881=1,$G881-$H881,MAX($G881-$H881,ABS($G881-$I880),ABS($H881-$I880)))</f>
        <v>206</v>
      </c>
      <c r="AB881" s="48" t="n">
        <f aca="false">IF($U881&gt;=ATR_PER,AVERAGE(INDEX($AA$761:$AA881,122-ATR_PER):$AA881),"")</f>
        <v>131.928571428571</v>
      </c>
      <c r="AC881" s="48" t="n">
        <f aca="false">$O881-$P881</f>
        <v>-2405592</v>
      </c>
      <c r="AD881" s="48" t="n">
        <f aca="false">$AC881*$I881</f>
        <v>-7466957568</v>
      </c>
      <c r="AE881" s="49" t="n">
        <f aca="false">IF($Q881&gt;0,$O881*$I881/$Q881/1000000,"")</f>
        <v>51.6338724576993</v>
      </c>
      <c r="AF881" s="49" t="n">
        <f aca="false">IF($R881&gt;0,$P881*$I881/$R881/1000000,"")</f>
        <v>101.207686421053</v>
      </c>
      <c r="AG881" s="50" t="n">
        <f aca="false">IF(AND(ISNUMBER($AE881),ISNUMBER($AF881),$AF881&gt;0),$AE881/$AF881,"")</f>
        <v>0.510177381615936</v>
      </c>
      <c r="AH881" s="48" t="n">
        <f aca="false">IF($U881&gt;=5,SUM(INDEX($AD$851:$AD881,32-5):$AD881),"")</f>
        <v>-139945297681</v>
      </c>
      <c r="AI881" s="48" t="n">
        <f aca="false">IF($U881&gt;=STRUCT_S,MAX(INDEX($G$731:$G881,152-STRUCT_S):$G881),"")</f>
        <v>3201</v>
      </c>
      <c r="AJ881" s="48" t="n">
        <f aca="false">IF($U881&gt;=STRUCT_S,MIN(INDEX($H$731:$H881,152-STRUCT_S):$H881),"")</f>
        <v>2730</v>
      </c>
      <c r="AK881" s="48" t="n">
        <f aca="false">IF($U881&gt;=STRUCT_L,MAX(INDEX($G$631:$G881,252-STRUCT_L):$G881),"")</f>
        <v>3219</v>
      </c>
      <c r="AL881" s="48" t="n">
        <f aca="false">IF($U881&gt;=STRUCT_L,MIN(INDEX($H$631:$H881,252-STRUCT_L):$H881),"")</f>
        <v>2656</v>
      </c>
      <c r="AM881" s="46" t="n">
        <f aca="false">IF($A881&lt;&gt;$A882,1,0)</f>
        <v>0</v>
      </c>
      <c r="AN881" s="47" t="str">
        <f aca="false">IF($AM881=1,$A881,"")</f>
        <v/>
      </c>
    </row>
    <row r="882" customFormat="false" ht="15" hidden="false" customHeight="false" outlineLevel="0" collapsed="false">
      <c r="A882" s="43" t="s">
        <v>147</v>
      </c>
      <c r="B882" s="44" t="s">
        <v>149</v>
      </c>
      <c r="C882" s="45" t="n">
        <v>46041</v>
      </c>
      <c r="D882" s="46" t="n">
        <v>20260119</v>
      </c>
      <c r="E882" s="47" t="s">
        <v>385</v>
      </c>
      <c r="F882" s="48" t="n">
        <v>3126</v>
      </c>
      <c r="G882" s="48" t="n">
        <v>3244</v>
      </c>
      <c r="H882" s="48" t="n">
        <v>3039</v>
      </c>
      <c r="I882" s="48" t="n">
        <v>3177</v>
      </c>
      <c r="J882" s="48" t="n">
        <v>3194</v>
      </c>
      <c r="K882" s="48" t="n">
        <v>3104</v>
      </c>
      <c r="L882" s="48" t="n">
        <v>75528852</v>
      </c>
      <c r="M882" s="48" t="n">
        <v>239955162804</v>
      </c>
      <c r="N882" s="48" t="n">
        <v>5065</v>
      </c>
      <c r="O882" s="48" t="n">
        <v>38402907</v>
      </c>
      <c r="P882" s="48" t="n">
        <v>38973454</v>
      </c>
      <c r="Q882" s="48" t="n">
        <v>2923</v>
      </c>
      <c r="R882" s="48" t="n">
        <v>1635</v>
      </c>
      <c r="S882" s="48" t="n">
        <v>37125945</v>
      </c>
      <c r="T882" s="48" t="n">
        <v>36555398</v>
      </c>
      <c r="U882" s="46" t="n">
        <f aca="false">IF($A882=$A881,$U881+1,1)</f>
        <v>98</v>
      </c>
      <c r="V882" s="48" t="n">
        <f aca="false">IF($U882&gt;=MA_SHORT,AVERAGE(INDEX($I$482:$I882,402-MA_SHORT):$I882),"")</f>
        <v>2992</v>
      </c>
      <c r="W882" s="48" t="n">
        <f aca="false">IF($U882&gt;=MA_MED,AVERAGE(INDEX($I$482:$I882,402-MA_MED):$I882),"")</f>
        <v>2941.98</v>
      </c>
      <c r="X882" s="48" t="str">
        <f aca="false">IF($U882&gt;=MA_LONG1,AVERAGE(INDEX($I$482:$I882,402-MA_LONG1):$I882),"")</f>
        <v/>
      </c>
      <c r="Y882" s="48" t="str">
        <f aca="false">IF($U882&gt;=MA_LONG2,AVERAGE(INDEX($I$482:$I882,402-MA_LONG2):$I882),"")</f>
        <v/>
      </c>
      <c r="Z882" s="48" t="n">
        <f aca="false">IF($U882&gt;=MA_SHORT,AVERAGE(INDEX($L$762:$L882,122-MA_SHORT):$L882),"")</f>
        <v>71585915.95</v>
      </c>
      <c r="AA882" s="48" t="n">
        <f aca="false">IF($U882=1,$G882-$H882,MAX($G882-$H882,ABS($G882-$I881),ABS($H882-$I881)))</f>
        <v>205</v>
      </c>
      <c r="AB882" s="48" t="n">
        <f aca="false">IF($U882&gt;=ATR_PER,AVERAGE(INDEX($AA$762:$AA882,122-ATR_PER):$AA882),"")</f>
        <v>136</v>
      </c>
      <c r="AC882" s="48" t="n">
        <f aca="false">$O882-$P882</f>
        <v>-570547</v>
      </c>
      <c r="AD882" s="48" t="n">
        <f aca="false">$AC882*$I882</f>
        <v>-1812627819</v>
      </c>
      <c r="AE882" s="49" t="n">
        <f aca="false">IF($Q882&gt;0,$O882*$I882/$Q882/1000000,"")</f>
        <v>41.7400053161136</v>
      </c>
      <c r="AF882" s="49" t="n">
        <f aca="false">IF($R882&gt;0,$P882*$I882/$R882/1000000,"")</f>
        <v>75.7300693321101</v>
      </c>
      <c r="AG882" s="50" t="n">
        <f aca="false">IF(AND(ISNUMBER($AE882),ISNUMBER($AF882),$AF882&gt;0),$AE882/$AF882,"")</f>
        <v>0.551168190973985</v>
      </c>
      <c r="AH882" s="48" t="n">
        <f aca="false">IF($U882&gt;=5,SUM(INDEX($AD$852:$AD882,32-5):$AD882),"")</f>
        <v>-77406230250</v>
      </c>
      <c r="AI882" s="48" t="n">
        <f aca="false">IF($U882&gt;=STRUCT_S,MAX(INDEX($G$732:$G882,152-STRUCT_S):$G882),"")</f>
        <v>3244</v>
      </c>
      <c r="AJ882" s="48" t="n">
        <f aca="false">IF($U882&gt;=STRUCT_S,MIN(INDEX($H$732:$H882,152-STRUCT_S):$H882),"")</f>
        <v>2742</v>
      </c>
      <c r="AK882" s="48" t="n">
        <f aca="false">IF($U882&gt;=STRUCT_L,MAX(INDEX($G$632:$G882,252-STRUCT_L):$G882),"")</f>
        <v>3244</v>
      </c>
      <c r="AL882" s="48" t="n">
        <f aca="false">IF($U882&gt;=STRUCT_L,MIN(INDEX($H$632:$H882,252-STRUCT_L):$H882),"")</f>
        <v>2656</v>
      </c>
      <c r="AM882" s="46" t="n">
        <f aca="false">IF($A882&lt;&gt;$A883,1,0)</f>
        <v>0</v>
      </c>
      <c r="AN882" s="47" t="str">
        <f aca="false">IF($AM882=1,$A882,"")</f>
        <v/>
      </c>
    </row>
    <row r="883" customFormat="false" ht="15" hidden="false" customHeight="false" outlineLevel="0" collapsed="false">
      <c r="A883" s="43" t="s">
        <v>147</v>
      </c>
      <c r="B883" s="44" t="s">
        <v>149</v>
      </c>
      <c r="C883" s="45" t="n">
        <v>46042</v>
      </c>
      <c r="D883" s="46" t="n">
        <v>20260120</v>
      </c>
      <c r="E883" s="47" t="s">
        <v>386</v>
      </c>
      <c r="F883" s="48" t="n">
        <v>3254</v>
      </c>
      <c r="G883" s="48" t="n">
        <v>3334</v>
      </c>
      <c r="H883" s="48" t="n">
        <v>3114</v>
      </c>
      <c r="I883" s="48" t="n">
        <v>3269</v>
      </c>
      <c r="J883" s="48" t="n">
        <v>3116</v>
      </c>
      <c r="K883" s="48" t="n">
        <v>3177</v>
      </c>
      <c r="L883" s="48" t="n">
        <v>67213188</v>
      </c>
      <c r="M883" s="48" t="n">
        <v>219719911572</v>
      </c>
      <c r="N883" s="48" t="n">
        <v>4953</v>
      </c>
      <c r="O883" s="48" t="n">
        <v>34423369</v>
      </c>
      <c r="P883" s="48" t="n">
        <v>29151222</v>
      </c>
      <c r="Q883" s="48" t="n">
        <v>2127</v>
      </c>
      <c r="R883" s="48" t="n">
        <v>1904</v>
      </c>
      <c r="S883" s="48" t="n">
        <v>32789819</v>
      </c>
      <c r="T883" s="48" t="n">
        <v>38061966</v>
      </c>
      <c r="U883" s="46" t="n">
        <f aca="false">IF($A883=$A882,$U882+1,1)</f>
        <v>99</v>
      </c>
      <c r="V883" s="48" t="n">
        <f aca="false">IF($U883&gt;=MA_SHORT,AVERAGE(INDEX($I$483:$I883,402-MA_SHORT):$I883),"")</f>
        <v>3015.3</v>
      </c>
      <c r="W883" s="48" t="n">
        <f aca="false">IF($U883&gt;=MA_MED,AVERAGE(INDEX($I$483:$I883,402-MA_MED):$I883),"")</f>
        <v>2953.5</v>
      </c>
      <c r="X883" s="48" t="str">
        <f aca="false">IF($U883&gt;=MA_LONG1,AVERAGE(INDEX($I$483:$I883,402-MA_LONG1):$I883),"")</f>
        <v/>
      </c>
      <c r="Y883" s="48" t="str">
        <f aca="false">IF($U883&gt;=MA_LONG2,AVERAGE(INDEX($I$483:$I883,402-MA_LONG2):$I883),"")</f>
        <v/>
      </c>
      <c r="Z883" s="48" t="n">
        <f aca="false">IF($U883&gt;=MA_SHORT,AVERAGE(INDEX($L$763:$L883,122-MA_SHORT):$L883),"")</f>
        <v>71865550.85</v>
      </c>
      <c r="AA883" s="48" t="n">
        <f aca="false">IF($U883=1,$G883-$H883,MAX($G883-$H883,ABS($G883-$I882),ABS($H883-$I882)))</f>
        <v>220</v>
      </c>
      <c r="AB883" s="48" t="n">
        <f aca="false">IF($U883&gt;=ATR_PER,AVERAGE(INDEX($AA$763:$AA883,122-ATR_PER):$AA883),"")</f>
        <v>138.285714285714</v>
      </c>
      <c r="AC883" s="48" t="n">
        <f aca="false">$O883-$P883</f>
        <v>5272147</v>
      </c>
      <c r="AD883" s="48" t="n">
        <f aca="false">$AC883*$I883</f>
        <v>17234648543</v>
      </c>
      <c r="AE883" s="49" t="n">
        <f aca="false">IF($Q883&gt;0,$O883*$I883/$Q883/1000000,"")</f>
        <v>52.9054975369064</v>
      </c>
      <c r="AF883" s="49" t="n">
        <f aca="false">IF($R883&gt;0,$P883*$I883/$R883/1000000,"")</f>
        <v>50.0500760073529</v>
      </c>
      <c r="AG883" s="50" t="n">
        <f aca="false">IF(AND(ISNUMBER($AE883),ISNUMBER($AF883),$AF883&gt;0),$AE883/$AF883,"")</f>
        <v>1.05705129257214</v>
      </c>
      <c r="AH883" s="48" t="n">
        <f aca="false">IF($U883&gt;=5,SUM(INDEX($AD$853:$AD883,32-5):$AD883),"")</f>
        <v>-23654719547</v>
      </c>
      <c r="AI883" s="48" t="n">
        <f aca="false">IF($U883&gt;=STRUCT_S,MAX(INDEX($G$733:$G883,152-STRUCT_S):$G883),"")</f>
        <v>3334</v>
      </c>
      <c r="AJ883" s="48" t="n">
        <f aca="false">IF($U883&gt;=STRUCT_S,MIN(INDEX($H$733:$H883,152-STRUCT_S):$H883),"")</f>
        <v>2754</v>
      </c>
      <c r="AK883" s="48" t="n">
        <f aca="false">IF($U883&gt;=STRUCT_L,MAX(INDEX($G$633:$G883,252-STRUCT_L):$G883),"")</f>
        <v>3334</v>
      </c>
      <c r="AL883" s="48" t="n">
        <f aca="false">IF($U883&gt;=STRUCT_L,MIN(INDEX($H$633:$H883,252-STRUCT_L):$H883),"")</f>
        <v>2656</v>
      </c>
      <c r="AM883" s="46" t="n">
        <f aca="false">IF($A883&lt;&gt;$A884,1,0)</f>
        <v>0</v>
      </c>
      <c r="AN883" s="47" t="str">
        <f aca="false">IF($AM883=1,$A883,"")</f>
        <v/>
      </c>
    </row>
    <row r="884" customFormat="false" ht="15" hidden="false" customHeight="false" outlineLevel="0" collapsed="false">
      <c r="A884" s="43" t="s">
        <v>147</v>
      </c>
      <c r="B884" s="44" t="s">
        <v>149</v>
      </c>
      <c r="C884" s="45" t="n">
        <v>46043</v>
      </c>
      <c r="D884" s="46" t="n">
        <v>20260121</v>
      </c>
      <c r="E884" s="47" t="s">
        <v>387</v>
      </c>
      <c r="F884" s="48" t="n">
        <v>3284</v>
      </c>
      <c r="G884" s="48" t="n">
        <v>3385</v>
      </c>
      <c r="H884" s="48" t="n">
        <v>3117</v>
      </c>
      <c r="I884" s="48" t="n">
        <v>3232</v>
      </c>
      <c r="J884" s="48" t="n">
        <v>3141</v>
      </c>
      <c r="K884" s="48" t="n">
        <v>3269</v>
      </c>
      <c r="L884" s="48" t="n">
        <v>63237764</v>
      </c>
      <c r="M884" s="48" t="n">
        <v>204384453248</v>
      </c>
      <c r="N884" s="48" t="n">
        <v>2372</v>
      </c>
      <c r="O884" s="48" t="n">
        <v>28804561</v>
      </c>
      <c r="P884" s="48" t="n">
        <v>34611846</v>
      </c>
      <c r="Q884" s="48" t="n">
        <v>762</v>
      </c>
      <c r="R884" s="48" t="n">
        <v>1711</v>
      </c>
      <c r="S884" s="48" t="n">
        <v>34433203</v>
      </c>
      <c r="T884" s="48" t="n">
        <v>28625918</v>
      </c>
      <c r="U884" s="46" t="n">
        <f aca="false">IF($A884=$A883,$U883+1,1)</f>
        <v>100</v>
      </c>
      <c r="V884" s="48" t="n">
        <f aca="false">IF($U884&gt;=MA_SHORT,AVERAGE(INDEX($I$484:$I884,402-MA_SHORT):$I884),"")</f>
        <v>3034.65</v>
      </c>
      <c r="W884" s="48" t="n">
        <f aca="false">IF($U884&gt;=MA_MED,AVERAGE(INDEX($I$484:$I884,402-MA_MED):$I884),"")</f>
        <v>2963.38</v>
      </c>
      <c r="X884" s="48" t="n">
        <f aca="false">IF($U884&gt;=MA_LONG1,AVERAGE(INDEX($I$484:$I884,402-MA_LONG1):$I884),"")</f>
        <v>2822.87</v>
      </c>
      <c r="Y884" s="48" t="str">
        <f aca="false">IF($U884&gt;=MA_LONG2,AVERAGE(INDEX($I$484:$I884,402-MA_LONG2):$I884),"")</f>
        <v/>
      </c>
      <c r="Z884" s="48" t="n">
        <f aca="false">IF($U884&gt;=MA_SHORT,AVERAGE(INDEX($L$764:$L884,122-MA_SHORT):$L884),"")</f>
        <v>71906843.8</v>
      </c>
      <c r="AA884" s="48" t="n">
        <f aca="false">IF($U884=1,$G884-$H884,MAX($G884-$H884,ABS($G884-$I883),ABS($H884-$I883)))</f>
        <v>268</v>
      </c>
      <c r="AB884" s="48" t="n">
        <f aca="false">IF($U884&gt;=ATR_PER,AVERAGE(INDEX($AA$764:$AA884,122-ATR_PER):$AA884),"")</f>
        <v>150.714285714286</v>
      </c>
      <c r="AC884" s="48" t="n">
        <f aca="false">$O884-$P884</f>
        <v>-5807285</v>
      </c>
      <c r="AD884" s="48" t="n">
        <f aca="false">$AC884*$I884</f>
        <v>-18769145120</v>
      </c>
      <c r="AE884" s="49" t="n">
        <f aca="false">IF($Q884&gt;0,$O884*$I884/$Q884/1000000,"")</f>
        <v>122.173676052493</v>
      </c>
      <c r="AF884" s="49" t="n">
        <f aca="false">IF($R884&gt;0,$P884*$I884/$R884/1000000,"")</f>
        <v>65.3801790017534</v>
      </c>
      <c r="AG884" s="50" t="n">
        <f aca="false">IF(AND(ISNUMBER($AE884),ISNUMBER($AF884),$AF884&gt;0),$AE884/$AF884,"")</f>
        <v>1.8686653649146</v>
      </c>
      <c r="AH884" s="48" t="n">
        <f aca="false">IF($U884&gt;=5,SUM(INDEX($AD$854:$AD884,32-5):$AD884),"")</f>
        <v>-44030379067</v>
      </c>
      <c r="AI884" s="48" t="n">
        <f aca="false">IF($U884&gt;=STRUCT_S,MAX(INDEX($G$734:$G884,152-STRUCT_S):$G884),"")</f>
        <v>3385</v>
      </c>
      <c r="AJ884" s="48" t="n">
        <f aca="false">IF($U884&gt;=STRUCT_S,MIN(INDEX($H$734:$H884,152-STRUCT_S):$H884),"")</f>
        <v>2757</v>
      </c>
      <c r="AK884" s="48" t="n">
        <f aca="false">IF($U884&gt;=STRUCT_L,MAX(INDEX($G$634:$G884,252-STRUCT_L):$G884),"")</f>
        <v>3385</v>
      </c>
      <c r="AL884" s="48" t="n">
        <f aca="false">IF($U884&gt;=STRUCT_L,MIN(INDEX($H$634:$H884,252-STRUCT_L):$H884),"")</f>
        <v>2656</v>
      </c>
      <c r="AM884" s="46" t="n">
        <f aca="false">IF($A884&lt;&gt;$A885,1,0)</f>
        <v>0</v>
      </c>
      <c r="AN884" s="47" t="str">
        <f aca="false">IF($AM884=1,$A884,"")</f>
        <v/>
      </c>
    </row>
    <row r="885" customFormat="false" ht="15" hidden="false" customHeight="false" outlineLevel="0" collapsed="false">
      <c r="A885" s="43" t="s">
        <v>147</v>
      </c>
      <c r="B885" s="44" t="s">
        <v>149</v>
      </c>
      <c r="C885" s="45" t="n">
        <v>46046</v>
      </c>
      <c r="D885" s="46" t="n">
        <v>20260124</v>
      </c>
      <c r="E885" s="47" t="s">
        <v>388</v>
      </c>
      <c r="F885" s="48" t="n">
        <v>3173</v>
      </c>
      <c r="G885" s="48" t="n">
        <v>3302</v>
      </c>
      <c r="H885" s="48" t="n">
        <v>3105</v>
      </c>
      <c r="I885" s="48" t="n">
        <v>3174</v>
      </c>
      <c r="J885" s="48" t="n">
        <v>3139</v>
      </c>
      <c r="K885" s="48" t="n">
        <v>3232</v>
      </c>
      <c r="L885" s="48" t="n">
        <v>71450373</v>
      </c>
      <c r="M885" s="48" t="n">
        <v>226783483902</v>
      </c>
      <c r="N885" s="48" t="n">
        <v>5456</v>
      </c>
      <c r="O885" s="48" t="n">
        <v>27023246</v>
      </c>
      <c r="P885" s="48" t="n">
        <v>40658012</v>
      </c>
      <c r="Q885" s="48" t="n">
        <v>1791</v>
      </c>
      <c r="R885" s="48" t="n">
        <v>2765</v>
      </c>
      <c r="S885" s="48" t="n">
        <v>44427127</v>
      </c>
      <c r="T885" s="48" t="n">
        <v>30792361</v>
      </c>
      <c r="U885" s="46" t="n">
        <f aca="false">IF($A885=$A884,$U884+1,1)</f>
        <v>101</v>
      </c>
      <c r="V885" s="48" t="n">
        <f aca="false">IF($U885&gt;=MA_SHORT,AVERAGE(INDEX($I$485:$I885,402-MA_SHORT):$I885),"")</f>
        <v>3051.85</v>
      </c>
      <c r="W885" s="48" t="n">
        <f aca="false">IF($U885&gt;=MA_MED,AVERAGE(INDEX($I$485:$I885,402-MA_MED):$I885),"")</f>
        <v>2969.62</v>
      </c>
      <c r="X885" s="48" t="n">
        <f aca="false">IF($U885&gt;=MA_LONG1,AVERAGE(INDEX($I$485:$I885,402-MA_LONG1):$I885),"")</f>
        <v>2830.72</v>
      </c>
      <c r="Y885" s="48" t="str">
        <f aca="false">IF($U885&gt;=MA_LONG2,AVERAGE(INDEX($I$485:$I885,402-MA_LONG2):$I885),"")</f>
        <v/>
      </c>
      <c r="Z885" s="48" t="n">
        <f aca="false">IF($U885&gt;=MA_SHORT,AVERAGE(INDEX($L$765:$L885,122-MA_SHORT):$L885),"")</f>
        <v>72005996.95</v>
      </c>
      <c r="AA885" s="48" t="n">
        <f aca="false">IF($U885=1,$G885-$H885,MAX($G885-$H885,ABS($G885-$I884),ABS($H885-$I884)))</f>
        <v>197</v>
      </c>
      <c r="AB885" s="48" t="n">
        <f aca="false">IF($U885&gt;=ATR_PER,AVERAGE(INDEX($AA$765:$AA885,122-ATR_PER):$AA885),"")</f>
        <v>157</v>
      </c>
      <c r="AC885" s="48" t="n">
        <f aca="false">$O885-$P885</f>
        <v>-13634766</v>
      </c>
      <c r="AD885" s="48" t="n">
        <f aca="false">$AC885*$I885</f>
        <v>-43276747284</v>
      </c>
      <c r="AE885" s="49" t="n">
        <f aca="false">IF($Q885&gt;0,$O885*$I885/$Q885/1000000,"")</f>
        <v>47.8904426599665</v>
      </c>
      <c r="AF885" s="49" t="n">
        <f aca="false">IF($R885&gt;0,$P885*$I885/$R885/1000000,"")</f>
        <v>46.6721627804702</v>
      </c>
      <c r="AG885" s="50" t="n">
        <f aca="false">IF(AND(ISNUMBER($AE885),ISNUMBER($AF885),$AF885&gt;0),$AE885/$AF885,"")</f>
        <v>1.02610292317557</v>
      </c>
      <c r="AH885" s="48" t="n">
        <f aca="false">IF($U885&gt;=5,SUM(INDEX($AD$855:$AD885,32-5):$AD885),"")</f>
        <v>-54090829248</v>
      </c>
      <c r="AI885" s="48" t="n">
        <f aca="false">IF($U885&gt;=STRUCT_S,MAX(INDEX($G$735:$G885,152-STRUCT_S):$G885),"")</f>
        <v>3385</v>
      </c>
      <c r="AJ885" s="48" t="n">
        <f aca="false">IF($U885&gt;=STRUCT_S,MIN(INDEX($H$735:$H885,152-STRUCT_S):$H885),"")</f>
        <v>2757</v>
      </c>
      <c r="AK885" s="48" t="n">
        <f aca="false">IF($U885&gt;=STRUCT_L,MAX(INDEX($G$635:$G885,252-STRUCT_L):$G885),"")</f>
        <v>3385</v>
      </c>
      <c r="AL885" s="48" t="n">
        <f aca="false">IF($U885&gt;=STRUCT_L,MIN(INDEX($H$635:$H885,252-STRUCT_L):$H885),"")</f>
        <v>2656</v>
      </c>
      <c r="AM885" s="46" t="n">
        <f aca="false">IF($A885&lt;&gt;$A886,1,0)</f>
        <v>0</v>
      </c>
      <c r="AN885" s="47" t="str">
        <f aca="false">IF($AM885=1,$A885,"")</f>
        <v/>
      </c>
    </row>
    <row r="886" customFormat="false" ht="15" hidden="false" customHeight="false" outlineLevel="0" collapsed="false">
      <c r="A886" s="43" t="s">
        <v>147</v>
      </c>
      <c r="B886" s="44" t="s">
        <v>149</v>
      </c>
      <c r="C886" s="45" t="n">
        <v>46047</v>
      </c>
      <c r="D886" s="46" t="n">
        <v>20260125</v>
      </c>
      <c r="E886" s="47" t="s">
        <v>389</v>
      </c>
      <c r="F886" s="48" t="n">
        <v>3150</v>
      </c>
      <c r="G886" s="48" t="n">
        <v>3257</v>
      </c>
      <c r="H886" s="48" t="n">
        <v>3116</v>
      </c>
      <c r="I886" s="48" t="n">
        <v>3198</v>
      </c>
      <c r="J886" s="48" t="n">
        <v>3116</v>
      </c>
      <c r="K886" s="48" t="n">
        <v>3174</v>
      </c>
      <c r="L886" s="48" t="n">
        <v>73304970</v>
      </c>
      <c r="M886" s="48" t="n">
        <v>234429294060</v>
      </c>
      <c r="N886" s="48" t="n">
        <v>2530</v>
      </c>
      <c r="O886" s="48" t="n">
        <v>28402035</v>
      </c>
      <c r="P886" s="48" t="n">
        <v>48841164</v>
      </c>
      <c r="Q886" s="48" t="n">
        <v>1284</v>
      </c>
      <c r="R886" s="48" t="n">
        <v>849</v>
      </c>
      <c r="S886" s="48" t="n">
        <v>44902935</v>
      </c>
      <c r="T886" s="48" t="n">
        <v>24463806</v>
      </c>
      <c r="U886" s="46" t="n">
        <f aca="false">IF($A886=$A885,$U885+1,1)</f>
        <v>102</v>
      </c>
      <c r="V886" s="48" t="n">
        <f aca="false">IF($U886&gt;=MA_SHORT,AVERAGE(INDEX($I$486:$I886,402-MA_SHORT):$I886),"")</f>
        <v>3067.2</v>
      </c>
      <c r="W886" s="48" t="n">
        <f aca="false">IF($U886&gt;=MA_MED,AVERAGE(INDEX($I$486:$I886,402-MA_MED):$I886),"")</f>
        <v>2976.92</v>
      </c>
      <c r="X886" s="48" t="n">
        <f aca="false">IF($U886&gt;=MA_LONG1,AVERAGE(INDEX($I$486:$I886,402-MA_LONG1):$I886),"")</f>
        <v>2838.38</v>
      </c>
      <c r="Y886" s="48" t="str">
        <f aca="false">IF($U886&gt;=MA_LONG2,AVERAGE(INDEX($I$486:$I886,402-MA_LONG2):$I886),"")</f>
        <v/>
      </c>
      <c r="Z886" s="48" t="n">
        <f aca="false">IF($U886&gt;=MA_SHORT,AVERAGE(INDEX($L$766:$L886,122-MA_SHORT):$L886),"")</f>
        <v>72437769.3</v>
      </c>
      <c r="AA886" s="48" t="n">
        <f aca="false">IF($U886=1,$G886-$H886,MAX($G886-$H886,ABS($G886-$I885),ABS($H886-$I885)))</f>
        <v>141</v>
      </c>
      <c r="AB886" s="48" t="n">
        <f aca="false">IF($U886&gt;=ATR_PER,AVERAGE(INDEX($AA$766:$AA886,122-ATR_PER):$AA886),"")</f>
        <v>164.5</v>
      </c>
      <c r="AC886" s="48" t="n">
        <f aca="false">$O886-$P886</f>
        <v>-20439129</v>
      </c>
      <c r="AD886" s="48" t="n">
        <f aca="false">$AC886*$I886</f>
        <v>-65364334542</v>
      </c>
      <c r="AE886" s="49" t="n">
        <f aca="false">IF($Q886&gt;0,$O886*$I886/$Q886/1000000,"")</f>
        <v>70.7396479205607</v>
      </c>
      <c r="AF886" s="49" t="n">
        <f aca="false">IF($R886&gt;0,$P886*$I886/$R886/1000000,"")</f>
        <v>183.974137187279</v>
      </c>
      <c r="AG886" s="50" t="n">
        <f aca="false">IF(AND(ISNUMBER($AE886),ISNUMBER($AF886),$AF886&gt;0),$AE886/$AF886,"")</f>
        <v>0.384508654325419</v>
      </c>
      <c r="AH886" s="48" t="n">
        <f aca="false">IF($U886&gt;=5,SUM(INDEX($AD$856:$AD886,32-5):$AD886),"")</f>
        <v>-111988206222</v>
      </c>
      <c r="AI886" s="48" t="n">
        <f aca="false">IF($U886&gt;=STRUCT_S,MAX(INDEX($G$736:$G886,152-STRUCT_S):$G886),"")</f>
        <v>3385</v>
      </c>
      <c r="AJ886" s="48" t="n">
        <f aca="false">IF($U886&gt;=STRUCT_S,MIN(INDEX($H$736:$H886,152-STRUCT_S):$H886),"")</f>
        <v>2757</v>
      </c>
      <c r="AK886" s="48" t="n">
        <f aca="false">IF($U886&gt;=STRUCT_L,MAX(INDEX($G$636:$G886,252-STRUCT_L):$G886),"")</f>
        <v>3385</v>
      </c>
      <c r="AL886" s="48" t="n">
        <f aca="false">IF($U886&gt;=STRUCT_L,MIN(INDEX($H$636:$H886,252-STRUCT_L):$H886),"")</f>
        <v>2656</v>
      </c>
      <c r="AM886" s="46" t="n">
        <f aca="false">IF($A886&lt;&gt;$A887,1,0)</f>
        <v>0</v>
      </c>
      <c r="AN886" s="47" t="str">
        <f aca="false">IF($AM886=1,$A886,"")</f>
        <v/>
      </c>
    </row>
    <row r="887" customFormat="false" ht="15" hidden="false" customHeight="false" outlineLevel="0" collapsed="false">
      <c r="A887" s="43" t="s">
        <v>147</v>
      </c>
      <c r="B887" s="44" t="s">
        <v>149</v>
      </c>
      <c r="C887" s="45" t="n">
        <v>46048</v>
      </c>
      <c r="D887" s="46" t="n">
        <v>20260126</v>
      </c>
      <c r="E887" s="47" t="s">
        <v>390</v>
      </c>
      <c r="F887" s="48" t="n">
        <v>3179</v>
      </c>
      <c r="G887" s="48" t="n">
        <v>3207</v>
      </c>
      <c r="H887" s="48" t="n">
        <v>3173</v>
      </c>
      <c r="I887" s="48" t="n">
        <v>3182</v>
      </c>
      <c r="J887" s="48" t="n">
        <v>3194</v>
      </c>
      <c r="K887" s="48" t="n">
        <v>3198</v>
      </c>
      <c r="L887" s="48" t="n">
        <v>58982674</v>
      </c>
      <c r="M887" s="48" t="n">
        <v>187682868668</v>
      </c>
      <c r="N887" s="48" t="n">
        <v>1359</v>
      </c>
      <c r="O887" s="48" t="n">
        <v>20301230</v>
      </c>
      <c r="P887" s="48" t="n">
        <v>39116818</v>
      </c>
      <c r="Q887" s="48" t="n">
        <v>386</v>
      </c>
      <c r="R887" s="48" t="n">
        <v>943</v>
      </c>
      <c r="S887" s="48" t="n">
        <v>38681444</v>
      </c>
      <c r="T887" s="48" t="n">
        <v>19865856</v>
      </c>
      <c r="U887" s="46" t="n">
        <f aca="false">IF($A887=$A886,$U886+1,1)</f>
        <v>103</v>
      </c>
      <c r="V887" s="48" t="n">
        <f aca="false">IF($U887&gt;=MA_SHORT,AVERAGE(INDEX($I$487:$I887,402-MA_SHORT):$I887),"")</f>
        <v>3085.35</v>
      </c>
      <c r="W887" s="48" t="n">
        <f aca="false">IF($U887&gt;=MA_MED,AVERAGE(INDEX($I$487:$I887,402-MA_MED):$I887),"")</f>
        <v>2984.1</v>
      </c>
      <c r="X887" s="48" t="n">
        <f aca="false">IF($U887&gt;=MA_LONG1,AVERAGE(INDEX($I$487:$I887,402-MA_LONG1):$I887),"")</f>
        <v>2845.4</v>
      </c>
      <c r="Y887" s="48" t="str">
        <f aca="false">IF($U887&gt;=MA_LONG2,AVERAGE(INDEX($I$487:$I887,402-MA_LONG2):$I887),"")</f>
        <v/>
      </c>
      <c r="Z887" s="48" t="n">
        <f aca="false">IF($U887&gt;=MA_SHORT,AVERAGE(INDEX($L$767:$L887,122-MA_SHORT):$L887),"")</f>
        <v>71550508.05</v>
      </c>
      <c r="AA887" s="48" t="n">
        <f aca="false">IF($U887=1,$G887-$H887,MAX($G887-$H887,ABS($G887-$I886),ABS($H887-$I886)))</f>
        <v>34</v>
      </c>
      <c r="AB887" s="48" t="n">
        <f aca="false">IF($U887&gt;=ATR_PER,AVERAGE(INDEX($AA$767:$AA887,122-ATR_PER):$AA887),"")</f>
        <v>158.857142857143</v>
      </c>
      <c r="AC887" s="48" t="n">
        <f aca="false">$O887-$P887</f>
        <v>-18815588</v>
      </c>
      <c r="AD887" s="48" t="n">
        <f aca="false">$AC887*$I887</f>
        <v>-59871201016</v>
      </c>
      <c r="AE887" s="49" t="n">
        <f aca="false">IF($Q887&gt;0,$O887*$I887/$Q887/1000000,"")</f>
        <v>167.353662849741</v>
      </c>
      <c r="AF887" s="49" t="n">
        <f aca="false">IF($R887&gt;0,$P887*$I887/$R887/1000000,"")</f>
        <v>131.993334969247</v>
      </c>
      <c r="AG887" s="50" t="n">
        <f aca="false">IF(AND(ISNUMBER($AE887),ISNUMBER($AF887),$AF887&gt;0),$AE887/$AF887,"")</f>
        <v>1.26789479854216</v>
      </c>
      <c r="AH887" s="48" t="n">
        <f aca="false">IF($U887&gt;=5,SUM(INDEX($AD$857:$AD887,32-5):$AD887),"")</f>
        <v>-170046779419</v>
      </c>
      <c r="AI887" s="48" t="n">
        <f aca="false">IF($U887&gt;=STRUCT_S,MAX(INDEX($G$737:$G887,152-STRUCT_S):$G887),"")</f>
        <v>3385</v>
      </c>
      <c r="AJ887" s="48" t="n">
        <f aca="false">IF($U887&gt;=STRUCT_S,MIN(INDEX($H$737:$H887,152-STRUCT_S):$H887),"")</f>
        <v>2790</v>
      </c>
      <c r="AK887" s="48" t="n">
        <f aca="false">IF($U887&gt;=STRUCT_L,MAX(INDEX($G$637:$G887,252-STRUCT_L):$G887),"")</f>
        <v>3385</v>
      </c>
      <c r="AL887" s="48" t="n">
        <f aca="false">IF($U887&gt;=STRUCT_L,MIN(INDEX($H$637:$H887,252-STRUCT_L):$H887),"")</f>
        <v>2656</v>
      </c>
      <c r="AM887" s="46" t="n">
        <f aca="false">IF($A887&lt;&gt;$A888,1,0)</f>
        <v>0</v>
      </c>
      <c r="AN887" s="47" t="str">
        <f aca="false">IF($AM887=1,$A887,"")</f>
        <v/>
      </c>
    </row>
    <row r="888" customFormat="false" ht="15" hidden="false" customHeight="false" outlineLevel="0" collapsed="false">
      <c r="A888" s="43" t="s">
        <v>147</v>
      </c>
      <c r="B888" s="44" t="s">
        <v>149</v>
      </c>
      <c r="C888" s="45" t="n">
        <v>46049</v>
      </c>
      <c r="D888" s="46" t="n">
        <v>20260127</v>
      </c>
      <c r="E888" s="47" t="s">
        <v>391</v>
      </c>
      <c r="F888" s="48" t="n">
        <v>3146</v>
      </c>
      <c r="G888" s="48" t="n">
        <v>3195</v>
      </c>
      <c r="H888" s="48" t="n">
        <v>3146</v>
      </c>
      <c r="I888" s="48" t="n">
        <v>3159</v>
      </c>
      <c r="J888" s="48" t="n">
        <v>3189</v>
      </c>
      <c r="K888" s="48" t="n">
        <v>3182</v>
      </c>
      <c r="L888" s="48" t="n">
        <v>59747155</v>
      </c>
      <c r="M888" s="48" t="n">
        <v>188741262645</v>
      </c>
      <c r="N888" s="48" t="n">
        <v>1453</v>
      </c>
      <c r="O888" s="48" t="n">
        <v>23191487</v>
      </c>
      <c r="P888" s="48" t="n">
        <v>35106211</v>
      </c>
      <c r="Q888" s="48" t="n">
        <v>471</v>
      </c>
      <c r="R888" s="48" t="n">
        <v>924</v>
      </c>
      <c r="S888" s="48" t="n">
        <v>36555668</v>
      </c>
      <c r="T888" s="48" t="n">
        <v>24640944</v>
      </c>
      <c r="U888" s="46" t="n">
        <f aca="false">IF($A888=$A887,$U887+1,1)</f>
        <v>104</v>
      </c>
      <c r="V888" s="48" t="n">
        <f aca="false">IF($U888&gt;=MA_SHORT,AVERAGE(INDEX($I$488:$I888,402-MA_SHORT):$I888),"")</f>
        <v>3097.9</v>
      </c>
      <c r="W888" s="48" t="n">
        <f aca="false">IF($U888&gt;=MA_MED,AVERAGE(INDEX($I$488:$I888,402-MA_MED):$I888),"")</f>
        <v>2989.66</v>
      </c>
      <c r="X888" s="48" t="n">
        <f aca="false">IF($U888&gt;=MA_LONG1,AVERAGE(INDEX($I$488:$I888,402-MA_LONG1):$I888),"")</f>
        <v>2852.39</v>
      </c>
      <c r="Y888" s="48" t="str">
        <f aca="false">IF($U888&gt;=MA_LONG2,AVERAGE(INDEX($I$488:$I888,402-MA_LONG2):$I888),"")</f>
        <v/>
      </c>
      <c r="Z888" s="48" t="n">
        <f aca="false">IF($U888&gt;=MA_SHORT,AVERAGE(INDEX($L$768:$L888,122-MA_SHORT):$L888),"")</f>
        <v>70942825.55</v>
      </c>
      <c r="AA888" s="48" t="n">
        <f aca="false">IF($U888=1,$G888-$H888,MAX($G888-$H888,ABS($G888-$I887),ABS($H888-$I887)))</f>
        <v>49</v>
      </c>
      <c r="AB888" s="48" t="n">
        <f aca="false">IF($U888&gt;=ATR_PER,AVERAGE(INDEX($AA$768:$AA888,122-ATR_PER):$AA888),"")</f>
        <v>150.642857142857</v>
      </c>
      <c r="AC888" s="48" t="n">
        <f aca="false">$O888-$P888</f>
        <v>-11914724</v>
      </c>
      <c r="AD888" s="48" t="n">
        <f aca="false">$AC888*$I888</f>
        <v>-37638613116</v>
      </c>
      <c r="AE888" s="49" t="n">
        <f aca="false">IF($Q888&gt;0,$O888*$I888/$Q888/1000000,"")</f>
        <v>155.545451025478</v>
      </c>
      <c r="AF888" s="49" t="n">
        <f aca="false">IF($R888&gt;0,$P888*$I888/$R888/1000000,"")</f>
        <v>120.022208386364</v>
      </c>
      <c r="AG888" s="50" t="n">
        <f aca="false">IF(AND(ISNUMBER($AE888),ISNUMBER($AF888),$AF888&gt;0),$AE888/$AF888,"")</f>
        <v>1.2959722464426</v>
      </c>
      <c r="AH888" s="48" t="n">
        <f aca="false">IF($U888&gt;=5,SUM(INDEX($AD$858:$AD888,32-5):$AD888),"")</f>
        <v>-224920041078</v>
      </c>
      <c r="AI888" s="48" t="n">
        <f aca="false">IF($U888&gt;=STRUCT_S,MAX(INDEX($G$738:$G888,152-STRUCT_S):$G888),"")</f>
        <v>3385</v>
      </c>
      <c r="AJ888" s="48" t="n">
        <f aca="false">IF($U888&gt;=STRUCT_S,MIN(INDEX($H$738:$H888,152-STRUCT_S):$H888),"")</f>
        <v>2879</v>
      </c>
      <c r="AK888" s="48" t="n">
        <f aca="false">IF($U888&gt;=STRUCT_L,MAX(INDEX($G$638:$G888,252-STRUCT_L):$G888),"")</f>
        <v>3385</v>
      </c>
      <c r="AL888" s="48" t="n">
        <f aca="false">IF($U888&gt;=STRUCT_L,MIN(INDEX($H$638:$H888,252-STRUCT_L):$H888),"")</f>
        <v>2656</v>
      </c>
      <c r="AM888" s="46" t="n">
        <f aca="false">IF($A888&lt;&gt;$A889,1,0)</f>
        <v>0</v>
      </c>
      <c r="AN888" s="47" t="str">
        <f aca="false">IF($AM888=1,$A888,"")</f>
        <v/>
      </c>
    </row>
    <row r="889" customFormat="false" ht="15" hidden="false" customHeight="false" outlineLevel="0" collapsed="false">
      <c r="A889" s="43" t="s">
        <v>147</v>
      </c>
      <c r="B889" s="44" t="s">
        <v>149</v>
      </c>
      <c r="C889" s="45" t="n">
        <v>46050</v>
      </c>
      <c r="D889" s="46" t="n">
        <v>20260128</v>
      </c>
      <c r="E889" s="47" t="s">
        <v>392</v>
      </c>
      <c r="F889" s="48" t="n">
        <v>3169</v>
      </c>
      <c r="G889" s="48" t="n">
        <v>3173</v>
      </c>
      <c r="H889" s="48" t="n">
        <v>3147</v>
      </c>
      <c r="I889" s="48" t="n">
        <v>3161</v>
      </c>
      <c r="J889" s="48" t="n">
        <v>3151</v>
      </c>
      <c r="K889" s="48" t="n">
        <v>3159</v>
      </c>
      <c r="L889" s="48" t="n">
        <v>83263357</v>
      </c>
      <c r="M889" s="48" t="n">
        <v>263195471477</v>
      </c>
      <c r="N889" s="48" t="n">
        <v>3347</v>
      </c>
      <c r="O889" s="48" t="n">
        <v>30671295</v>
      </c>
      <c r="P889" s="48" t="n">
        <v>52863240</v>
      </c>
      <c r="Q889" s="48" t="n">
        <v>1914</v>
      </c>
      <c r="R889" s="48" t="n">
        <v>980</v>
      </c>
      <c r="S889" s="48" t="n">
        <v>52592062</v>
      </c>
      <c r="T889" s="48" t="n">
        <v>30400117</v>
      </c>
      <c r="U889" s="46" t="n">
        <f aca="false">IF($A889=$A888,$U888+1,1)</f>
        <v>105</v>
      </c>
      <c r="V889" s="48" t="n">
        <f aca="false">IF($U889&gt;=MA_SHORT,AVERAGE(INDEX($I$489:$I889,402-MA_SHORT):$I889),"")</f>
        <v>3103.7</v>
      </c>
      <c r="W889" s="48" t="n">
        <f aca="false">IF($U889&gt;=MA_MED,AVERAGE(INDEX($I$489:$I889,402-MA_MED):$I889),"")</f>
        <v>2995.2</v>
      </c>
      <c r="X889" s="48" t="n">
        <f aca="false">IF($U889&gt;=MA_LONG1,AVERAGE(INDEX($I$489:$I889,402-MA_LONG1):$I889),"")</f>
        <v>2859.57</v>
      </c>
      <c r="Y889" s="48" t="str">
        <f aca="false">IF($U889&gt;=MA_LONG2,AVERAGE(INDEX($I$489:$I889,402-MA_LONG2):$I889),"")</f>
        <v/>
      </c>
      <c r="Z889" s="48" t="n">
        <f aca="false">IF($U889&gt;=MA_SHORT,AVERAGE(INDEX($L$769:$L889,122-MA_SHORT):$L889),"")</f>
        <v>71433476.9</v>
      </c>
      <c r="AA889" s="48" t="n">
        <f aca="false">IF($U889=1,$G889-$H889,MAX($G889-$H889,ABS($G889-$I888),ABS($H889-$I888)))</f>
        <v>26</v>
      </c>
      <c r="AB889" s="48" t="n">
        <f aca="false">IF($U889&gt;=ATR_PER,AVERAGE(INDEX($AA$769:$AA889,122-ATR_PER):$AA889),"")</f>
        <v>145.785714285714</v>
      </c>
      <c r="AC889" s="48" t="n">
        <f aca="false">$O889-$P889</f>
        <v>-22191945</v>
      </c>
      <c r="AD889" s="48" t="n">
        <f aca="false">$AC889*$I889</f>
        <v>-70148738145</v>
      </c>
      <c r="AE889" s="49" t="n">
        <f aca="false">IF($Q889&gt;0,$O889*$I889/$Q889/1000000,"")</f>
        <v>50.6541084090909</v>
      </c>
      <c r="AF889" s="49" t="n">
        <f aca="false">IF($R889&gt;0,$P889*$I889/$R889/1000000,"")</f>
        <v>170.510920040816</v>
      </c>
      <c r="AG889" s="50" t="n">
        <f aca="false">IF(AND(ISNUMBER($AE889),ISNUMBER($AF889),$AF889&gt;0),$AE889/$AF889,"")</f>
        <v>0.297072518270182</v>
      </c>
      <c r="AH889" s="48" t="n">
        <f aca="false">IF($U889&gt;=5,SUM(INDEX($AD$859:$AD889,32-5):$AD889),"")</f>
        <v>-276299634103</v>
      </c>
      <c r="AI889" s="48" t="n">
        <f aca="false">IF($U889&gt;=STRUCT_S,MAX(INDEX($G$739:$G889,152-STRUCT_S):$G889),"")</f>
        <v>3385</v>
      </c>
      <c r="AJ889" s="48" t="n">
        <f aca="false">IF($U889&gt;=STRUCT_S,MIN(INDEX($H$739:$H889,152-STRUCT_S):$H889),"")</f>
        <v>2879</v>
      </c>
      <c r="AK889" s="48" t="n">
        <f aca="false">IF($U889&gt;=STRUCT_L,MAX(INDEX($G$639:$G889,252-STRUCT_L):$G889),"")</f>
        <v>3385</v>
      </c>
      <c r="AL889" s="48" t="n">
        <f aca="false">IF($U889&gt;=STRUCT_L,MIN(INDEX($H$639:$H889,252-STRUCT_L):$H889),"")</f>
        <v>2656</v>
      </c>
      <c r="AM889" s="46" t="n">
        <f aca="false">IF($A889&lt;&gt;$A890,1,0)</f>
        <v>0</v>
      </c>
      <c r="AN889" s="47" t="str">
        <f aca="false">IF($AM889=1,$A889,"")</f>
        <v/>
      </c>
    </row>
    <row r="890" customFormat="false" ht="15" hidden="false" customHeight="false" outlineLevel="0" collapsed="false">
      <c r="A890" s="43" t="s">
        <v>147</v>
      </c>
      <c r="B890" s="44" t="s">
        <v>149</v>
      </c>
      <c r="C890" s="45" t="n">
        <v>46053</v>
      </c>
      <c r="D890" s="46" t="n">
        <v>20260131</v>
      </c>
      <c r="E890" s="47" t="s">
        <v>393</v>
      </c>
      <c r="F890" s="48" t="n">
        <v>3153</v>
      </c>
      <c r="G890" s="48" t="n">
        <v>3179</v>
      </c>
      <c r="H890" s="48" t="n">
        <v>3135</v>
      </c>
      <c r="I890" s="48" t="n">
        <v>3153</v>
      </c>
      <c r="J890" s="48" t="n">
        <v>3153</v>
      </c>
      <c r="K890" s="48" t="n">
        <v>3161</v>
      </c>
      <c r="L890" s="48" t="n">
        <v>87131359</v>
      </c>
      <c r="M890" s="48" t="n">
        <v>274725174927</v>
      </c>
      <c r="N890" s="48" t="n">
        <v>2837</v>
      </c>
      <c r="O890" s="48" t="n">
        <v>37807549</v>
      </c>
      <c r="P890" s="48" t="n">
        <v>50275382</v>
      </c>
      <c r="Q890" s="48" t="n">
        <v>1070</v>
      </c>
      <c r="R890" s="48" t="n">
        <v>1518</v>
      </c>
      <c r="S890" s="48" t="n">
        <v>49323810</v>
      </c>
      <c r="T890" s="48" t="n">
        <v>36855977</v>
      </c>
      <c r="U890" s="46" t="n">
        <f aca="false">IF($A890=$A889,$U889+1,1)</f>
        <v>106</v>
      </c>
      <c r="V890" s="48" t="n">
        <f aca="false">IF($U890&gt;=MA_SHORT,AVERAGE(INDEX($I$490:$I890,402-MA_SHORT):$I890),"")</f>
        <v>3106.55</v>
      </c>
      <c r="W890" s="48" t="n">
        <f aca="false">IF($U890&gt;=MA_MED,AVERAGE(INDEX($I$490:$I890,402-MA_MED):$I890),"")</f>
        <v>3001.78</v>
      </c>
      <c r="X890" s="48" t="n">
        <f aca="false">IF($U890&gt;=MA_LONG1,AVERAGE(INDEX($I$490:$I890,402-MA_LONG1):$I890),"")</f>
        <v>2866.75</v>
      </c>
      <c r="Y890" s="48" t="str">
        <f aca="false">IF($U890&gt;=MA_LONG2,AVERAGE(INDEX($I$490:$I890,402-MA_LONG2):$I890),"")</f>
        <v/>
      </c>
      <c r="Z890" s="48" t="n">
        <f aca="false">IF($U890&gt;=MA_SHORT,AVERAGE(INDEX($L$770:$L890,122-MA_SHORT):$L890),"")</f>
        <v>71150951.95</v>
      </c>
      <c r="AA890" s="48" t="n">
        <f aca="false">IF($U890=1,$G890-$H890,MAX($G890-$H890,ABS($G890-$I889),ABS($H890-$I889)))</f>
        <v>44</v>
      </c>
      <c r="AB890" s="48" t="n">
        <f aca="false">IF($U890&gt;=ATR_PER,AVERAGE(INDEX($AA$770:$AA890,122-ATR_PER):$AA890),"")</f>
        <v>142.214285714286</v>
      </c>
      <c r="AC890" s="48" t="n">
        <f aca="false">$O890-$P890</f>
        <v>-12467833</v>
      </c>
      <c r="AD890" s="48" t="n">
        <f aca="false">$AC890*$I890</f>
        <v>-39311077449</v>
      </c>
      <c r="AE890" s="49" t="n">
        <f aca="false">IF($Q890&gt;0,$O890*$I890/$Q890/1000000,"")</f>
        <v>111.408599997196</v>
      </c>
      <c r="AF890" s="49" t="n">
        <f aca="false">IF($R890&gt;0,$P890*$I890/$R890/1000000,"")</f>
        <v>104.425744035573</v>
      </c>
      <c r="AG890" s="50" t="n">
        <f aca="false">IF(AND(ISNUMBER($AE890),ISNUMBER($AF890),$AF890&gt;0),$AE890/$AF890,"")</f>
        <v>1.06686910422438</v>
      </c>
      <c r="AH890" s="48" t="n">
        <f aca="false">IF($U890&gt;=5,SUM(INDEX($AD$860:$AD890,32-5):$AD890),"")</f>
        <v>-272333964268</v>
      </c>
      <c r="AI890" s="48" t="n">
        <f aca="false">IF($U890&gt;=STRUCT_S,MAX(INDEX($G$740:$G890,152-STRUCT_S):$G890),"")</f>
        <v>3385</v>
      </c>
      <c r="AJ890" s="48" t="n">
        <f aca="false">IF($U890&gt;=STRUCT_S,MIN(INDEX($H$740:$H890,152-STRUCT_S):$H890),"")</f>
        <v>2879</v>
      </c>
      <c r="AK890" s="48" t="n">
        <f aca="false">IF($U890&gt;=STRUCT_L,MAX(INDEX($G$640:$G890,252-STRUCT_L):$G890),"")</f>
        <v>3385</v>
      </c>
      <c r="AL890" s="48" t="n">
        <f aca="false">IF($U890&gt;=STRUCT_L,MIN(INDEX($H$640:$H890,252-STRUCT_L):$H890),"")</f>
        <v>2656</v>
      </c>
      <c r="AM890" s="46" t="n">
        <f aca="false">IF($A890&lt;&gt;$A891,1,0)</f>
        <v>0</v>
      </c>
      <c r="AN890" s="47" t="str">
        <f aca="false">IF($AM890=1,$A890,"")</f>
        <v/>
      </c>
    </row>
    <row r="891" customFormat="false" ht="15" hidden="false" customHeight="false" outlineLevel="0" collapsed="false">
      <c r="A891" s="43" t="s">
        <v>147</v>
      </c>
      <c r="B891" s="44" t="s">
        <v>149</v>
      </c>
      <c r="C891" s="45" t="n">
        <v>46054</v>
      </c>
      <c r="D891" s="46" t="n">
        <v>20260201</v>
      </c>
      <c r="E891" s="47" t="s">
        <v>394</v>
      </c>
      <c r="F891" s="48" t="n">
        <v>3145</v>
      </c>
      <c r="G891" s="48" t="n">
        <v>3292</v>
      </c>
      <c r="H891" s="48" t="n">
        <v>3126</v>
      </c>
      <c r="I891" s="48" t="n">
        <v>3264</v>
      </c>
      <c r="J891" s="48" t="n">
        <v>3195</v>
      </c>
      <c r="K891" s="48" t="n">
        <v>3153</v>
      </c>
      <c r="L891" s="48" t="n">
        <v>79996489</v>
      </c>
      <c r="M891" s="48" t="n">
        <v>261108540096</v>
      </c>
      <c r="N891" s="48" t="n">
        <v>8346</v>
      </c>
      <c r="O891" s="48" t="n">
        <v>43035967</v>
      </c>
      <c r="P891" s="48" t="n">
        <v>35362215</v>
      </c>
      <c r="Q891" s="48" t="n">
        <v>3674</v>
      </c>
      <c r="R891" s="48" t="n">
        <v>3137</v>
      </c>
      <c r="S891" s="48" t="n">
        <v>36960522</v>
      </c>
      <c r="T891" s="48" t="n">
        <v>44634274</v>
      </c>
      <c r="U891" s="46" t="n">
        <f aca="false">IF($A891=$A890,$U890+1,1)</f>
        <v>107</v>
      </c>
      <c r="V891" s="48" t="n">
        <f aca="false">IF($U891&gt;=MA_SHORT,AVERAGE(INDEX($I$491:$I891,402-MA_SHORT):$I891),"")</f>
        <v>3116.6</v>
      </c>
      <c r="W891" s="48" t="n">
        <f aca="false">IF($U891&gt;=MA_MED,AVERAGE(INDEX($I$491:$I891,402-MA_MED):$I891),"")</f>
        <v>3008.8</v>
      </c>
      <c r="X891" s="48" t="n">
        <f aca="false">IF($U891&gt;=MA_LONG1,AVERAGE(INDEX($I$491:$I891,402-MA_LONG1):$I891),"")</f>
        <v>2874.79</v>
      </c>
      <c r="Y891" s="48" t="str">
        <f aca="false">IF($U891&gt;=MA_LONG2,AVERAGE(INDEX($I$491:$I891,402-MA_LONG2):$I891),"")</f>
        <v/>
      </c>
      <c r="Z891" s="48" t="n">
        <f aca="false">IF($U891&gt;=MA_SHORT,AVERAGE(INDEX($L$771:$L891,122-MA_SHORT):$L891),"")</f>
        <v>72104481.3</v>
      </c>
      <c r="AA891" s="48" t="n">
        <f aca="false">IF($U891=1,$G891-$H891,MAX($G891-$H891,ABS($G891-$I890),ABS($H891-$I890)))</f>
        <v>166</v>
      </c>
      <c r="AB891" s="48" t="n">
        <f aca="false">IF($U891&gt;=ATR_PER,AVERAGE(INDEX($AA$771:$AA891,122-ATR_PER):$AA891),"")</f>
        <v>144.357142857143</v>
      </c>
      <c r="AC891" s="48" t="n">
        <f aca="false">$O891-$P891</f>
        <v>7673752</v>
      </c>
      <c r="AD891" s="48" t="n">
        <f aca="false">$AC891*$I891</f>
        <v>25047126528</v>
      </c>
      <c r="AE891" s="49" t="n">
        <f aca="false">IF($Q891&gt;0,$O891*$I891/$Q891/1000000,"")</f>
        <v>38.2333686140446</v>
      </c>
      <c r="AF891" s="49" t="n">
        <f aca="false">IF($R891&gt;0,$P891*$I891/$R891/1000000,"")</f>
        <v>36.7938379853363</v>
      </c>
      <c r="AG891" s="50" t="n">
        <f aca="false">IF(AND(ISNUMBER($AE891),ISNUMBER($AF891),$AF891&gt;0),$AE891/$AF891,"")</f>
        <v>1.03912423132596</v>
      </c>
      <c r="AH891" s="48" t="n">
        <f aca="false">IF($U891&gt;=5,SUM(INDEX($AD$861:$AD891,32-5):$AD891),"")</f>
        <v>-181922503198</v>
      </c>
      <c r="AI891" s="48" t="n">
        <f aca="false">IF($U891&gt;=STRUCT_S,MAX(INDEX($G$741:$G891,152-STRUCT_S):$G891),"")</f>
        <v>3385</v>
      </c>
      <c r="AJ891" s="48" t="n">
        <f aca="false">IF($U891&gt;=STRUCT_S,MIN(INDEX($H$741:$H891,152-STRUCT_S):$H891),"")</f>
        <v>2879</v>
      </c>
      <c r="AK891" s="48" t="n">
        <f aca="false">IF($U891&gt;=STRUCT_L,MAX(INDEX($G$641:$G891,252-STRUCT_L):$G891),"")</f>
        <v>3385</v>
      </c>
      <c r="AL891" s="48" t="n">
        <f aca="false">IF($U891&gt;=STRUCT_L,MIN(INDEX($H$641:$H891,252-STRUCT_L):$H891),"")</f>
        <v>2656</v>
      </c>
      <c r="AM891" s="46" t="n">
        <f aca="false">IF($A891&lt;&gt;$A892,1,0)</f>
        <v>0</v>
      </c>
      <c r="AN891" s="47" t="str">
        <f aca="false">IF($AM891=1,$A891,"")</f>
        <v/>
      </c>
    </row>
    <row r="892" customFormat="false" ht="15" hidden="false" customHeight="false" outlineLevel="0" collapsed="false">
      <c r="A892" s="43" t="s">
        <v>147</v>
      </c>
      <c r="B892" s="44" t="s">
        <v>149</v>
      </c>
      <c r="C892" s="45" t="n">
        <v>46055</v>
      </c>
      <c r="D892" s="46" t="n">
        <v>20260202</v>
      </c>
      <c r="E892" s="47" t="s">
        <v>395</v>
      </c>
      <c r="F892" s="48" t="n">
        <v>3252</v>
      </c>
      <c r="G892" s="48" t="n">
        <v>3292</v>
      </c>
      <c r="H892" s="48" t="n">
        <v>3199</v>
      </c>
      <c r="I892" s="48" t="n">
        <v>3227</v>
      </c>
      <c r="J892" s="48" t="n">
        <v>3267</v>
      </c>
      <c r="K892" s="48" t="n">
        <v>3264</v>
      </c>
      <c r="L892" s="48" t="n">
        <v>61158462</v>
      </c>
      <c r="M892" s="48" t="n">
        <v>197358356874</v>
      </c>
      <c r="N892" s="48" t="n">
        <v>1381</v>
      </c>
      <c r="O892" s="48" t="n">
        <v>24204383</v>
      </c>
      <c r="P892" s="48" t="n">
        <v>37333262</v>
      </c>
      <c r="Q892" s="48" t="n">
        <v>460</v>
      </c>
      <c r="R892" s="48" t="n">
        <v>763</v>
      </c>
      <c r="S892" s="48" t="n">
        <v>36954079</v>
      </c>
      <c r="T892" s="48" t="n">
        <v>23825200</v>
      </c>
      <c r="U892" s="46" t="n">
        <f aca="false">IF($A892=$A891,$U891+1,1)</f>
        <v>108</v>
      </c>
      <c r="V892" s="48" t="n">
        <f aca="false">IF($U892&gt;=MA_SHORT,AVERAGE(INDEX($I$492:$I892,402-MA_SHORT):$I892),"")</f>
        <v>3125.1</v>
      </c>
      <c r="W892" s="48" t="n">
        <f aca="false">IF($U892&gt;=MA_MED,AVERAGE(INDEX($I$492:$I892,402-MA_MED):$I892),"")</f>
        <v>3015.16</v>
      </c>
      <c r="X892" s="48" t="n">
        <f aca="false">IF($U892&gt;=MA_LONG1,AVERAGE(INDEX($I$492:$I892,402-MA_LONG1):$I892),"")</f>
        <v>2882.67</v>
      </c>
      <c r="Y892" s="48" t="str">
        <f aca="false">IF($U892&gt;=MA_LONG2,AVERAGE(INDEX($I$492:$I892,402-MA_LONG2):$I892),"")</f>
        <v/>
      </c>
      <c r="Z892" s="48" t="n">
        <f aca="false">IF($U892&gt;=MA_SHORT,AVERAGE(INDEX($L$772:$L892,122-MA_SHORT):$L892),"")</f>
        <v>72265568.4</v>
      </c>
      <c r="AA892" s="48" t="n">
        <f aca="false">IF($U892=1,$G892-$H892,MAX($G892-$H892,ABS($G892-$I891),ABS($H892-$I891)))</f>
        <v>93</v>
      </c>
      <c r="AB892" s="48" t="n">
        <f aca="false">IF($U892&gt;=ATR_PER,AVERAGE(INDEX($AA$772:$AA892,122-ATR_PER):$AA892),"")</f>
        <v>133.285714285714</v>
      </c>
      <c r="AC892" s="48" t="n">
        <f aca="false">$O892-$P892</f>
        <v>-13128879</v>
      </c>
      <c r="AD892" s="48" t="n">
        <f aca="false">$AC892*$I892</f>
        <v>-42366892533</v>
      </c>
      <c r="AE892" s="49" t="n">
        <f aca="false">IF($Q892&gt;0,$O892*$I892/$Q892/1000000,"")</f>
        <v>169.799008567391</v>
      </c>
      <c r="AF892" s="49" t="n">
        <f aca="false">IF($R892&gt;0,$P892*$I892/$R892/1000000,"")</f>
        <v>157.895722770642</v>
      </c>
      <c r="AG892" s="50" t="n">
        <f aca="false">IF(AND(ISNUMBER($AE892),ISNUMBER($AF892),$AF892&gt;0),$AE892/$AF892,"")</f>
        <v>1.07538700598014</v>
      </c>
      <c r="AH892" s="48" t="n">
        <f aca="false">IF($U892&gt;=5,SUM(INDEX($AD$862:$AD892,32-5):$AD892),"")</f>
        <v>-164418194715</v>
      </c>
      <c r="AI892" s="48" t="n">
        <f aca="false">IF($U892&gt;=STRUCT_S,MAX(INDEX($G$742:$G892,152-STRUCT_S):$G892),"")</f>
        <v>3385</v>
      </c>
      <c r="AJ892" s="48" t="n">
        <f aca="false">IF($U892&gt;=STRUCT_S,MIN(INDEX($H$742:$H892,152-STRUCT_S):$H892),"")</f>
        <v>2879</v>
      </c>
      <c r="AK892" s="48" t="n">
        <f aca="false">IF($U892&gt;=STRUCT_L,MAX(INDEX($G$642:$G892,252-STRUCT_L):$G892),"")</f>
        <v>3385</v>
      </c>
      <c r="AL892" s="48" t="n">
        <f aca="false">IF($U892&gt;=STRUCT_L,MIN(INDEX($H$642:$H892,252-STRUCT_L):$H892),"")</f>
        <v>2656</v>
      </c>
      <c r="AM892" s="46" t="n">
        <f aca="false">IF($A892&lt;&gt;$A893,1,0)</f>
        <v>0</v>
      </c>
      <c r="AN892" s="47" t="str">
        <f aca="false">IF($AM892=1,$A892,"")</f>
        <v/>
      </c>
    </row>
    <row r="893" customFormat="false" ht="15" hidden="false" customHeight="false" outlineLevel="0" collapsed="false">
      <c r="A893" s="43" t="s">
        <v>147</v>
      </c>
      <c r="B893" s="44" t="s">
        <v>149</v>
      </c>
      <c r="C893" s="45" t="n">
        <v>46056</v>
      </c>
      <c r="D893" s="46" t="n">
        <v>20260203</v>
      </c>
      <c r="E893" s="47" t="s">
        <v>396</v>
      </c>
      <c r="F893" s="48" t="n">
        <v>3214</v>
      </c>
      <c r="G893" s="48" t="n">
        <v>3241</v>
      </c>
      <c r="H893" s="48" t="n">
        <v>3210</v>
      </c>
      <c r="I893" s="48" t="n">
        <v>3224</v>
      </c>
      <c r="J893" s="48" t="n">
        <v>3212</v>
      </c>
      <c r="K893" s="48" t="n">
        <v>3227</v>
      </c>
      <c r="L893" s="48" t="n">
        <v>91697608</v>
      </c>
      <c r="M893" s="48" t="n">
        <v>295633088192</v>
      </c>
      <c r="N893" s="48" t="n">
        <v>2674</v>
      </c>
      <c r="O893" s="48" t="n">
        <v>43948167</v>
      </c>
      <c r="P893" s="48" t="n">
        <v>41840536</v>
      </c>
      <c r="Q893" s="48" t="n">
        <v>752</v>
      </c>
      <c r="R893" s="48" t="n">
        <v>1421</v>
      </c>
      <c r="S893" s="48" t="n">
        <v>47749441</v>
      </c>
      <c r="T893" s="48" t="n">
        <v>49857072</v>
      </c>
      <c r="U893" s="46" t="n">
        <f aca="false">IF($A893=$A892,$U892+1,1)</f>
        <v>109</v>
      </c>
      <c r="V893" s="48" t="n">
        <f aca="false">IF($U893&gt;=MA_SHORT,AVERAGE(INDEX($I$493:$I893,402-MA_SHORT):$I893),"")</f>
        <v>3137.85</v>
      </c>
      <c r="W893" s="48" t="n">
        <f aca="false">IF($U893&gt;=MA_MED,AVERAGE(INDEX($I$493:$I893,402-MA_MED):$I893),"")</f>
        <v>3020.76</v>
      </c>
      <c r="X893" s="48" t="n">
        <f aca="false">IF($U893&gt;=MA_LONG1,AVERAGE(INDEX($I$493:$I893,402-MA_LONG1):$I893),"")</f>
        <v>2890.98</v>
      </c>
      <c r="Y893" s="48" t="str">
        <f aca="false">IF($U893&gt;=MA_LONG2,AVERAGE(INDEX($I$493:$I893,402-MA_LONG2):$I893),"")</f>
        <v/>
      </c>
      <c r="Z893" s="48" t="n">
        <f aca="false">IF($U893&gt;=MA_SHORT,AVERAGE(INDEX($L$773:$L893,122-MA_SHORT):$L893),"")</f>
        <v>73492739.85</v>
      </c>
      <c r="AA893" s="48" t="n">
        <f aca="false">IF($U893=1,$G893-$H893,MAX($G893-$H893,ABS($G893-$I892),ABS($H893-$I892)))</f>
        <v>31</v>
      </c>
      <c r="AB893" s="48" t="n">
        <f aca="false">IF($U893&gt;=ATR_PER,AVERAGE(INDEX($AA$773:$AA893,122-ATR_PER):$AA893),"")</f>
        <v>124.214285714286</v>
      </c>
      <c r="AC893" s="48" t="n">
        <f aca="false">$O893-$P893</f>
        <v>2107631</v>
      </c>
      <c r="AD893" s="48" t="n">
        <f aca="false">$AC893*$I893</f>
        <v>6795002344</v>
      </c>
      <c r="AE893" s="49" t="n">
        <f aca="false">IF($Q893&gt;0,$O893*$I893/$Q893/1000000,"")</f>
        <v>188.416077670213</v>
      </c>
      <c r="AF893" s="49" t="n">
        <f aca="false">IF($R893&gt;0,$P893*$I893/$R893/1000000,"")</f>
        <v>94.92884452076</v>
      </c>
      <c r="AG893" s="50" t="n">
        <f aca="false">IF(AND(ISNUMBER($AE893),ISNUMBER($AF893),$AF893&gt;0),$AE893/$AF893,"")</f>
        <v>1.98481376889622</v>
      </c>
      <c r="AH893" s="48" t="n">
        <f aca="false">IF($U893&gt;=5,SUM(INDEX($AD$863:$AD893,32-5):$AD893),"")</f>
        <v>-119984579255</v>
      </c>
      <c r="AI893" s="48" t="n">
        <f aca="false">IF($U893&gt;=STRUCT_S,MAX(INDEX($G$743:$G893,152-STRUCT_S):$G893),"")</f>
        <v>3385</v>
      </c>
      <c r="AJ893" s="48" t="n">
        <f aca="false">IF($U893&gt;=STRUCT_S,MIN(INDEX($H$743:$H893,152-STRUCT_S):$H893),"")</f>
        <v>2879</v>
      </c>
      <c r="AK893" s="48" t="n">
        <f aca="false">IF($U893&gt;=STRUCT_L,MAX(INDEX($G$643:$G893,252-STRUCT_L):$G893),"")</f>
        <v>3385</v>
      </c>
      <c r="AL893" s="48" t="n">
        <f aca="false">IF($U893&gt;=STRUCT_L,MIN(INDEX($H$643:$H893,252-STRUCT_L):$H893),"")</f>
        <v>2656</v>
      </c>
      <c r="AM893" s="46" t="n">
        <f aca="false">IF($A893&lt;&gt;$A894,1,0)</f>
        <v>0</v>
      </c>
      <c r="AN893" s="47" t="str">
        <f aca="false">IF($AM893=1,$A893,"")</f>
        <v/>
      </c>
    </row>
    <row r="894" customFormat="false" ht="15" hidden="false" customHeight="false" outlineLevel="0" collapsed="false">
      <c r="A894" s="43" t="s">
        <v>147</v>
      </c>
      <c r="B894" s="44" t="s">
        <v>149</v>
      </c>
      <c r="C894" s="45" t="n">
        <v>46057</v>
      </c>
      <c r="D894" s="46" t="n">
        <v>20260204</v>
      </c>
      <c r="E894" s="47" t="s">
        <v>397</v>
      </c>
      <c r="F894" s="48" t="n">
        <v>3179</v>
      </c>
      <c r="G894" s="48" t="n">
        <v>3302</v>
      </c>
      <c r="H894" s="48" t="n">
        <v>3112</v>
      </c>
      <c r="I894" s="48" t="n">
        <v>3189</v>
      </c>
      <c r="J894" s="48" t="n">
        <v>3221</v>
      </c>
      <c r="K894" s="48" t="n">
        <v>3224</v>
      </c>
      <c r="L894" s="48" t="n">
        <v>89370055</v>
      </c>
      <c r="M894" s="48" t="n">
        <v>285001105395</v>
      </c>
      <c r="N894" s="48" t="n">
        <v>5829</v>
      </c>
      <c r="O894" s="48" t="n">
        <v>34455683</v>
      </c>
      <c r="P894" s="48" t="n">
        <v>54488763</v>
      </c>
      <c r="Q894" s="48" t="n">
        <v>1638</v>
      </c>
      <c r="R894" s="48" t="n">
        <v>2489</v>
      </c>
      <c r="S894" s="48" t="n">
        <v>54914372</v>
      </c>
      <c r="T894" s="48" t="n">
        <v>34881292</v>
      </c>
      <c r="U894" s="46" t="n">
        <f aca="false">IF($A894=$A893,$U893+1,1)</f>
        <v>110</v>
      </c>
      <c r="V894" s="48" t="n">
        <f aca="false">IF($U894&gt;=MA_SHORT,AVERAGE(INDEX($I$494:$I894,402-MA_SHORT):$I894),"")</f>
        <v>3149.7</v>
      </c>
      <c r="W894" s="48" t="n">
        <f aca="false">IF($U894&gt;=MA_MED,AVERAGE(INDEX($I$494:$I894,402-MA_MED):$I894),"")</f>
        <v>3026.02</v>
      </c>
      <c r="X894" s="48" t="n">
        <f aca="false">IF($U894&gt;=MA_LONG1,AVERAGE(INDEX($I$494:$I894,402-MA_LONG1):$I894),"")</f>
        <v>2899.19</v>
      </c>
      <c r="Y894" s="48" t="str">
        <f aca="false">IF($U894&gt;=MA_LONG2,AVERAGE(INDEX($I$494:$I894,402-MA_LONG2):$I894),"")</f>
        <v/>
      </c>
      <c r="Z894" s="48" t="n">
        <f aca="false">IF($U894&gt;=MA_SHORT,AVERAGE(INDEX($L$774:$L894,122-MA_SHORT):$L894),"")</f>
        <v>74999693.45</v>
      </c>
      <c r="AA894" s="48" t="n">
        <f aca="false">IF($U894=1,$G894-$H894,MAX($G894-$H894,ABS($G894-$I893),ABS($H894-$I893)))</f>
        <v>190</v>
      </c>
      <c r="AB894" s="48" t="n">
        <f aca="false">IF($U894&gt;=ATR_PER,AVERAGE(INDEX($AA$774:$AA894,122-ATR_PER):$AA894),"")</f>
        <v>133.571428571429</v>
      </c>
      <c r="AC894" s="48" t="n">
        <f aca="false">$O894-$P894</f>
        <v>-20033080</v>
      </c>
      <c r="AD894" s="48" t="n">
        <f aca="false">$AC894*$I894</f>
        <v>-63885492120</v>
      </c>
      <c r="AE894" s="49" t="n">
        <f aca="false">IF($Q894&gt;0,$O894*$I894/$Q894/1000000,"")</f>
        <v>67.0813022509158</v>
      </c>
      <c r="AF894" s="49" t="n">
        <f aca="false">IF($R894&gt;0,$P894*$I894/$R894/1000000,"")</f>
        <v>69.813043474086</v>
      </c>
      <c r="AG894" s="50" t="n">
        <f aca="false">IF(AND(ISNUMBER($AE894),ISNUMBER($AF894),$AF894&gt;0),$AE894/$AF894,"")</f>
        <v>0.960870618336755</v>
      </c>
      <c r="AH894" s="48" t="n">
        <f aca="false">IF($U894&gt;=5,SUM(INDEX($AD$864:$AD894,32-5):$AD894),"")</f>
        <v>-113721333230</v>
      </c>
      <c r="AI894" s="48" t="n">
        <f aca="false">IF($U894&gt;=STRUCT_S,MAX(INDEX($G$744:$G894,152-STRUCT_S):$G894),"")</f>
        <v>3385</v>
      </c>
      <c r="AJ894" s="48" t="n">
        <f aca="false">IF($U894&gt;=STRUCT_S,MIN(INDEX($H$744:$H894,152-STRUCT_S):$H894),"")</f>
        <v>2904</v>
      </c>
      <c r="AK894" s="48" t="n">
        <f aca="false">IF($U894&gt;=STRUCT_L,MAX(INDEX($G$644:$G894,252-STRUCT_L):$G894),"")</f>
        <v>3385</v>
      </c>
      <c r="AL894" s="48" t="n">
        <f aca="false">IF($U894&gt;=STRUCT_L,MIN(INDEX($H$644:$H894,252-STRUCT_L):$H894),"")</f>
        <v>2692</v>
      </c>
      <c r="AM894" s="46" t="n">
        <f aca="false">IF($A894&lt;&gt;$A895,1,0)</f>
        <v>0</v>
      </c>
      <c r="AN894" s="47" t="str">
        <f aca="false">IF($AM894=1,$A894,"")</f>
        <v/>
      </c>
    </row>
    <row r="895" customFormat="false" ht="15" hidden="false" customHeight="false" outlineLevel="0" collapsed="false">
      <c r="A895" s="43" t="s">
        <v>147</v>
      </c>
      <c r="B895" s="44" t="s">
        <v>149</v>
      </c>
      <c r="C895" s="45" t="n">
        <v>46060</v>
      </c>
      <c r="D895" s="46" t="n">
        <v>20260207</v>
      </c>
      <c r="E895" s="47" t="s">
        <v>398</v>
      </c>
      <c r="F895" s="48" t="n">
        <v>3166</v>
      </c>
      <c r="G895" s="48" t="n">
        <v>3201</v>
      </c>
      <c r="H895" s="48" t="n">
        <v>3147</v>
      </c>
      <c r="I895" s="48" t="n">
        <v>3159</v>
      </c>
      <c r="J895" s="48" t="n">
        <v>3191</v>
      </c>
      <c r="K895" s="48" t="n">
        <v>3189</v>
      </c>
      <c r="L895" s="48" t="n">
        <v>60495882</v>
      </c>
      <c r="M895" s="48" t="n">
        <v>191106491238</v>
      </c>
      <c r="N895" s="48" t="n">
        <v>3192</v>
      </c>
      <c r="O895" s="48" t="n">
        <v>24598997</v>
      </c>
      <c r="P895" s="48" t="n">
        <v>38266912</v>
      </c>
      <c r="Q895" s="48" t="n">
        <v>1040</v>
      </c>
      <c r="R895" s="48" t="n">
        <v>1919</v>
      </c>
      <c r="S895" s="48" t="n">
        <v>35896885</v>
      </c>
      <c r="T895" s="48" t="n">
        <v>22228970</v>
      </c>
      <c r="U895" s="46" t="n">
        <f aca="false">IF($A895=$A894,$U894+1,1)</f>
        <v>111</v>
      </c>
      <c r="V895" s="48" t="n">
        <f aca="false">IF($U895&gt;=MA_SHORT,AVERAGE(INDEX($I$495:$I895,402-MA_SHORT):$I895),"")</f>
        <v>3158.15</v>
      </c>
      <c r="W895" s="48" t="n">
        <f aca="false">IF($U895&gt;=MA_MED,AVERAGE(INDEX($I$495:$I895,402-MA_MED):$I895),"")</f>
        <v>3030.16</v>
      </c>
      <c r="X895" s="48" t="n">
        <f aca="false">IF($U895&gt;=MA_LONG1,AVERAGE(INDEX($I$495:$I895,402-MA_LONG1):$I895),"")</f>
        <v>2907.68</v>
      </c>
      <c r="Y895" s="48" t="str">
        <f aca="false">IF($U895&gt;=MA_LONG2,AVERAGE(INDEX($I$495:$I895,402-MA_LONG2):$I895),"")</f>
        <v/>
      </c>
      <c r="Z895" s="48" t="n">
        <f aca="false">IF($U895&gt;=MA_SHORT,AVERAGE(INDEX($L$775:$L895,122-MA_SHORT):$L895),"")</f>
        <v>74591282.45</v>
      </c>
      <c r="AA895" s="48" t="n">
        <f aca="false">IF($U895=1,$G895-$H895,MAX($G895-$H895,ABS($G895-$I894),ABS($H895-$I894)))</f>
        <v>54</v>
      </c>
      <c r="AB895" s="48" t="n">
        <f aca="false">IF($U895&gt;=ATR_PER,AVERAGE(INDEX($AA$775:$AA895,122-ATR_PER):$AA895),"")</f>
        <v>122.714285714286</v>
      </c>
      <c r="AC895" s="48" t="n">
        <f aca="false">$O895-$P895</f>
        <v>-13667915</v>
      </c>
      <c r="AD895" s="48" t="n">
        <f aca="false">$AC895*$I895</f>
        <v>-43176943485</v>
      </c>
      <c r="AE895" s="49" t="n">
        <f aca="false">IF($Q895&gt;0,$O895*$I895/$Q895/1000000,"")</f>
        <v>74.7194533875</v>
      </c>
      <c r="AF895" s="49" t="n">
        <f aca="false">IF($R895&gt;0,$P895*$I895/$R895/1000000,"")</f>
        <v>62.9938379405941</v>
      </c>
      <c r="AG895" s="50" t="n">
        <f aca="false">IF(AND(ISNUMBER($AE895),ISNUMBER($AF895),$AF895&gt;0),$AE895/$AF895,"")</f>
        <v>1.18613908646055</v>
      </c>
      <c r="AH895" s="48" t="n">
        <f aca="false">IF($U895&gt;=5,SUM(INDEX($AD$865:$AD895,32-5):$AD895),"")</f>
        <v>-117587199266</v>
      </c>
      <c r="AI895" s="48" t="n">
        <f aca="false">IF($U895&gt;=STRUCT_S,MAX(INDEX($G$745:$G895,152-STRUCT_S):$G895),"")</f>
        <v>3385</v>
      </c>
      <c r="AJ895" s="48" t="n">
        <f aca="false">IF($U895&gt;=STRUCT_S,MIN(INDEX($H$745:$H895,152-STRUCT_S):$H895),"")</f>
        <v>2904</v>
      </c>
      <c r="AK895" s="48" t="n">
        <f aca="false">IF($U895&gt;=STRUCT_L,MAX(INDEX($G$645:$G895,252-STRUCT_L):$G895),"")</f>
        <v>3385</v>
      </c>
      <c r="AL895" s="48" t="n">
        <f aca="false">IF($U895&gt;=STRUCT_L,MIN(INDEX($H$645:$H895,252-STRUCT_L):$H895),"")</f>
        <v>2716</v>
      </c>
      <c r="AM895" s="46" t="n">
        <f aca="false">IF($A895&lt;&gt;$A896,1,0)</f>
        <v>0</v>
      </c>
      <c r="AN895" s="47" t="str">
        <f aca="false">IF($AM895=1,$A895,"")</f>
        <v/>
      </c>
    </row>
    <row r="896" customFormat="false" ht="15" hidden="false" customHeight="false" outlineLevel="0" collapsed="false">
      <c r="A896" s="43" t="s">
        <v>147</v>
      </c>
      <c r="B896" s="44" t="s">
        <v>149</v>
      </c>
      <c r="C896" s="45" t="n">
        <v>46061</v>
      </c>
      <c r="D896" s="46" t="n">
        <v>20260208</v>
      </c>
      <c r="E896" s="47" t="s">
        <v>399</v>
      </c>
      <c r="F896" s="48" t="n">
        <v>3132</v>
      </c>
      <c r="G896" s="48" t="n">
        <v>3179</v>
      </c>
      <c r="H896" s="48" t="n">
        <v>2985</v>
      </c>
      <c r="I896" s="48" t="n">
        <v>3004</v>
      </c>
      <c r="J896" s="48" t="n">
        <v>3168</v>
      </c>
      <c r="K896" s="48" t="n">
        <v>3159</v>
      </c>
      <c r="L896" s="48" t="n">
        <v>74121945</v>
      </c>
      <c r="M896" s="48" t="n">
        <v>222662322780</v>
      </c>
      <c r="N896" s="48" t="n">
        <v>2536</v>
      </c>
      <c r="O896" s="48" t="n">
        <v>20379814</v>
      </c>
      <c r="P896" s="48" t="n">
        <v>51765498</v>
      </c>
      <c r="Q896" s="48" t="n">
        <v>572</v>
      </c>
      <c r="R896" s="48" t="n">
        <v>1203</v>
      </c>
      <c r="S896" s="48" t="n">
        <v>53742131</v>
      </c>
      <c r="T896" s="48" t="n">
        <v>22356447</v>
      </c>
      <c r="U896" s="46" t="n">
        <f aca="false">IF($A896=$A895,$U895+1,1)</f>
        <v>112</v>
      </c>
      <c r="V896" s="48" t="n">
        <f aca="false">IF($U896&gt;=MA_SHORT,AVERAGE(INDEX($I$496:$I896,402-MA_SHORT):$I896),"")</f>
        <v>3155.85</v>
      </c>
      <c r="W896" s="48" t="n">
        <f aca="false">IF($U896&gt;=MA_MED,AVERAGE(INDEX($I$496:$I896,402-MA_MED):$I896),"")</f>
        <v>3029.78</v>
      </c>
      <c r="X896" s="48" t="n">
        <f aca="false">IF($U896&gt;=MA_LONG1,AVERAGE(INDEX($I$496:$I896,402-MA_LONG1):$I896),"")</f>
        <v>2914.41</v>
      </c>
      <c r="Y896" s="48" t="str">
        <f aca="false">IF($U896&gt;=MA_LONG2,AVERAGE(INDEX($I$496:$I896,402-MA_LONG2):$I896),"")</f>
        <v/>
      </c>
      <c r="Z896" s="48" t="n">
        <f aca="false">IF($U896&gt;=MA_SHORT,AVERAGE(INDEX($L$776:$L896,122-MA_SHORT):$L896),"")</f>
        <v>74988545.75</v>
      </c>
      <c r="AA896" s="48" t="n">
        <f aca="false">IF($U896=1,$G896-$H896,MAX($G896-$H896,ABS($G896-$I895),ABS($H896-$I895)))</f>
        <v>194</v>
      </c>
      <c r="AB896" s="48" t="n">
        <f aca="false">IF($U896&gt;=ATR_PER,AVERAGE(INDEX($AA$776:$AA896,122-ATR_PER):$AA896),"")</f>
        <v>121.928571428571</v>
      </c>
      <c r="AC896" s="48" t="n">
        <f aca="false">$O896-$P896</f>
        <v>-31385684</v>
      </c>
      <c r="AD896" s="48" t="n">
        <f aca="false">$AC896*$I896</f>
        <v>-94282594736</v>
      </c>
      <c r="AE896" s="49" t="n">
        <f aca="false">IF($Q896&gt;0,$O896*$I896/$Q896/1000000,"")</f>
        <v>107.029652545455</v>
      </c>
      <c r="AF896" s="49" t="n">
        <f aca="false">IF($R896&gt;0,$P896*$I896/$R896/1000000,"")</f>
        <v>129.263138812968</v>
      </c>
      <c r="AG896" s="50" t="n">
        <f aca="false">IF(AND(ISNUMBER($AE896),ISNUMBER($AF896),$AF896&gt;0),$AE896/$AF896,"")</f>
        <v>0.827998248598288</v>
      </c>
      <c r="AH896" s="48" t="n">
        <f aca="false">IF($U896&gt;=5,SUM(INDEX($AD$866:$AD896,32-5):$AD896),"")</f>
        <v>-236916920530</v>
      </c>
      <c r="AI896" s="48" t="n">
        <f aca="false">IF($U896&gt;=STRUCT_S,MAX(INDEX($G$746:$G896,152-STRUCT_S):$G896),"")</f>
        <v>3385</v>
      </c>
      <c r="AJ896" s="48" t="n">
        <f aca="false">IF($U896&gt;=STRUCT_S,MIN(INDEX($H$746:$H896,152-STRUCT_S):$H896),"")</f>
        <v>2904</v>
      </c>
      <c r="AK896" s="48" t="n">
        <f aca="false">IF($U896&gt;=STRUCT_L,MAX(INDEX($G$646:$G896,252-STRUCT_L):$G896),"")</f>
        <v>3385</v>
      </c>
      <c r="AL896" s="48" t="n">
        <f aca="false">IF($U896&gt;=STRUCT_L,MIN(INDEX($H$646:$H896,252-STRUCT_L):$H896),"")</f>
        <v>2716</v>
      </c>
      <c r="AM896" s="46" t="n">
        <f aca="false">IF($A896&lt;&gt;$A897,1,0)</f>
        <v>0</v>
      </c>
      <c r="AN896" s="47" t="str">
        <f aca="false">IF($AM896=1,$A896,"")</f>
        <v/>
      </c>
    </row>
    <row r="897" customFormat="false" ht="15" hidden="false" customHeight="false" outlineLevel="0" collapsed="false">
      <c r="A897" s="43" t="s">
        <v>147</v>
      </c>
      <c r="B897" s="44" t="s">
        <v>149</v>
      </c>
      <c r="C897" s="45" t="n">
        <v>46062</v>
      </c>
      <c r="D897" s="46" t="n">
        <v>20260209</v>
      </c>
      <c r="E897" s="47" t="s">
        <v>400</v>
      </c>
      <c r="F897" s="48" t="n">
        <v>2988</v>
      </c>
      <c r="G897" s="48" t="n">
        <v>3086</v>
      </c>
      <c r="H897" s="48" t="n">
        <v>2982</v>
      </c>
      <c r="I897" s="48" t="n">
        <v>3063</v>
      </c>
      <c r="J897" s="48" t="n">
        <v>3004</v>
      </c>
      <c r="K897" s="48" t="n">
        <v>3004</v>
      </c>
      <c r="L897" s="48" t="n">
        <v>96289100</v>
      </c>
      <c r="M897" s="48" t="n">
        <v>294933513300</v>
      </c>
      <c r="N897" s="48" t="n">
        <v>4482</v>
      </c>
      <c r="O897" s="48" t="n">
        <v>45934362</v>
      </c>
      <c r="P897" s="48" t="n">
        <v>43929653</v>
      </c>
      <c r="Q897" s="48" t="n">
        <v>2526</v>
      </c>
      <c r="R897" s="48" t="n">
        <v>1778</v>
      </c>
      <c r="S897" s="48" t="n">
        <v>50354738</v>
      </c>
      <c r="T897" s="48" t="n">
        <v>52359447</v>
      </c>
      <c r="U897" s="46" t="n">
        <f aca="false">IF($A897=$A896,$U896+1,1)</f>
        <v>113</v>
      </c>
      <c r="V897" s="48" t="n">
        <f aca="false">IF($U897&gt;=MA_SHORT,AVERAGE(INDEX($I$497:$I897,402-MA_SHORT):$I897),"")</f>
        <v>3159.1</v>
      </c>
      <c r="W897" s="48" t="n">
        <f aca="false">IF($U897&gt;=MA_MED,AVERAGE(INDEX($I$497:$I897,402-MA_MED):$I897),"")</f>
        <v>3029.18</v>
      </c>
      <c r="X897" s="48" t="n">
        <f aca="false">IF($U897&gt;=MA_LONG1,AVERAGE(INDEX($I$497:$I897,402-MA_LONG1):$I897),"")</f>
        <v>2921.09</v>
      </c>
      <c r="Y897" s="48" t="str">
        <f aca="false">IF($U897&gt;=MA_LONG2,AVERAGE(INDEX($I$497:$I897,402-MA_LONG2):$I897),"")</f>
        <v/>
      </c>
      <c r="Z897" s="48" t="n">
        <f aca="false">IF($U897&gt;=MA_SHORT,AVERAGE(INDEX($L$777:$L897,122-MA_SHORT):$L897),"")</f>
        <v>76646926.6</v>
      </c>
      <c r="AA897" s="48" t="n">
        <f aca="false">IF($U897=1,$G897-$H897,MAX($G897-$H897,ABS($G897-$I896),ABS($H897-$I896)))</f>
        <v>104</v>
      </c>
      <c r="AB897" s="48" t="n">
        <f aca="false">IF($U897&gt;=ATR_PER,AVERAGE(INDEX($AA$777:$AA897,122-ATR_PER):$AA897),"")</f>
        <v>113.642857142857</v>
      </c>
      <c r="AC897" s="48" t="n">
        <f aca="false">$O897-$P897</f>
        <v>2004709</v>
      </c>
      <c r="AD897" s="48" t="n">
        <f aca="false">$AC897*$I897</f>
        <v>6140423667</v>
      </c>
      <c r="AE897" s="49" t="n">
        <f aca="false">IF($Q897&gt;0,$O897*$I897/$Q897/1000000,"")</f>
        <v>55.6995054655582</v>
      </c>
      <c r="AF897" s="49" t="n">
        <f aca="false">IF($R897&gt;0,$P897*$I897/$R897/1000000,"")</f>
        <v>75.678586692351</v>
      </c>
      <c r="AG897" s="50" t="n">
        <f aca="false">IF(AND(ISNUMBER($AE897),ISNUMBER($AF897),$AF897&gt;0),$AE897/$AF897,"")</f>
        <v>0.736000867616465</v>
      </c>
      <c r="AH897" s="48" t="n">
        <f aca="false">IF($U897&gt;=5,SUM(INDEX($AD$867:$AD897,32-5):$AD897),"")</f>
        <v>-188409604330</v>
      </c>
      <c r="AI897" s="48" t="n">
        <f aca="false">IF($U897&gt;=STRUCT_S,MAX(INDEX($G$747:$G897,152-STRUCT_S):$G897),"")</f>
        <v>3385</v>
      </c>
      <c r="AJ897" s="48" t="n">
        <f aca="false">IF($U897&gt;=STRUCT_S,MIN(INDEX($H$747:$H897,152-STRUCT_S):$H897),"")</f>
        <v>2904</v>
      </c>
      <c r="AK897" s="48" t="n">
        <f aca="false">IF($U897&gt;=STRUCT_L,MAX(INDEX($G$647:$G897,252-STRUCT_L):$G897),"")</f>
        <v>3385</v>
      </c>
      <c r="AL897" s="48" t="n">
        <f aca="false">IF($U897&gt;=STRUCT_L,MIN(INDEX($H$647:$H897,252-STRUCT_L):$H897),"")</f>
        <v>2716</v>
      </c>
      <c r="AM897" s="46" t="n">
        <f aca="false">IF($A897&lt;&gt;$A898,1,0)</f>
        <v>0</v>
      </c>
      <c r="AN897" s="47" t="str">
        <f aca="false">IF($AM897=1,$A897,"")</f>
        <v/>
      </c>
    </row>
    <row r="898" customFormat="false" ht="15" hidden="false" customHeight="false" outlineLevel="0" collapsed="false">
      <c r="A898" s="43" t="s">
        <v>147</v>
      </c>
      <c r="B898" s="44" t="s">
        <v>149</v>
      </c>
      <c r="C898" s="45" t="n">
        <v>46063</v>
      </c>
      <c r="D898" s="46" t="n">
        <v>20260210</v>
      </c>
      <c r="E898" s="47" t="s">
        <v>401</v>
      </c>
      <c r="F898" s="48" t="n">
        <v>3060</v>
      </c>
      <c r="G898" s="48" t="n">
        <v>3191</v>
      </c>
      <c r="H898" s="48" t="n">
        <v>2996</v>
      </c>
      <c r="I898" s="48" t="n">
        <v>3122</v>
      </c>
      <c r="J898" s="48" t="n">
        <v>3064</v>
      </c>
      <c r="K898" s="48" t="n">
        <v>3063</v>
      </c>
      <c r="L898" s="48" t="n">
        <v>63881824</v>
      </c>
      <c r="M898" s="48" t="n">
        <v>199439054528</v>
      </c>
      <c r="N898" s="48" t="n">
        <v>1980</v>
      </c>
      <c r="O898" s="48" t="n">
        <v>29826653</v>
      </c>
      <c r="P898" s="48" t="n">
        <v>34870153</v>
      </c>
      <c r="Q898" s="48" t="n">
        <v>1038</v>
      </c>
      <c r="R898" s="48" t="n">
        <v>710</v>
      </c>
      <c r="S898" s="48" t="n">
        <v>34055171</v>
      </c>
      <c r="T898" s="48" t="n">
        <v>29011671</v>
      </c>
      <c r="U898" s="46" t="n">
        <f aca="false">IF($A898=$A897,$U897+1,1)</f>
        <v>114</v>
      </c>
      <c r="V898" s="48" t="n">
        <f aca="false">IF($U898&gt;=MA_SHORT,AVERAGE(INDEX($I$498:$I898,402-MA_SHORT):$I898),"")</f>
        <v>3162.4</v>
      </c>
      <c r="W898" s="48" t="n">
        <f aca="false">IF($U898&gt;=MA_MED,AVERAGE(INDEX($I$498:$I898,402-MA_MED):$I898),"")</f>
        <v>3030.86</v>
      </c>
      <c r="X898" s="48" t="n">
        <f aca="false">IF($U898&gt;=MA_LONG1,AVERAGE(INDEX($I$498:$I898,402-MA_LONG1):$I898),"")</f>
        <v>2928.32</v>
      </c>
      <c r="Y898" s="48" t="str">
        <f aca="false">IF($U898&gt;=MA_LONG2,AVERAGE(INDEX($I$498:$I898,402-MA_LONG2):$I898),"")</f>
        <v/>
      </c>
      <c r="Z898" s="48" t="n">
        <f aca="false">IF($U898&gt;=MA_SHORT,AVERAGE(INDEX($L$778:$L898,122-MA_SHORT):$L898),"")</f>
        <v>73413133.35</v>
      </c>
      <c r="AA898" s="48" t="n">
        <f aca="false">IF($U898=1,$G898-$H898,MAX($G898-$H898,ABS($G898-$I897),ABS($H898-$I897)))</f>
        <v>195</v>
      </c>
      <c r="AB898" s="48" t="n">
        <f aca="false">IF($U898&gt;=ATR_PER,AVERAGE(INDEX($AA$778:$AA898,122-ATR_PER):$AA898),"")</f>
        <v>108.428571428571</v>
      </c>
      <c r="AC898" s="48" t="n">
        <f aca="false">$O898-$P898</f>
        <v>-5043500</v>
      </c>
      <c r="AD898" s="48" t="n">
        <f aca="false">$AC898*$I898</f>
        <v>-15745807000</v>
      </c>
      <c r="AE898" s="49" t="n">
        <f aca="false">IF($Q898&gt;0,$O898*$I898/$Q898/1000000,"")</f>
        <v>89.7098368651252</v>
      </c>
      <c r="AF898" s="49" t="n">
        <f aca="false">IF($R898&gt;0,$P898*$I898/$R898/1000000,"")</f>
        <v>153.330447416901</v>
      </c>
      <c r="AG898" s="50" t="n">
        <f aca="false">IF(AND(ISNUMBER($AE898),ISNUMBER($AF898),$AF898&gt;0),$AE898/$AF898,"")</f>
        <v>0.585075165281469</v>
      </c>
      <c r="AH898" s="48" t="n">
        <f aca="false">IF($U898&gt;=5,SUM(INDEX($AD$868:$AD898,32-5):$AD898),"")</f>
        <v>-210950413674</v>
      </c>
      <c r="AI898" s="48" t="n">
        <f aca="false">IF($U898&gt;=STRUCT_S,MAX(INDEX($G$748:$G898,152-STRUCT_S):$G898),"")</f>
        <v>3385</v>
      </c>
      <c r="AJ898" s="48" t="n">
        <f aca="false">IF($U898&gt;=STRUCT_S,MIN(INDEX($H$748:$H898,152-STRUCT_S):$H898),"")</f>
        <v>2982</v>
      </c>
      <c r="AK898" s="48" t="n">
        <f aca="false">IF($U898&gt;=STRUCT_L,MAX(INDEX($G$648:$G898,252-STRUCT_L):$G898),"")</f>
        <v>3385</v>
      </c>
      <c r="AL898" s="48" t="n">
        <f aca="false">IF($U898&gt;=STRUCT_L,MIN(INDEX($H$648:$H898,252-STRUCT_L):$H898),"")</f>
        <v>2716</v>
      </c>
      <c r="AM898" s="46" t="n">
        <f aca="false">IF($A898&lt;&gt;$A899,1,0)</f>
        <v>0</v>
      </c>
      <c r="AN898" s="47" t="str">
        <f aca="false">IF($AM898=1,$A898,"")</f>
        <v/>
      </c>
    </row>
    <row r="899" customFormat="false" ht="15" hidden="false" customHeight="false" outlineLevel="0" collapsed="false">
      <c r="A899" s="43" t="s">
        <v>147</v>
      </c>
      <c r="B899" s="44" t="s">
        <v>149</v>
      </c>
      <c r="C899" s="45" t="n">
        <v>46064</v>
      </c>
      <c r="D899" s="46" t="n">
        <v>20260211</v>
      </c>
      <c r="E899" s="47" t="s">
        <v>402</v>
      </c>
      <c r="F899" s="48" t="n">
        <v>3125</v>
      </c>
      <c r="G899" s="48" t="n">
        <v>3188</v>
      </c>
      <c r="H899" s="48" t="n">
        <v>3030</v>
      </c>
      <c r="I899" s="48" t="n">
        <v>3095</v>
      </c>
      <c r="J899" s="48" t="n">
        <v>3061</v>
      </c>
      <c r="K899" s="48" t="n">
        <v>3122</v>
      </c>
      <c r="L899" s="48" t="n">
        <v>60235091</v>
      </c>
      <c r="M899" s="48" t="n">
        <v>186427606645</v>
      </c>
      <c r="N899" s="48" t="n">
        <v>1904</v>
      </c>
      <c r="O899" s="48" t="n">
        <v>29160579</v>
      </c>
      <c r="P899" s="48" t="n">
        <v>28894550</v>
      </c>
      <c r="Q899" s="48" t="n">
        <v>438</v>
      </c>
      <c r="R899" s="48" t="n">
        <v>1424</v>
      </c>
      <c r="S899" s="48" t="n">
        <v>31074512</v>
      </c>
      <c r="T899" s="48" t="n">
        <v>31340541</v>
      </c>
      <c r="U899" s="46" t="n">
        <f aca="false">IF($A899=$A898,$U898+1,1)</f>
        <v>115</v>
      </c>
      <c r="V899" s="48" t="n">
        <f aca="false">IF($U899&gt;=MA_SHORT,AVERAGE(INDEX($I$499:$I899,402-MA_SHORT):$I899),"")</f>
        <v>3162.35</v>
      </c>
      <c r="W899" s="48" t="n">
        <f aca="false">IF($U899&gt;=MA_MED,AVERAGE(INDEX($I$499:$I899,402-MA_MED):$I899),"")</f>
        <v>3030.9</v>
      </c>
      <c r="X899" s="48" t="n">
        <f aca="false">IF($U899&gt;=MA_LONG1,AVERAGE(INDEX($I$499:$I899,402-MA_LONG1):$I899),"")</f>
        <v>2935.48</v>
      </c>
      <c r="Y899" s="48" t="str">
        <f aca="false">IF($U899&gt;=MA_LONG2,AVERAGE(INDEX($I$499:$I899,402-MA_LONG2):$I899),"")</f>
        <v/>
      </c>
      <c r="Z899" s="48" t="n">
        <f aca="false">IF($U899&gt;=MA_SHORT,AVERAGE(INDEX($L$779:$L899,122-MA_SHORT):$L899),"")</f>
        <v>73336846.05</v>
      </c>
      <c r="AA899" s="48" t="n">
        <f aca="false">IF($U899=1,$G899-$H899,MAX($G899-$H899,ABS($G899-$I898),ABS($H899-$I898)))</f>
        <v>158</v>
      </c>
      <c r="AB899" s="48" t="n">
        <f aca="false">IF($U899&gt;=ATR_PER,AVERAGE(INDEX($AA$779:$AA899,122-ATR_PER):$AA899),"")</f>
        <v>105.642857142857</v>
      </c>
      <c r="AC899" s="48" t="n">
        <f aca="false">$O899-$P899</f>
        <v>266029</v>
      </c>
      <c r="AD899" s="48" t="n">
        <f aca="false">$AC899*$I899</f>
        <v>823359755</v>
      </c>
      <c r="AE899" s="49" t="n">
        <f aca="false">IF($Q899&gt;0,$O899*$I899/$Q899/1000000,"")</f>
        <v>206.054776267123</v>
      </c>
      <c r="AF899" s="49" t="n">
        <f aca="false">IF($R899&gt;0,$P899*$I899/$R899/1000000,"")</f>
        <v>62.8010057935393</v>
      </c>
      <c r="AG899" s="50" t="n">
        <f aca="false">IF(AND(ISNUMBER($AE899),ISNUMBER($AF899),$AF899&gt;0),$AE899/$AF899,"")</f>
        <v>3.28107446152274</v>
      </c>
      <c r="AH899" s="48" t="n">
        <f aca="false">IF($U899&gt;=5,SUM(INDEX($AD$869:$AD899,32-5):$AD899),"")</f>
        <v>-146241561799</v>
      </c>
      <c r="AI899" s="48" t="n">
        <f aca="false">IF($U899&gt;=STRUCT_S,MAX(INDEX($G$749:$G899,152-STRUCT_S):$G899),"")</f>
        <v>3385</v>
      </c>
      <c r="AJ899" s="48" t="n">
        <f aca="false">IF($U899&gt;=STRUCT_S,MIN(INDEX($H$749:$H899,152-STRUCT_S):$H899),"")</f>
        <v>2982</v>
      </c>
      <c r="AK899" s="48" t="n">
        <f aca="false">IF($U899&gt;=STRUCT_L,MAX(INDEX($G$649:$G899,252-STRUCT_L):$G899),"")</f>
        <v>3385</v>
      </c>
      <c r="AL899" s="48" t="n">
        <f aca="false">IF($U899&gt;=STRUCT_L,MIN(INDEX($H$649:$H899,252-STRUCT_L):$H899),"")</f>
        <v>2716</v>
      </c>
      <c r="AM899" s="46" t="n">
        <f aca="false">IF($A899&lt;&gt;$A900,1,0)</f>
        <v>0</v>
      </c>
      <c r="AN899" s="47" t="str">
        <f aca="false">IF($AM899=1,$A899,"")</f>
        <v/>
      </c>
    </row>
    <row r="900" customFormat="false" ht="15" hidden="false" customHeight="false" outlineLevel="0" collapsed="false">
      <c r="A900" s="43" t="s">
        <v>147</v>
      </c>
      <c r="B900" s="44" t="s">
        <v>149</v>
      </c>
      <c r="C900" s="45" t="n">
        <v>46067</v>
      </c>
      <c r="D900" s="46" t="n">
        <v>20260214</v>
      </c>
      <c r="E900" s="47" t="s">
        <v>403</v>
      </c>
      <c r="F900" s="48" t="n">
        <v>3002</v>
      </c>
      <c r="G900" s="48" t="n">
        <v>3214</v>
      </c>
      <c r="H900" s="48" t="n">
        <v>2956</v>
      </c>
      <c r="I900" s="48" t="n">
        <v>3075</v>
      </c>
      <c r="J900" s="48" t="n">
        <v>3164</v>
      </c>
      <c r="K900" s="48" t="n">
        <v>3095</v>
      </c>
      <c r="L900" s="48" t="n">
        <v>59483929</v>
      </c>
      <c r="M900" s="48" t="n">
        <v>182913081675</v>
      </c>
      <c r="N900" s="48" t="n">
        <v>3986</v>
      </c>
      <c r="O900" s="48" t="n">
        <v>18047097</v>
      </c>
      <c r="P900" s="48" t="n">
        <v>44737426</v>
      </c>
      <c r="Q900" s="48" t="n">
        <v>1129</v>
      </c>
      <c r="R900" s="48" t="n">
        <v>2733</v>
      </c>
      <c r="S900" s="48" t="n">
        <v>41436832</v>
      </c>
      <c r="T900" s="48" t="n">
        <v>14746503</v>
      </c>
      <c r="U900" s="46" t="n">
        <f aca="false">IF($A900=$A899,$U899+1,1)</f>
        <v>116</v>
      </c>
      <c r="V900" s="48" t="n">
        <f aca="false">IF($U900&gt;=MA_SHORT,AVERAGE(INDEX($I$500:$I900,402-MA_SHORT):$I900),"")</f>
        <v>3161.55</v>
      </c>
      <c r="W900" s="48" t="n">
        <f aca="false">IF($U900&gt;=MA_MED,AVERAGE(INDEX($I$500:$I900,402-MA_MED):$I900),"")</f>
        <v>3031.66</v>
      </c>
      <c r="X900" s="48" t="n">
        <f aca="false">IF($U900&gt;=MA_LONG1,AVERAGE(INDEX($I$500:$I900,402-MA_LONG1):$I900),"")</f>
        <v>2941.37</v>
      </c>
      <c r="Y900" s="48" t="str">
        <f aca="false">IF($U900&gt;=MA_LONG2,AVERAGE(INDEX($I$500:$I900,402-MA_LONG2):$I900),"")</f>
        <v/>
      </c>
      <c r="Z900" s="48" t="n">
        <f aca="false">IF($U900&gt;=MA_SHORT,AVERAGE(INDEX($L$780:$L900,122-MA_SHORT):$L900),"")</f>
        <v>71764939.5</v>
      </c>
      <c r="AA900" s="48" t="n">
        <f aca="false">IF($U900=1,$G900-$H900,MAX($G900-$H900,ABS($G900-$I899),ABS($H900-$I899)))</f>
        <v>258</v>
      </c>
      <c r="AB900" s="48" t="n">
        <f aca="false">IF($U900&gt;=ATR_PER,AVERAGE(INDEX($AA$780:$AA900,122-ATR_PER):$AA900),"")</f>
        <v>114</v>
      </c>
      <c r="AC900" s="48" t="n">
        <f aca="false">$O900-$P900</f>
        <v>-26690329</v>
      </c>
      <c r="AD900" s="48" t="n">
        <f aca="false">$AC900*$I900</f>
        <v>-82072761675</v>
      </c>
      <c r="AE900" s="49" t="n">
        <f aca="false">IF($Q900&gt;0,$O900*$I900/$Q900/1000000,"")</f>
        <v>49.1539621567759</v>
      </c>
      <c r="AF900" s="49" t="n">
        <f aca="false">IF($R900&gt;0,$P900*$I900/$R900/1000000,"")</f>
        <v>50.3357427552141</v>
      </c>
      <c r="AG900" s="50" t="n">
        <f aca="false">IF(AND(ISNUMBER($AE900),ISNUMBER($AF900),$AF900&gt;0),$AE900/$AF900,"")</f>
        <v>0.976522039136579</v>
      </c>
      <c r="AH900" s="48" t="n">
        <f aca="false">IF($U900&gt;=5,SUM(INDEX($AD$870:$AD900,32-5):$AD900),"")</f>
        <v>-185137379989</v>
      </c>
      <c r="AI900" s="48" t="n">
        <f aca="false">IF($U900&gt;=STRUCT_S,MAX(INDEX($G$750:$G900,152-STRUCT_S):$G900),"")</f>
        <v>3385</v>
      </c>
      <c r="AJ900" s="48" t="n">
        <f aca="false">IF($U900&gt;=STRUCT_S,MIN(INDEX($H$750:$H900,152-STRUCT_S):$H900),"")</f>
        <v>2956</v>
      </c>
      <c r="AK900" s="48" t="n">
        <f aca="false">IF($U900&gt;=STRUCT_L,MAX(INDEX($G$650:$G900,252-STRUCT_L):$G900),"")</f>
        <v>3385</v>
      </c>
      <c r="AL900" s="48" t="n">
        <f aca="false">IF($U900&gt;=STRUCT_L,MIN(INDEX($H$650:$H900,252-STRUCT_L):$H900),"")</f>
        <v>2716</v>
      </c>
      <c r="AM900" s="46" t="n">
        <f aca="false">IF($A900&lt;&gt;$A901,1,0)</f>
        <v>0</v>
      </c>
      <c r="AN900" s="47" t="str">
        <f aca="false">IF($AM900=1,$A900,"")</f>
        <v/>
      </c>
    </row>
    <row r="901" customFormat="false" ht="15" hidden="false" customHeight="false" outlineLevel="0" collapsed="false">
      <c r="A901" s="43" t="s">
        <v>147</v>
      </c>
      <c r="B901" s="44" t="s">
        <v>149</v>
      </c>
      <c r="C901" s="45" t="n">
        <v>46068</v>
      </c>
      <c r="D901" s="46" t="n">
        <v>20260215</v>
      </c>
      <c r="E901" s="47" t="s">
        <v>404</v>
      </c>
      <c r="F901" s="48" t="n">
        <v>3060</v>
      </c>
      <c r="G901" s="48" t="n">
        <v>3109</v>
      </c>
      <c r="H901" s="48" t="n">
        <v>2950</v>
      </c>
      <c r="I901" s="48" t="n">
        <v>2983</v>
      </c>
      <c r="J901" s="48" t="n">
        <v>3021</v>
      </c>
      <c r="K901" s="48" t="n">
        <v>3075</v>
      </c>
      <c r="L901" s="48" t="n">
        <v>76189974</v>
      </c>
      <c r="M901" s="48" t="n">
        <v>227274692442</v>
      </c>
      <c r="N901" s="48" t="n">
        <v>2753</v>
      </c>
      <c r="O901" s="48" t="n">
        <v>24199323</v>
      </c>
      <c r="P901" s="48" t="n">
        <v>50640234</v>
      </c>
      <c r="Q901" s="48" t="n">
        <v>1031</v>
      </c>
      <c r="R901" s="48" t="n">
        <v>1227</v>
      </c>
      <c r="S901" s="48" t="n">
        <v>51990651</v>
      </c>
      <c r="T901" s="48" t="n">
        <v>25549740</v>
      </c>
      <c r="U901" s="46" t="n">
        <f aca="false">IF($A901=$A900,$U900+1,1)</f>
        <v>117</v>
      </c>
      <c r="V901" s="48" t="n">
        <f aca="false">IF($U901&gt;=MA_SHORT,AVERAGE(INDEX($I$501:$I901,402-MA_SHORT):$I901),"")</f>
        <v>3155.5</v>
      </c>
      <c r="W901" s="48" t="n">
        <f aca="false">IF($U901&gt;=MA_MED,AVERAGE(INDEX($I$501:$I901,402-MA_MED):$I901),"")</f>
        <v>3030.72</v>
      </c>
      <c r="X901" s="48" t="n">
        <f aca="false">IF($U901&gt;=MA_LONG1,AVERAGE(INDEX($I$501:$I901,402-MA_LONG1):$I901),"")</f>
        <v>2946.27</v>
      </c>
      <c r="Y901" s="48" t="str">
        <f aca="false">IF($U901&gt;=MA_LONG2,AVERAGE(INDEX($I$501:$I901,402-MA_LONG2):$I901),"")</f>
        <v/>
      </c>
      <c r="Z901" s="48" t="n">
        <f aca="false">IF($U901&gt;=MA_SHORT,AVERAGE(INDEX($L$781:$L901,122-MA_SHORT):$L901),"")</f>
        <v>72639002.55</v>
      </c>
      <c r="AA901" s="48" t="n">
        <f aca="false">IF($U901=1,$G901-$H901,MAX($G901-$H901,ABS($G901-$I900),ABS($H901-$I900)))</f>
        <v>159</v>
      </c>
      <c r="AB901" s="48" t="n">
        <f aca="false">IF($U901&gt;=ATR_PER,AVERAGE(INDEX($AA$781:$AA901,122-ATR_PER):$AA901),"")</f>
        <v>122.928571428571</v>
      </c>
      <c r="AC901" s="48" t="n">
        <f aca="false">$O901-$P901</f>
        <v>-26440911</v>
      </c>
      <c r="AD901" s="48" t="n">
        <f aca="false">$AC901*$I901</f>
        <v>-78873237513</v>
      </c>
      <c r="AE901" s="49" t="n">
        <f aca="false">IF($Q901&gt;0,$O901*$I901/$Q901/1000000,"")</f>
        <v>70.0160819679923</v>
      </c>
      <c r="AF901" s="49" t="n">
        <f aca="false">IF($R901&gt;0,$P901*$I901/$R901/1000000,"")</f>
        <v>123.113136122249</v>
      </c>
      <c r="AG901" s="50" t="n">
        <f aca="false">IF(AND(ISNUMBER($AE901),ISNUMBER($AF901),$AF901&gt;0),$AE901/$AF901,"")</f>
        <v>0.568713332901108</v>
      </c>
      <c r="AH901" s="48" t="n">
        <f aca="false">IF($U901&gt;=5,SUM(INDEX($AD$871:$AD901,32-5):$AD901),"")</f>
        <v>-169728022766</v>
      </c>
      <c r="AI901" s="48" t="n">
        <f aca="false">IF($U901&gt;=STRUCT_S,MAX(INDEX($G$751:$G901,152-STRUCT_S):$G901),"")</f>
        <v>3385</v>
      </c>
      <c r="AJ901" s="48" t="n">
        <f aca="false">IF($U901&gt;=STRUCT_S,MIN(INDEX($H$751:$H901,152-STRUCT_S):$H901),"")</f>
        <v>2950</v>
      </c>
      <c r="AK901" s="48" t="n">
        <f aca="false">IF($U901&gt;=STRUCT_L,MAX(INDEX($G$651:$G901,252-STRUCT_L):$G901),"")</f>
        <v>3385</v>
      </c>
      <c r="AL901" s="48" t="n">
        <f aca="false">IF($U901&gt;=STRUCT_L,MIN(INDEX($H$651:$H901,252-STRUCT_L):$H901),"")</f>
        <v>2716</v>
      </c>
      <c r="AM901" s="46" t="n">
        <f aca="false">IF($A901&lt;&gt;$A902,1,0)</f>
        <v>0</v>
      </c>
      <c r="AN901" s="47" t="str">
        <f aca="false">IF($AM901=1,$A901,"")</f>
        <v/>
      </c>
    </row>
    <row r="902" customFormat="false" ht="15" hidden="false" customHeight="false" outlineLevel="0" collapsed="false">
      <c r="A902" s="43" t="s">
        <v>147</v>
      </c>
      <c r="B902" s="44" t="s">
        <v>149</v>
      </c>
      <c r="C902" s="45" t="n">
        <v>46069</v>
      </c>
      <c r="D902" s="46" t="n">
        <v>20260216</v>
      </c>
      <c r="E902" s="47" t="s">
        <v>405</v>
      </c>
      <c r="F902" s="48" t="n">
        <v>2966</v>
      </c>
      <c r="G902" s="48" t="n">
        <v>3017</v>
      </c>
      <c r="H902" s="48" t="n">
        <v>2928</v>
      </c>
      <c r="I902" s="48" t="n">
        <v>2962</v>
      </c>
      <c r="J902" s="48" t="n">
        <v>2983</v>
      </c>
      <c r="K902" s="48" t="n">
        <v>2983</v>
      </c>
      <c r="L902" s="48" t="n">
        <v>59682470</v>
      </c>
      <c r="M902" s="48" t="n">
        <v>176779476140</v>
      </c>
      <c r="N902" s="48" t="n">
        <v>1791</v>
      </c>
      <c r="O902" s="48" t="n">
        <v>17171326</v>
      </c>
      <c r="P902" s="48" t="n">
        <v>45664970</v>
      </c>
      <c r="Q902" s="48" t="n">
        <v>449</v>
      </c>
      <c r="R902" s="48" t="n">
        <v>814</v>
      </c>
      <c r="S902" s="48" t="n">
        <v>42511144</v>
      </c>
      <c r="T902" s="48" t="n">
        <v>14017500</v>
      </c>
      <c r="U902" s="46" t="n">
        <f aca="false">IF($A902=$A901,$U901+1,1)</f>
        <v>118</v>
      </c>
      <c r="V902" s="48" t="n">
        <f aca="false">IF($U902&gt;=MA_SHORT,AVERAGE(INDEX($I$502:$I902,402-MA_SHORT):$I902),"")</f>
        <v>3144.75</v>
      </c>
      <c r="W902" s="48" t="n">
        <f aca="false">IF($U902&gt;=MA_MED,AVERAGE(INDEX($I$502:$I902,402-MA_MED):$I902),"")</f>
        <v>3029.32</v>
      </c>
      <c r="X902" s="48" t="n">
        <f aca="false">IF($U902&gt;=MA_LONG1,AVERAGE(INDEX($I$502:$I902,402-MA_LONG1):$I902),"")</f>
        <v>2950.02</v>
      </c>
      <c r="Y902" s="48" t="str">
        <f aca="false">IF($U902&gt;=MA_LONG2,AVERAGE(INDEX($I$502:$I902,402-MA_LONG2):$I902),"")</f>
        <v/>
      </c>
      <c r="Z902" s="48" t="n">
        <f aca="false">IF($U902&gt;=MA_SHORT,AVERAGE(INDEX($L$782:$L902,122-MA_SHORT):$L902),"")</f>
        <v>71846683.45</v>
      </c>
      <c r="AA902" s="48" t="n">
        <f aca="false">IF($U902=1,$G902-$H902,MAX($G902-$H902,ABS($G902-$I901),ABS($H902-$I901)))</f>
        <v>89</v>
      </c>
      <c r="AB902" s="48" t="n">
        <f aca="false">IF($U902&gt;=ATR_PER,AVERAGE(INDEX($AA$782:$AA902,122-ATR_PER):$AA902),"")</f>
        <v>125.785714285714</v>
      </c>
      <c r="AC902" s="48" t="n">
        <f aca="false">$O902-$P902</f>
        <v>-28493644</v>
      </c>
      <c r="AD902" s="48" t="n">
        <f aca="false">$AC902*$I902</f>
        <v>-84398173528</v>
      </c>
      <c r="AE902" s="49" t="n">
        <f aca="false">IF($Q902&gt;0,$O902*$I902/$Q902/1000000,"")</f>
        <v>113.277210717149</v>
      </c>
      <c r="AF902" s="49" t="n">
        <f aca="false">IF($R902&gt;0,$P902*$I902/$R902/1000000,"")</f>
        <v>166.166635307125</v>
      </c>
      <c r="AG902" s="50" t="n">
        <f aca="false">IF(AND(ISNUMBER($AE902),ISNUMBER($AF902),$AF902&gt;0),$AE902/$AF902,"")</f>
        <v>0.681708518125671</v>
      </c>
      <c r="AH902" s="48" t="n">
        <f aca="false">IF($U902&gt;=5,SUM(INDEX($AD$872:$AD902,32-5):$AD902),"")</f>
        <v>-260266619961</v>
      </c>
      <c r="AI902" s="48" t="n">
        <f aca="false">IF($U902&gt;=STRUCT_S,MAX(INDEX($G$752:$G902,152-STRUCT_S):$G902),"")</f>
        <v>3385</v>
      </c>
      <c r="AJ902" s="48" t="n">
        <f aca="false">IF($U902&gt;=STRUCT_S,MIN(INDEX($H$752:$H902,152-STRUCT_S):$H902),"")</f>
        <v>2928</v>
      </c>
      <c r="AK902" s="48" t="n">
        <f aca="false">IF($U902&gt;=STRUCT_L,MAX(INDEX($G$652:$G902,252-STRUCT_L):$G902),"")</f>
        <v>3385</v>
      </c>
      <c r="AL902" s="48" t="n">
        <f aca="false">IF($U902&gt;=STRUCT_L,MIN(INDEX($H$652:$H902,252-STRUCT_L):$H902),"")</f>
        <v>2716</v>
      </c>
      <c r="AM902" s="46" t="n">
        <f aca="false">IF($A902&lt;&gt;$A903,1,0)</f>
        <v>0</v>
      </c>
      <c r="AN902" s="47" t="str">
        <f aca="false">IF($AM902=1,$A902,"")</f>
        <v/>
      </c>
    </row>
    <row r="903" customFormat="false" ht="15" hidden="false" customHeight="false" outlineLevel="0" collapsed="false">
      <c r="A903" s="43" t="s">
        <v>147</v>
      </c>
      <c r="B903" s="44" t="s">
        <v>149</v>
      </c>
      <c r="C903" s="45" t="n">
        <v>46070</v>
      </c>
      <c r="D903" s="46" t="n">
        <v>20260217</v>
      </c>
      <c r="E903" s="47" t="s">
        <v>406</v>
      </c>
      <c r="F903" s="48" t="n">
        <v>2890</v>
      </c>
      <c r="G903" s="48" t="n">
        <v>3020</v>
      </c>
      <c r="H903" s="48" t="n">
        <v>2881</v>
      </c>
      <c r="I903" s="48" t="n">
        <v>2939</v>
      </c>
      <c r="J903" s="48" t="n">
        <v>2957</v>
      </c>
      <c r="K903" s="48" t="n">
        <v>2962</v>
      </c>
      <c r="L903" s="48" t="n">
        <v>167562454</v>
      </c>
      <c r="M903" s="48" t="n">
        <v>492466052306</v>
      </c>
      <c r="N903" s="48" t="n">
        <v>13444</v>
      </c>
      <c r="O903" s="48" t="n">
        <v>70473838</v>
      </c>
      <c r="P903" s="48" t="n">
        <v>99011471</v>
      </c>
      <c r="Q903" s="48" t="n">
        <v>4081</v>
      </c>
      <c r="R903" s="48" t="n">
        <v>9929</v>
      </c>
      <c r="S903" s="48" t="n">
        <v>97088616</v>
      </c>
      <c r="T903" s="48" t="n">
        <v>68550983</v>
      </c>
      <c r="U903" s="46" t="n">
        <f aca="false">IF($A903=$A902,$U902+1,1)</f>
        <v>119</v>
      </c>
      <c r="V903" s="48" t="n">
        <f aca="false">IF($U903&gt;=MA_SHORT,AVERAGE(INDEX($I$503:$I903,402-MA_SHORT):$I903),"")</f>
        <v>3128.25</v>
      </c>
      <c r="W903" s="48" t="n">
        <f aca="false">IF($U903&gt;=MA_MED,AVERAGE(INDEX($I$503:$I903,402-MA_MED):$I903),"")</f>
        <v>3027.76</v>
      </c>
      <c r="X903" s="48" t="n">
        <f aca="false">IF($U903&gt;=MA_LONG1,AVERAGE(INDEX($I$503:$I903,402-MA_LONG1):$I903),"")</f>
        <v>2953.39</v>
      </c>
      <c r="Y903" s="48" t="str">
        <f aca="false">IF($U903&gt;=MA_LONG2,AVERAGE(INDEX($I$503:$I903,402-MA_LONG2):$I903),"")</f>
        <v/>
      </c>
      <c r="Z903" s="48" t="n">
        <f aca="false">IF($U903&gt;=MA_SHORT,AVERAGE(INDEX($L$783:$L903,122-MA_SHORT):$L903),"")</f>
        <v>76864146.75</v>
      </c>
      <c r="AA903" s="48" t="n">
        <f aca="false">IF($U903=1,$G903-$H903,MAX($G903-$H903,ABS($G903-$I902),ABS($H903-$I902)))</f>
        <v>139</v>
      </c>
      <c r="AB903" s="48" t="n">
        <f aca="false">IF($U903&gt;=ATR_PER,AVERAGE(INDEX($AA$783:$AA903,122-ATR_PER):$AA903),"")</f>
        <v>133.857142857143</v>
      </c>
      <c r="AC903" s="48" t="n">
        <f aca="false">$O903-$P903</f>
        <v>-28537633</v>
      </c>
      <c r="AD903" s="48" t="n">
        <f aca="false">$AC903*$I903</f>
        <v>-83872103387</v>
      </c>
      <c r="AE903" s="49" t="n">
        <f aca="false">IF($Q903&gt;0,$O903*$I903/$Q903/1000000,"")</f>
        <v>50.7529061215388</v>
      </c>
      <c r="AF903" s="49" t="n">
        <f aca="false">IF($R903&gt;0,$P903*$I903/$R903/1000000,"")</f>
        <v>29.3075549671669</v>
      </c>
      <c r="AG903" s="50" t="n">
        <f aca="false">IF(AND(ISNUMBER($AE903),ISNUMBER($AF903),$AF903&gt;0),$AE903/$AF903,"")</f>
        <v>1.73173457077525</v>
      </c>
      <c r="AH903" s="48" t="n">
        <f aca="false">IF($U903&gt;=5,SUM(INDEX($AD$873:$AD903,32-5):$AD903),"")</f>
        <v>-328392916348</v>
      </c>
      <c r="AI903" s="48" t="n">
        <f aca="false">IF($U903&gt;=STRUCT_S,MAX(INDEX($G$753:$G903,152-STRUCT_S):$G903),"")</f>
        <v>3385</v>
      </c>
      <c r="AJ903" s="48" t="n">
        <f aca="false">IF($U903&gt;=STRUCT_S,MIN(INDEX($H$753:$H903,152-STRUCT_S):$H903),"")</f>
        <v>2881</v>
      </c>
      <c r="AK903" s="48" t="n">
        <f aca="false">IF($U903&gt;=STRUCT_L,MAX(INDEX($G$653:$G903,252-STRUCT_L):$G903),"")</f>
        <v>3385</v>
      </c>
      <c r="AL903" s="48" t="n">
        <f aca="false">IF($U903&gt;=STRUCT_L,MIN(INDEX($H$653:$H903,252-STRUCT_L):$H903),"")</f>
        <v>2716</v>
      </c>
      <c r="AM903" s="46" t="n">
        <f aca="false">IF($A903&lt;&gt;$A904,1,0)</f>
        <v>0</v>
      </c>
      <c r="AN903" s="47" t="str">
        <f aca="false">IF($AM903=1,$A903,"")</f>
        <v/>
      </c>
    </row>
    <row r="904" customFormat="false" ht="15" hidden="false" customHeight="false" outlineLevel="0" collapsed="false">
      <c r="A904" s="43" t="s">
        <v>147</v>
      </c>
      <c r="B904" s="44" t="s">
        <v>149</v>
      </c>
      <c r="C904" s="45" t="n">
        <v>46071</v>
      </c>
      <c r="D904" s="46" t="n">
        <v>20260218</v>
      </c>
      <c r="E904" s="47" t="s">
        <v>407</v>
      </c>
      <c r="F904" s="48" t="n">
        <v>3000</v>
      </c>
      <c r="G904" s="48" t="n">
        <v>3042</v>
      </c>
      <c r="H904" s="48" t="n">
        <v>2921</v>
      </c>
      <c r="I904" s="48" t="n">
        <v>3024</v>
      </c>
      <c r="J904" s="48" t="n">
        <v>3000</v>
      </c>
      <c r="K904" s="48" t="n">
        <v>2939</v>
      </c>
      <c r="L904" s="48" t="n">
        <v>89984446</v>
      </c>
      <c r="M904" s="48" t="n">
        <v>272112964704</v>
      </c>
      <c r="N904" s="48" t="n">
        <v>2350</v>
      </c>
      <c r="O904" s="48" t="n">
        <v>45826133</v>
      </c>
      <c r="P904" s="48" t="n">
        <v>47787505</v>
      </c>
      <c r="Q904" s="48" t="n">
        <v>1652</v>
      </c>
      <c r="R904" s="48" t="n">
        <v>700</v>
      </c>
      <c r="S904" s="48" t="n">
        <v>44158313</v>
      </c>
      <c r="T904" s="48" t="n">
        <v>42196941</v>
      </c>
      <c r="U904" s="46" t="n">
        <f aca="false">IF($A904=$A903,$U903+1,1)</f>
        <v>120</v>
      </c>
      <c r="V904" s="48" t="n">
        <f aca="false">IF($U904&gt;=MA_SHORT,AVERAGE(INDEX($I$504:$I904,402-MA_SHORT):$I904),"")</f>
        <v>3117.85</v>
      </c>
      <c r="W904" s="48" t="n">
        <f aca="false">IF($U904&gt;=MA_MED,AVERAGE(INDEX($I$504:$I904,402-MA_MED):$I904),"")</f>
        <v>3027.86</v>
      </c>
      <c r="X904" s="48" t="n">
        <f aca="false">IF($U904&gt;=MA_LONG1,AVERAGE(INDEX($I$504:$I904,402-MA_LONG1):$I904),"")</f>
        <v>2956.99</v>
      </c>
      <c r="Y904" s="48" t="str">
        <f aca="false">IF($U904&gt;=MA_LONG2,AVERAGE(INDEX($I$504:$I904,402-MA_LONG2):$I904),"")</f>
        <v/>
      </c>
      <c r="Z904" s="48" t="n">
        <f aca="false">IF($U904&gt;=MA_SHORT,AVERAGE(INDEX($L$784:$L904,122-MA_SHORT):$L904),"")</f>
        <v>78201480.85</v>
      </c>
      <c r="AA904" s="48" t="n">
        <f aca="false">IF($U904=1,$G904-$H904,MAX($G904-$H904,ABS($G904-$I903),ABS($H904-$I903)))</f>
        <v>121</v>
      </c>
      <c r="AB904" s="48" t="n">
        <f aca="false">IF($U904&gt;=ATR_PER,AVERAGE(INDEX($AA$784:$AA904,122-ATR_PER):$AA904),"")</f>
        <v>139.357142857143</v>
      </c>
      <c r="AC904" s="48" t="n">
        <f aca="false">$O904-$P904</f>
        <v>-1961372</v>
      </c>
      <c r="AD904" s="48" t="n">
        <f aca="false">$AC904*$I904</f>
        <v>-5931188928</v>
      </c>
      <c r="AE904" s="49" t="n">
        <f aca="false">IF($Q904&gt;0,$O904*$I904/$Q904/1000000,"")</f>
        <v>83.8851248135593</v>
      </c>
      <c r="AF904" s="49" t="n">
        <f aca="false">IF($R904&gt;0,$P904*$I904/$R904/1000000,"")</f>
        <v>206.4420216</v>
      </c>
      <c r="AG904" s="50" t="n">
        <f aca="false">IF(AND(ISNUMBER($AE904),ISNUMBER($AF904),$AF904&gt;0),$AE904/$AF904,"")</f>
        <v>0.406337450890179</v>
      </c>
      <c r="AH904" s="48" t="n">
        <f aca="false">IF($U904&gt;=5,SUM(INDEX($AD$874:$AD904,32-5):$AD904),"")</f>
        <v>-335147465031</v>
      </c>
      <c r="AI904" s="48" t="n">
        <f aca="false">IF($U904&gt;=STRUCT_S,MAX(INDEX($G$754:$G904,152-STRUCT_S):$G904),"")</f>
        <v>3302</v>
      </c>
      <c r="AJ904" s="48" t="n">
        <f aca="false">IF($U904&gt;=STRUCT_S,MIN(INDEX($H$754:$H904,152-STRUCT_S):$H904),"")</f>
        <v>2881</v>
      </c>
      <c r="AK904" s="48" t="n">
        <f aca="false">IF($U904&gt;=STRUCT_L,MAX(INDEX($G$654:$G904,252-STRUCT_L):$G904),"")</f>
        <v>3385</v>
      </c>
      <c r="AL904" s="48" t="n">
        <f aca="false">IF($U904&gt;=STRUCT_L,MIN(INDEX($H$654:$H904,252-STRUCT_L):$H904),"")</f>
        <v>2716</v>
      </c>
      <c r="AM904" s="46" t="n">
        <f aca="false">IF($A904&lt;&gt;$A905,1,0)</f>
        <v>0</v>
      </c>
      <c r="AN904" s="47" t="str">
        <f aca="false">IF($AM904=1,$A904,"")</f>
        <v/>
      </c>
    </row>
    <row r="905" customFormat="false" ht="15" hidden="false" customHeight="false" outlineLevel="0" collapsed="false">
      <c r="A905" s="43" t="s">
        <v>147</v>
      </c>
      <c r="B905" s="44" t="s">
        <v>149</v>
      </c>
      <c r="C905" s="45" t="n">
        <v>46074</v>
      </c>
      <c r="D905" s="46" t="n">
        <v>20260221</v>
      </c>
      <c r="E905" s="47" t="s">
        <v>408</v>
      </c>
      <c r="F905" s="48" t="n">
        <v>3024</v>
      </c>
      <c r="G905" s="48" t="n">
        <v>3046</v>
      </c>
      <c r="H905" s="48" t="n">
        <v>2933</v>
      </c>
      <c r="I905" s="48" t="n">
        <v>2954</v>
      </c>
      <c r="J905" s="48" t="n">
        <v>3020</v>
      </c>
      <c r="K905" s="48" t="n">
        <v>3024</v>
      </c>
      <c r="L905" s="48" t="n">
        <v>65216979</v>
      </c>
      <c r="M905" s="48" t="n">
        <v>192650955966</v>
      </c>
      <c r="N905" s="48" t="n">
        <v>5368</v>
      </c>
      <c r="O905" s="48" t="n">
        <v>20291039</v>
      </c>
      <c r="P905" s="48" t="n">
        <v>43213268</v>
      </c>
      <c r="Q905" s="48" t="n">
        <v>1199</v>
      </c>
      <c r="R905" s="48" t="n">
        <v>2537</v>
      </c>
      <c r="S905" s="48" t="n">
        <v>44925940</v>
      </c>
      <c r="T905" s="48" t="n">
        <v>22003711</v>
      </c>
      <c r="U905" s="46" t="n">
        <f aca="false">IF($A905=$A904,$U904+1,1)</f>
        <v>121</v>
      </c>
      <c r="V905" s="48" t="n">
        <f aca="false">IF($U905&gt;=MA_SHORT,AVERAGE(INDEX($I$505:$I905,402-MA_SHORT):$I905),"")</f>
        <v>3106.85</v>
      </c>
      <c r="W905" s="48" t="n">
        <f aca="false">IF($U905&gt;=MA_MED,AVERAGE(INDEX($I$505:$I905,402-MA_MED):$I905),"")</f>
        <v>3029.02</v>
      </c>
      <c r="X905" s="48" t="n">
        <f aca="false">IF($U905&gt;=MA_LONG1,AVERAGE(INDEX($I$505:$I905,402-MA_LONG1):$I905),"")</f>
        <v>2960.1</v>
      </c>
      <c r="Y905" s="48" t="str">
        <f aca="false">IF($U905&gt;=MA_LONG2,AVERAGE(INDEX($I$505:$I905,402-MA_LONG2):$I905),"")</f>
        <v/>
      </c>
      <c r="Z905" s="48" t="n">
        <f aca="false">IF($U905&gt;=MA_SHORT,AVERAGE(INDEX($L$785:$L905,122-MA_SHORT):$L905),"")</f>
        <v>77889811.15</v>
      </c>
      <c r="AA905" s="48" t="n">
        <f aca="false">IF($U905=1,$G905-$H905,MAX($G905-$H905,ABS($G905-$I904),ABS($H905-$I904)))</f>
        <v>113</v>
      </c>
      <c r="AB905" s="48" t="n">
        <f aca="false">IF($U905&gt;=ATR_PER,AVERAGE(INDEX($AA$785:$AA905,122-ATR_PER):$AA905),"")</f>
        <v>135.571428571429</v>
      </c>
      <c r="AC905" s="48" t="n">
        <f aca="false">$O905-$P905</f>
        <v>-22922229</v>
      </c>
      <c r="AD905" s="48" t="n">
        <f aca="false">$AC905*$I905</f>
        <v>-67712264466</v>
      </c>
      <c r="AE905" s="49" t="n">
        <f aca="false">IF($Q905&gt;0,$O905*$I905/$Q905/1000000,"")</f>
        <v>49.9914338665555</v>
      </c>
      <c r="AF905" s="49" t="n">
        <f aca="false">IF($R905&gt;0,$P905*$I905/$R905/1000000,"")</f>
        <v>50.3161189089476</v>
      </c>
      <c r="AG905" s="50" t="n">
        <f aca="false">IF(AND(ISNUMBER($AE905),ISNUMBER($AF905),$AF905&gt;0),$AE905/$AF905,"")</f>
        <v>0.993547096846248</v>
      </c>
      <c r="AH905" s="48" t="n">
        <f aca="false">IF($U905&gt;=5,SUM(INDEX($AD$875:$AD905,32-5):$AD905),"")</f>
        <v>-320786967822</v>
      </c>
      <c r="AI905" s="48" t="n">
        <f aca="false">IF($U905&gt;=STRUCT_S,MAX(INDEX($G$755:$G905,152-STRUCT_S):$G905),"")</f>
        <v>3302</v>
      </c>
      <c r="AJ905" s="48" t="n">
        <f aca="false">IF($U905&gt;=STRUCT_S,MIN(INDEX($H$755:$H905,152-STRUCT_S):$H905),"")</f>
        <v>2881</v>
      </c>
      <c r="AK905" s="48" t="n">
        <f aca="false">IF($U905&gt;=STRUCT_L,MAX(INDEX($G$655:$G905,252-STRUCT_L):$G905),"")</f>
        <v>3385</v>
      </c>
      <c r="AL905" s="48" t="n">
        <f aca="false">IF($U905&gt;=STRUCT_L,MIN(INDEX($H$655:$H905,252-STRUCT_L):$H905),"")</f>
        <v>2716</v>
      </c>
      <c r="AM905" s="46" t="n">
        <f aca="false">IF($A905&lt;&gt;$A906,1,0)</f>
        <v>0</v>
      </c>
      <c r="AN905" s="47" t="str">
        <f aca="false">IF($AM905=1,$A905,"")</f>
        <v/>
      </c>
    </row>
    <row r="906" customFormat="false" ht="15" hidden="false" customHeight="false" outlineLevel="0" collapsed="false">
      <c r="A906" s="43" t="s">
        <v>147</v>
      </c>
      <c r="B906" s="44" t="s">
        <v>149</v>
      </c>
      <c r="C906" s="45" t="n">
        <v>46075</v>
      </c>
      <c r="D906" s="46" t="n">
        <v>20260222</v>
      </c>
      <c r="E906" s="47" t="s">
        <v>409</v>
      </c>
      <c r="F906" s="48" t="n">
        <v>2884</v>
      </c>
      <c r="G906" s="48" t="n">
        <v>3038</v>
      </c>
      <c r="H906" s="48" t="n">
        <v>2834</v>
      </c>
      <c r="I906" s="48" t="n">
        <v>2917</v>
      </c>
      <c r="J906" s="48" t="n">
        <v>2982</v>
      </c>
      <c r="K906" s="48" t="n">
        <v>2954</v>
      </c>
      <c r="L906" s="48" t="n">
        <v>61567189</v>
      </c>
      <c r="M906" s="48" t="n">
        <v>179591490313</v>
      </c>
      <c r="N906" s="48" t="n">
        <v>3428</v>
      </c>
      <c r="O906" s="48" t="n">
        <v>27732426</v>
      </c>
      <c r="P906" s="48" t="n">
        <v>34912019</v>
      </c>
      <c r="Q906" s="48" t="n">
        <v>1170</v>
      </c>
      <c r="R906" s="48" t="n">
        <v>2330</v>
      </c>
      <c r="S906" s="48" t="n">
        <v>33834763</v>
      </c>
      <c r="T906" s="48" t="n">
        <v>26655170</v>
      </c>
      <c r="U906" s="46" t="n">
        <f aca="false">IF($A906=$A905,$U905+1,1)</f>
        <v>122</v>
      </c>
      <c r="V906" s="48" t="n">
        <f aca="false">IF($U906&gt;=MA_SHORT,AVERAGE(INDEX($I$506:$I906,402-MA_SHORT):$I906),"")</f>
        <v>3092.8</v>
      </c>
      <c r="W906" s="48" t="n">
        <f aca="false">IF($U906&gt;=MA_MED,AVERAGE(INDEX($I$506:$I906,402-MA_MED):$I906),"")</f>
        <v>3030.28</v>
      </c>
      <c r="X906" s="48" t="n">
        <f aca="false">IF($U906&gt;=MA_LONG1,AVERAGE(INDEX($I$506:$I906,402-MA_LONG1):$I906),"")</f>
        <v>2962.67</v>
      </c>
      <c r="Y906" s="48" t="str">
        <f aca="false">IF($U906&gt;=MA_LONG2,AVERAGE(INDEX($I$506:$I906,402-MA_LONG2):$I906),"")</f>
        <v/>
      </c>
      <c r="Z906" s="48" t="n">
        <f aca="false">IF($U906&gt;=MA_SHORT,AVERAGE(INDEX($L$786:$L906,122-MA_SHORT):$L906),"")</f>
        <v>77302922.1</v>
      </c>
      <c r="AA906" s="48" t="n">
        <f aca="false">IF($U906=1,$G906-$H906,MAX($G906-$H906,ABS($G906-$I905),ABS($H906-$I905)))</f>
        <v>204</v>
      </c>
      <c r="AB906" s="48" t="n">
        <f aca="false">IF($U906&gt;=ATR_PER,AVERAGE(INDEX($AA$786:$AA906,122-ATR_PER):$AA906),"")</f>
        <v>143.5</v>
      </c>
      <c r="AC906" s="48" t="n">
        <f aca="false">$O906-$P906</f>
        <v>-7179593</v>
      </c>
      <c r="AD906" s="48" t="n">
        <f aca="false">$AC906*$I906</f>
        <v>-20942872781</v>
      </c>
      <c r="AE906" s="49" t="n">
        <f aca="false">IF($Q906&gt;0,$O906*$I906/$Q906/1000000,"")</f>
        <v>69.141441574359</v>
      </c>
      <c r="AF906" s="49" t="n">
        <f aca="false">IF($R906&gt;0,$P906*$I906/$R906/1000000,"")</f>
        <v>43.7074503961373</v>
      </c>
      <c r="AG906" s="50" t="n">
        <f aca="false">IF(AND(ISNUMBER($AE906),ISNUMBER($AF906),$AF906&gt;0),$AE906/$AF906,"")</f>
        <v>1.58191431775827</v>
      </c>
      <c r="AH906" s="48" t="n">
        <f aca="false">IF($U906&gt;=5,SUM(INDEX($AD$876:$AD906,32-5):$AD906),"")</f>
        <v>-262856603090</v>
      </c>
      <c r="AI906" s="48" t="n">
        <f aca="false">IF($U906&gt;=STRUCT_S,MAX(INDEX($G$756:$G906,152-STRUCT_S):$G906),"")</f>
        <v>3302</v>
      </c>
      <c r="AJ906" s="48" t="n">
        <f aca="false">IF($U906&gt;=STRUCT_S,MIN(INDEX($H$756:$H906,152-STRUCT_S):$H906),"")</f>
        <v>2834</v>
      </c>
      <c r="AK906" s="48" t="n">
        <f aca="false">IF($U906&gt;=STRUCT_L,MAX(INDEX($G$656:$G906,252-STRUCT_L):$G906),"")</f>
        <v>3385</v>
      </c>
      <c r="AL906" s="48" t="n">
        <f aca="false">IF($U906&gt;=STRUCT_L,MIN(INDEX($H$656:$H906,252-STRUCT_L):$H906),"")</f>
        <v>2716</v>
      </c>
      <c r="AM906" s="46" t="n">
        <f aca="false">IF($A906&lt;&gt;$A907,1,0)</f>
        <v>0</v>
      </c>
      <c r="AN906" s="47" t="str">
        <f aca="false">IF($AM906=1,$A906,"")</f>
        <v/>
      </c>
    </row>
    <row r="907" customFormat="false" ht="15" hidden="false" customHeight="false" outlineLevel="0" collapsed="false">
      <c r="A907" s="43" t="s">
        <v>147</v>
      </c>
      <c r="B907" s="44" t="s">
        <v>149</v>
      </c>
      <c r="C907" s="45" t="n">
        <v>46076</v>
      </c>
      <c r="D907" s="46" t="n">
        <v>20260223</v>
      </c>
      <c r="E907" s="47" t="s">
        <v>410</v>
      </c>
      <c r="F907" s="48" t="n">
        <v>2899</v>
      </c>
      <c r="G907" s="48" t="n">
        <v>2940</v>
      </c>
      <c r="H907" s="48" t="n">
        <v>2882</v>
      </c>
      <c r="I907" s="48" t="n">
        <v>2905</v>
      </c>
      <c r="J907" s="48" t="n">
        <v>2919</v>
      </c>
      <c r="K907" s="48" t="n">
        <v>2917</v>
      </c>
      <c r="L907" s="48" t="n">
        <v>60498835</v>
      </c>
      <c r="M907" s="48" t="n">
        <v>175749115675</v>
      </c>
      <c r="N907" s="48" t="n">
        <v>3337</v>
      </c>
      <c r="O907" s="48" t="n">
        <v>22420245</v>
      </c>
      <c r="P907" s="48" t="n">
        <v>39068743</v>
      </c>
      <c r="Q907" s="48" t="n">
        <v>727</v>
      </c>
      <c r="R907" s="48" t="n">
        <v>2210</v>
      </c>
      <c r="S907" s="48" t="n">
        <v>38078590</v>
      </c>
      <c r="T907" s="48" t="n">
        <v>21430092</v>
      </c>
      <c r="U907" s="46" t="n">
        <f aca="false">IF($A907=$A906,$U906+1,1)</f>
        <v>123</v>
      </c>
      <c r="V907" s="48" t="n">
        <f aca="false">IF($U907&gt;=MA_SHORT,AVERAGE(INDEX($I$507:$I907,402-MA_SHORT):$I907),"")</f>
        <v>3078.95</v>
      </c>
      <c r="W907" s="48" t="n">
        <f aca="false">IF($U907&gt;=MA_MED,AVERAGE(INDEX($I$507:$I907,402-MA_MED):$I907),"")</f>
        <v>3030.16</v>
      </c>
      <c r="X907" s="48" t="n">
        <f aca="false">IF($U907&gt;=MA_LONG1,AVERAGE(INDEX($I$507:$I907,402-MA_LONG1):$I907),"")</f>
        <v>2964.72</v>
      </c>
      <c r="Y907" s="48" t="str">
        <f aca="false">IF($U907&gt;=MA_LONG2,AVERAGE(INDEX($I$507:$I907,402-MA_LONG2):$I907),"")</f>
        <v/>
      </c>
      <c r="Z907" s="48" t="n">
        <f aca="false">IF($U907&gt;=MA_SHORT,AVERAGE(INDEX($L$787:$L907,122-MA_SHORT):$L907),"")</f>
        <v>77378730.15</v>
      </c>
      <c r="AA907" s="48" t="n">
        <f aca="false">IF($U907=1,$G907-$H907,MAX($G907-$H907,ABS($G907-$I906),ABS($H907-$I906)))</f>
        <v>58</v>
      </c>
      <c r="AB907" s="48" t="n">
        <f aca="false">IF($U907&gt;=ATR_PER,AVERAGE(INDEX($AA$787:$AA907,122-ATR_PER):$AA907),"")</f>
        <v>145.428571428571</v>
      </c>
      <c r="AC907" s="48" t="n">
        <f aca="false">$O907-$P907</f>
        <v>-16648498</v>
      </c>
      <c r="AD907" s="48" t="n">
        <f aca="false">$AC907*$I907</f>
        <v>-48363886690</v>
      </c>
      <c r="AE907" s="49" t="n">
        <f aca="false">IF($Q907&gt;0,$O907*$I907/$Q907/1000000,"")</f>
        <v>89.5884617950482</v>
      </c>
      <c r="AF907" s="49" t="n">
        <f aca="false">IF($R907&gt;0,$P907*$I907/$R907/1000000,"")</f>
        <v>51.3550671561086</v>
      </c>
      <c r="AG907" s="50" t="n">
        <f aca="false">IF(AND(ISNUMBER($AE907),ISNUMBER($AF907),$AF907&gt;0),$AE907/$AF907,"")</f>
        <v>1.74449118180915</v>
      </c>
      <c r="AH907" s="48" t="n">
        <f aca="false">IF($U907&gt;=5,SUM(INDEX($AD$877:$AD907,32-5):$AD907),"")</f>
        <v>-226822316252</v>
      </c>
      <c r="AI907" s="48" t="n">
        <f aca="false">IF($U907&gt;=STRUCT_S,MAX(INDEX($G$757:$G907,152-STRUCT_S):$G907),"")</f>
        <v>3302</v>
      </c>
      <c r="AJ907" s="48" t="n">
        <f aca="false">IF($U907&gt;=STRUCT_S,MIN(INDEX($H$757:$H907,152-STRUCT_S):$H907),"")</f>
        <v>2834</v>
      </c>
      <c r="AK907" s="48" t="n">
        <f aca="false">IF($U907&gt;=STRUCT_L,MAX(INDEX($G$657:$G907,252-STRUCT_L):$G907),"")</f>
        <v>3385</v>
      </c>
      <c r="AL907" s="48" t="n">
        <f aca="false">IF($U907&gt;=STRUCT_L,MIN(INDEX($H$657:$H907,252-STRUCT_L):$H907),"")</f>
        <v>2716</v>
      </c>
      <c r="AM907" s="46" t="n">
        <f aca="false">IF($A907&lt;&gt;$A908,1,0)</f>
        <v>0</v>
      </c>
      <c r="AN907" s="47" t="str">
        <f aca="false">IF($AM907=1,$A907,"")</f>
        <v/>
      </c>
    </row>
    <row r="908" customFormat="false" ht="15" hidden="false" customHeight="false" outlineLevel="0" collapsed="false">
      <c r="A908" s="43" t="s">
        <v>147</v>
      </c>
      <c r="B908" s="44" t="s">
        <v>149</v>
      </c>
      <c r="C908" s="45" t="n">
        <v>46077</v>
      </c>
      <c r="D908" s="46" t="n">
        <v>20260224</v>
      </c>
      <c r="E908" s="47" t="s">
        <v>411</v>
      </c>
      <c r="F908" s="48" t="n">
        <v>2903</v>
      </c>
      <c r="G908" s="48" t="n">
        <v>2988</v>
      </c>
      <c r="H908" s="48" t="n">
        <v>2896</v>
      </c>
      <c r="I908" s="48" t="n">
        <v>2979</v>
      </c>
      <c r="J908" s="48" t="n">
        <v>2922</v>
      </c>
      <c r="K908" s="48" t="n">
        <v>2905</v>
      </c>
      <c r="L908" s="48" t="n">
        <v>75207229</v>
      </c>
      <c r="M908" s="48" t="n">
        <v>224042335191</v>
      </c>
      <c r="N908" s="48" t="n">
        <v>2971</v>
      </c>
      <c r="O908" s="48" t="n">
        <v>38987901</v>
      </c>
      <c r="P908" s="48" t="n">
        <v>33250013</v>
      </c>
      <c r="Q908" s="48" t="n">
        <v>1800</v>
      </c>
      <c r="R908" s="48" t="n">
        <v>1210</v>
      </c>
      <c r="S908" s="48" t="n">
        <v>36219328</v>
      </c>
      <c r="T908" s="48" t="n">
        <v>41957216</v>
      </c>
      <c r="U908" s="46" t="n">
        <f aca="false">IF($A908=$A907,$U907+1,1)</f>
        <v>124</v>
      </c>
      <c r="V908" s="48" t="n">
        <f aca="false">IF($U908&gt;=MA_SHORT,AVERAGE(INDEX($I$508:$I908,402-MA_SHORT):$I908),"")</f>
        <v>3069.95</v>
      </c>
      <c r="W908" s="48" t="n">
        <f aca="false">IF($U908&gt;=MA_MED,AVERAGE(INDEX($I$508:$I908,402-MA_MED):$I908),"")</f>
        <v>3033.62</v>
      </c>
      <c r="X908" s="48" t="n">
        <f aca="false">IF($U908&gt;=MA_LONG1,AVERAGE(INDEX($I$508:$I908,402-MA_LONG1):$I908),"")</f>
        <v>2966.68</v>
      </c>
      <c r="Y908" s="48" t="str">
        <f aca="false">IF($U908&gt;=MA_LONG2,AVERAGE(INDEX($I$508:$I908,402-MA_LONG2):$I908),"")</f>
        <v/>
      </c>
      <c r="Z908" s="48" t="n">
        <f aca="false">IF($U908&gt;=MA_SHORT,AVERAGE(INDEX($L$788:$L908,122-MA_SHORT):$L908),"")</f>
        <v>78151733.85</v>
      </c>
      <c r="AA908" s="48" t="n">
        <f aca="false">IF($U908=1,$G908-$H908,MAX($G908-$H908,ABS($G908-$I907),ABS($H908-$I907)))</f>
        <v>92</v>
      </c>
      <c r="AB908" s="48" t="n">
        <f aca="false">IF($U908&gt;=ATR_PER,AVERAGE(INDEX($AA$788:$AA908,122-ATR_PER):$AA908),"")</f>
        <v>138.428571428571</v>
      </c>
      <c r="AC908" s="48" t="n">
        <f aca="false">$O908-$P908</f>
        <v>5737888</v>
      </c>
      <c r="AD908" s="48" t="n">
        <f aca="false">$AC908*$I908</f>
        <v>17093168352</v>
      </c>
      <c r="AE908" s="49" t="n">
        <f aca="false">IF($Q908&gt;0,$O908*$I908/$Q908/1000000,"")</f>
        <v>64.524976155</v>
      </c>
      <c r="AF908" s="49" t="n">
        <f aca="false">IF($R908&gt;0,$P908*$I908/$R908/1000000,"")</f>
        <v>81.8609824190083</v>
      </c>
      <c r="AG908" s="50" t="n">
        <f aca="false">IF(AND(ISNUMBER($AE908),ISNUMBER($AF908),$AF908&gt;0),$AE908/$AF908,"")</f>
        <v>0.788226261746123</v>
      </c>
      <c r="AH908" s="48" t="n">
        <f aca="false">IF($U908&gt;=5,SUM(INDEX($AD$878:$AD908,32-5):$AD908),"")</f>
        <v>-125857044513</v>
      </c>
      <c r="AI908" s="48" t="n">
        <f aca="false">IF($U908&gt;=STRUCT_S,MAX(INDEX($G$758:$G908,152-STRUCT_S):$G908),"")</f>
        <v>3302</v>
      </c>
      <c r="AJ908" s="48" t="n">
        <f aca="false">IF($U908&gt;=STRUCT_S,MIN(INDEX($H$758:$H908,152-STRUCT_S):$H908),"")</f>
        <v>2834</v>
      </c>
      <c r="AK908" s="48" t="n">
        <f aca="false">IF($U908&gt;=STRUCT_L,MAX(INDEX($G$658:$G908,252-STRUCT_L):$G908),"")</f>
        <v>3385</v>
      </c>
      <c r="AL908" s="48" t="n">
        <f aca="false">IF($U908&gt;=STRUCT_L,MIN(INDEX($H$658:$H908,252-STRUCT_L):$H908),"")</f>
        <v>2716</v>
      </c>
      <c r="AM908" s="46" t="n">
        <f aca="false">IF($A908&lt;&gt;$A909,1,0)</f>
        <v>0</v>
      </c>
      <c r="AN908" s="47" t="str">
        <f aca="false">IF($AM908=1,$A908,"")</f>
        <v/>
      </c>
    </row>
    <row r="909" customFormat="false" ht="15" hidden="false" customHeight="false" outlineLevel="0" collapsed="false">
      <c r="A909" s="43" t="s">
        <v>147</v>
      </c>
      <c r="B909" s="44" t="s">
        <v>149</v>
      </c>
      <c r="C909" s="45" t="n">
        <v>46078</v>
      </c>
      <c r="D909" s="46" t="n">
        <v>20260225</v>
      </c>
      <c r="E909" s="47" t="s">
        <v>412</v>
      </c>
      <c r="F909" s="48" t="n">
        <v>3054</v>
      </c>
      <c r="G909" s="48" t="n">
        <v>3167</v>
      </c>
      <c r="H909" s="48" t="n">
        <v>2912</v>
      </c>
      <c r="I909" s="48" t="n">
        <v>3097</v>
      </c>
      <c r="J909" s="48" t="n">
        <v>2995</v>
      </c>
      <c r="K909" s="48" t="n">
        <v>2979</v>
      </c>
      <c r="L909" s="48" t="n">
        <v>70873186</v>
      </c>
      <c r="M909" s="48" t="n">
        <v>219494257042</v>
      </c>
      <c r="N909" s="48" t="n">
        <v>2611</v>
      </c>
      <c r="O909" s="48" t="n">
        <v>42846320</v>
      </c>
      <c r="P909" s="48" t="n">
        <v>31916536</v>
      </c>
      <c r="Q909" s="48" t="n">
        <v>1105</v>
      </c>
      <c r="R909" s="48" t="n">
        <v>876</v>
      </c>
      <c r="S909" s="48" t="n">
        <v>28026866</v>
      </c>
      <c r="T909" s="48" t="n">
        <v>38956650</v>
      </c>
      <c r="U909" s="46" t="n">
        <f aca="false">IF($A909=$A908,$U908+1,1)</f>
        <v>125</v>
      </c>
      <c r="V909" s="48" t="n">
        <f aca="false">IF($U909&gt;=MA_SHORT,AVERAGE(INDEX($I$509:$I909,402-MA_SHORT):$I909),"")</f>
        <v>3066.75</v>
      </c>
      <c r="W909" s="48" t="n">
        <f aca="false">IF($U909&gt;=MA_MED,AVERAGE(INDEX($I$509:$I909,402-MA_MED):$I909),"")</f>
        <v>3040</v>
      </c>
      <c r="X909" s="48" t="n">
        <f aca="false">IF($U909&gt;=MA_LONG1,AVERAGE(INDEX($I$509:$I909,402-MA_LONG1):$I909),"")</f>
        <v>2968.95</v>
      </c>
      <c r="Y909" s="48" t="str">
        <f aca="false">IF($U909&gt;=MA_LONG2,AVERAGE(INDEX($I$509:$I909,402-MA_LONG2):$I909),"")</f>
        <v/>
      </c>
      <c r="Z909" s="48" t="n">
        <f aca="false">IF($U909&gt;=MA_SHORT,AVERAGE(INDEX($L$789:$L909,122-MA_SHORT):$L909),"")</f>
        <v>77532225.3</v>
      </c>
      <c r="AA909" s="48" t="n">
        <f aca="false">IF($U909=1,$G909-$H909,MAX($G909-$H909,ABS($G909-$I908),ABS($H909-$I908)))</f>
        <v>255</v>
      </c>
      <c r="AB909" s="48" t="n">
        <f aca="false">IF($U909&gt;=ATR_PER,AVERAGE(INDEX($AA$789:$AA909,122-ATR_PER):$AA909),"")</f>
        <v>152.785714285714</v>
      </c>
      <c r="AC909" s="48" t="n">
        <f aca="false">$O909-$P909</f>
        <v>10929784</v>
      </c>
      <c r="AD909" s="48" t="n">
        <f aca="false">$AC909*$I909</f>
        <v>33849541048</v>
      </c>
      <c r="AE909" s="49" t="n">
        <f aca="false">IF($Q909&gt;0,$O909*$I909/$Q909/1000000,"")</f>
        <v>120.086020850679</v>
      </c>
      <c r="AF909" s="49" t="n">
        <f aca="false">IF($R909&gt;0,$P909*$I909/$R909/1000000,"")</f>
        <v>112.837342456621</v>
      </c>
      <c r="AG909" s="50" t="n">
        <f aca="false">IF(AND(ISNUMBER($AE909),ISNUMBER($AF909),$AF909&gt;0),$AE909/$AF909,"")</f>
        <v>1.06424006659714</v>
      </c>
      <c r="AH909" s="48" t="n">
        <f aca="false">IF($U909&gt;=5,SUM(INDEX($AD$879:$AD909,32-5):$AD909),"")</f>
        <v>-86076314537</v>
      </c>
      <c r="AI909" s="48" t="n">
        <f aca="false">IF($U909&gt;=STRUCT_S,MAX(INDEX($G$759:$G909,152-STRUCT_S):$G909),"")</f>
        <v>3302</v>
      </c>
      <c r="AJ909" s="48" t="n">
        <f aca="false">IF($U909&gt;=STRUCT_S,MIN(INDEX($H$759:$H909,152-STRUCT_S):$H909),"")</f>
        <v>2834</v>
      </c>
      <c r="AK909" s="48" t="n">
        <f aca="false">IF($U909&gt;=STRUCT_L,MAX(INDEX($G$659:$G909,252-STRUCT_L):$G909),"")</f>
        <v>3385</v>
      </c>
      <c r="AL909" s="48" t="n">
        <f aca="false">IF($U909&gt;=STRUCT_L,MIN(INDEX($H$659:$H909,252-STRUCT_L):$H909),"")</f>
        <v>2716</v>
      </c>
      <c r="AM909" s="46" t="n">
        <f aca="false">IF($A909&lt;&gt;$A910,1,0)</f>
        <v>0</v>
      </c>
      <c r="AN909" s="47" t="str">
        <f aca="false">IF($AM909=1,$A909,"")</f>
        <v/>
      </c>
    </row>
    <row r="910" customFormat="false" ht="15" hidden="false" customHeight="false" outlineLevel="0" collapsed="false">
      <c r="A910" s="43" t="s">
        <v>147</v>
      </c>
      <c r="B910" s="44" t="s">
        <v>149</v>
      </c>
      <c r="C910" s="45" t="n">
        <v>46081</v>
      </c>
      <c r="D910" s="46" t="n">
        <v>20260228</v>
      </c>
      <c r="E910" s="47" t="s">
        <v>413</v>
      </c>
      <c r="F910" s="48" t="n">
        <v>3219</v>
      </c>
      <c r="G910" s="48" t="n">
        <v>3226</v>
      </c>
      <c r="H910" s="48" t="n">
        <v>3077</v>
      </c>
      <c r="I910" s="48" t="n">
        <v>3205</v>
      </c>
      <c r="J910" s="48" t="n">
        <v>3112</v>
      </c>
      <c r="K910" s="48" t="n">
        <v>3097</v>
      </c>
      <c r="L910" s="48" t="n">
        <v>103270678</v>
      </c>
      <c r="M910" s="48" t="n">
        <v>330982522990</v>
      </c>
      <c r="N910" s="48" t="n">
        <v>3228</v>
      </c>
      <c r="O910" s="48" t="n">
        <v>54283694</v>
      </c>
      <c r="P910" s="48" t="n">
        <v>46592408</v>
      </c>
      <c r="Q910" s="48" t="n">
        <v>1313</v>
      </c>
      <c r="R910" s="48" t="n">
        <v>1049</v>
      </c>
      <c r="S910" s="48" t="n">
        <v>48986984</v>
      </c>
      <c r="T910" s="48" t="n">
        <v>56678270</v>
      </c>
      <c r="U910" s="46" t="n">
        <f aca="false">IF($A910=$A909,$U909+1,1)</f>
        <v>126</v>
      </c>
      <c r="V910" s="48" t="n">
        <f aca="false">IF($U910&gt;=MA_SHORT,AVERAGE(INDEX($I$510:$I910,402-MA_SHORT):$I910),"")</f>
        <v>3069.35</v>
      </c>
      <c r="W910" s="48" t="n">
        <f aca="false">IF($U910&gt;=MA_MED,AVERAGE(INDEX($I$510:$I910,402-MA_MED):$I910),"")</f>
        <v>3047.08</v>
      </c>
      <c r="X910" s="48" t="n">
        <f aca="false">IF($U910&gt;=MA_LONG1,AVERAGE(INDEX($I$510:$I910,402-MA_LONG1):$I910),"")</f>
        <v>2972.27</v>
      </c>
      <c r="Y910" s="48" t="str">
        <f aca="false">IF($U910&gt;=MA_LONG2,AVERAGE(INDEX($I$510:$I910,402-MA_LONG2):$I910),"")</f>
        <v/>
      </c>
      <c r="Z910" s="48" t="n">
        <f aca="false">IF($U910&gt;=MA_SHORT,AVERAGE(INDEX($L$790:$L910,122-MA_SHORT):$L910),"")</f>
        <v>78339191.25</v>
      </c>
      <c r="AA910" s="48" t="n">
        <f aca="false">IF($U910=1,$G910-$H910,MAX($G910-$H910,ABS($G910-$I909),ABS($H910-$I909)))</f>
        <v>149</v>
      </c>
      <c r="AB910" s="48" t="n">
        <f aca="false">IF($U910&gt;=ATR_PER,AVERAGE(INDEX($AA$790:$AA910,122-ATR_PER):$AA910),"")</f>
        <v>149.571428571429</v>
      </c>
      <c r="AC910" s="48" t="n">
        <f aca="false">$O910-$P910</f>
        <v>7691286</v>
      </c>
      <c r="AD910" s="48" t="n">
        <f aca="false">$AC910*$I910</f>
        <v>24650571630</v>
      </c>
      <c r="AE910" s="49" t="n">
        <f aca="false">IF($Q910&gt;0,$O910*$I910/$Q910/1000000,"")</f>
        <v>132.50513272658</v>
      </c>
      <c r="AF910" s="49" t="n">
        <f aca="false">IF($R910&gt;0,$P910*$I910/$R910/1000000,"")</f>
        <v>142.353353326978</v>
      </c>
      <c r="AG910" s="50" t="n">
        <f aca="false">IF(AND(ISNUMBER($AE910),ISNUMBER($AF910),$AF910&gt;0),$AE910/$AF910,"")</f>
        <v>0.930818485337842</v>
      </c>
      <c r="AH910" s="48" t="n">
        <f aca="false">IF($U910&gt;=5,SUM(INDEX($AD$880:$AD910,32-5):$AD910),"")</f>
        <v>6286521559</v>
      </c>
      <c r="AI910" s="48" t="n">
        <f aca="false">IF($U910&gt;=STRUCT_S,MAX(INDEX($G$760:$G910,152-STRUCT_S):$G910),"")</f>
        <v>3302</v>
      </c>
      <c r="AJ910" s="48" t="n">
        <f aca="false">IF($U910&gt;=STRUCT_S,MIN(INDEX($H$760:$H910,152-STRUCT_S):$H910),"")</f>
        <v>2834</v>
      </c>
      <c r="AK910" s="48" t="n">
        <f aca="false">IF($U910&gt;=STRUCT_L,MAX(INDEX($G$660:$G910,252-STRUCT_L):$G910),"")</f>
        <v>3385</v>
      </c>
      <c r="AL910" s="48" t="n">
        <f aca="false">IF($U910&gt;=STRUCT_L,MIN(INDEX($H$660:$H910,252-STRUCT_L):$H910),"")</f>
        <v>2716</v>
      </c>
      <c r="AM910" s="46" t="n">
        <f aca="false">IF($A910&lt;&gt;$A911,1,0)</f>
        <v>0</v>
      </c>
      <c r="AN910" s="47" t="str">
        <f aca="false">IF($AM910=1,$A910,"")</f>
        <v/>
      </c>
    </row>
    <row r="911" customFormat="false" ht="15" hidden="false" customHeight="false" outlineLevel="0" collapsed="false">
      <c r="A911" s="43" t="s">
        <v>147</v>
      </c>
      <c r="B911" s="44" t="s">
        <v>149</v>
      </c>
      <c r="C911" s="45" t="n">
        <v>46082</v>
      </c>
      <c r="D911" s="46" t="n">
        <v>20260301</v>
      </c>
      <c r="E911" s="47" t="s">
        <v>414</v>
      </c>
      <c r="F911" s="48" t="n">
        <v>3219</v>
      </c>
      <c r="G911" s="48" t="n">
        <v>3279</v>
      </c>
      <c r="H911" s="48" t="n">
        <v>3184</v>
      </c>
      <c r="I911" s="48" t="n">
        <v>3258</v>
      </c>
      <c r="J911" s="48" t="n">
        <v>3222</v>
      </c>
      <c r="K911" s="48" t="n">
        <v>3205</v>
      </c>
      <c r="L911" s="48" t="n">
        <v>62945391</v>
      </c>
      <c r="M911" s="48" t="n">
        <v>205076083878</v>
      </c>
      <c r="N911" s="48" t="n">
        <v>1434</v>
      </c>
      <c r="O911" s="48" t="n">
        <v>27438830</v>
      </c>
      <c r="P911" s="48" t="n">
        <v>36219984</v>
      </c>
      <c r="Q911" s="48" t="n">
        <v>760</v>
      </c>
      <c r="R911" s="48" t="n">
        <v>488</v>
      </c>
      <c r="S911" s="48" t="n">
        <v>35506561</v>
      </c>
      <c r="T911" s="48" t="n">
        <v>26725407</v>
      </c>
      <c r="U911" s="46" t="n">
        <f aca="false">IF($A911=$A910,$U910+1,1)</f>
        <v>127</v>
      </c>
      <c r="V911" s="48" t="n">
        <f aca="false">IF($U911&gt;=MA_SHORT,AVERAGE(INDEX($I$511:$I911,402-MA_SHORT):$I911),"")</f>
        <v>3069.05</v>
      </c>
      <c r="W911" s="48" t="n">
        <f aca="false">IF($U911&gt;=MA_MED,AVERAGE(INDEX($I$511:$I911,402-MA_MED):$I911),"")</f>
        <v>3057.04</v>
      </c>
      <c r="X911" s="48" t="n">
        <f aca="false">IF($U911&gt;=MA_LONG1,AVERAGE(INDEX($I$511:$I911,402-MA_LONG1):$I911),"")</f>
        <v>2975.69</v>
      </c>
      <c r="Y911" s="48" t="str">
        <f aca="false">IF($U911&gt;=MA_LONG2,AVERAGE(INDEX($I$511:$I911,402-MA_LONG2):$I911),"")</f>
        <v/>
      </c>
      <c r="Z911" s="48" t="n">
        <f aca="false">IF($U911&gt;=MA_SHORT,AVERAGE(INDEX($L$791:$L911,122-MA_SHORT):$L911),"")</f>
        <v>77486636.35</v>
      </c>
      <c r="AA911" s="48" t="n">
        <f aca="false">IF($U911=1,$G911-$H911,MAX($G911-$H911,ABS($G911-$I910),ABS($H911-$I910)))</f>
        <v>95</v>
      </c>
      <c r="AB911" s="48" t="n">
        <f aca="false">IF($U911&gt;=ATR_PER,AVERAGE(INDEX($AA$791:$AA911,122-ATR_PER):$AA911),"")</f>
        <v>148.928571428571</v>
      </c>
      <c r="AC911" s="48" t="n">
        <f aca="false">$O911-$P911</f>
        <v>-8781154</v>
      </c>
      <c r="AD911" s="48" t="n">
        <f aca="false">$AC911*$I911</f>
        <v>-28608999732</v>
      </c>
      <c r="AE911" s="49" t="n">
        <f aca="false">IF($Q911&gt;0,$O911*$I911/$Q911/1000000,"")</f>
        <v>117.625931763158</v>
      </c>
      <c r="AF911" s="49" t="n">
        <f aca="false">IF($R911&gt;0,$P911*$I911/$R911/1000000,"")</f>
        <v>241.812925967213</v>
      </c>
      <c r="AG911" s="50" t="n">
        <f aca="false">IF(AND(ISNUMBER($AE911),ISNUMBER($AF911),$AF911&gt;0),$AE911/$AF911,"")</f>
        <v>0.486433598587309</v>
      </c>
      <c r="AH911" s="48" t="n">
        <f aca="false">IF($U911&gt;=5,SUM(INDEX($AD$881:$AD911,32-5):$AD911),"")</f>
        <v>-1379605392</v>
      </c>
      <c r="AI911" s="48" t="n">
        <f aca="false">IF($U911&gt;=STRUCT_S,MAX(INDEX($G$761:$G911,152-STRUCT_S):$G911),"")</f>
        <v>3302</v>
      </c>
      <c r="AJ911" s="48" t="n">
        <f aca="false">IF($U911&gt;=STRUCT_S,MIN(INDEX($H$761:$H911,152-STRUCT_S):$H911),"")</f>
        <v>2834</v>
      </c>
      <c r="AK911" s="48" t="n">
        <f aca="false">IF($U911&gt;=STRUCT_L,MAX(INDEX($G$661:$G911,252-STRUCT_L):$G911),"")</f>
        <v>3385</v>
      </c>
      <c r="AL911" s="48" t="n">
        <f aca="false">IF($U911&gt;=STRUCT_L,MIN(INDEX($H$661:$H911,252-STRUCT_L):$H911),"")</f>
        <v>2716</v>
      </c>
      <c r="AM911" s="46" t="n">
        <f aca="false">IF($A911&lt;&gt;$A912,1,0)</f>
        <v>0</v>
      </c>
      <c r="AN911" s="47" t="str">
        <f aca="false">IF($AM911=1,$A911,"")</f>
        <v/>
      </c>
    </row>
    <row r="912" customFormat="false" ht="15" hidden="false" customHeight="false" outlineLevel="0" collapsed="false">
      <c r="A912" s="43" t="s">
        <v>147</v>
      </c>
      <c r="B912" s="44" t="s">
        <v>149</v>
      </c>
      <c r="C912" s="45" t="n">
        <v>46083</v>
      </c>
      <c r="D912" s="46" t="n">
        <v>20260302</v>
      </c>
      <c r="E912" s="47" t="s">
        <v>415</v>
      </c>
      <c r="F912" s="48" t="n">
        <v>3246</v>
      </c>
      <c r="G912" s="48" t="n">
        <v>3433</v>
      </c>
      <c r="H912" s="48" t="n">
        <v>3225</v>
      </c>
      <c r="I912" s="48" t="n">
        <v>3399</v>
      </c>
      <c r="J912" s="48" t="n">
        <v>3268</v>
      </c>
      <c r="K912" s="48" t="n">
        <v>3258</v>
      </c>
      <c r="L912" s="48" t="n">
        <v>72133266</v>
      </c>
      <c r="M912" s="48" t="n">
        <v>245180971134</v>
      </c>
      <c r="N912" s="48" t="n">
        <v>2121</v>
      </c>
      <c r="O912" s="48" t="n">
        <v>43793414</v>
      </c>
      <c r="P912" s="48" t="n">
        <v>27427573</v>
      </c>
      <c r="Q912" s="48" t="n">
        <v>903</v>
      </c>
      <c r="R912" s="48" t="n">
        <v>645</v>
      </c>
      <c r="S912" s="48" t="n">
        <v>28339852</v>
      </c>
      <c r="T912" s="48" t="n">
        <v>44705693</v>
      </c>
      <c r="U912" s="46" t="n">
        <f aca="false">IF($A912=$A911,$U911+1,1)</f>
        <v>128</v>
      </c>
      <c r="V912" s="48" t="n">
        <f aca="false">IF($U912&gt;=MA_SHORT,AVERAGE(INDEX($I$512:$I912,402-MA_SHORT):$I912),"")</f>
        <v>3077.65</v>
      </c>
      <c r="W912" s="48" t="n">
        <f aca="false">IF($U912&gt;=MA_MED,AVERAGE(INDEX($I$512:$I912,402-MA_MED):$I912),"")</f>
        <v>3068.24</v>
      </c>
      <c r="X912" s="48" t="n">
        <f aca="false">IF($U912&gt;=MA_LONG1,AVERAGE(INDEX($I$512:$I912,402-MA_LONG1):$I912),"")</f>
        <v>2979.51</v>
      </c>
      <c r="Y912" s="48" t="str">
        <f aca="false">IF($U912&gt;=MA_LONG2,AVERAGE(INDEX($I$512:$I912,402-MA_LONG2):$I912),"")</f>
        <v/>
      </c>
      <c r="Z912" s="48" t="n">
        <f aca="false">IF($U912&gt;=MA_SHORT,AVERAGE(INDEX($L$792:$L912,122-MA_SHORT):$L912),"")</f>
        <v>78035376.55</v>
      </c>
      <c r="AA912" s="48" t="n">
        <f aca="false">IF($U912=1,$G912-$H912,MAX($G912-$H912,ABS($G912-$I911),ABS($H912-$I911)))</f>
        <v>208</v>
      </c>
      <c r="AB912" s="48" t="n">
        <f aca="false">IF($U912&gt;=ATR_PER,AVERAGE(INDEX($AA$792:$AA912,122-ATR_PER):$AA912),"")</f>
        <v>149.857142857143</v>
      </c>
      <c r="AC912" s="48" t="n">
        <f aca="false">$O912-$P912</f>
        <v>16365841</v>
      </c>
      <c r="AD912" s="48" t="n">
        <f aca="false">$AC912*$I912</f>
        <v>55627493559</v>
      </c>
      <c r="AE912" s="49" t="n">
        <f aca="false">IF($Q912&gt;0,$O912*$I912/$Q912/1000000,"")</f>
        <v>164.843648046512</v>
      </c>
      <c r="AF912" s="49" t="n">
        <f aca="false">IF($R912&gt;0,$P912*$I912/$R912/1000000,"")</f>
        <v>144.536931204651</v>
      </c>
      <c r="AG912" s="50" t="n">
        <f aca="false">IF(AND(ISNUMBER($AE912),ISNUMBER($AF912),$AF912&gt;0),$AE912/$AF912,"")</f>
        <v>1.14049500478952</v>
      </c>
      <c r="AH912" s="48" t="n">
        <f aca="false">IF($U912&gt;=5,SUM(INDEX($AD$882:$AD912,32-5):$AD912),"")</f>
        <v>102611774857</v>
      </c>
      <c r="AI912" s="48" t="n">
        <f aca="false">IF($U912&gt;=STRUCT_S,MAX(INDEX($G$762:$G912,152-STRUCT_S):$G912),"")</f>
        <v>3433</v>
      </c>
      <c r="AJ912" s="48" t="n">
        <f aca="false">IF($U912&gt;=STRUCT_S,MIN(INDEX($H$762:$H912,152-STRUCT_S):$H912),"")</f>
        <v>2834</v>
      </c>
      <c r="AK912" s="48" t="n">
        <f aca="false">IF($U912&gt;=STRUCT_L,MAX(INDEX($G$662:$G912,252-STRUCT_L):$G912),"")</f>
        <v>3433</v>
      </c>
      <c r="AL912" s="48" t="n">
        <f aca="false">IF($U912&gt;=STRUCT_L,MIN(INDEX($H$662:$H912,252-STRUCT_L):$H912),"")</f>
        <v>2716</v>
      </c>
      <c r="AM912" s="46" t="n">
        <f aca="false">IF($A912&lt;&gt;$A913,1,0)</f>
        <v>0</v>
      </c>
      <c r="AN912" s="47" t="str">
        <f aca="false">IF($AM912=1,$A912,"")</f>
        <v/>
      </c>
    </row>
    <row r="913" customFormat="false" ht="15" hidden="false" customHeight="false" outlineLevel="0" collapsed="false">
      <c r="A913" s="43" t="s">
        <v>147</v>
      </c>
      <c r="B913" s="44" t="s">
        <v>149</v>
      </c>
      <c r="C913" s="45" t="n">
        <v>46084</v>
      </c>
      <c r="D913" s="46" t="n">
        <v>20260303</v>
      </c>
      <c r="E913" s="47" t="s">
        <v>416</v>
      </c>
      <c r="F913" s="48" t="n">
        <v>3393</v>
      </c>
      <c r="G913" s="48" t="n">
        <v>3436</v>
      </c>
      <c r="H913" s="48" t="n">
        <v>3316</v>
      </c>
      <c r="I913" s="48" t="n">
        <v>3353</v>
      </c>
      <c r="J913" s="48" t="n">
        <v>3385</v>
      </c>
      <c r="K913" s="48" t="n">
        <v>3399</v>
      </c>
      <c r="L913" s="48" t="n">
        <v>61913521</v>
      </c>
      <c r="M913" s="48" t="n">
        <v>207596035913</v>
      </c>
      <c r="N913" s="48" t="n">
        <v>1782</v>
      </c>
      <c r="O913" s="48" t="n">
        <v>23660346</v>
      </c>
      <c r="P913" s="48" t="n">
        <v>39510609</v>
      </c>
      <c r="Q913" s="48" t="n">
        <v>486</v>
      </c>
      <c r="R913" s="48" t="n">
        <v>1307</v>
      </c>
      <c r="S913" s="48" t="n">
        <v>38253175</v>
      </c>
      <c r="T913" s="48" t="n">
        <v>22402912</v>
      </c>
      <c r="U913" s="46" t="n">
        <f aca="false">IF($A913=$A912,$U912+1,1)</f>
        <v>129</v>
      </c>
      <c r="V913" s="48" t="n">
        <f aca="false">IF($U913&gt;=MA_SHORT,AVERAGE(INDEX($I$513:$I913,402-MA_SHORT):$I913),"")</f>
        <v>3084.1</v>
      </c>
      <c r="W913" s="48" t="n">
        <f aca="false">IF($U913&gt;=MA_MED,AVERAGE(INDEX($I$513:$I913,402-MA_MED):$I913),"")</f>
        <v>3079.24</v>
      </c>
      <c r="X913" s="48" t="n">
        <f aca="false">IF($U913&gt;=MA_LONG1,AVERAGE(INDEX($I$513:$I913,402-MA_LONG1):$I913),"")</f>
        <v>2984.35</v>
      </c>
      <c r="Y913" s="48" t="str">
        <f aca="false">IF($U913&gt;=MA_LONG2,AVERAGE(INDEX($I$513:$I913,402-MA_LONG2):$I913),"")</f>
        <v/>
      </c>
      <c r="Z913" s="48" t="n">
        <f aca="false">IF($U913&gt;=MA_SHORT,AVERAGE(INDEX($L$793:$L913,122-MA_SHORT):$L913),"")</f>
        <v>76546172.2</v>
      </c>
      <c r="AA913" s="48" t="n">
        <f aca="false">IF($U913=1,$G913-$H913,MAX($G913-$H913,ABS($G913-$I912),ABS($H913-$I912)))</f>
        <v>120</v>
      </c>
      <c r="AB913" s="48" t="n">
        <f aca="false">IF($U913&gt;=ATR_PER,AVERAGE(INDEX($AA$793:$AA913,122-ATR_PER):$AA913),"")</f>
        <v>147.142857142857</v>
      </c>
      <c r="AC913" s="48" t="n">
        <f aca="false">$O913-$P913</f>
        <v>-15850263</v>
      </c>
      <c r="AD913" s="48" t="n">
        <f aca="false">$AC913*$I913</f>
        <v>-53145931839</v>
      </c>
      <c r="AE913" s="49" t="n">
        <f aca="false">IF($Q913&gt;0,$O913*$I913/$Q913/1000000,"")</f>
        <v>163.236913864198</v>
      </c>
      <c r="AF913" s="49" t="n">
        <f aca="false">IF($R913&gt;0,$P913*$I913/$R913/1000000,"")</f>
        <v>101.361187434583</v>
      </c>
      <c r="AG913" s="50" t="n">
        <f aca="false">IF(AND(ISNUMBER($AE913),ISNUMBER($AF913),$AF913&gt;0),$AE913/$AF913,"")</f>
        <v>1.61044792386186</v>
      </c>
      <c r="AH913" s="48" t="n">
        <f aca="false">IF($U913&gt;=5,SUM(INDEX($AD$883:$AD913,32-5):$AD913),"")</f>
        <v>32372674666</v>
      </c>
      <c r="AI913" s="48" t="n">
        <f aca="false">IF($U913&gt;=STRUCT_S,MAX(INDEX($G$763:$G913,152-STRUCT_S):$G913),"")</f>
        <v>3436</v>
      </c>
      <c r="AJ913" s="48" t="n">
        <f aca="false">IF($U913&gt;=STRUCT_S,MIN(INDEX($H$763:$H913,152-STRUCT_S):$H913),"")</f>
        <v>2834</v>
      </c>
      <c r="AK913" s="48" t="n">
        <f aca="false">IF($U913&gt;=STRUCT_L,MAX(INDEX($G$663:$G913,252-STRUCT_L):$G913),"")</f>
        <v>3436</v>
      </c>
      <c r="AL913" s="48" t="n">
        <f aca="false">IF($U913&gt;=STRUCT_L,MIN(INDEX($H$663:$H913,252-STRUCT_L):$H913),"")</f>
        <v>2716</v>
      </c>
      <c r="AM913" s="46" t="n">
        <f aca="false">IF($A913&lt;&gt;$A914,1,0)</f>
        <v>0</v>
      </c>
      <c r="AN913" s="47" t="str">
        <f aca="false">IF($AM913=1,$A913,"")</f>
        <v/>
      </c>
    </row>
    <row r="914" customFormat="false" ht="15" hidden="false" customHeight="false" outlineLevel="0" collapsed="false">
      <c r="A914" s="43" t="s">
        <v>147</v>
      </c>
      <c r="B914" s="44" t="s">
        <v>149</v>
      </c>
      <c r="C914" s="45" t="n">
        <v>46085</v>
      </c>
      <c r="D914" s="46" t="n">
        <v>20260304</v>
      </c>
      <c r="E914" s="47" t="s">
        <v>417</v>
      </c>
      <c r="F914" s="48" t="n">
        <v>3330</v>
      </c>
      <c r="G914" s="48" t="n">
        <v>3366</v>
      </c>
      <c r="H914" s="48" t="n">
        <v>3301</v>
      </c>
      <c r="I914" s="48" t="n">
        <v>3314</v>
      </c>
      <c r="J914" s="48" t="n">
        <v>3346</v>
      </c>
      <c r="K914" s="48" t="n">
        <v>3353</v>
      </c>
      <c r="L914" s="48" t="n">
        <v>61260022</v>
      </c>
      <c r="M914" s="48" t="n">
        <v>203015712908</v>
      </c>
      <c r="N914" s="48" t="n">
        <v>3441</v>
      </c>
      <c r="O914" s="48" t="n">
        <v>20044943</v>
      </c>
      <c r="P914" s="48" t="n">
        <v>39901383</v>
      </c>
      <c r="Q914" s="48" t="n">
        <v>1017</v>
      </c>
      <c r="R914" s="48" t="n">
        <v>2636</v>
      </c>
      <c r="S914" s="48" t="n">
        <v>41215079</v>
      </c>
      <c r="T914" s="48" t="n">
        <v>21358639</v>
      </c>
      <c r="U914" s="46" t="n">
        <f aca="false">IF($A914=$A913,$U913+1,1)</f>
        <v>130</v>
      </c>
      <c r="V914" s="48" t="n">
        <f aca="false">IF($U914&gt;=MA_SHORT,AVERAGE(INDEX($I$514:$I914,402-MA_SHORT):$I914),"")</f>
        <v>3090.35</v>
      </c>
      <c r="W914" s="48" t="n">
        <f aca="false">IF($U914&gt;=MA_MED,AVERAGE(INDEX($I$514:$I914,402-MA_MED):$I914),"")</f>
        <v>3088.62</v>
      </c>
      <c r="X914" s="48" t="n">
        <f aca="false">IF($U914&gt;=MA_LONG1,AVERAGE(INDEX($I$514:$I914,402-MA_LONG1):$I914),"")</f>
        <v>2989.17</v>
      </c>
      <c r="Y914" s="48" t="str">
        <f aca="false">IF($U914&gt;=MA_LONG2,AVERAGE(INDEX($I$514:$I914,402-MA_LONG2):$I914),"")</f>
        <v/>
      </c>
      <c r="Z914" s="48" t="n">
        <f aca="false">IF($U914&gt;=MA_SHORT,AVERAGE(INDEX($L$794:$L914,122-MA_SHORT):$L914),"")</f>
        <v>75140670.55</v>
      </c>
      <c r="AA914" s="48" t="n">
        <f aca="false">IF($U914=1,$G914-$H914,MAX($G914-$H914,ABS($G914-$I913),ABS($H914-$I913)))</f>
        <v>65</v>
      </c>
      <c r="AB914" s="48" t="n">
        <f aca="false">IF($U914&gt;=ATR_PER,AVERAGE(INDEX($AA$794:$AA914,122-ATR_PER):$AA914),"")</f>
        <v>133.357142857143</v>
      </c>
      <c r="AC914" s="48" t="n">
        <f aca="false">$O914-$P914</f>
        <v>-19856440</v>
      </c>
      <c r="AD914" s="48" t="n">
        <f aca="false">$AC914*$I914</f>
        <v>-65804242160</v>
      </c>
      <c r="AE914" s="49" t="n">
        <f aca="false">IF($Q914&gt;0,$O914*$I914/$Q914/1000000,"")</f>
        <v>65.3185261573255</v>
      </c>
      <c r="AF914" s="49" t="n">
        <f aca="false">IF($R914&gt;0,$P914*$I914/$R914/1000000,"")</f>
        <v>50.1643335591806</v>
      </c>
      <c r="AG914" s="50" t="n">
        <f aca="false">IF(AND(ISNUMBER($AE914),ISNUMBER($AF914),$AF914&gt;0),$AE914/$AF914,"")</f>
        <v>1.30209097824985</v>
      </c>
      <c r="AH914" s="48" t="n">
        <f aca="false">IF($U914&gt;=5,SUM(INDEX($AD$884:$AD914,32-5):$AD914),"")</f>
        <v>-67281108542</v>
      </c>
      <c r="AI914" s="48" t="n">
        <f aca="false">IF($U914&gt;=STRUCT_S,MAX(INDEX($G$764:$G914,152-STRUCT_S):$G914),"")</f>
        <v>3436</v>
      </c>
      <c r="AJ914" s="48" t="n">
        <f aca="false">IF($U914&gt;=STRUCT_S,MIN(INDEX($H$764:$H914,152-STRUCT_S):$H914),"")</f>
        <v>2834</v>
      </c>
      <c r="AK914" s="48" t="n">
        <f aca="false">IF($U914&gt;=STRUCT_L,MAX(INDEX($G$664:$G914,252-STRUCT_L):$G914),"")</f>
        <v>3436</v>
      </c>
      <c r="AL914" s="48" t="n">
        <f aca="false">IF($U914&gt;=STRUCT_L,MIN(INDEX($H$664:$H914,252-STRUCT_L):$H914),"")</f>
        <v>2716</v>
      </c>
      <c r="AM914" s="46" t="n">
        <f aca="false">IF($A914&lt;&gt;$A915,1,0)</f>
        <v>0</v>
      </c>
      <c r="AN914" s="47" t="str">
        <f aca="false">IF($AM914=1,$A914,"")</f>
        <v/>
      </c>
    </row>
    <row r="915" customFormat="false" ht="15" hidden="false" customHeight="false" outlineLevel="0" collapsed="false">
      <c r="A915" s="43" t="s">
        <v>147</v>
      </c>
      <c r="B915" s="44" t="s">
        <v>149</v>
      </c>
      <c r="C915" s="45" t="n">
        <v>46088</v>
      </c>
      <c r="D915" s="46" t="n">
        <v>20260307</v>
      </c>
      <c r="E915" s="47" t="s">
        <v>418</v>
      </c>
      <c r="F915" s="48" t="n">
        <v>3277</v>
      </c>
      <c r="G915" s="48" t="n">
        <v>3327</v>
      </c>
      <c r="H915" s="48" t="n">
        <v>3263</v>
      </c>
      <c r="I915" s="48" t="n">
        <v>3276</v>
      </c>
      <c r="J915" s="48" t="n">
        <v>3306</v>
      </c>
      <c r="K915" s="48" t="n">
        <v>3314</v>
      </c>
      <c r="L915" s="48" t="n">
        <v>61203376</v>
      </c>
      <c r="M915" s="48" t="n">
        <v>200502259776</v>
      </c>
      <c r="N915" s="48" t="n">
        <v>1907</v>
      </c>
      <c r="O915" s="48" t="n">
        <v>24645805</v>
      </c>
      <c r="P915" s="48" t="n">
        <v>37723672</v>
      </c>
      <c r="Q915" s="48" t="n">
        <v>585</v>
      </c>
      <c r="R915" s="48" t="n">
        <v>1038</v>
      </c>
      <c r="S915" s="48" t="n">
        <v>36557571</v>
      </c>
      <c r="T915" s="48" t="n">
        <v>23479704</v>
      </c>
      <c r="U915" s="46" t="n">
        <f aca="false">IF($A915=$A914,$U914+1,1)</f>
        <v>131</v>
      </c>
      <c r="V915" s="48" t="n">
        <f aca="false">IF($U915&gt;=MA_SHORT,AVERAGE(INDEX($I$515:$I915,402-MA_SHORT):$I915),"")</f>
        <v>3096.2</v>
      </c>
      <c r="W915" s="48" t="n">
        <f aca="false">IF($U915&gt;=MA_MED,AVERAGE(INDEX($I$515:$I915,402-MA_MED):$I915),"")</f>
        <v>3097.54</v>
      </c>
      <c r="X915" s="48" t="n">
        <f aca="false">IF($U915&gt;=MA_LONG1,AVERAGE(INDEX($I$515:$I915,402-MA_LONG1):$I915),"")</f>
        <v>2992.91</v>
      </c>
      <c r="Y915" s="48" t="str">
        <f aca="false">IF($U915&gt;=MA_LONG2,AVERAGE(INDEX($I$515:$I915,402-MA_LONG2):$I915),"")</f>
        <v/>
      </c>
      <c r="Z915" s="48" t="n">
        <f aca="false">IF($U915&gt;=MA_SHORT,AVERAGE(INDEX($L$795:$L915,122-MA_SHORT):$L915),"")</f>
        <v>75176045.25</v>
      </c>
      <c r="AA915" s="48" t="n">
        <f aca="false">IF($U915=1,$G915-$H915,MAX($G915-$H915,ABS($G915-$I914),ABS($H915-$I914)))</f>
        <v>64</v>
      </c>
      <c r="AB915" s="48" t="n">
        <f aca="false">IF($U915&gt;=ATR_PER,AVERAGE(INDEX($AA$795:$AA915,122-ATR_PER):$AA915),"")</f>
        <v>126.571428571429</v>
      </c>
      <c r="AC915" s="48" t="n">
        <f aca="false">$O915-$P915</f>
        <v>-13077867</v>
      </c>
      <c r="AD915" s="48" t="n">
        <f aca="false">$AC915*$I915</f>
        <v>-42843092292</v>
      </c>
      <c r="AE915" s="49" t="n">
        <f aca="false">IF($Q915&gt;0,$O915*$I915/$Q915/1000000,"")</f>
        <v>138.016508</v>
      </c>
      <c r="AF915" s="49" t="n">
        <f aca="false">IF($R915&gt;0,$P915*$I915/$R915/1000000,"")</f>
        <v>119.05852550289</v>
      </c>
      <c r="AG915" s="50" t="n">
        <f aca="false">IF(AND(ISNUMBER($AE915),ISNUMBER($AF915),$AF915&gt;0),$AE915/$AF915,"")</f>
        <v>1.15923246501696</v>
      </c>
      <c r="AH915" s="48" t="n">
        <f aca="false">IF($U915&gt;=5,SUM(INDEX($AD$885:$AD915,32-5):$AD915),"")</f>
        <v>-134774772464</v>
      </c>
      <c r="AI915" s="48" t="n">
        <f aca="false">IF($U915&gt;=STRUCT_S,MAX(INDEX($G$765:$G915,152-STRUCT_S):$G915),"")</f>
        <v>3436</v>
      </c>
      <c r="AJ915" s="48" t="n">
        <f aca="false">IF($U915&gt;=STRUCT_S,MIN(INDEX($H$765:$H915,152-STRUCT_S):$H915),"")</f>
        <v>2834</v>
      </c>
      <c r="AK915" s="48" t="n">
        <f aca="false">IF($U915&gt;=STRUCT_L,MAX(INDEX($G$665:$G915,252-STRUCT_L):$G915),"")</f>
        <v>3436</v>
      </c>
      <c r="AL915" s="48" t="n">
        <f aca="false">IF($U915&gt;=STRUCT_L,MIN(INDEX($H$665:$H915,252-STRUCT_L):$H915),"")</f>
        <v>2716</v>
      </c>
      <c r="AM915" s="46" t="n">
        <f aca="false">IF($A915&lt;&gt;$A916,1,0)</f>
        <v>0</v>
      </c>
      <c r="AN915" s="47" t="str">
        <f aca="false">IF($AM915=1,$A915,"")</f>
        <v/>
      </c>
    </row>
    <row r="916" customFormat="false" ht="15" hidden="false" customHeight="false" outlineLevel="0" collapsed="false">
      <c r="A916" s="43" t="s">
        <v>147</v>
      </c>
      <c r="B916" s="44" t="s">
        <v>149</v>
      </c>
      <c r="C916" s="45" t="n">
        <v>46089</v>
      </c>
      <c r="D916" s="46" t="n">
        <v>20260308</v>
      </c>
      <c r="E916" s="47" t="s">
        <v>419</v>
      </c>
      <c r="F916" s="48" t="n">
        <v>3216</v>
      </c>
      <c r="G916" s="48" t="n">
        <v>3458</v>
      </c>
      <c r="H916" s="48" t="n">
        <v>3209</v>
      </c>
      <c r="I916" s="48" t="n">
        <v>3388</v>
      </c>
      <c r="J916" s="48" t="n">
        <v>3354</v>
      </c>
      <c r="K916" s="48" t="n">
        <v>3276</v>
      </c>
      <c r="L916" s="48" t="n">
        <v>69951729</v>
      </c>
      <c r="M916" s="48" t="n">
        <v>236996457852</v>
      </c>
      <c r="N916" s="48" t="n">
        <v>6062</v>
      </c>
      <c r="O916" s="48" t="n">
        <v>36234961</v>
      </c>
      <c r="P916" s="48" t="n">
        <v>30514900</v>
      </c>
      <c r="Q916" s="48" t="n">
        <v>4066</v>
      </c>
      <c r="R916" s="48" t="n">
        <v>1634</v>
      </c>
      <c r="S916" s="48" t="n">
        <v>33716768</v>
      </c>
      <c r="T916" s="48" t="n">
        <v>39436829</v>
      </c>
      <c r="U916" s="46" t="n">
        <f aca="false">IF($A916=$A915,$U915+1,1)</f>
        <v>132</v>
      </c>
      <c r="V916" s="48" t="n">
        <f aca="false">IF($U916&gt;=MA_SHORT,AVERAGE(INDEX($I$516:$I916,402-MA_SHORT):$I916),"")</f>
        <v>3115.4</v>
      </c>
      <c r="W916" s="48" t="n">
        <f aca="false">IF($U916&gt;=MA_MED,AVERAGE(INDEX($I$516:$I916,402-MA_MED):$I916),"")</f>
        <v>3107.48</v>
      </c>
      <c r="X916" s="48" t="n">
        <f aca="false">IF($U916&gt;=MA_LONG1,AVERAGE(INDEX($I$516:$I916,402-MA_LONG1):$I916),"")</f>
        <v>2997.68</v>
      </c>
      <c r="Y916" s="48" t="str">
        <f aca="false">IF($U916&gt;=MA_LONG2,AVERAGE(INDEX($I$516:$I916,402-MA_LONG2):$I916),"")</f>
        <v/>
      </c>
      <c r="Z916" s="48" t="n">
        <f aca="false">IF($U916&gt;=MA_SHORT,AVERAGE(INDEX($L$796:$L916,122-MA_SHORT):$L916),"")</f>
        <v>74967534.45</v>
      </c>
      <c r="AA916" s="48" t="n">
        <f aca="false">IF($U916=1,$G916-$H916,MAX($G916-$H916,ABS($G916-$I915),ABS($H916-$I915)))</f>
        <v>249</v>
      </c>
      <c r="AB916" s="48" t="n">
        <f aca="false">IF($U916&gt;=ATR_PER,AVERAGE(INDEX($AA$796:$AA916,122-ATR_PER):$AA916),"")</f>
        <v>138</v>
      </c>
      <c r="AC916" s="48" t="n">
        <f aca="false">$O916-$P916</f>
        <v>5720061</v>
      </c>
      <c r="AD916" s="48" t="n">
        <f aca="false">$AC916*$I916</f>
        <v>19379566668</v>
      </c>
      <c r="AE916" s="49" t="n">
        <f aca="false">IF($Q916&gt;0,$O916*$I916/$Q916/1000000,"")</f>
        <v>30.1928302675849</v>
      </c>
      <c r="AF916" s="49" t="n">
        <f aca="false">IF($R916&gt;0,$P916*$I916/$R916/1000000,"")</f>
        <v>63.2707963280294</v>
      </c>
      <c r="AG916" s="50" t="n">
        <f aca="false">IF(AND(ISNUMBER($AE916),ISNUMBER($AF916),$AF916&gt;0),$AE916/$AF916,"")</f>
        <v>0.477200098937418</v>
      </c>
      <c r="AH916" s="48" t="n">
        <f aca="false">IF($U916&gt;=5,SUM(INDEX($AD$886:$AD916,32-5):$AD916),"")</f>
        <v>-86786206064</v>
      </c>
      <c r="AI916" s="48" t="n">
        <f aca="false">IF($U916&gt;=STRUCT_S,MAX(INDEX($G$766:$G916,152-STRUCT_S):$G916),"")</f>
        <v>3458</v>
      </c>
      <c r="AJ916" s="48" t="n">
        <f aca="false">IF($U916&gt;=STRUCT_S,MIN(INDEX($H$766:$H916,152-STRUCT_S):$H916),"")</f>
        <v>2834</v>
      </c>
      <c r="AK916" s="48" t="n">
        <f aca="false">IF($U916&gt;=STRUCT_L,MAX(INDEX($G$666:$G916,252-STRUCT_L):$G916),"")</f>
        <v>3458</v>
      </c>
      <c r="AL916" s="48" t="n">
        <f aca="false">IF($U916&gt;=STRUCT_L,MIN(INDEX($H$666:$H916,252-STRUCT_L):$H916),"")</f>
        <v>2716</v>
      </c>
      <c r="AM916" s="46" t="n">
        <f aca="false">IF($A916&lt;&gt;$A917,1,0)</f>
        <v>0</v>
      </c>
      <c r="AN916" s="47" t="str">
        <f aca="false">IF($AM916=1,$A916,"")</f>
        <v/>
      </c>
    </row>
    <row r="917" customFormat="false" ht="15" hidden="false" customHeight="false" outlineLevel="0" collapsed="false">
      <c r="A917" s="43" t="s">
        <v>147</v>
      </c>
      <c r="B917" s="44" t="s">
        <v>149</v>
      </c>
      <c r="C917" s="45" t="n">
        <v>46090</v>
      </c>
      <c r="D917" s="46" t="n">
        <v>20260309</v>
      </c>
      <c r="E917" s="47" t="s">
        <v>420</v>
      </c>
      <c r="F917" s="48" t="n">
        <v>3263</v>
      </c>
      <c r="G917" s="48" t="n">
        <v>3476</v>
      </c>
      <c r="H917" s="48" t="n">
        <v>3253</v>
      </c>
      <c r="I917" s="48" t="n">
        <v>3340</v>
      </c>
      <c r="J917" s="48" t="n">
        <v>3432</v>
      </c>
      <c r="K917" s="48" t="n">
        <v>3388</v>
      </c>
      <c r="L917" s="48" t="n">
        <v>62131441</v>
      </c>
      <c r="M917" s="48" t="n">
        <v>207519012940</v>
      </c>
      <c r="N917" s="48" t="n">
        <v>2097</v>
      </c>
      <c r="O917" s="48" t="n">
        <v>19150833</v>
      </c>
      <c r="P917" s="48" t="n">
        <v>42586231</v>
      </c>
      <c r="Q917" s="48" t="n">
        <v>661</v>
      </c>
      <c r="R917" s="48" t="n">
        <v>1028</v>
      </c>
      <c r="S917" s="48" t="n">
        <v>42980608</v>
      </c>
      <c r="T917" s="48" t="n">
        <v>19545210</v>
      </c>
      <c r="U917" s="46" t="n">
        <f aca="false">IF($A917=$A916,$U916+1,1)</f>
        <v>133</v>
      </c>
      <c r="V917" s="48" t="n">
        <f aca="false">IF($U917&gt;=MA_SHORT,AVERAGE(INDEX($I$517:$I917,402-MA_SHORT):$I917),"")</f>
        <v>3129.25</v>
      </c>
      <c r="W917" s="48" t="n">
        <f aca="false">IF($U917&gt;=MA_MED,AVERAGE(INDEX($I$517:$I917,402-MA_MED):$I917),"")</f>
        <v>3117.9</v>
      </c>
      <c r="X917" s="48" t="n">
        <f aca="false">IF($U917&gt;=MA_LONG1,AVERAGE(INDEX($I$517:$I917,402-MA_LONG1):$I917),"")</f>
        <v>3002.24</v>
      </c>
      <c r="Y917" s="48" t="str">
        <f aca="false">IF($U917&gt;=MA_LONG2,AVERAGE(INDEX($I$517:$I917,402-MA_LONG2):$I917),"")</f>
        <v/>
      </c>
      <c r="Z917" s="48" t="n">
        <f aca="false">IF($U917&gt;=MA_SHORT,AVERAGE(INDEX($L$797:$L917,122-MA_SHORT):$L917),"")</f>
        <v>73259651.5</v>
      </c>
      <c r="AA917" s="48" t="n">
        <f aca="false">IF($U917=1,$G917-$H917,MAX($G917-$H917,ABS($G917-$I916),ABS($H917-$I916)))</f>
        <v>223</v>
      </c>
      <c r="AB917" s="48" t="n">
        <f aca="false">IF($U917&gt;=ATR_PER,AVERAGE(INDEX($AA$797:$AA917,122-ATR_PER):$AA917),"")</f>
        <v>144</v>
      </c>
      <c r="AC917" s="48" t="n">
        <f aca="false">$O917-$P917</f>
        <v>-23435398</v>
      </c>
      <c r="AD917" s="48" t="n">
        <f aca="false">$AC917*$I917</f>
        <v>-78274229320</v>
      </c>
      <c r="AE917" s="49" t="n">
        <f aca="false">IF($Q917&gt;0,$O917*$I917/$Q917/1000000,"")</f>
        <v>96.7682030559758</v>
      </c>
      <c r="AF917" s="49" t="n">
        <f aca="false">IF($R917&gt;0,$P917*$I917/$R917/1000000,"")</f>
        <v>138.363824455253</v>
      </c>
      <c r="AG917" s="50" t="n">
        <f aca="false">IF(AND(ISNUMBER($AE917),ISNUMBER($AF917),$AF917&gt;0),$AE917/$AF917,"")</f>
        <v>0.699375024049518</v>
      </c>
      <c r="AH917" s="48" t="n">
        <f aca="false">IF($U917&gt;=5,SUM(INDEX($AD$887:$AD917,32-5):$AD917),"")</f>
        <v>-220687928943</v>
      </c>
      <c r="AI917" s="48" t="n">
        <f aca="false">IF($U917&gt;=STRUCT_S,MAX(INDEX($G$767:$G917,152-STRUCT_S):$G917),"")</f>
        <v>3476</v>
      </c>
      <c r="AJ917" s="48" t="n">
        <f aca="false">IF($U917&gt;=STRUCT_S,MIN(INDEX($H$767:$H917,152-STRUCT_S):$H917),"")</f>
        <v>2834</v>
      </c>
      <c r="AK917" s="48" t="n">
        <f aca="false">IF($U917&gt;=STRUCT_L,MAX(INDEX($G$667:$G917,252-STRUCT_L):$G917),"")</f>
        <v>3476</v>
      </c>
      <c r="AL917" s="48" t="n">
        <f aca="false">IF($U917&gt;=STRUCT_L,MIN(INDEX($H$667:$H917,252-STRUCT_L):$H917),"")</f>
        <v>2716</v>
      </c>
      <c r="AM917" s="46" t="n">
        <f aca="false">IF($A917&lt;&gt;$A918,1,0)</f>
        <v>0</v>
      </c>
      <c r="AN917" s="47" t="str">
        <f aca="false">IF($AM917=1,$A917,"")</f>
        <v/>
      </c>
    </row>
    <row r="918" customFormat="false" ht="15" hidden="false" customHeight="false" outlineLevel="0" collapsed="false">
      <c r="A918" s="43" t="s">
        <v>147</v>
      </c>
      <c r="B918" s="44" t="s">
        <v>149</v>
      </c>
      <c r="C918" s="45" t="n">
        <v>46091</v>
      </c>
      <c r="D918" s="46" t="n">
        <v>20260310</v>
      </c>
      <c r="E918" s="47" t="s">
        <v>421</v>
      </c>
      <c r="F918" s="48" t="n">
        <v>3342</v>
      </c>
      <c r="G918" s="48" t="n">
        <v>3448</v>
      </c>
      <c r="H918" s="48" t="n">
        <v>3316</v>
      </c>
      <c r="I918" s="48" t="n">
        <v>3423</v>
      </c>
      <c r="J918" s="48" t="n">
        <v>3434</v>
      </c>
      <c r="K918" s="48" t="n">
        <v>3340</v>
      </c>
      <c r="L918" s="48" t="n">
        <v>68355248</v>
      </c>
      <c r="M918" s="48" t="n">
        <v>233980013904</v>
      </c>
      <c r="N918" s="48" t="n">
        <v>4890</v>
      </c>
      <c r="O918" s="48" t="n">
        <v>31538808</v>
      </c>
      <c r="P918" s="48" t="n">
        <v>38134789</v>
      </c>
      <c r="Q918" s="48" t="n">
        <v>3480</v>
      </c>
      <c r="R918" s="48" t="n">
        <v>1573</v>
      </c>
      <c r="S918" s="48" t="n">
        <v>36816440</v>
      </c>
      <c r="T918" s="48" t="n">
        <v>30220459</v>
      </c>
      <c r="U918" s="46" t="n">
        <f aca="false">IF($A918=$A917,$U917+1,1)</f>
        <v>134</v>
      </c>
      <c r="V918" s="48" t="n">
        <f aca="false">IF($U918&gt;=MA_SHORT,AVERAGE(INDEX($I$518:$I918,402-MA_SHORT):$I918),"")</f>
        <v>3144.3</v>
      </c>
      <c r="W918" s="48" t="n">
        <f aca="false">IF($U918&gt;=MA_MED,AVERAGE(INDEX($I$518:$I918,402-MA_MED):$I918),"")</f>
        <v>3128.2</v>
      </c>
      <c r="X918" s="48" t="n">
        <f aca="false">IF($U918&gt;=MA_LONG1,AVERAGE(INDEX($I$518:$I918,402-MA_LONG1):$I918),"")</f>
        <v>3007.79</v>
      </c>
      <c r="Y918" s="48" t="str">
        <f aca="false">IF($U918&gt;=MA_LONG2,AVERAGE(INDEX($I$518:$I918,402-MA_LONG2):$I918),"")</f>
        <v/>
      </c>
      <c r="Z918" s="48" t="n">
        <f aca="false">IF($U918&gt;=MA_SHORT,AVERAGE(INDEX($L$798:$L918,122-MA_SHORT):$L918),"")</f>
        <v>73483322.7</v>
      </c>
      <c r="AA918" s="48" t="n">
        <f aca="false">IF($U918=1,$G918-$H918,MAX($G918-$H918,ABS($G918-$I917),ABS($H918-$I917)))</f>
        <v>132</v>
      </c>
      <c r="AB918" s="48" t="n">
        <f aca="false">IF($U918&gt;=ATR_PER,AVERAGE(INDEX($AA$798:$AA918,122-ATR_PER):$AA918),"")</f>
        <v>144.785714285714</v>
      </c>
      <c r="AC918" s="48" t="n">
        <f aca="false">$O918-$P918</f>
        <v>-6595981</v>
      </c>
      <c r="AD918" s="48" t="n">
        <f aca="false">$AC918*$I918</f>
        <v>-22578042963</v>
      </c>
      <c r="AE918" s="49" t="n">
        <f aca="false">IF($Q918&gt;0,$O918*$I918/$Q918/1000000,"")</f>
        <v>31.0222240758621</v>
      </c>
      <c r="AF918" s="49" t="n">
        <f aca="false">IF($R918&gt;0,$P918*$I918/$R918/1000000,"")</f>
        <v>82.9849858531469</v>
      </c>
      <c r="AG918" s="50" t="n">
        <f aca="false">IF(AND(ISNUMBER($AE918),ISNUMBER($AF918),$AF918&gt;0),$AE918/$AF918,"")</f>
        <v>0.373829359093464</v>
      </c>
      <c r="AH918" s="48" t="n">
        <f aca="false">IF($U918&gt;=5,SUM(INDEX($AD$888:$AD918,32-5):$AD918),"")</f>
        <v>-190120040067</v>
      </c>
      <c r="AI918" s="48" t="n">
        <f aca="false">IF($U918&gt;=STRUCT_S,MAX(INDEX($G$768:$G918,152-STRUCT_S):$G918),"")</f>
        <v>3476</v>
      </c>
      <c r="AJ918" s="48" t="n">
        <f aca="false">IF($U918&gt;=STRUCT_S,MIN(INDEX($H$768:$H918,152-STRUCT_S):$H918),"")</f>
        <v>2834</v>
      </c>
      <c r="AK918" s="48" t="n">
        <f aca="false">IF($U918&gt;=STRUCT_L,MAX(INDEX($G$668:$G918,252-STRUCT_L):$G918),"")</f>
        <v>3476</v>
      </c>
      <c r="AL918" s="48" t="n">
        <f aca="false">IF($U918&gt;=STRUCT_L,MIN(INDEX($H$668:$H918,252-STRUCT_L):$H918),"")</f>
        <v>2716</v>
      </c>
      <c r="AM918" s="46" t="n">
        <f aca="false">IF($A918&lt;&gt;$A919,1,0)</f>
        <v>0</v>
      </c>
      <c r="AN918" s="47" t="str">
        <f aca="false">IF($AM918=1,$A918,"")</f>
        <v/>
      </c>
    </row>
    <row r="919" customFormat="false" ht="15" hidden="false" customHeight="false" outlineLevel="0" collapsed="false">
      <c r="A919" s="43" t="s">
        <v>147</v>
      </c>
      <c r="B919" s="44" t="s">
        <v>149</v>
      </c>
      <c r="C919" s="45" t="n">
        <v>46092</v>
      </c>
      <c r="D919" s="46" t="n">
        <v>20260311</v>
      </c>
      <c r="E919" s="47" t="s">
        <v>422</v>
      </c>
      <c r="F919" s="48" t="n">
        <v>3452</v>
      </c>
      <c r="G919" s="48" t="n">
        <v>3502</v>
      </c>
      <c r="H919" s="48" t="n">
        <v>3291</v>
      </c>
      <c r="I919" s="48" t="n">
        <v>3368</v>
      </c>
      <c r="J919" s="48" t="n">
        <v>3437</v>
      </c>
      <c r="K919" s="48" t="n">
        <v>3423</v>
      </c>
      <c r="L919" s="48" t="n">
        <v>62784290</v>
      </c>
      <c r="M919" s="48" t="n">
        <v>211457488720</v>
      </c>
      <c r="N919" s="48" t="n">
        <v>1443</v>
      </c>
      <c r="O919" s="48" t="n">
        <v>25701035</v>
      </c>
      <c r="P919" s="48" t="n">
        <v>40253472</v>
      </c>
      <c r="Q919" s="48" t="n">
        <v>334</v>
      </c>
      <c r="R919" s="48" t="n">
        <v>864</v>
      </c>
      <c r="S919" s="48" t="n">
        <v>37083255</v>
      </c>
      <c r="T919" s="48" t="n">
        <v>22530818</v>
      </c>
      <c r="U919" s="46" t="n">
        <f aca="false">IF($A919=$A918,$U918+1,1)</f>
        <v>135</v>
      </c>
      <c r="V919" s="48" t="n">
        <f aca="false">IF($U919&gt;=MA_SHORT,AVERAGE(INDEX($I$519:$I919,402-MA_SHORT):$I919),"")</f>
        <v>3157.95</v>
      </c>
      <c r="W919" s="48" t="n">
        <f aca="false">IF($U919&gt;=MA_MED,AVERAGE(INDEX($I$519:$I919,402-MA_MED):$I919),"")</f>
        <v>3134.66</v>
      </c>
      <c r="X919" s="48" t="n">
        <f aca="false">IF($U919&gt;=MA_LONG1,AVERAGE(INDEX($I$519:$I919,402-MA_LONG1):$I919),"")</f>
        <v>3012.97</v>
      </c>
      <c r="Y919" s="48" t="str">
        <f aca="false">IF($U919&gt;=MA_LONG2,AVERAGE(INDEX($I$519:$I919,402-MA_LONG2):$I919),"")</f>
        <v/>
      </c>
      <c r="Z919" s="48" t="n">
        <f aca="false">IF($U919&gt;=MA_SHORT,AVERAGE(INDEX($L$799:$L919,122-MA_SHORT):$L919),"")</f>
        <v>73610782.65</v>
      </c>
      <c r="AA919" s="48" t="n">
        <f aca="false">IF($U919=1,$G919-$H919,MAX($G919-$H919,ABS($G919-$I918),ABS($H919-$I918)))</f>
        <v>211</v>
      </c>
      <c r="AB919" s="48" t="n">
        <f aca="false">IF($U919&gt;=ATR_PER,AVERAGE(INDEX($AA$799:$AA919,122-ATR_PER):$AA919),"")</f>
        <v>151.785714285714</v>
      </c>
      <c r="AC919" s="48" t="n">
        <f aca="false">$O919-$P919</f>
        <v>-14552437</v>
      </c>
      <c r="AD919" s="48" t="n">
        <f aca="false">$AC919*$I919</f>
        <v>-49012607816</v>
      </c>
      <c r="AE919" s="49" t="n">
        <f aca="false">IF($Q919&gt;0,$O919*$I919/$Q919/1000000,"")</f>
        <v>259.164927784431</v>
      </c>
      <c r="AF919" s="49" t="n">
        <f aca="false">IF($R919&gt;0,$P919*$I919/$R919/1000000,"")</f>
        <v>156.913997333333</v>
      </c>
      <c r="AG919" s="50" t="n">
        <f aca="false">IF(AND(ISNUMBER($AE919),ISNUMBER($AF919),$AF919&gt;0),$AE919/$AF919,"")</f>
        <v>1.65163677038885</v>
      </c>
      <c r="AH919" s="48" t="n">
        <f aca="false">IF($U919&gt;=5,SUM(INDEX($AD$889:$AD919,32-5):$AD919),"")</f>
        <v>-173328405723</v>
      </c>
      <c r="AI919" s="48" t="n">
        <f aca="false">IF($U919&gt;=STRUCT_S,MAX(INDEX($G$769:$G919,152-STRUCT_S):$G919),"")</f>
        <v>3502</v>
      </c>
      <c r="AJ919" s="48" t="n">
        <f aca="false">IF($U919&gt;=STRUCT_S,MIN(INDEX($H$769:$H919,152-STRUCT_S):$H919),"")</f>
        <v>2834</v>
      </c>
      <c r="AK919" s="48" t="n">
        <f aca="false">IF($U919&gt;=STRUCT_L,MAX(INDEX($G$669:$G919,252-STRUCT_L):$G919),"")</f>
        <v>3502</v>
      </c>
      <c r="AL919" s="48" t="n">
        <f aca="false">IF($U919&gt;=STRUCT_L,MIN(INDEX($H$669:$H919,252-STRUCT_L):$H919),"")</f>
        <v>2730</v>
      </c>
      <c r="AM919" s="46" t="n">
        <f aca="false">IF($A919&lt;&gt;$A920,1,0)</f>
        <v>0</v>
      </c>
      <c r="AN919" s="47" t="str">
        <f aca="false">IF($AM919=1,$A919,"")</f>
        <v/>
      </c>
    </row>
    <row r="920" customFormat="false" ht="15" hidden="false" customHeight="false" outlineLevel="0" collapsed="false">
      <c r="A920" s="43" t="s">
        <v>147</v>
      </c>
      <c r="B920" s="44" t="s">
        <v>149</v>
      </c>
      <c r="C920" s="45" t="n">
        <v>46095</v>
      </c>
      <c r="D920" s="46" t="n">
        <v>20260314</v>
      </c>
      <c r="E920" s="47" t="s">
        <v>423</v>
      </c>
      <c r="F920" s="48" t="n">
        <v>3390</v>
      </c>
      <c r="G920" s="48" t="n">
        <v>3391</v>
      </c>
      <c r="H920" s="48" t="n">
        <v>3323</v>
      </c>
      <c r="I920" s="48" t="n">
        <v>3346</v>
      </c>
      <c r="J920" s="48" t="n">
        <v>3329</v>
      </c>
      <c r="K920" s="48" t="n">
        <v>3368</v>
      </c>
      <c r="L920" s="48" t="n">
        <v>59507990</v>
      </c>
      <c r="M920" s="48" t="n">
        <v>199113734540</v>
      </c>
      <c r="N920" s="48" t="n">
        <v>1578</v>
      </c>
      <c r="O920" s="48" t="n">
        <v>26212157</v>
      </c>
      <c r="P920" s="48" t="n">
        <v>35587085</v>
      </c>
      <c r="Q920" s="48" t="n">
        <v>433</v>
      </c>
      <c r="R920" s="48" t="n">
        <v>1031</v>
      </c>
      <c r="S920" s="48" t="n">
        <v>33295833</v>
      </c>
      <c r="T920" s="48" t="n">
        <v>23920905</v>
      </c>
      <c r="U920" s="46" t="n">
        <f aca="false">IF($A920=$A919,$U919+1,1)</f>
        <v>136</v>
      </c>
      <c r="V920" s="48" t="n">
        <f aca="false">IF($U920&gt;=MA_SHORT,AVERAGE(INDEX($I$520:$I920,402-MA_SHORT):$I920),"")</f>
        <v>3171.5</v>
      </c>
      <c r="W920" s="48" t="n">
        <f aca="false">IF($U920&gt;=MA_MED,AVERAGE(INDEX($I$520:$I920,402-MA_MED):$I920),"")</f>
        <v>3139.66</v>
      </c>
      <c r="X920" s="48" t="n">
        <f aca="false">IF($U920&gt;=MA_LONG1,AVERAGE(INDEX($I$520:$I920,402-MA_LONG1):$I920),"")</f>
        <v>3019.03</v>
      </c>
      <c r="Y920" s="48" t="str">
        <f aca="false">IF($U920&gt;=MA_LONG2,AVERAGE(INDEX($I$520:$I920,402-MA_LONG2):$I920),"")</f>
        <v/>
      </c>
      <c r="Z920" s="48" t="n">
        <f aca="false">IF($U920&gt;=MA_SHORT,AVERAGE(INDEX($L$800:$L920,122-MA_SHORT):$L920),"")</f>
        <v>73611985.7</v>
      </c>
      <c r="AA920" s="48" t="n">
        <f aca="false">IF($U920=1,$G920-$H920,MAX($G920-$H920,ABS($G920-$I919),ABS($H920-$I919)))</f>
        <v>68</v>
      </c>
      <c r="AB920" s="48" t="n">
        <f aca="false">IF($U920&gt;=ATR_PER,AVERAGE(INDEX($AA$800:$AA920,122-ATR_PER):$AA920),"")</f>
        <v>142.071428571429</v>
      </c>
      <c r="AC920" s="48" t="n">
        <f aca="false">$O920-$P920</f>
        <v>-9374928</v>
      </c>
      <c r="AD920" s="48" t="n">
        <f aca="false">$AC920*$I920</f>
        <v>-31368509088</v>
      </c>
      <c r="AE920" s="49" t="n">
        <f aca="false">IF($Q920&gt;0,$O920*$I920/$Q920/1000000,"")</f>
        <v>202.553989196305</v>
      </c>
      <c r="AF920" s="49" t="n">
        <f aca="false">IF($R920&gt;0,$P920*$I920/$R920/1000000,"")</f>
        <v>115.494070232784</v>
      </c>
      <c r="AG920" s="50" t="n">
        <f aca="false">IF(AND(ISNUMBER($AE920),ISNUMBER($AF920),$AF920&gt;0),$AE920/$AF920,"")</f>
        <v>1.75380423244282</v>
      </c>
      <c r="AH920" s="48" t="n">
        <f aca="false">IF($U920&gt;=5,SUM(INDEX($AD$890:$AD920,32-5):$AD920),"")</f>
        <v>-161853822519</v>
      </c>
      <c r="AI920" s="48" t="n">
        <f aca="false">IF($U920&gt;=STRUCT_S,MAX(INDEX($G$770:$G920,152-STRUCT_S):$G920),"")</f>
        <v>3502</v>
      </c>
      <c r="AJ920" s="48" t="n">
        <f aca="false">IF($U920&gt;=STRUCT_S,MIN(INDEX($H$770:$H920,152-STRUCT_S):$H920),"")</f>
        <v>2834</v>
      </c>
      <c r="AK920" s="48" t="n">
        <f aca="false">IF($U920&gt;=STRUCT_L,MAX(INDEX($G$670:$G920,252-STRUCT_L):$G920),"")</f>
        <v>3502</v>
      </c>
      <c r="AL920" s="48" t="n">
        <f aca="false">IF($U920&gt;=STRUCT_L,MIN(INDEX($H$670:$H920,252-STRUCT_L):$H920),"")</f>
        <v>2730</v>
      </c>
      <c r="AM920" s="46" t="n">
        <f aca="false">IF($A920&lt;&gt;$A921,1,0)</f>
        <v>0</v>
      </c>
      <c r="AN920" s="47" t="str">
        <f aca="false">IF($AM920=1,$A920,"")</f>
        <v/>
      </c>
    </row>
    <row r="921" customFormat="false" ht="15" hidden="false" customHeight="false" outlineLevel="0" collapsed="false">
      <c r="A921" s="43" t="s">
        <v>147</v>
      </c>
      <c r="B921" s="44" t="s">
        <v>149</v>
      </c>
      <c r="C921" s="45" t="n">
        <v>46096</v>
      </c>
      <c r="D921" s="46" t="n">
        <v>20260315</v>
      </c>
      <c r="E921" s="47" t="s">
        <v>424</v>
      </c>
      <c r="F921" s="48" t="n">
        <v>3393</v>
      </c>
      <c r="G921" s="48" t="n">
        <v>3417</v>
      </c>
      <c r="H921" s="48" t="n">
        <v>3296</v>
      </c>
      <c r="I921" s="48" t="n">
        <v>3366</v>
      </c>
      <c r="J921" s="48" t="n">
        <v>3406</v>
      </c>
      <c r="K921" s="48" t="n">
        <v>3346</v>
      </c>
      <c r="L921" s="48" t="n">
        <v>59327282</v>
      </c>
      <c r="M921" s="48" t="n">
        <v>199695631212</v>
      </c>
      <c r="N921" s="48" t="n">
        <v>2725</v>
      </c>
      <c r="O921" s="48" t="n">
        <v>24685388</v>
      </c>
      <c r="P921" s="48" t="n">
        <v>32427372</v>
      </c>
      <c r="Q921" s="48" t="n">
        <v>1139</v>
      </c>
      <c r="R921" s="48" t="n">
        <v>1014</v>
      </c>
      <c r="S921" s="48" t="n">
        <v>34641894</v>
      </c>
      <c r="T921" s="48" t="n">
        <v>26899910</v>
      </c>
      <c r="U921" s="46" t="n">
        <f aca="false">IF($A921=$A920,$U920+1,1)</f>
        <v>137</v>
      </c>
      <c r="V921" s="48" t="n">
        <f aca="false">IF($U921&gt;=MA_SHORT,AVERAGE(INDEX($I$521:$I921,402-MA_SHORT):$I921),"")</f>
        <v>3190.65</v>
      </c>
      <c r="W921" s="48" t="n">
        <f aca="false">IF($U921&gt;=MA_MED,AVERAGE(INDEX($I$521:$I921,402-MA_MED):$I921),"")</f>
        <v>3145.72</v>
      </c>
      <c r="X921" s="48" t="n">
        <f aca="false">IF($U921&gt;=MA_LONG1,AVERAGE(INDEX($I$521:$I921,402-MA_LONG1):$I921),"")</f>
        <v>3025.08</v>
      </c>
      <c r="Y921" s="48" t="str">
        <f aca="false">IF($U921&gt;=MA_LONG2,AVERAGE(INDEX($I$521:$I921,402-MA_LONG2):$I921),"")</f>
        <v/>
      </c>
      <c r="Z921" s="48" t="n">
        <f aca="false">IF($U921&gt;=MA_SHORT,AVERAGE(INDEX($L$801:$L921,122-MA_SHORT):$L921),"")</f>
        <v>72768851.1</v>
      </c>
      <c r="AA921" s="48" t="n">
        <f aca="false">IF($U921=1,$G921-$H921,MAX($G921-$H921,ABS($G921-$I920),ABS($H921-$I920)))</f>
        <v>121</v>
      </c>
      <c r="AB921" s="48" t="n">
        <f aca="false">IF($U921&gt;=ATR_PER,AVERAGE(INDEX($AA$801:$AA921,122-ATR_PER):$AA921),"")</f>
        <v>146.571428571429</v>
      </c>
      <c r="AC921" s="48" t="n">
        <f aca="false">$O921-$P921</f>
        <v>-7741984</v>
      </c>
      <c r="AD921" s="48" t="n">
        <f aca="false">$AC921*$I921</f>
        <v>-26059518144</v>
      </c>
      <c r="AE921" s="49" t="n">
        <f aca="false">IF($Q921&gt;0,$O921*$I921/$Q921/1000000,"")</f>
        <v>72.950848119403</v>
      </c>
      <c r="AF921" s="49" t="n">
        <f aca="false">IF($R921&gt;0,$P921*$I921/$R921/1000000,"")</f>
        <v>107.643524804734</v>
      </c>
      <c r="AG921" s="50" t="n">
        <f aca="false">IF(AND(ISNUMBER($AE921),ISNUMBER($AF921),$AF921&gt;0),$AE921/$AF921,"")</f>
        <v>0.677707723262839</v>
      </c>
      <c r="AH921" s="48" t="n">
        <f aca="false">IF($U921&gt;=5,SUM(INDEX($AD$891:$AD921,32-5):$AD921),"")</f>
        <v>-207292907331</v>
      </c>
      <c r="AI921" s="48" t="n">
        <f aca="false">IF($U921&gt;=STRUCT_S,MAX(INDEX($G$771:$G921,152-STRUCT_S):$G921),"")</f>
        <v>3502</v>
      </c>
      <c r="AJ921" s="48" t="n">
        <f aca="false">IF($U921&gt;=STRUCT_S,MIN(INDEX($H$771:$H921,152-STRUCT_S):$H921),"")</f>
        <v>2834</v>
      </c>
      <c r="AK921" s="48" t="n">
        <f aca="false">IF($U921&gt;=STRUCT_L,MAX(INDEX($G$671:$G921,252-STRUCT_L):$G921),"")</f>
        <v>3502</v>
      </c>
      <c r="AL921" s="48" t="n">
        <f aca="false">IF($U921&gt;=STRUCT_L,MIN(INDEX($H$671:$H921,252-STRUCT_L):$H921),"")</f>
        <v>2730</v>
      </c>
      <c r="AM921" s="46" t="n">
        <f aca="false">IF($A921&lt;&gt;$A922,1,0)</f>
        <v>0</v>
      </c>
      <c r="AN921" s="47" t="str">
        <f aca="false">IF($AM921=1,$A921,"")</f>
        <v/>
      </c>
    </row>
    <row r="922" customFormat="false" ht="15" hidden="false" customHeight="false" outlineLevel="0" collapsed="false">
      <c r="A922" s="43" t="s">
        <v>147</v>
      </c>
      <c r="B922" s="44" t="s">
        <v>149</v>
      </c>
      <c r="C922" s="45" t="n">
        <v>46097</v>
      </c>
      <c r="D922" s="46" t="n">
        <v>20260316</v>
      </c>
      <c r="E922" s="47" t="s">
        <v>425</v>
      </c>
      <c r="F922" s="48" t="n">
        <v>3416</v>
      </c>
      <c r="G922" s="48" t="n">
        <v>3456</v>
      </c>
      <c r="H922" s="48" t="n">
        <v>3332</v>
      </c>
      <c r="I922" s="48" t="n">
        <v>3422</v>
      </c>
      <c r="J922" s="48" t="n">
        <v>3404</v>
      </c>
      <c r="K922" s="48" t="n">
        <v>3366</v>
      </c>
      <c r="L922" s="48" t="n">
        <v>62979851</v>
      </c>
      <c r="M922" s="48" t="n">
        <v>215517050122</v>
      </c>
      <c r="N922" s="48" t="n">
        <v>5372</v>
      </c>
      <c r="O922" s="48" t="n">
        <v>31520932</v>
      </c>
      <c r="P922" s="48" t="n">
        <v>30906133</v>
      </c>
      <c r="Q922" s="48" t="n">
        <v>3157</v>
      </c>
      <c r="R922" s="48" t="n">
        <v>2155</v>
      </c>
      <c r="S922" s="48" t="n">
        <v>31458919</v>
      </c>
      <c r="T922" s="48" t="n">
        <v>32073718</v>
      </c>
      <c r="U922" s="46" t="n">
        <f aca="false">IF($A922=$A921,$U921+1,1)</f>
        <v>138</v>
      </c>
      <c r="V922" s="48" t="n">
        <f aca="false">IF($U922&gt;=MA_SHORT,AVERAGE(INDEX($I$522:$I922,402-MA_SHORT):$I922),"")</f>
        <v>3213.65</v>
      </c>
      <c r="W922" s="48" t="n">
        <f aca="false">IF($U922&gt;=MA_MED,AVERAGE(INDEX($I$522:$I922,402-MA_MED):$I922),"")</f>
        <v>3153.02</v>
      </c>
      <c r="X922" s="48" t="n">
        <f aca="false">IF($U922&gt;=MA_LONG1,AVERAGE(INDEX($I$522:$I922,402-MA_LONG1):$I922),"")</f>
        <v>3030.68</v>
      </c>
      <c r="Y922" s="48" t="str">
        <f aca="false">IF($U922&gt;=MA_LONG2,AVERAGE(INDEX($I$522:$I922,402-MA_LONG2):$I922),"")</f>
        <v/>
      </c>
      <c r="Z922" s="48" t="n">
        <f aca="false">IF($U922&gt;=MA_SHORT,AVERAGE(INDEX($L$802:$L922,122-MA_SHORT):$L922),"")</f>
        <v>72933720.15</v>
      </c>
      <c r="AA922" s="48" t="n">
        <f aca="false">IF($U922=1,$G922-$H922,MAX($G922-$H922,ABS($G922-$I921),ABS($H922-$I921)))</f>
        <v>124</v>
      </c>
      <c r="AB922" s="48" t="n">
        <f aca="false">IF($U922&gt;=ATR_PER,AVERAGE(INDEX($AA$802:$AA922,122-ATR_PER):$AA922),"")</f>
        <v>148.857142857143</v>
      </c>
      <c r="AC922" s="48" t="n">
        <f aca="false">$O922-$P922</f>
        <v>614799</v>
      </c>
      <c r="AD922" s="48" t="n">
        <f aca="false">$AC922*$I922</f>
        <v>2103842178</v>
      </c>
      <c r="AE922" s="49" t="n">
        <f aca="false">IF($Q922&gt;0,$O922*$I922/$Q922/1000000,"")</f>
        <v>34.1668132100095</v>
      </c>
      <c r="AF922" s="49" t="n">
        <f aca="false">IF($R922&gt;0,$P922*$I922/$R922/1000000,"")</f>
        <v>49.0769313809745</v>
      </c>
      <c r="AG922" s="50" t="n">
        <f aca="false">IF(AND(ISNUMBER($AE922),ISNUMBER($AF922),$AF922&gt;0),$AE922/$AF922,"")</f>
        <v>0.696188866104511</v>
      </c>
      <c r="AH922" s="48" t="n">
        <f aca="false">IF($U922&gt;=5,SUM(INDEX($AD$892:$AD922,32-5):$AD922),"")</f>
        <v>-126914835833</v>
      </c>
      <c r="AI922" s="48" t="n">
        <f aca="false">IF($U922&gt;=STRUCT_S,MAX(INDEX($G$772:$G922,152-STRUCT_S):$G922),"")</f>
        <v>3502</v>
      </c>
      <c r="AJ922" s="48" t="n">
        <f aca="false">IF($U922&gt;=STRUCT_S,MIN(INDEX($H$772:$H922,152-STRUCT_S):$H922),"")</f>
        <v>2834</v>
      </c>
      <c r="AK922" s="48" t="n">
        <f aca="false">IF($U922&gt;=STRUCT_L,MAX(INDEX($G$672:$G922,252-STRUCT_L):$G922),"")</f>
        <v>3502</v>
      </c>
      <c r="AL922" s="48" t="n">
        <f aca="false">IF($U922&gt;=STRUCT_L,MIN(INDEX($H$672:$H922,252-STRUCT_L):$H922),"")</f>
        <v>2742</v>
      </c>
      <c r="AM922" s="46" t="n">
        <f aca="false">IF($A922&lt;&gt;$A923,1,0)</f>
        <v>0</v>
      </c>
      <c r="AN922" s="47" t="str">
        <f aca="false">IF($AM922=1,$A922,"")</f>
        <v/>
      </c>
    </row>
    <row r="923" customFormat="false" ht="15" hidden="false" customHeight="false" outlineLevel="0" collapsed="false">
      <c r="A923" s="43" t="s">
        <v>147</v>
      </c>
      <c r="B923" s="44" t="s">
        <v>149</v>
      </c>
      <c r="C923" s="45" t="n">
        <v>46098</v>
      </c>
      <c r="D923" s="46" t="n">
        <v>20260317</v>
      </c>
      <c r="E923" s="47" t="s">
        <v>426</v>
      </c>
      <c r="F923" s="48" t="n">
        <v>3435</v>
      </c>
      <c r="G923" s="48" t="n">
        <v>3480</v>
      </c>
      <c r="H923" s="48" t="n">
        <v>3384</v>
      </c>
      <c r="I923" s="48" t="n">
        <v>3441</v>
      </c>
      <c r="J923" s="48" t="n">
        <v>3441</v>
      </c>
      <c r="K923" s="48" t="n">
        <v>3422</v>
      </c>
      <c r="L923" s="48" t="n">
        <v>289807382</v>
      </c>
      <c r="M923" s="48" t="n">
        <v>997227201462</v>
      </c>
      <c r="N923" s="48" t="n">
        <v>7434</v>
      </c>
      <c r="O923" s="48" t="n">
        <v>127505206</v>
      </c>
      <c r="P923" s="48" t="n">
        <v>178900848</v>
      </c>
      <c r="Q923" s="48" t="n">
        <v>4872</v>
      </c>
      <c r="R923" s="48" t="n">
        <v>2599</v>
      </c>
      <c r="S923" s="48" t="n">
        <v>162302176</v>
      </c>
      <c r="T923" s="48" t="n">
        <v>110906534</v>
      </c>
      <c r="U923" s="46" t="n">
        <f aca="false">IF($A923=$A922,$U922+1,1)</f>
        <v>139</v>
      </c>
      <c r="V923" s="48" t="n">
        <f aca="false">IF($U923&gt;=MA_SHORT,AVERAGE(INDEX($I$523:$I923,402-MA_SHORT):$I923),"")</f>
        <v>3238.75</v>
      </c>
      <c r="W923" s="48" t="n">
        <f aca="false">IF($U923&gt;=MA_MED,AVERAGE(INDEX($I$523:$I923,402-MA_MED):$I923),"")</f>
        <v>3162.46</v>
      </c>
      <c r="X923" s="48" t="n">
        <f aca="false">IF($U923&gt;=MA_LONG1,AVERAGE(INDEX($I$523:$I923,402-MA_LONG1):$I923),"")</f>
        <v>3036.4</v>
      </c>
      <c r="Y923" s="48" t="str">
        <f aca="false">IF($U923&gt;=MA_LONG2,AVERAGE(INDEX($I$523:$I923,402-MA_LONG2):$I923),"")</f>
        <v/>
      </c>
      <c r="Z923" s="48" t="n">
        <f aca="false">IF($U923&gt;=MA_SHORT,AVERAGE(INDEX($L$803:$L923,122-MA_SHORT):$L923),"")</f>
        <v>79045966.55</v>
      </c>
      <c r="AA923" s="48" t="n">
        <f aca="false">IF($U923=1,$G923-$H923,MAX($G923-$H923,ABS($G923-$I922),ABS($H923-$I922)))</f>
        <v>96</v>
      </c>
      <c r="AB923" s="48" t="n">
        <f aca="false">IF($U923&gt;=ATR_PER,AVERAGE(INDEX($AA$803:$AA923,122-ATR_PER):$AA923),"")</f>
        <v>137.5</v>
      </c>
      <c r="AC923" s="48" t="n">
        <f aca="false">$O923-$P923</f>
        <v>-51395642</v>
      </c>
      <c r="AD923" s="48" t="n">
        <f aca="false">$AC923*$I923</f>
        <v>-176852404122</v>
      </c>
      <c r="AE923" s="49" t="n">
        <f aca="false">IF($Q923&gt;0,$O923*$I923/$Q923/1000000,"")</f>
        <v>90.0544773903941</v>
      </c>
      <c r="AF923" s="49" t="n">
        <f aca="false">IF($R923&gt;0,$P923*$I923/$R923/1000000,"")</f>
        <v>236.859491330512</v>
      </c>
      <c r="AG923" s="50" t="n">
        <f aca="false">IF(AND(ISNUMBER($AE923),ISNUMBER($AF923),$AF923&gt;0),$AE923/$AF923,"")</f>
        <v>0.380202105833001</v>
      </c>
      <c r="AH923" s="48" t="n">
        <f aca="false">IF($U923&gt;=5,SUM(INDEX($AD$893:$AD923,32-5):$AD923),"")</f>
        <v>-281189196992</v>
      </c>
      <c r="AI923" s="48" t="n">
        <f aca="false">IF($U923&gt;=STRUCT_S,MAX(INDEX($G$773:$G923,152-STRUCT_S):$G923),"")</f>
        <v>3502</v>
      </c>
      <c r="AJ923" s="48" t="n">
        <f aca="false">IF($U923&gt;=STRUCT_S,MIN(INDEX($H$773:$H923,152-STRUCT_S):$H923),"")</f>
        <v>2834</v>
      </c>
      <c r="AK923" s="48" t="n">
        <f aca="false">IF($U923&gt;=STRUCT_L,MAX(INDEX($G$673:$G923,252-STRUCT_L):$G923),"")</f>
        <v>3502</v>
      </c>
      <c r="AL923" s="48" t="n">
        <f aca="false">IF($U923&gt;=STRUCT_L,MIN(INDEX($H$673:$H923,252-STRUCT_L):$H923),"")</f>
        <v>2754</v>
      </c>
      <c r="AM923" s="46" t="n">
        <f aca="false">IF($A923&lt;&gt;$A924,1,0)</f>
        <v>0</v>
      </c>
      <c r="AN923" s="47" t="str">
        <f aca="false">IF($AM923=1,$A923,"")</f>
        <v/>
      </c>
    </row>
    <row r="924" customFormat="false" ht="15" hidden="false" customHeight="false" outlineLevel="0" collapsed="false">
      <c r="A924" s="43" t="s">
        <v>147</v>
      </c>
      <c r="B924" s="44" t="s">
        <v>149</v>
      </c>
      <c r="C924" s="45" t="n">
        <v>46099</v>
      </c>
      <c r="D924" s="46" t="n">
        <v>20260318</v>
      </c>
      <c r="E924" s="47" t="s">
        <v>427</v>
      </c>
      <c r="F924" s="48" t="n">
        <v>3475</v>
      </c>
      <c r="G924" s="48" t="n">
        <v>3518</v>
      </c>
      <c r="H924" s="48" t="n">
        <v>3417</v>
      </c>
      <c r="I924" s="48" t="n">
        <v>3493</v>
      </c>
      <c r="J924" s="48" t="n">
        <v>3425</v>
      </c>
      <c r="K924" s="48" t="n">
        <v>3441</v>
      </c>
      <c r="L924" s="48" t="n">
        <v>65444359</v>
      </c>
      <c r="M924" s="48" t="n">
        <v>228597145987</v>
      </c>
      <c r="N924" s="48" t="n">
        <v>3783</v>
      </c>
      <c r="O924" s="48" t="n">
        <v>40687696</v>
      </c>
      <c r="P924" s="48" t="n">
        <v>22884636</v>
      </c>
      <c r="Q924" s="48" t="n">
        <v>2102</v>
      </c>
      <c r="R924" s="48" t="n">
        <v>1035</v>
      </c>
      <c r="S924" s="48" t="n">
        <v>24756663</v>
      </c>
      <c r="T924" s="48" t="n">
        <v>42559723</v>
      </c>
      <c r="U924" s="46" t="n">
        <f aca="false">IF($A924=$A923,$U923+1,1)</f>
        <v>140</v>
      </c>
      <c r="V924" s="48" t="n">
        <f aca="false">IF($U924&gt;=MA_SHORT,AVERAGE(INDEX($I$524:$I924,402-MA_SHORT):$I924),"")</f>
        <v>3262.2</v>
      </c>
      <c r="W924" s="48" t="n">
        <f aca="false">IF($U924&gt;=MA_MED,AVERAGE(INDEX($I$524:$I924,402-MA_MED):$I924),"")</f>
        <v>3173.28</v>
      </c>
      <c r="X924" s="48" t="n">
        <f aca="false">IF($U924&gt;=MA_LONG1,AVERAGE(INDEX($I$524:$I924,402-MA_LONG1):$I924),"")</f>
        <v>3042.47</v>
      </c>
      <c r="Y924" s="48" t="str">
        <f aca="false">IF($U924&gt;=MA_LONG2,AVERAGE(INDEX($I$524:$I924,402-MA_LONG2):$I924),"")</f>
        <v/>
      </c>
      <c r="Z924" s="48" t="n">
        <f aca="false">IF($U924&gt;=MA_SHORT,AVERAGE(INDEX($L$804:$L924,122-MA_SHORT):$L924),"")</f>
        <v>77818962.2</v>
      </c>
      <c r="AA924" s="48" t="n">
        <f aca="false">IF($U924=1,$G924-$H924,MAX($G924-$H924,ABS($G924-$I923),ABS($H924-$I923)))</f>
        <v>101</v>
      </c>
      <c r="AB924" s="48" t="n">
        <f aca="false">IF($U924&gt;=ATR_PER,AVERAGE(INDEX($AA$804:$AA924,122-ATR_PER):$AA924),"")</f>
        <v>134.071428571429</v>
      </c>
      <c r="AC924" s="48" t="n">
        <f aca="false">$O924-$P924</f>
        <v>17803060</v>
      </c>
      <c r="AD924" s="48" t="n">
        <f aca="false">$AC924*$I924</f>
        <v>62186088580</v>
      </c>
      <c r="AE924" s="49" t="n">
        <f aca="false">IF($Q924&gt;0,$O924*$I924/$Q924/1000000,"")</f>
        <v>67.6128078629876</v>
      </c>
      <c r="AF924" s="49" t="n">
        <f aca="false">IF($R924&gt;0,$P924*$I924/$R924/1000000,"")</f>
        <v>77.2328826550725</v>
      </c>
      <c r="AG924" s="50" t="n">
        <f aca="false">IF(AND(ISNUMBER($AE924),ISNUMBER($AF924),$AF924&gt;0),$AE924/$AF924,"")</f>
        <v>0.875440687161079</v>
      </c>
      <c r="AH924" s="48" t="n">
        <f aca="false">IF($U924&gt;=5,SUM(INDEX($AD$894:$AD924,32-5):$AD924),"")</f>
        <v>-169990500596</v>
      </c>
      <c r="AI924" s="48" t="n">
        <f aca="false">IF($U924&gt;=STRUCT_S,MAX(INDEX($G$774:$G924,152-STRUCT_S):$G924),"")</f>
        <v>3518</v>
      </c>
      <c r="AJ924" s="48" t="n">
        <f aca="false">IF($U924&gt;=STRUCT_S,MIN(INDEX($H$774:$H924,152-STRUCT_S):$H924),"")</f>
        <v>2834</v>
      </c>
      <c r="AK924" s="48" t="n">
        <f aca="false">IF($U924&gt;=STRUCT_L,MAX(INDEX($G$674:$G924,252-STRUCT_L):$G924),"")</f>
        <v>3518</v>
      </c>
      <c r="AL924" s="48" t="n">
        <f aca="false">IF($U924&gt;=STRUCT_L,MIN(INDEX($H$674:$H924,252-STRUCT_L):$H924),"")</f>
        <v>2757</v>
      </c>
      <c r="AM924" s="46" t="n">
        <f aca="false">IF($A924&lt;&gt;$A925,1,0)</f>
        <v>0</v>
      </c>
      <c r="AN924" s="47" t="str">
        <f aca="false">IF($AM924=1,$A924,"")</f>
        <v/>
      </c>
    </row>
    <row r="925" customFormat="false" ht="15" hidden="false" customHeight="false" outlineLevel="0" collapsed="false">
      <c r="A925" s="43" t="s">
        <v>147</v>
      </c>
      <c r="B925" s="44" t="s">
        <v>149</v>
      </c>
      <c r="C925" s="45" t="n">
        <v>46102</v>
      </c>
      <c r="D925" s="46" t="n">
        <v>20260321</v>
      </c>
      <c r="E925" s="47" t="s">
        <v>428</v>
      </c>
      <c r="F925" s="48" t="n">
        <v>3545</v>
      </c>
      <c r="G925" s="48" t="n">
        <v>3593</v>
      </c>
      <c r="H925" s="48" t="n">
        <v>3443</v>
      </c>
      <c r="I925" s="48" t="n">
        <v>3543</v>
      </c>
      <c r="J925" s="48" t="n">
        <v>3499</v>
      </c>
      <c r="K925" s="48" t="n">
        <v>3493</v>
      </c>
      <c r="L925" s="48" t="n">
        <v>80297359</v>
      </c>
      <c r="M925" s="48" t="n">
        <v>284493542937</v>
      </c>
      <c r="N925" s="48" t="n">
        <v>2355</v>
      </c>
      <c r="O925" s="48" t="n">
        <v>31976827</v>
      </c>
      <c r="P925" s="48" t="n">
        <v>45575015</v>
      </c>
      <c r="Q925" s="48" t="n">
        <v>1331</v>
      </c>
      <c r="R925" s="48" t="n">
        <v>952</v>
      </c>
      <c r="S925" s="48" t="n">
        <v>48320532</v>
      </c>
      <c r="T925" s="48" t="n">
        <v>34722344</v>
      </c>
      <c r="U925" s="46" t="n">
        <f aca="false">IF($A925=$A924,$U924+1,1)</f>
        <v>141</v>
      </c>
      <c r="V925" s="48" t="n">
        <f aca="false">IF($U925&gt;=MA_SHORT,AVERAGE(INDEX($I$525:$I925,402-MA_SHORT):$I925),"")</f>
        <v>3291.65</v>
      </c>
      <c r="W925" s="48" t="n">
        <f aca="false">IF($U925&gt;=MA_MED,AVERAGE(INDEX($I$525:$I925,402-MA_MED):$I925),"")</f>
        <v>3184.34</v>
      </c>
      <c r="X925" s="48" t="n">
        <f aca="false">IF($U925&gt;=MA_LONG1,AVERAGE(INDEX($I$525:$I925,402-MA_LONG1):$I925),"")</f>
        <v>3049.12</v>
      </c>
      <c r="Y925" s="48" t="str">
        <f aca="false">IF($U925&gt;=MA_LONG2,AVERAGE(INDEX($I$525:$I925,402-MA_LONG2):$I925),"")</f>
        <v/>
      </c>
      <c r="Z925" s="48" t="n">
        <f aca="false">IF($U925&gt;=MA_SHORT,AVERAGE(INDEX($L$805:$L925,122-MA_SHORT):$L925),"")</f>
        <v>78572981.2</v>
      </c>
      <c r="AA925" s="48" t="n">
        <f aca="false">IF($U925=1,$G925-$H925,MAX($G925-$H925,ABS($G925-$I924),ABS($H925-$I924)))</f>
        <v>150</v>
      </c>
      <c r="AB925" s="48" t="n">
        <f aca="false">IF($U925&gt;=ATR_PER,AVERAGE(INDEX($AA$805:$AA925,122-ATR_PER):$AA925),"")</f>
        <v>138</v>
      </c>
      <c r="AC925" s="48" t="n">
        <f aca="false">$O925-$P925</f>
        <v>-13598188</v>
      </c>
      <c r="AD925" s="48" t="n">
        <f aca="false">$AC925*$I925</f>
        <v>-48178380084</v>
      </c>
      <c r="AE925" s="49" t="n">
        <f aca="false">IF($Q925&gt;0,$O925*$I925/$Q925/1000000,"")</f>
        <v>85.1193824650639</v>
      </c>
      <c r="AF925" s="49" t="n">
        <f aca="false">IF($R925&gt;0,$P925*$I925/$R925/1000000,"")</f>
        <v>169.613737547269</v>
      </c>
      <c r="AG925" s="50" t="n">
        <f aca="false">IF(AND(ISNUMBER($AE925),ISNUMBER($AF925),$AF925&gt;0),$AE925/$AF925,"")</f>
        <v>0.501842502240376</v>
      </c>
      <c r="AH925" s="48" t="n">
        <f aca="false">IF($U925&gt;=5,SUM(INDEX($AD$895:$AD925,32-5):$AD925),"")</f>
        <v>-186800371592</v>
      </c>
      <c r="AI925" s="48" t="n">
        <f aca="false">IF($U925&gt;=STRUCT_S,MAX(INDEX($G$775:$G925,152-STRUCT_S):$G925),"")</f>
        <v>3593</v>
      </c>
      <c r="AJ925" s="48" t="n">
        <f aca="false">IF($U925&gt;=STRUCT_S,MIN(INDEX($H$775:$H925,152-STRUCT_S):$H925),"")</f>
        <v>2834</v>
      </c>
      <c r="AK925" s="48" t="n">
        <f aca="false">IF($U925&gt;=STRUCT_L,MAX(INDEX($G$675:$G925,252-STRUCT_L):$G925),"")</f>
        <v>3593</v>
      </c>
      <c r="AL925" s="48" t="n">
        <f aca="false">IF($U925&gt;=STRUCT_L,MIN(INDEX($H$675:$H925,252-STRUCT_L):$H925),"")</f>
        <v>2757</v>
      </c>
      <c r="AM925" s="46" t="n">
        <f aca="false">IF($A925&lt;&gt;$A926,1,0)</f>
        <v>0</v>
      </c>
      <c r="AN925" s="47" t="str">
        <f aca="false">IF($AM925=1,$A925,"")</f>
        <v/>
      </c>
    </row>
    <row r="926" customFormat="false" ht="15" hidden="false" customHeight="false" outlineLevel="0" collapsed="false">
      <c r="A926" s="43" t="s">
        <v>147</v>
      </c>
      <c r="B926" s="44" t="s">
        <v>149</v>
      </c>
      <c r="C926" s="45" t="n">
        <v>46103</v>
      </c>
      <c r="D926" s="46" t="n">
        <v>20260322</v>
      </c>
      <c r="E926" s="47" t="s">
        <v>429</v>
      </c>
      <c r="F926" s="48" t="n">
        <v>3540</v>
      </c>
      <c r="G926" s="48" t="n">
        <v>3598</v>
      </c>
      <c r="H926" s="48" t="n">
        <v>3465</v>
      </c>
      <c r="I926" s="48" t="n">
        <v>3520</v>
      </c>
      <c r="J926" s="48" t="n">
        <v>3510</v>
      </c>
      <c r="K926" s="48" t="n">
        <v>3543</v>
      </c>
      <c r="L926" s="48" t="n">
        <v>59494112</v>
      </c>
      <c r="M926" s="48" t="n">
        <v>209419274240</v>
      </c>
      <c r="N926" s="48" t="n">
        <v>3568</v>
      </c>
      <c r="O926" s="48" t="n">
        <v>23190700</v>
      </c>
      <c r="P926" s="48" t="n">
        <v>32774243</v>
      </c>
      <c r="Q926" s="48" t="n">
        <v>789</v>
      </c>
      <c r="R926" s="48" t="n">
        <v>2216</v>
      </c>
      <c r="S926" s="48" t="n">
        <v>36303412</v>
      </c>
      <c r="T926" s="48" t="n">
        <v>26719869</v>
      </c>
      <c r="U926" s="46" t="n">
        <f aca="false">IF($A926=$A925,$U925+1,1)</f>
        <v>142</v>
      </c>
      <c r="V926" s="48" t="n">
        <f aca="false">IF($U926&gt;=MA_SHORT,AVERAGE(INDEX($I$526:$I926,402-MA_SHORT):$I926),"")</f>
        <v>3321.8</v>
      </c>
      <c r="W926" s="48" t="n">
        <f aca="false">IF($U926&gt;=MA_MED,AVERAGE(INDEX($I$526:$I926,402-MA_MED):$I926),"")</f>
        <v>3193.74</v>
      </c>
      <c r="X926" s="48" t="n">
        <f aca="false">IF($U926&gt;=MA_LONG1,AVERAGE(INDEX($I$526:$I926,402-MA_LONG1):$I926),"")</f>
        <v>3055.24</v>
      </c>
      <c r="Y926" s="48" t="str">
        <f aca="false">IF($U926&gt;=MA_LONG2,AVERAGE(INDEX($I$526:$I926,402-MA_LONG2):$I926),"")</f>
        <v/>
      </c>
      <c r="Z926" s="48" t="n">
        <f aca="false">IF($U926&gt;=MA_SHORT,AVERAGE(INDEX($L$806:$L926,122-MA_SHORT):$L926),"")</f>
        <v>78469327.35</v>
      </c>
      <c r="AA926" s="48" t="n">
        <f aca="false">IF($U926=1,$G926-$H926,MAX($G926-$H926,ABS($G926-$I925),ABS($H926-$I925)))</f>
        <v>133</v>
      </c>
      <c r="AB926" s="48" t="n">
        <f aca="false">IF($U926&gt;=ATR_PER,AVERAGE(INDEX($AA$806:$AA926,122-ATR_PER):$AA926),"")</f>
        <v>132.642857142857</v>
      </c>
      <c r="AC926" s="48" t="n">
        <f aca="false">$O926-$P926</f>
        <v>-9583543</v>
      </c>
      <c r="AD926" s="48" t="n">
        <f aca="false">$AC926*$I926</f>
        <v>-33734071360</v>
      </c>
      <c r="AE926" s="49" t="n">
        <f aca="false">IF($Q926&gt;0,$O926*$I926/$Q926/1000000,"")</f>
        <v>103.461678073511</v>
      </c>
      <c r="AF926" s="49" t="n">
        <f aca="false">IF($R926&gt;0,$P926*$I926/$R926/1000000,"")</f>
        <v>52.0601693862816</v>
      </c>
      <c r="AG926" s="50" t="n">
        <f aca="false">IF(AND(ISNUMBER($AE926),ISNUMBER($AF926),$AF926&gt;0),$AE926/$AF926,"")</f>
        <v>1.98734808766823</v>
      </c>
      <c r="AH926" s="48" t="n">
        <f aca="false">IF($U926&gt;=5,SUM(INDEX($AD$896:$AD926,32-5):$AD926),"")</f>
        <v>-194474924808</v>
      </c>
      <c r="AI926" s="48" t="n">
        <f aca="false">IF($U926&gt;=STRUCT_S,MAX(INDEX($G$776:$G926,152-STRUCT_S):$G926),"")</f>
        <v>3598</v>
      </c>
      <c r="AJ926" s="48" t="n">
        <f aca="false">IF($U926&gt;=STRUCT_S,MIN(INDEX($H$776:$H926,152-STRUCT_S):$H926),"")</f>
        <v>2882</v>
      </c>
      <c r="AK926" s="48" t="n">
        <f aca="false">IF($U926&gt;=STRUCT_L,MAX(INDEX($G$676:$G926,252-STRUCT_L):$G926),"")</f>
        <v>3598</v>
      </c>
      <c r="AL926" s="48" t="n">
        <f aca="false">IF($U926&gt;=STRUCT_L,MIN(INDEX($H$676:$H926,252-STRUCT_L):$H926),"")</f>
        <v>2757</v>
      </c>
      <c r="AM926" s="46" t="n">
        <f aca="false">IF($A926&lt;&gt;$A927,1,0)</f>
        <v>0</v>
      </c>
      <c r="AN926" s="47" t="str">
        <f aca="false">IF($AM926=1,$A926,"")</f>
        <v/>
      </c>
    </row>
    <row r="927" customFormat="false" ht="15" hidden="false" customHeight="false" outlineLevel="0" collapsed="false">
      <c r="A927" s="43" t="s">
        <v>147</v>
      </c>
      <c r="B927" s="44" t="s">
        <v>149</v>
      </c>
      <c r="C927" s="45" t="n">
        <v>46104</v>
      </c>
      <c r="D927" s="46" t="n">
        <v>20260323</v>
      </c>
      <c r="E927" s="47" t="s">
        <v>430</v>
      </c>
      <c r="F927" s="48" t="n">
        <v>3492</v>
      </c>
      <c r="G927" s="48" t="n">
        <v>3551</v>
      </c>
      <c r="H927" s="48" t="n">
        <v>3362</v>
      </c>
      <c r="I927" s="48" t="n">
        <v>3392</v>
      </c>
      <c r="J927" s="48" t="n">
        <v>3368</v>
      </c>
      <c r="K927" s="48" t="n">
        <v>3520</v>
      </c>
      <c r="L927" s="48" t="n">
        <v>169617605</v>
      </c>
      <c r="M927" s="48" t="n">
        <v>575342916160</v>
      </c>
      <c r="N927" s="48" t="n">
        <v>5788</v>
      </c>
      <c r="O927" s="48" t="n">
        <v>65734652</v>
      </c>
      <c r="P927" s="48" t="n">
        <v>117148746</v>
      </c>
      <c r="Q927" s="48" t="n">
        <v>1535</v>
      </c>
      <c r="R927" s="48" t="n">
        <v>3920</v>
      </c>
      <c r="S927" s="48" t="n">
        <v>103882953</v>
      </c>
      <c r="T927" s="48" t="n">
        <v>52468859</v>
      </c>
      <c r="U927" s="46" t="n">
        <f aca="false">IF($A927=$A926,$U926+1,1)</f>
        <v>143</v>
      </c>
      <c r="V927" s="48" t="n">
        <f aca="false">IF($U927&gt;=MA_SHORT,AVERAGE(INDEX($I$527:$I927,402-MA_SHORT):$I927),"")</f>
        <v>3346.15</v>
      </c>
      <c r="W927" s="48" t="n">
        <f aca="false">IF($U927&gt;=MA_MED,AVERAGE(INDEX($I$527:$I927,402-MA_MED):$I927),"")</f>
        <v>3201.62</v>
      </c>
      <c r="X927" s="48" t="n">
        <f aca="false">IF($U927&gt;=MA_LONG1,AVERAGE(INDEX($I$527:$I927,402-MA_LONG1):$I927),"")</f>
        <v>3059.91</v>
      </c>
      <c r="Y927" s="48" t="str">
        <f aca="false">IF($U927&gt;=MA_LONG2,AVERAGE(INDEX($I$527:$I927,402-MA_LONG2):$I927),"")</f>
        <v/>
      </c>
      <c r="Z927" s="48" t="n">
        <f aca="false">IF($U927&gt;=MA_SHORT,AVERAGE(INDEX($L$807:$L927,122-MA_SHORT):$L927),"")</f>
        <v>83925265.85</v>
      </c>
      <c r="AA927" s="48" t="n">
        <f aca="false">IF($U927=1,$G927-$H927,MAX($G927-$H927,ABS($G927-$I926),ABS($H927-$I926)))</f>
        <v>189</v>
      </c>
      <c r="AB927" s="48" t="n">
        <f aca="false">IF($U927&gt;=ATR_PER,AVERAGE(INDEX($AA$807:$AA927,122-ATR_PER):$AA927),"")</f>
        <v>137.571428571429</v>
      </c>
      <c r="AC927" s="48" t="n">
        <f aca="false">$O927-$P927</f>
        <v>-51414094</v>
      </c>
      <c r="AD927" s="48" t="n">
        <f aca="false">$AC927*$I927</f>
        <v>-174396606848</v>
      </c>
      <c r="AE927" s="49" t="n">
        <f aca="false">IF($Q927&gt;0,$O927*$I927/$Q927/1000000,"")</f>
        <v>145.258592562866</v>
      </c>
      <c r="AF927" s="49" t="n">
        <f aca="false">IF($R927&gt;0,$P927*$I927/$R927/1000000,"")</f>
        <v>101.36952715102</v>
      </c>
      <c r="AG927" s="50" t="n">
        <f aca="false">IF(AND(ISNUMBER($AE927),ISNUMBER($AF927),$AF927&gt;0),$AE927/$AF927,"")</f>
        <v>1.43296113383719</v>
      </c>
      <c r="AH927" s="48" t="n">
        <f aca="false">IF($U927&gt;=5,SUM(INDEX($AD$897:$AD927,32-5):$AD927),"")</f>
        <v>-370975373834</v>
      </c>
      <c r="AI927" s="48" t="n">
        <f aca="false">IF($U927&gt;=STRUCT_S,MAX(INDEX($G$777:$G927,152-STRUCT_S):$G927),"")</f>
        <v>3598</v>
      </c>
      <c r="AJ927" s="48" t="n">
        <f aca="false">IF($U927&gt;=STRUCT_S,MIN(INDEX($H$777:$H927,152-STRUCT_S):$H927),"")</f>
        <v>2896</v>
      </c>
      <c r="AK927" s="48" t="n">
        <f aca="false">IF($U927&gt;=STRUCT_L,MAX(INDEX($G$677:$G927,252-STRUCT_L):$G927),"")</f>
        <v>3598</v>
      </c>
      <c r="AL927" s="48" t="n">
        <f aca="false">IF($U927&gt;=STRUCT_L,MIN(INDEX($H$677:$H927,252-STRUCT_L):$H927),"")</f>
        <v>2790</v>
      </c>
      <c r="AM927" s="46" t="n">
        <f aca="false">IF($A927&lt;&gt;$A928,1,0)</f>
        <v>0</v>
      </c>
      <c r="AN927" s="47" t="str">
        <f aca="false">IF($AM927=1,$A927,"")</f>
        <v/>
      </c>
    </row>
    <row r="928" customFormat="false" ht="15" hidden="false" customHeight="false" outlineLevel="0" collapsed="false">
      <c r="A928" s="43" t="s">
        <v>147</v>
      </c>
      <c r="B928" s="44" t="s">
        <v>149</v>
      </c>
      <c r="C928" s="45" t="n">
        <v>46105</v>
      </c>
      <c r="D928" s="46" t="n">
        <v>20260324</v>
      </c>
      <c r="E928" s="47" t="s">
        <v>431</v>
      </c>
      <c r="F928" s="48" t="n">
        <v>3434</v>
      </c>
      <c r="G928" s="48" t="n">
        <v>3475</v>
      </c>
      <c r="H928" s="48" t="n">
        <v>3362</v>
      </c>
      <c r="I928" s="48" t="n">
        <v>3445</v>
      </c>
      <c r="J928" s="48" t="n">
        <v>3411</v>
      </c>
      <c r="K928" s="48" t="n">
        <v>3392</v>
      </c>
      <c r="L928" s="48" t="n">
        <v>75115164</v>
      </c>
      <c r="M928" s="48" t="n">
        <v>258771739980</v>
      </c>
      <c r="N928" s="48" t="n">
        <v>2834</v>
      </c>
      <c r="O928" s="48" t="n">
        <v>31986625</v>
      </c>
      <c r="P928" s="48" t="n">
        <v>47463760</v>
      </c>
      <c r="Q928" s="48" t="n">
        <v>1949</v>
      </c>
      <c r="R928" s="48" t="n">
        <v>796</v>
      </c>
      <c r="S928" s="48" t="n">
        <v>43128539</v>
      </c>
      <c r="T928" s="48" t="n">
        <v>27651404</v>
      </c>
      <c r="U928" s="46" t="n">
        <f aca="false">IF($A928=$A927,$U927+1,1)</f>
        <v>144</v>
      </c>
      <c r="V928" s="48" t="n">
        <f aca="false">IF($U928&gt;=MA_SHORT,AVERAGE(INDEX($I$528:$I928,402-MA_SHORT):$I928),"")</f>
        <v>3369.45</v>
      </c>
      <c r="W928" s="48" t="n">
        <f aca="false">IF($U928&gt;=MA_MED,AVERAGE(INDEX($I$528:$I928,402-MA_MED):$I928),"")</f>
        <v>3209.4</v>
      </c>
      <c r="X928" s="48" t="n">
        <f aca="false">IF($U928&gt;=MA_LONG1,AVERAGE(INDEX($I$528:$I928,402-MA_LONG1):$I928),"")</f>
        <v>3065.65</v>
      </c>
      <c r="Y928" s="48" t="str">
        <f aca="false">IF($U928&gt;=MA_LONG2,AVERAGE(INDEX($I$528:$I928,402-MA_LONG2):$I928),"")</f>
        <v/>
      </c>
      <c r="Z928" s="48" t="n">
        <f aca="false">IF($U928&gt;=MA_SHORT,AVERAGE(INDEX($L$808:$L928,122-MA_SHORT):$L928),"")</f>
        <v>83920662.6</v>
      </c>
      <c r="AA928" s="48" t="n">
        <f aca="false">IF($U928=1,$G928-$H928,MAX($G928-$H928,ABS($G928-$I927),ABS($H928-$I927)))</f>
        <v>113</v>
      </c>
      <c r="AB928" s="48" t="n">
        <f aca="false">IF($U928&gt;=ATR_PER,AVERAGE(INDEX($AA$808:$AA928,122-ATR_PER):$AA928),"")</f>
        <v>141</v>
      </c>
      <c r="AC928" s="48" t="n">
        <f aca="false">$O928-$P928</f>
        <v>-15477135</v>
      </c>
      <c r="AD928" s="48" t="n">
        <f aca="false">$AC928*$I928</f>
        <v>-53318730075</v>
      </c>
      <c r="AE928" s="49" t="n">
        <f aca="false">IF($Q928&gt;0,$O928*$I928/$Q928/1000000,"")</f>
        <v>56.5386983709595</v>
      </c>
      <c r="AF928" s="49" t="n">
        <f aca="false">IF($R928&gt;0,$P928*$I928/$R928/1000000,"")</f>
        <v>205.417906030151</v>
      </c>
      <c r="AG928" s="50" t="n">
        <f aca="false">IF(AND(ISNUMBER($AE928),ISNUMBER($AF928),$AF928&gt;0),$AE928/$AF928,"")</f>
        <v>0.275237438953646</v>
      </c>
      <c r="AH928" s="48" t="n">
        <f aca="false">IF($U928&gt;=5,SUM(INDEX($AD$898:$AD928,32-5):$AD928),"")</f>
        <v>-247441699787</v>
      </c>
      <c r="AI928" s="48" t="n">
        <f aca="false">IF($U928&gt;=STRUCT_S,MAX(INDEX($G$778:$G928,152-STRUCT_S):$G928),"")</f>
        <v>3598</v>
      </c>
      <c r="AJ928" s="48" t="n">
        <f aca="false">IF($U928&gt;=STRUCT_S,MIN(INDEX($H$778:$H928,152-STRUCT_S):$H928),"")</f>
        <v>2912</v>
      </c>
      <c r="AK928" s="48" t="n">
        <f aca="false">IF($U928&gt;=STRUCT_L,MAX(INDEX($G$678:$G928,252-STRUCT_L):$G928),"")</f>
        <v>3598</v>
      </c>
      <c r="AL928" s="48" t="n">
        <f aca="false">IF($U928&gt;=STRUCT_L,MIN(INDEX($H$678:$H928,252-STRUCT_L):$H928),"")</f>
        <v>2834</v>
      </c>
      <c r="AM928" s="46" t="n">
        <f aca="false">IF($A928&lt;&gt;$A929,1,0)</f>
        <v>0</v>
      </c>
      <c r="AN928" s="47" t="str">
        <f aca="false">IF($AM928=1,$A928,"")</f>
        <v/>
      </c>
    </row>
    <row r="929" customFormat="false" ht="15" hidden="false" customHeight="false" outlineLevel="0" collapsed="false">
      <c r="A929" s="43" t="s">
        <v>147</v>
      </c>
      <c r="B929" s="44" t="s">
        <v>149</v>
      </c>
      <c r="C929" s="45" t="n">
        <v>46106</v>
      </c>
      <c r="D929" s="46" t="n">
        <v>20260325</v>
      </c>
      <c r="E929" s="47" t="s">
        <v>432</v>
      </c>
      <c r="F929" s="48" t="n">
        <v>3508</v>
      </c>
      <c r="G929" s="48" t="n">
        <v>3536</v>
      </c>
      <c r="H929" s="48" t="n">
        <v>3390</v>
      </c>
      <c r="I929" s="48" t="n">
        <v>3480</v>
      </c>
      <c r="J929" s="48" t="n">
        <v>3518</v>
      </c>
      <c r="K929" s="48" t="n">
        <v>3445</v>
      </c>
      <c r="L929" s="48" t="n">
        <v>69585403</v>
      </c>
      <c r="M929" s="48" t="n">
        <v>242157202440</v>
      </c>
      <c r="N929" s="48" t="n">
        <v>1842</v>
      </c>
      <c r="O929" s="48" t="n">
        <v>32051860</v>
      </c>
      <c r="P929" s="48" t="n">
        <v>34060581</v>
      </c>
      <c r="Q929" s="48" t="n">
        <v>766</v>
      </c>
      <c r="R929" s="48" t="n">
        <v>453</v>
      </c>
      <c r="S929" s="48" t="n">
        <v>37533543</v>
      </c>
      <c r="T929" s="48" t="n">
        <v>35524822</v>
      </c>
      <c r="U929" s="46" t="n">
        <f aca="false">IF($A929=$A928,$U928+1,1)</f>
        <v>145</v>
      </c>
      <c r="V929" s="48" t="n">
        <f aca="false">IF($U929&gt;=MA_SHORT,AVERAGE(INDEX($I$529:$I929,402-MA_SHORT):$I929),"")</f>
        <v>3388.6</v>
      </c>
      <c r="W929" s="48" t="n">
        <f aca="false">IF($U929&gt;=MA_MED,AVERAGE(INDEX($I$529:$I929,402-MA_MED):$I929),"")</f>
        <v>3217.08</v>
      </c>
      <c r="X929" s="48" t="n">
        <f aca="false">IF($U929&gt;=MA_LONG1,AVERAGE(INDEX($I$529:$I929,402-MA_LONG1):$I929),"")</f>
        <v>3071.74</v>
      </c>
      <c r="Y929" s="48" t="str">
        <f aca="false">IF($U929&gt;=MA_LONG2,AVERAGE(INDEX($I$529:$I929,402-MA_LONG2):$I929),"")</f>
        <v/>
      </c>
      <c r="Z929" s="48" t="n">
        <f aca="false">IF($U929&gt;=MA_SHORT,AVERAGE(INDEX($L$809:$L929,122-MA_SHORT):$L929),"")</f>
        <v>83856273.45</v>
      </c>
      <c r="AA929" s="48" t="n">
        <f aca="false">IF($U929=1,$G929-$H929,MAX($G929-$H929,ABS($G929-$I928),ABS($H929-$I928)))</f>
        <v>146</v>
      </c>
      <c r="AB929" s="48" t="n">
        <f aca="false">IF($U929&gt;=ATR_PER,AVERAGE(INDEX($AA$809:$AA929,122-ATR_PER):$AA929),"")</f>
        <v>146.857142857143</v>
      </c>
      <c r="AC929" s="48" t="n">
        <f aca="false">$O929-$P929</f>
        <v>-2008721</v>
      </c>
      <c r="AD929" s="48" t="n">
        <f aca="false">$AC929*$I929</f>
        <v>-6990349080</v>
      </c>
      <c r="AE929" s="49" t="n">
        <f aca="false">IF($Q929&gt;0,$O929*$I929/$Q929/1000000,"")</f>
        <v>145.614194255875</v>
      </c>
      <c r="AF929" s="49" t="n">
        <f aca="false">IF($R929&gt;0,$P929*$I929/$R929/1000000,"")</f>
        <v>261.657443443709</v>
      </c>
      <c r="AG929" s="50" t="n">
        <f aca="false">IF(AND(ISNUMBER($AE929),ISNUMBER($AF929),$AF929&gt;0),$AE929/$AF929,"")</f>
        <v>0.556506982333186</v>
      </c>
      <c r="AH929" s="48" t="n">
        <f aca="false">IF($U929&gt;=5,SUM(INDEX($AD$899:$AD929,32-5):$AD929),"")</f>
        <v>-316618137447</v>
      </c>
      <c r="AI929" s="48" t="n">
        <f aca="false">IF($U929&gt;=STRUCT_S,MAX(INDEX($G$779:$G929,152-STRUCT_S):$G929),"")</f>
        <v>3598</v>
      </c>
      <c r="AJ929" s="48" t="n">
        <f aca="false">IF($U929&gt;=STRUCT_S,MIN(INDEX($H$779:$H929,152-STRUCT_S):$H929),"")</f>
        <v>3077</v>
      </c>
      <c r="AK929" s="48" t="n">
        <f aca="false">IF($U929&gt;=STRUCT_L,MAX(INDEX($G$679:$G929,252-STRUCT_L):$G929),"")</f>
        <v>3598</v>
      </c>
      <c r="AL929" s="48" t="n">
        <f aca="false">IF($U929&gt;=STRUCT_L,MIN(INDEX($H$679:$H929,252-STRUCT_L):$H929),"")</f>
        <v>2834</v>
      </c>
      <c r="AM929" s="46" t="n">
        <f aca="false">IF($A929&lt;&gt;$A930,1,0)</f>
        <v>0</v>
      </c>
      <c r="AN929" s="47" t="str">
        <f aca="false">IF($AM929=1,$A929,"")</f>
        <v/>
      </c>
    </row>
    <row r="930" customFormat="false" ht="15" hidden="false" customHeight="false" outlineLevel="0" collapsed="false">
      <c r="A930" s="43" t="s">
        <v>147</v>
      </c>
      <c r="B930" s="44" t="s">
        <v>149</v>
      </c>
      <c r="C930" s="45" t="n">
        <v>46109</v>
      </c>
      <c r="D930" s="46" t="n">
        <v>20260328</v>
      </c>
      <c r="E930" s="47" t="s">
        <v>433</v>
      </c>
      <c r="F930" s="48" t="n">
        <v>3482</v>
      </c>
      <c r="G930" s="48" t="n">
        <v>3533</v>
      </c>
      <c r="H930" s="48" t="n">
        <v>3457</v>
      </c>
      <c r="I930" s="48" t="n">
        <v>3510</v>
      </c>
      <c r="J930" s="48" t="n">
        <v>3487</v>
      </c>
      <c r="K930" s="48" t="n">
        <v>3480</v>
      </c>
      <c r="L930" s="48" t="n">
        <v>60225604</v>
      </c>
      <c r="M930" s="48" t="n">
        <v>211391870040</v>
      </c>
      <c r="N930" s="48" t="n">
        <v>1556</v>
      </c>
      <c r="O930" s="48" t="n">
        <v>33609787</v>
      </c>
      <c r="P930" s="48" t="n">
        <v>27534952</v>
      </c>
      <c r="Q930" s="48" t="n">
        <v>737</v>
      </c>
      <c r="R930" s="48" t="n">
        <v>425</v>
      </c>
      <c r="S930" s="48" t="n">
        <v>26615817</v>
      </c>
      <c r="T930" s="48" t="n">
        <v>32690652</v>
      </c>
      <c r="U930" s="46" t="n">
        <f aca="false">IF($A930=$A929,$U929+1,1)</f>
        <v>146</v>
      </c>
      <c r="V930" s="48" t="n">
        <f aca="false">IF($U930&gt;=MA_SHORT,AVERAGE(INDEX($I$530:$I930,402-MA_SHORT):$I930),"")</f>
        <v>3403.85</v>
      </c>
      <c r="W930" s="48" t="n">
        <f aca="false">IF($U930&gt;=MA_MED,AVERAGE(INDEX($I$530:$I930,402-MA_MED):$I930),"")</f>
        <v>3225.46</v>
      </c>
      <c r="X930" s="48" t="n">
        <f aca="false">IF($U930&gt;=MA_LONG1,AVERAGE(INDEX($I$530:$I930,402-MA_LONG1):$I930),"")</f>
        <v>3078.31</v>
      </c>
      <c r="Y930" s="48" t="str">
        <f aca="false">IF($U930&gt;=MA_LONG2,AVERAGE(INDEX($I$530:$I930,402-MA_LONG2):$I930),"")</f>
        <v/>
      </c>
      <c r="Z930" s="48" t="n">
        <f aca="false">IF($U930&gt;=MA_SHORT,AVERAGE(INDEX($L$810:$L930,122-MA_SHORT):$L930),"")</f>
        <v>81704019.75</v>
      </c>
      <c r="AA930" s="48" t="n">
        <f aca="false">IF($U930=1,$G930-$H930,MAX($G930-$H930,ABS($G930-$I929),ABS($H930-$I929)))</f>
        <v>76</v>
      </c>
      <c r="AB930" s="48" t="n">
        <f aca="false">IF($U930&gt;=ATR_PER,AVERAGE(INDEX($AA$810:$AA930,122-ATR_PER):$AA930),"")</f>
        <v>134.5</v>
      </c>
      <c r="AC930" s="48" t="n">
        <f aca="false">$O930-$P930</f>
        <v>6074835</v>
      </c>
      <c r="AD930" s="48" t="n">
        <f aca="false">$AC930*$I930</f>
        <v>21322670850</v>
      </c>
      <c r="AE930" s="49" t="n">
        <f aca="false">IF($Q930&gt;0,$O930*$I930/$Q930/1000000,"")</f>
        <v>160.068320719132</v>
      </c>
      <c r="AF930" s="49" t="n">
        <f aca="false">IF($R930&gt;0,$P930*$I930/$R930/1000000,"")</f>
        <v>227.406309458824</v>
      </c>
      <c r="AG930" s="50" t="n">
        <f aca="false">IF(AND(ISNUMBER($AE930),ISNUMBER($AF930),$AF930&gt;0),$AE930/$AF930,"")</f>
        <v>0.703886893464208</v>
      </c>
      <c r="AH930" s="48" t="n">
        <f aca="false">IF($U930&gt;=5,SUM(INDEX($AD$900:$AD930,32-5):$AD930),"")</f>
        <v>-247117086513</v>
      </c>
      <c r="AI930" s="48" t="n">
        <f aca="false">IF($U930&gt;=STRUCT_S,MAX(INDEX($G$780:$G930,152-STRUCT_S):$G930),"")</f>
        <v>3598</v>
      </c>
      <c r="AJ930" s="48" t="n">
        <f aca="false">IF($U930&gt;=STRUCT_S,MIN(INDEX($H$780:$H930,152-STRUCT_S):$H930),"")</f>
        <v>3184</v>
      </c>
      <c r="AK930" s="48" t="n">
        <f aca="false">IF($U930&gt;=STRUCT_L,MAX(INDEX($G$680:$G930,252-STRUCT_L):$G930),"")</f>
        <v>3598</v>
      </c>
      <c r="AL930" s="48" t="n">
        <f aca="false">IF($U930&gt;=STRUCT_L,MIN(INDEX($H$680:$H930,252-STRUCT_L):$H930),"")</f>
        <v>2834</v>
      </c>
      <c r="AM930" s="46" t="n">
        <f aca="false">IF($A930&lt;&gt;$A931,1,0)</f>
        <v>0</v>
      </c>
      <c r="AN930" s="47" t="str">
        <f aca="false">IF($AM930=1,$A930,"")</f>
        <v/>
      </c>
    </row>
    <row r="931" customFormat="false" ht="15" hidden="false" customHeight="false" outlineLevel="0" collapsed="false">
      <c r="A931" s="43" t="s">
        <v>147</v>
      </c>
      <c r="B931" s="44" t="s">
        <v>149</v>
      </c>
      <c r="C931" s="45" t="n">
        <v>46110</v>
      </c>
      <c r="D931" s="46" t="n">
        <v>20260329</v>
      </c>
      <c r="E931" s="47" t="s">
        <v>434</v>
      </c>
      <c r="F931" s="48" t="n">
        <v>3511</v>
      </c>
      <c r="G931" s="48" t="n">
        <v>3615</v>
      </c>
      <c r="H931" s="48" t="n">
        <v>3463</v>
      </c>
      <c r="I931" s="48" t="n">
        <v>3567</v>
      </c>
      <c r="J931" s="48" t="n">
        <v>3491</v>
      </c>
      <c r="K931" s="48" t="n">
        <v>3510</v>
      </c>
      <c r="L931" s="48" t="n">
        <v>93245079</v>
      </c>
      <c r="M931" s="48" t="n">
        <v>332605196793</v>
      </c>
      <c r="N931" s="48" t="n">
        <v>2657</v>
      </c>
      <c r="O931" s="48" t="n">
        <v>46863216</v>
      </c>
      <c r="P931" s="48" t="n">
        <v>40132986</v>
      </c>
      <c r="Q931" s="48" t="n">
        <v>1154</v>
      </c>
      <c r="R931" s="48" t="n">
        <v>1085</v>
      </c>
      <c r="S931" s="48" t="n">
        <v>46381863</v>
      </c>
      <c r="T931" s="48" t="n">
        <v>53112093</v>
      </c>
      <c r="U931" s="46" t="n">
        <f aca="false">IF($A931=$A930,$U930+1,1)</f>
        <v>147</v>
      </c>
      <c r="V931" s="48" t="n">
        <f aca="false">IF($U931&gt;=MA_SHORT,AVERAGE(INDEX($I$531:$I931,402-MA_SHORT):$I931),"")</f>
        <v>3419.3</v>
      </c>
      <c r="W931" s="48" t="n">
        <f aca="false">IF($U931&gt;=MA_MED,AVERAGE(INDEX($I$531:$I931,402-MA_MED):$I931),"")</f>
        <v>3234.72</v>
      </c>
      <c r="X931" s="48" t="n">
        <f aca="false">IF($U931&gt;=MA_LONG1,AVERAGE(INDEX($I$531:$I931,402-MA_LONG1):$I931),"")</f>
        <v>3084.89</v>
      </c>
      <c r="Y931" s="48" t="str">
        <f aca="false">IF($U931&gt;=MA_LONG2,AVERAGE(INDEX($I$531:$I931,402-MA_LONG2):$I931),"")</f>
        <v/>
      </c>
      <c r="Z931" s="48" t="n">
        <f aca="false">IF($U931&gt;=MA_SHORT,AVERAGE(INDEX($L$811:$L931,122-MA_SHORT):$L931),"")</f>
        <v>83219004.15</v>
      </c>
      <c r="AA931" s="48" t="n">
        <f aca="false">IF($U931=1,$G931-$H931,MAX($G931-$H931,ABS($G931-$I930),ABS($H931-$I930)))</f>
        <v>152</v>
      </c>
      <c r="AB931" s="48" t="n">
        <f aca="false">IF($U931&gt;=ATR_PER,AVERAGE(INDEX($AA$811:$AA931,122-ATR_PER):$AA931),"")</f>
        <v>129.428571428571</v>
      </c>
      <c r="AC931" s="48" t="n">
        <f aca="false">$O931-$P931</f>
        <v>6730230</v>
      </c>
      <c r="AD931" s="48" t="n">
        <f aca="false">$AC931*$I931</f>
        <v>24006730410</v>
      </c>
      <c r="AE931" s="49" t="n">
        <f aca="false">IF($Q931&gt;0,$O931*$I931/$Q931/1000000,"")</f>
        <v>144.853632124783</v>
      </c>
      <c r="AF931" s="49" t="n">
        <f aca="false">IF($R931&gt;0,$P931*$I931/$R931/1000000,"")</f>
        <v>131.939503282949</v>
      </c>
      <c r="AG931" s="50" t="n">
        <f aca="false">IF(AND(ISNUMBER($AE931),ISNUMBER($AF931),$AF931&gt;0),$AE931/$AF931,"")</f>
        <v>1.09787916825895</v>
      </c>
      <c r="AH931" s="48" t="n">
        <f aca="false">IF($U931&gt;=5,SUM(INDEX($AD$901:$AD931,32-5):$AD931),"")</f>
        <v>-189376284743</v>
      </c>
      <c r="AI931" s="48" t="n">
        <f aca="false">IF($U931&gt;=STRUCT_S,MAX(INDEX($G$781:$G931,152-STRUCT_S):$G931),"")</f>
        <v>3615</v>
      </c>
      <c r="AJ931" s="48" t="n">
        <f aca="false">IF($U931&gt;=STRUCT_S,MIN(INDEX($H$781:$H931,152-STRUCT_S):$H931),"")</f>
        <v>3209</v>
      </c>
      <c r="AK931" s="48" t="n">
        <f aca="false">IF($U931&gt;=STRUCT_L,MAX(INDEX($G$681:$G931,252-STRUCT_L):$G931),"")</f>
        <v>3615</v>
      </c>
      <c r="AL931" s="48" t="n">
        <f aca="false">IF($U931&gt;=STRUCT_L,MIN(INDEX($H$681:$H931,252-STRUCT_L):$H931),"")</f>
        <v>2834</v>
      </c>
      <c r="AM931" s="46" t="n">
        <f aca="false">IF($A931&lt;&gt;$A932,1,0)</f>
        <v>0</v>
      </c>
      <c r="AN931" s="47" t="str">
        <f aca="false">IF($AM931=1,$A931,"")</f>
        <v/>
      </c>
    </row>
    <row r="932" customFormat="false" ht="15" hidden="false" customHeight="false" outlineLevel="0" collapsed="false">
      <c r="A932" s="43" t="s">
        <v>147</v>
      </c>
      <c r="B932" s="44" t="s">
        <v>149</v>
      </c>
      <c r="C932" s="45" t="n">
        <v>46111</v>
      </c>
      <c r="D932" s="46" t="n">
        <v>20260330</v>
      </c>
      <c r="E932" s="47" t="s">
        <v>435</v>
      </c>
      <c r="F932" s="48" t="n">
        <v>3535</v>
      </c>
      <c r="G932" s="48" t="n">
        <v>3581</v>
      </c>
      <c r="H932" s="48" t="n">
        <v>3379</v>
      </c>
      <c r="I932" s="48" t="n">
        <v>3392</v>
      </c>
      <c r="J932" s="48" t="n">
        <v>3562</v>
      </c>
      <c r="K932" s="48" t="n">
        <v>3567</v>
      </c>
      <c r="L932" s="48" t="n">
        <v>74120116</v>
      </c>
      <c r="M932" s="48" t="n">
        <v>251415433472</v>
      </c>
      <c r="N932" s="48" t="n">
        <v>1803</v>
      </c>
      <c r="O932" s="48" t="n">
        <v>17368105</v>
      </c>
      <c r="P932" s="48" t="n">
        <v>52924314</v>
      </c>
      <c r="Q932" s="48" t="n">
        <v>429</v>
      </c>
      <c r="R932" s="48" t="n">
        <v>1126</v>
      </c>
      <c r="S932" s="48" t="n">
        <v>56752011</v>
      </c>
      <c r="T932" s="48" t="n">
        <v>21195802</v>
      </c>
      <c r="U932" s="46" t="n">
        <f aca="false">IF($A932=$A931,$U931+1,1)</f>
        <v>148</v>
      </c>
      <c r="V932" s="48" t="n">
        <f aca="false">IF($U932&gt;=MA_SHORT,AVERAGE(INDEX($I$532:$I932,402-MA_SHORT):$I932),"")</f>
        <v>3418.95</v>
      </c>
      <c r="W932" s="48" t="n">
        <f aca="false">IF($U932&gt;=MA_MED,AVERAGE(INDEX($I$532:$I932,402-MA_MED):$I932),"")</f>
        <v>3239.02</v>
      </c>
      <c r="X932" s="48" t="n">
        <f aca="false">IF($U932&gt;=MA_LONG1,AVERAGE(INDEX($I$532:$I932,402-MA_LONG1):$I932),"")</f>
        <v>3090.5</v>
      </c>
      <c r="Y932" s="48" t="str">
        <f aca="false">IF($U932&gt;=MA_LONG2,AVERAGE(INDEX($I$532:$I932,402-MA_LONG2):$I932),"")</f>
        <v/>
      </c>
      <c r="Z932" s="48" t="n">
        <f aca="false">IF($U932&gt;=MA_SHORT,AVERAGE(INDEX($L$812:$L932,122-MA_SHORT):$L932),"")</f>
        <v>83318346.65</v>
      </c>
      <c r="AA932" s="48" t="n">
        <f aca="false">IF($U932=1,$G932-$H932,MAX($G932-$H932,ABS($G932-$I931),ABS($H932-$I931)))</f>
        <v>202</v>
      </c>
      <c r="AB932" s="48" t="n">
        <f aca="false">IF($U932&gt;=ATR_PER,AVERAGE(INDEX($AA$812:$AA932,122-ATR_PER):$AA932),"")</f>
        <v>134.428571428571</v>
      </c>
      <c r="AC932" s="48" t="n">
        <f aca="false">$O932-$P932</f>
        <v>-35556209</v>
      </c>
      <c r="AD932" s="48" t="n">
        <f aca="false">$AC932*$I932</f>
        <v>-120606660928</v>
      </c>
      <c r="AE932" s="49" t="n">
        <f aca="false">IF($Q932&gt;0,$O932*$I932/$Q932/1000000,"")</f>
        <v>137.325436270396</v>
      </c>
      <c r="AF932" s="49" t="n">
        <f aca="false">IF($R932&gt;0,$P932*$I932/$R932/1000000,"")</f>
        <v>159.43097077087</v>
      </c>
      <c r="AG932" s="50" t="n">
        <f aca="false">IF(AND(ISNUMBER($AE932),ISNUMBER($AF932),$AF932&gt;0),$AE932/$AF932,"")</f>
        <v>0.861347300379652</v>
      </c>
      <c r="AH932" s="48" t="n">
        <f aca="false">IF($U932&gt;=5,SUM(INDEX($AD$902:$AD932,32-5):$AD932),"")</f>
        <v>-135586338823</v>
      </c>
      <c r="AI932" s="48" t="n">
        <f aca="false">IF($U932&gt;=STRUCT_S,MAX(INDEX($G$782:$G932,152-STRUCT_S):$G932),"")</f>
        <v>3615</v>
      </c>
      <c r="AJ932" s="48" t="n">
        <f aca="false">IF($U932&gt;=STRUCT_S,MIN(INDEX($H$782:$H932,152-STRUCT_S):$H932),"")</f>
        <v>3209</v>
      </c>
      <c r="AK932" s="48" t="n">
        <f aca="false">IF($U932&gt;=STRUCT_L,MAX(INDEX($G$682:$G932,252-STRUCT_L):$G932),"")</f>
        <v>3615</v>
      </c>
      <c r="AL932" s="48" t="n">
        <f aca="false">IF($U932&gt;=STRUCT_L,MIN(INDEX($H$682:$H932,252-STRUCT_L):$H932),"")</f>
        <v>2834</v>
      </c>
      <c r="AM932" s="46" t="n">
        <f aca="false">IF($A932&lt;&gt;$A933,1,0)</f>
        <v>0</v>
      </c>
      <c r="AN932" s="47" t="str">
        <f aca="false">IF($AM932=1,$A932,"")</f>
        <v/>
      </c>
    </row>
    <row r="933" customFormat="false" ht="15" hidden="false" customHeight="false" outlineLevel="0" collapsed="false">
      <c r="A933" s="43" t="s">
        <v>147</v>
      </c>
      <c r="B933" s="44" t="s">
        <v>149</v>
      </c>
      <c r="C933" s="45" t="n">
        <v>46112</v>
      </c>
      <c r="D933" s="46" t="n">
        <v>20260331</v>
      </c>
      <c r="E933" s="47" t="s">
        <v>436</v>
      </c>
      <c r="F933" s="48" t="n">
        <v>3344</v>
      </c>
      <c r="G933" s="48" t="n">
        <v>3675</v>
      </c>
      <c r="H933" s="48" t="n">
        <v>3280</v>
      </c>
      <c r="I933" s="48" t="n">
        <v>3558</v>
      </c>
      <c r="J933" s="48" t="n">
        <v>3511</v>
      </c>
      <c r="K933" s="48" t="n">
        <v>3392</v>
      </c>
      <c r="L933" s="48" t="n">
        <v>74078145</v>
      </c>
      <c r="M933" s="48" t="n">
        <v>263570039910</v>
      </c>
      <c r="N933" s="48" t="n">
        <v>2787</v>
      </c>
      <c r="O933" s="48" t="n">
        <v>46523159</v>
      </c>
      <c r="P933" s="48" t="n">
        <v>25942990</v>
      </c>
      <c r="Q933" s="48" t="n">
        <v>1423</v>
      </c>
      <c r="R933" s="48" t="n">
        <v>1082</v>
      </c>
      <c r="S933" s="48" t="n">
        <v>27554986</v>
      </c>
      <c r="T933" s="48" t="n">
        <v>48135155</v>
      </c>
      <c r="U933" s="46" t="n">
        <f aca="false">IF($A933=$A932,$U932+1,1)</f>
        <v>149</v>
      </c>
      <c r="V933" s="48" t="n">
        <f aca="false">IF($U933&gt;=MA_SHORT,AVERAGE(INDEX($I$533:$I933,402-MA_SHORT):$I933),"")</f>
        <v>3429.2</v>
      </c>
      <c r="W933" s="48" t="n">
        <f aca="false">IF($U933&gt;=MA_MED,AVERAGE(INDEX($I$533:$I933,402-MA_MED):$I933),"")</f>
        <v>3244.8</v>
      </c>
      <c r="X933" s="48" t="n">
        <f aca="false">IF($U933&gt;=MA_LONG1,AVERAGE(INDEX($I$533:$I933,402-MA_LONG1):$I933),"")</f>
        <v>3099.15</v>
      </c>
      <c r="Y933" s="48" t="str">
        <f aca="false">IF($U933&gt;=MA_LONG2,AVERAGE(INDEX($I$533:$I933,402-MA_LONG2):$I933),"")</f>
        <v/>
      </c>
      <c r="Z933" s="48" t="n">
        <f aca="false">IF($U933&gt;=MA_SHORT,AVERAGE(INDEX($L$813:$L933,122-MA_SHORT):$L933),"")</f>
        <v>83926577.85</v>
      </c>
      <c r="AA933" s="48" t="n">
        <f aca="false">IF($U933=1,$G933-$H933,MAX($G933-$H933,ABS($G933-$I932),ABS($H933-$I932)))</f>
        <v>395</v>
      </c>
      <c r="AB933" s="48" t="n">
        <f aca="false">IF($U933&gt;=ATR_PER,AVERAGE(INDEX($AA$813:$AA933,122-ATR_PER):$AA933),"")</f>
        <v>147.571428571429</v>
      </c>
      <c r="AC933" s="48" t="n">
        <f aca="false">$O933-$P933</f>
        <v>20580169</v>
      </c>
      <c r="AD933" s="48" t="n">
        <f aca="false">$AC933*$I933</f>
        <v>73224241302</v>
      </c>
      <c r="AE933" s="49" t="n">
        <f aca="false">IF($Q933&gt;0,$O933*$I933/$Q933/1000000,"")</f>
        <v>116.324244358398</v>
      </c>
      <c r="AF933" s="49" t="n">
        <f aca="false">IF($R933&gt;0,$P933*$I933/$R933/1000000,"")</f>
        <v>85.3097582439926</v>
      </c>
      <c r="AG933" s="50" t="n">
        <f aca="false">IF(AND(ISNUMBER($AE933),ISNUMBER($AF933),$AF933&gt;0),$AE933/$AF933,"")</f>
        <v>1.36355144772186</v>
      </c>
      <c r="AH933" s="48" t="n">
        <f aca="false">IF($U933&gt;=5,SUM(INDEX($AD$903:$AD933,32-5):$AD933),"")</f>
        <v>-9043367446</v>
      </c>
      <c r="AI933" s="48" t="n">
        <f aca="false">IF($U933&gt;=STRUCT_S,MAX(INDEX($G$783:$G933,152-STRUCT_S):$G933),"")</f>
        <v>3675</v>
      </c>
      <c r="AJ933" s="48" t="n">
        <f aca="false">IF($U933&gt;=STRUCT_S,MIN(INDEX($H$783:$H933,152-STRUCT_S):$H933),"")</f>
        <v>3209</v>
      </c>
      <c r="AK933" s="48" t="n">
        <f aca="false">IF($U933&gt;=STRUCT_L,MAX(INDEX($G$683:$G933,252-STRUCT_L):$G933),"")</f>
        <v>3675</v>
      </c>
      <c r="AL933" s="48" t="n">
        <f aca="false">IF($U933&gt;=STRUCT_L,MIN(INDEX($H$683:$H933,252-STRUCT_L):$H933),"")</f>
        <v>2834</v>
      </c>
      <c r="AM933" s="46" t="n">
        <f aca="false">IF($A933&lt;&gt;$A934,1,0)</f>
        <v>0</v>
      </c>
      <c r="AN933" s="47" t="str">
        <f aca="false">IF($AM933=1,$A933,"")</f>
        <v/>
      </c>
    </row>
    <row r="934" customFormat="false" ht="15" hidden="false" customHeight="false" outlineLevel="0" collapsed="false">
      <c r="A934" s="43" t="s">
        <v>147</v>
      </c>
      <c r="B934" s="44" t="s">
        <v>149</v>
      </c>
      <c r="C934" s="45" t="n">
        <v>46113</v>
      </c>
      <c r="D934" s="46" t="n">
        <v>20260401</v>
      </c>
      <c r="E934" s="47" t="s">
        <v>437</v>
      </c>
      <c r="F934" s="48" t="n">
        <v>3587</v>
      </c>
      <c r="G934" s="48" t="n">
        <v>3653</v>
      </c>
      <c r="H934" s="48" t="n">
        <v>3494</v>
      </c>
      <c r="I934" s="48" t="n">
        <v>3588</v>
      </c>
      <c r="J934" s="48" t="n">
        <v>3600</v>
      </c>
      <c r="K934" s="48" t="n">
        <v>3558</v>
      </c>
      <c r="L934" s="48" t="n">
        <v>60160672</v>
      </c>
      <c r="M934" s="48" t="n">
        <v>215856491136</v>
      </c>
      <c r="N934" s="48" t="n">
        <v>3032</v>
      </c>
      <c r="O934" s="48" t="n">
        <v>30557663</v>
      </c>
      <c r="P934" s="48" t="n">
        <v>35897220</v>
      </c>
      <c r="Q934" s="48" t="n">
        <v>2013</v>
      </c>
      <c r="R934" s="48" t="n">
        <v>1148</v>
      </c>
      <c r="S934" s="48" t="n">
        <v>29603009</v>
      </c>
      <c r="T934" s="48" t="n">
        <v>24263452</v>
      </c>
      <c r="U934" s="46" t="n">
        <f aca="false">IF($A934=$A933,$U933+1,1)</f>
        <v>150</v>
      </c>
      <c r="V934" s="48" t="n">
        <f aca="false">IF($U934&gt;=MA_SHORT,AVERAGE(INDEX($I$534:$I934,402-MA_SHORT):$I934),"")</f>
        <v>3442.9</v>
      </c>
      <c r="W934" s="48" t="n">
        <f aca="false">IF($U934&gt;=MA_MED,AVERAGE(INDEX($I$534:$I934,402-MA_MED):$I934),"")</f>
        <v>3251.92</v>
      </c>
      <c r="X934" s="48" t="n">
        <f aca="false">IF($U934&gt;=MA_LONG1,AVERAGE(INDEX($I$534:$I934,402-MA_LONG1):$I934),"")</f>
        <v>3107.65</v>
      </c>
      <c r="Y934" s="48" t="str">
        <f aca="false">IF($U934&gt;=MA_LONG2,AVERAGE(INDEX($I$534:$I934,402-MA_LONG2):$I934),"")</f>
        <v/>
      </c>
      <c r="Z934" s="48" t="n">
        <f aca="false">IF($U934&gt;=MA_SHORT,AVERAGE(INDEX($L$814:$L934,122-MA_SHORT):$L934),"")</f>
        <v>83871610.35</v>
      </c>
      <c r="AA934" s="48" t="n">
        <f aca="false">IF($U934=1,$G934-$H934,MAX($G934-$H934,ABS($G934-$I933),ABS($H934-$I933)))</f>
        <v>159</v>
      </c>
      <c r="AB934" s="48" t="n">
        <f aca="false">IF($U934&gt;=ATR_PER,AVERAGE(INDEX($AA$814:$AA934,122-ATR_PER):$AA934),"")</f>
        <v>154.071428571429</v>
      </c>
      <c r="AC934" s="48" t="n">
        <f aca="false">$O934-$P934</f>
        <v>-5339557</v>
      </c>
      <c r="AD934" s="48" t="n">
        <f aca="false">$AC934*$I934</f>
        <v>-19158330516</v>
      </c>
      <c r="AE934" s="49" t="n">
        <f aca="false">IF($Q934&gt;0,$O934*$I934/$Q934/1000000,"")</f>
        <v>54.4664157198212</v>
      </c>
      <c r="AF934" s="49" t="n">
        <f aca="false">IF($R934&gt;0,$P934*$I934/$R934/1000000,"")</f>
        <v>112.1944471777</v>
      </c>
      <c r="AG934" s="50" t="n">
        <f aca="false">IF(AND(ISNUMBER($AE934),ISNUMBER($AF934),$AF934&gt;0),$AE934/$AF934,"")</f>
        <v>0.485464451137711</v>
      </c>
      <c r="AH934" s="48" t="n">
        <f aca="false">IF($U934&gt;=5,SUM(INDEX($AD$904:$AD934,32-5):$AD934),"")</f>
        <v>-21211348882</v>
      </c>
      <c r="AI934" s="48" t="n">
        <f aca="false">IF($U934&gt;=STRUCT_S,MAX(INDEX($G$784:$G934,152-STRUCT_S):$G934),"")</f>
        <v>3675</v>
      </c>
      <c r="AJ934" s="48" t="n">
        <f aca="false">IF($U934&gt;=STRUCT_S,MIN(INDEX($H$784:$H934,152-STRUCT_S):$H934),"")</f>
        <v>3209</v>
      </c>
      <c r="AK934" s="48" t="n">
        <f aca="false">IF($U934&gt;=STRUCT_L,MAX(INDEX($G$684:$G934,252-STRUCT_L):$G934),"")</f>
        <v>3675</v>
      </c>
      <c r="AL934" s="48" t="n">
        <f aca="false">IF($U934&gt;=STRUCT_L,MIN(INDEX($H$684:$H934,252-STRUCT_L):$H934),"")</f>
        <v>2834</v>
      </c>
      <c r="AM934" s="46" t="n">
        <f aca="false">IF($A934&lt;&gt;$A935,1,0)</f>
        <v>0</v>
      </c>
      <c r="AN934" s="47" t="str">
        <f aca="false">IF($AM934=1,$A934,"")</f>
        <v/>
      </c>
    </row>
    <row r="935" customFormat="false" ht="15" hidden="false" customHeight="false" outlineLevel="0" collapsed="false">
      <c r="A935" s="43" t="s">
        <v>147</v>
      </c>
      <c r="B935" s="44" t="s">
        <v>149</v>
      </c>
      <c r="C935" s="45" t="n">
        <v>46116</v>
      </c>
      <c r="D935" s="46" t="n">
        <v>20260404</v>
      </c>
      <c r="E935" s="47" t="s">
        <v>438</v>
      </c>
      <c r="F935" s="48" t="n">
        <v>3592</v>
      </c>
      <c r="G935" s="48" t="n">
        <v>3691</v>
      </c>
      <c r="H935" s="48" t="n">
        <v>3562</v>
      </c>
      <c r="I935" s="48" t="n">
        <v>3664</v>
      </c>
      <c r="J935" s="48" t="n">
        <v>3643</v>
      </c>
      <c r="K935" s="48" t="n">
        <v>3588</v>
      </c>
      <c r="L935" s="48" t="n">
        <v>64541349</v>
      </c>
      <c r="M935" s="48" t="n">
        <v>236479502736</v>
      </c>
      <c r="N935" s="48" t="n">
        <v>2542</v>
      </c>
      <c r="O935" s="48" t="n">
        <v>27914009</v>
      </c>
      <c r="P935" s="48" t="n">
        <v>37683250</v>
      </c>
      <c r="Q935" s="48" t="n">
        <v>1796</v>
      </c>
      <c r="R935" s="48" t="n">
        <v>645</v>
      </c>
      <c r="S935" s="48" t="n">
        <v>36627340</v>
      </c>
      <c r="T935" s="48" t="n">
        <v>26858099</v>
      </c>
      <c r="U935" s="46" t="n">
        <f aca="false">IF($A935=$A934,$U934+1,1)</f>
        <v>151</v>
      </c>
      <c r="V935" s="48" t="n">
        <f aca="false">IF($U935&gt;=MA_SHORT,AVERAGE(INDEX($I$535:$I935,402-MA_SHORT):$I935),"")</f>
        <v>3462.3</v>
      </c>
      <c r="W935" s="48" t="n">
        <f aca="false">IF($U935&gt;=MA_MED,AVERAGE(INDEX($I$535:$I935,402-MA_MED):$I935),"")</f>
        <v>3261.72</v>
      </c>
      <c r="X935" s="48" t="n">
        <f aca="false">IF($U935&gt;=MA_LONG1,AVERAGE(INDEX($I$535:$I935,402-MA_LONG1):$I935),"")</f>
        <v>3115.67</v>
      </c>
      <c r="Y935" s="48" t="str">
        <f aca="false">IF($U935&gt;=MA_LONG2,AVERAGE(INDEX($I$535:$I935,402-MA_LONG2):$I935),"")</f>
        <v/>
      </c>
      <c r="Z935" s="48" t="n">
        <f aca="false">IF($U935&gt;=MA_SHORT,AVERAGE(INDEX($L$815:$L935,122-MA_SHORT):$L935),"")</f>
        <v>84038509</v>
      </c>
      <c r="AA935" s="48" t="n">
        <f aca="false">IF($U935=1,$G935-$H935,MAX($G935-$H935,ABS($G935-$I934),ABS($H935-$I934)))</f>
        <v>129</v>
      </c>
      <c r="AB935" s="48" t="n">
        <f aca="false">IF($U935&gt;=ATR_PER,AVERAGE(INDEX($AA$815:$AA935,122-ATR_PER):$AA935),"")</f>
        <v>154.642857142857</v>
      </c>
      <c r="AC935" s="48" t="n">
        <f aca="false">$O935-$P935</f>
        <v>-9769241</v>
      </c>
      <c r="AD935" s="48" t="n">
        <f aca="false">$AC935*$I935</f>
        <v>-35794499024</v>
      </c>
      <c r="AE935" s="49" t="n">
        <f aca="false">IF($Q935&gt;0,$O935*$I935/$Q935/1000000,"")</f>
        <v>56.9470651314031</v>
      </c>
      <c r="AF935" s="49" t="n">
        <f aca="false">IF($R935&gt;0,$P935*$I935/$R935/1000000,"")</f>
        <v>214.064229457364</v>
      </c>
      <c r="AG935" s="50" t="n">
        <f aca="false">IF(AND(ISNUMBER($AE935),ISNUMBER($AF935),$AF935&gt;0),$AE935/$AF935,"")</f>
        <v>0.266027935987995</v>
      </c>
      <c r="AH935" s="48" t="n">
        <f aca="false">IF($U935&gt;=5,SUM(INDEX($AD$905:$AD935,32-5):$AD935),"")</f>
        <v>-78328518756</v>
      </c>
      <c r="AI935" s="48" t="n">
        <f aca="false">IF($U935&gt;=STRUCT_S,MAX(INDEX($G$785:$G935,152-STRUCT_S):$G935),"")</f>
        <v>3691</v>
      </c>
      <c r="AJ935" s="48" t="n">
        <f aca="false">IF($U935&gt;=STRUCT_S,MIN(INDEX($H$785:$H935,152-STRUCT_S):$H935),"")</f>
        <v>3209</v>
      </c>
      <c r="AK935" s="48" t="n">
        <f aca="false">IF($U935&gt;=STRUCT_L,MAX(INDEX($G$685:$G935,252-STRUCT_L):$G935),"")</f>
        <v>3691</v>
      </c>
      <c r="AL935" s="48" t="n">
        <f aca="false">IF($U935&gt;=STRUCT_L,MIN(INDEX($H$685:$H935,252-STRUCT_L):$H935),"")</f>
        <v>2834</v>
      </c>
      <c r="AM935" s="46" t="n">
        <f aca="false">IF($A935&lt;&gt;$A936,1,0)</f>
        <v>0</v>
      </c>
      <c r="AN935" s="47" t="str">
        <f aca="false">IF($AM935=1,$A935,"")</f>
        <v/>
      </c>
    </row>
    <row r="936" customFormat="false" ht="15" hidden="false" customHeight="false" outlineLevel="0" collapsed="false">
      <c r="A936" s="43" t="s">
        <v>147</v>
      </c>
      <c r="B936" s="44" t="s">
        <v>149</v>
      </c>
      <c r="C936" s="45" t="n">
        <v>46117</v>
      </c>
      <c r="D936" s="46" t="n">
        <v>20260405</v>
      </c>
      <c r="E936" s="47" t="s">
        <v>439</v>
      </c>
      <c r="F936" s="48" t="n">
        <v>3740</v>
      </c>
      <c r="G936" s="48" t="n">
        <v>3760</v>
      </c>
      <c r="H936" s="48" t="n">
        <v>3565</v>
      </c>
      <c r="I936" s="48" t="n">
        <v>3660</v>
      </c>
      <c r="J936" s="48" t="n">
        <v>3652</v>
      </c>
      <c r="K936" s="48" t="n">
        <v>3664</v>
      </c>
      <c r="L936" s="48" t="n">
        <v>57638779</v>
      </c>
      <c r="M936" s="48" t="n">
        <v>210957931140</v>
      </c>
      <c r="N936" s="48" t="n">
        <v>1355</v>
      </c>
      <c r="O936" s="48" t="n">
        <v>26666970</v>
      </c>
      <c r="P936" s="48" t="n">
        <v>29835750</v>
      </c>
      <c r="Q936" s="48" t="n">
        <v>309</v>
      </c>
      <c r="R936" s="48" t="n">
        <v>793</v>
      </c>
      <c r="S936" s="48" t="n">
        <v>30971809</v>
      </c>
      <c r="T936" s="48" t="n">
        <v>27803029</v>
      </c>
      <c r="U936" s="46" t="n">
        <f aca="false">IF($A936=$A935,$U935+1,1)</f>
        <v>152</v>
      </c>
      <c r="V936" s="48" t="n">
        <f aca="false">IF($U936&gt;=MA_SHORT,AVERAGE(INDEX($I$536:$I936,402-MA_SHORT):$I936),"")</f>
        <v>3475.9</v>
      </c>
      <c r="W936" s="48" t="n">
        <f aca="false">IF($U936&gt;=MA_MED,AVERAGE(INDEX($I$536:$I936,402-MA_MED):$I936),"")</f>
        <v>3270.96</v>
      </c>
      <c r="X936" s="48" t="n">
        <f aca="false">IF($U936&gt;=MA_LONG1,AVERAGE(INDEX($I$536:$I936,402-MA_LONG1):$I936),"")</f>
        <v>3123.94</v>
      </c>
      <c r="Y936" s="48" t="str">
        <f aca="false">IF($U936&gt;=MA_LONG2,AVERAGE(INDEX($I$536:$I936,402-MA_LONG2):$I936),"")</f>
        <v/>
      </c>
      <c r="Z936" s="48" t="n">
        <f aca="false">IF($U936&gt;=MA_SHORT,AVERAGE(INDEX($L$816:$L936,122-MA_SHORT):$L936),"")</f>
        <v>83422861.5</v>
      </c>
      <c r="AA936" s="48" t="n">
        <f aca="false">IF($U936=1,$G936-$H936,MAX($G936-$H936,ABS($G936-$I935),ABS($H936-$I935)))</f>
        <v>195</v>
      </c>
      <c r="AB936" s="48" t="n">
        <f aca="false">IF($U936&gt;=ATR_PER,AVERAGE(INDEX($AA$816:$AA936,122-ATR_PER):$AA936),"")</f>
        <v>159.714285714286</v>
      </c>
      <c r="AC936" s="48" t="n">
        <f aca="false">$O936-$P936</f>
        <v>-3168780</v>
      </c>
      <c r="AD936" s="48" t="n">
        <f aca="false">$AC936*$I936</f>
        <v>-11597734800</v>
      </c>
      <c r="AE936" s="49" t="n">
        <f aca="false">IF($Q936&gt;0,$O936*$I936/$Q936/1000000,"")</f>
        <v>315.861198058252</v>
      </c>
      <c r="AF936" s="49" t="n">
        <f aca="false">IF($R936&gt;0,$P936*$I936/$R936/1000000,"")</f>
        <v>137.703461538462</v>
      </c>
      <c r="AG936" s="50" t="n">
        <f aca="false">IF(AND(ISNUMBER($AE936),ISNUMBER($AF936),$AF936&gt;0),$AE936/$AF936,"")</f>
        <v>2.29377819939574</v>
      </c>
      <c r="AH936" s="48" t="n">
        <f aca="false">IF($U936&gt;=5,SUM(INDEX($AD$906:$AD936,32-5):$AD936),"")</f>
        <v>-113932983966</v>
      </c>
      <c r="AI936" s="48" t="n">
        <f aca="false">IF($U936&gt;=STRUCT_S,MAX(INDEX($G$786:$G936,152-STRUCT_S):$G936),"")</f>
        <v>3760</v>
      </c>
      <c r="AJ936" s="48" t="n">
        <f aca="false">IF($U936&gt;=STRUCT_S,MIN(INDEX($H$786:$H936,152-STRUCT_S):$H936),"")</f>
        <v>3253</v>
      </c>
      <c r="AK936" s="48" t="n">
        <f aca="false">IF($U936&gt;=STRUCT_L,MAX(INDEX($G$686:$G936,252-STRUCT_L):$G936),"")</f>
        <v>3760</v>
      </c>
      <c r="AL936" s="48" t="n">
        <f aca="false">IF($U936&gt;=STRUCT_L,MIN(INDEX($H$686:$H936,252-STRUCT_L):$H936),"")</f>
        <v>2834</v>
      </c>
      <c r="AM936" s="46" t="n">
        <f aca="false">IF($A936&lt;&gt;$A937,1,0)</f>
        <v>0</v>
      </c>
      <c r="AN936" s="47" t="str">
        <f aca="false">IF($AM936=1,$A936,"")</f>
        <v/>
      </c>
    </row>
    <row r="937" customFormat="false" ht="15" hidden="false" customHeight="false" outlineLevel="0" collapsed="false">
      <c r="A937" s="43" t="s">
        <v>147</v>
      </c>
      <c r="B937" s="44" t="s">
        <v>149</v>
      </c>
      <c r="C937" s="45" t="n">
        <v>46118</v>
      </c>
      <c r="D937" s="46" t="n">
        <v>20260406</v>
      </c>
      <c r="E937" s="47" t="s">
        <v>440</v>
      </c>
      <c r="F937" s="48" t="n">
        <v>3677</v>
      </c>
      <c r="G937" s="48" t="n">
        <v>3703</v>
      </c>
      <c r="H937" s="48" t="n">
        <v>3586</v>
      </c>
      <c r="I937" s="48" t="n">
        <v>3629</v>
      </c>
      <c r="J937" s="48" t="n">
        <v>3674</v>
      </c>
      <c r="K937" s="48" t="n">
        <v>3660</v>
      </c>
      <c r="L937" s="48" t="n">
        <v>60173811</v>
      </c>
      <c r="M937" s="48" t="n">
        <v>218370760119</v>
      </c>
      <c r="N937" s="48" t="n">
        <v>2427</v>
      </c>
      <c r="O937" s="48" t="n">
        <v>29418064</v>
      </c>
      <c r="P937" s="48" t="n">
        <v>32212246</v>
      </c>
      <c r="Q937" s="48" t="n">
        <v>692</v>
      </c>
      <c r="R937" s="48" t="n">
        <v>1433</v>
      </c>
      <c r="S937" s="48" t="n">
        <v>30755747</v>
      </c>
      <c r="T937" s="48" t="n">
        <v>27961565</v>
      </c>
      <c r="U937" s="46" t="n">
        <f aca="false">IF($A937=$A936,$U936+1,1)</f>
        <v>153</v>
      </c>
      <c r="V937" s="48" t="n">
        <f aca="false">IF($U937&gt;=MA_SHORT,AVERAGE(INDEX($I$537:$I937,402-MA_SHORT):$I937),"")</f>
        <v>3490.35</v>
      </c>
      <c r="W937" s="48" t="n">
        <f aca="false">IF($U937&gt;=MA_MED,AVERAGE(INDEX($I$537:$I937,402-MA_MED):$I937),"")</f>
        <v>3279.9</v>
      </c>
      <c r="X937" s="48" t="n">
        <f aca="false">IF($U937&gt;=MA_LONG1,AVERAGE(INDEX($I$537:$I937,402-MA_LONG1):$I937),"")</f>
        <v>3132</v>
      </c>
      <c r="Y937" s="48" t="str">
        <f aca="false">IF($U937&gt;=MA_LONG2,AVERAGE(INDEX($I$537:$I937,402-MA_LONG2):$I937),"")</f>
        <v/>
      </c>
      <c r="Z937" s="48" t="n">
        <f aca="false">IF($U937&gt;=MA_SHORT,AVERAGE(INDEX($L$817:$L937,122-MA_SHORT):$L937),"")</f>
        <v>83324980</v>
      </c>
      <c r="AA937" s="48" t="n">
        <f aca="false">IF($U937=1,$G937-$H937,MAX($G937-$H937,ABS($G937-$I936),ABS($H937-$I936)))</f>
        <v>117</v>
      </c>
      <c r="AB937" s="48" t="n">
        <f aca="false">IF($U937&gt;=ATR_PER,AVERAGE(INDEX($AA$817:$AA937,122-ATR_PER):$AA937),"")</f>
        <v>161.214285714286</v>
      </c>
      <c r="AC937" s="48" t="n">
        <f aca="false">$O937-$P937</f>
        <v>-2794182</v>
      </c>
      <c r="AD937" s="48" t="n">
        <f aca="false">$AC937*$I937</f>
        <v>-10140086478</v>
      </c>
      <c r="AE937" s="49" t="n">
        <f aca="false">IF($Q937&gt;0,$O937*$I937/$Q937/1000000,"")</f>
        <v>154.274789387283</v>
      </c>
      <c r="AF937" s="49" t="n">
        <f aca="false">IF($R937&gt;0,$P937*$I937/$R937/1000000,"")</f>
        <v>81.5758832756455</v>
      </c>
      <c r="AG937" s="50" t="n">
        <f aca="false">IF(AND(ISNUMBER($AE937),ISNUMBER($AF937),$AF937&gt;0),$AE937/$AF937,"")</f>
        <v>1.8911813540037</v>
      </c>
      <c r="AH937" s="48" t="n">
        <f aca="false">IF($U937&gt;=5,SUM(INDEX($AD$907:$AD937,32-5):$AD937),"")</f>
        <v>-3466409516</v>
      </c>
      <c r="AI937" s="48" t="n">
        <f aca="false">IF($U937&gt;=STRUCT_S,MAX(INDEX($G$787:$G937,152-STRUCT_S):$G937),"")</f>
        <v>3760</v>
      </c>
      <c r="AJ937" s="48" t="n">
        <f aca="false">IF($U937&gt;=STRUCT_S,MIN(INDEX($H$787:$H937,152-STRUCT_S):$H937),"")</f>
        <v>3280</v>
      </c>
      <c r="AK937" s="48" t="n">
        <f aca="false">IF($U937&gt;=STRUCT_L,MAX(INDEX($G$687:$G937,252-STRUCT_L):$G937),"")</f>
        <v>3760</v>
      </c>
      <c r="AL937" s="48" t="n">
        <f aca="false">IF($U937&gt;=STRUCT_L,MIN(INDEX($H$687:$H937,252-STRUCT_L):$H937),"")</f>
        <v>2834</v>
      </c>
      <c r="AM937" s="46" t="n">
        <f aca="false">IF($A937&lt;&gt;$A938,1,0)</f>
        <v>0</v>
      </c>
      <c r="AN937" s="47" t="str">
        <f aca="false">IF($AM937=1,$A937,"")</f>
        <v/>
      </c>
    </row>
    <row r="938" customFormat="false" ht="15" hidden="false" customHeight="false" outlineLevel="0" collapsed="false">
      <c r="A938" s="43" t="s">
        <v>147</v>
      </c>
      <c r="B938" s="44" t="s">
        <v>149</v>
      </c>
      <c r="C938" s="45" t="n">
        <v>46119</v>
      </c>
      <c r="D938" s="46" t="n">
        <v>20260407</v>
      </c>
      <c r="E938" s="47" t="s">
        <v>441</v>
      </c>
      <c r="F938" s="48" t="n">
        <v>3621</v>
      </c>
      <c r="G938" s="48" t="n">
        <v>3666</v>
      </c>
      <c r="H938" s="48" t="n">
        <v>3619</v>
      </c>
      <c r="I938" s="48" t="n">
        <v>3656</v>
      </c>
      <c r="J938" s="48" t="n">
        <v>3621</v>
      </c>
      <c r="K938" s="48" t="n">
        <v>3629</v>
      </c>
      <c r="L938" s="48" t="n">
        <v>62919571</v>
      </c>
      <c r="M938" s="48" t="n">
        <v>230033951576</v>
      </c>
      <c r="N938" s="48" t="n">
        <v>1690</v>
      </c>
      <c r="O938" s="48" t="n">
        <v>28251324</v>
      </c>
      <c r="P938" s="48" t="n">
        <v>36345477</v>
      </c>
      <c r="Q938" s="48" t="n">
        <v>674</v>
      </c>
      <c r="R938" s="48" t="n">
        <v>680</v>
      </c>
      <c r="S938" s="48" t="n">
        <v>34668247</v>
      </c>
      <c r="T938" s="48" t="n">
        <v>26574094</v>
      </c>
      <c r="U938" s="46" t="n">
        <f aca="false">IF($A938=$A937,$U937+1,1)</f>
        <v>154</v>
      </c>
      <c r="V938" s="48" t="n">
        <f aca="false">IF($U938&gt;=MA_SHORT,AVERAGE(INDEX($I$538:$I938,402-MA_SHORT):$I938),"")</f>
        <v>3502</v>
      </c>
      <c r="W938" s="48" t="n">
        <f aca="false">IF($U938&gt;=MA_MED,AVERAGE(INDEX($I$538:$I938,402-MA_MED):$I938),"")</f>
        <v>3289.84</v>
      </c>
      <c r="X938" s="48" t="n">
        <f aca="false">IF($U938&gt;=MA_LONG1,AVERAGE(INDEX($I$538:$I938,402-MA_LONG1):$I938),"")</f>
        <v>3139.75</v>
      </c>
      <c r="Y938" s="48" t="str">
        <f aca="false">IF($U938&gt;=MA_LONG2,AVERAGE(INDEX($I$538:$I938,402-MA_LONG2):$I938),"")</f>
        <v/>
      </c>
      <c r="Z938" s="48" t="n">
        <f aca="false">IF($U938&gt;=MA_SHORT,AVERAGE(INDEX($L$818:$L938,122-MA_SHORT):$L938),"")</f>
        <v>83053196.15</v>
      </c>
      <c r="AA938" s="48" t="n">
        <f aca="false">IF($U938=1,$G938-$H938,MAX($G938-$H938,ABS($G938-$I937),ABS($H938-$I937)))</f>
        <v>47</v>
      </c>
      <c r="AB938" s="48" t="n">
        <f aca="false">IF($U938&gt;=ATR_PER,AVERAGE(INDEX($AA$818:$AA938,122-ATR_PER):$AA938),"")</f>
        <v>157.357142857143</v>
      </c>
      <c r="AC938" s="48" t="n">
        <f aca="false">$O938-$P938</f>
        <v>-8094153</v>
      </c>
      <c r="AD938" s="48" t="n">
        <f aca="false">$AC938*$I938</f>
        <v>-29592223368</v>
      </c>
      <c r="AE938" s="49" t="n">
        <f aca="false">IF($Q938&gt;0,$O938*$I938/$Q938/1000000,"")</f>
        <v>153.244570540059</v>
      </c>
      <c r="AF938" s="49" t="n">
        <f aca="false">IF($R938&gt;0,$P938*$I938/$R938/1000000,"")</f>
        <v>195.410388105882</v>
      </c>
      <c r="AG938" s="50" t="n">
        <f aca="false">IF(AND(ISNUMBER($AE938),ISNUMBER($AF938),$AF938&gt;0),$AE938/$AF938,"")</f>
        <v>0.784219160636559</v>
      </c>
      <c r="AH938" s="48" t="n">
        <f aca="false">IF($U938&gt;=5,SUM(INDEX($AD$908:$AD938,32-5):$AD938),"")</f>
        <v>-106282874186</v>
      </c>
      <c r="AI938" s="48" t="n">
        <f aca="false">IF($U938&gt;=STRUCT_S,MAX(INDEX($G$788:$G938,152-STRUCT_S):$G938),"")</f>
        <v>3760</v>
      </c>
      <c r="AJ938" s="48" t="n">
        <f aca="false">IF($U938&gt;=STRUCT_S,MIN(INDEX($H$788:$H938,152-STRUCT_S):$H938),"")</f>
        <v>3280</v>
      </c>
      <c r="AK938" s="48" t="n">
        <f aca="false">IF($U938&gt;=STRUCT_L,MAX(INDEX($G$688:$G938,252-STRUCT_L):$G938),"")</f>
        <v>3760</v>
      </c>
      <c r="AL938" s="48" t="n">
        <f aca="false">IF($U938&gt;=STRUCT_L,MIN(INDEX($H$688:$H938,252-STRUCT_L):$H938),"")</f>
        <v>2834</v>
      </c>
      <c r="AM938" s="46" t="n">
        <f aca="false">IF($A938&lt;&gt;$A939,1,0)</f>
        <v>0</v>
      </c>
      <c r="AN938" s="47" t="str">
        <f aca="false">IF($AM938=1,$A938,"")</f>
        <v/>
      </c>
    </row>
    <row r="939" customFormat="false" ht="15" hidden="false" customHeight="false" outlineLevel="0" collapsed="false">
      <c r="A939" s="43" t="s">
        <v>147</v>
      </c>
      <c r="B939" s="44" t="s">
        <v>149</v>
      </c>
      <c r="C939" s="45" t="n">
        <v>46120</v>
      </c>
      <c r="D939" s="46" t="n">
        <v>20260408</v>
      </c>
      <c r="E939" s="47" t="s">
        <v>442</v>
      </c>
      <c r="F939" s="48" t="n">
        <v>3687</v>
      </c>
      <c r="G939" s="48" t="n">
        <v>3700</v>
      </c>
      <c r="H939" s="48" t="n">
        <v>3645</v>
      </c>
      <c r="I939" s="48" t="n">
        <v>3689</v>
      </c>
      <c r="J939" s="48" t="n">
        <v>3696</v>
      </c>
      <c r="K939" s="48" t="n">
        <v>3656</v>
      </c>
      <c r="L939" s="48" t="n">
        <v>68723870</v>
      </c>
      <c r="M939" s="48" t="n">
        <v>253522356430</v>
      </c>
      <c r="N939" s="48" t="n">
        <v>1668</v>
      </c>
      <c r="O939" s="48" t="n">
        <v>37691989</v>
      </c>
      <c r="P939" s="48" t="n">
        <v>33752282</v>
      </c>
      <c r="Q939" s="48" t="n">
        <v>1048</v>
      </c>
      <c r="R939" s="48" t="n">
        <v>677</v>
      </c>
      <c r="S939" s="48" t="n">
        <v>31031881</v>
      </c>
      <c r="T939" s="48" t="n">
        <v>34971588</v>
      </c>
      <c r="U939" s="46" t="n">
        <f aca="false">IF($A939=$A938,$U938+1,1)</f>
        <v>155</v>
      </c>
      <c r="V939" s="48" t="n">
        <f aca="false">IF($U939&gt;=MA_SHORT,AVERAGE(INDEX($I$539:$I939,402-MA_SHORT):$I939),"")</f>
        <v>3518.05</v>
      </c>
      <c r="W939" s="48" t="n">
        <f aca="false">IF($U939&gt;=MA_MED,AVERAGE(INDEX($I$539:$I939,402-MA_MED):$I939),"")</f>
        <v>3300.4</v>
      </c>
      <c r="X939" s="48" t="n">
        <f aca="false">IF($U939&gt;=MA_LONG1,AVERAGE(INDEX($I$539:$I939,402-MA_LONG1):$I939),"")</f>
        <v>3147.8</v>
      </c>
      <c r="Y939" s="48" t="str">
        <f aca="false">IF($U939&gt;=MA_LONG2,AVERAGE(INDEX($I$539:$I939,402-MA_LONG2):$I939),"")</f>
        <v/>
      </c>
      <c r="Z939" s="48" t="n">
        <f aca="false">IF($U939&gt;=MA_SHORT,AVERAGE(INDEX($L$819:$L939,122-MA_SHORT):$L939),"")</f>
        <v>83350175.15</v>
      </c>
      <c r="AA939" s="48" t="n">
        <f aca="false">IF($U939=1,$G939-$H939,MAX($G939-$H939,ABS($G939-$I938),ABS($H939-$I938)))</f>
        <v>55</v>
      </c>
      <c r="AB939" s="48" t="n">
        <f aca="false">IF($U939&gt;=ATR_PER,AVERAGE(INDEX($AA$819:$AA939,122-ATR_PER):$AA939),"")</f>
        <v>150.571428571429</v>
      </c>
      <c r="AC939" s="48" t="n">
        <f aca="false">$O939-$P939</f>
        <v>3939707</v>
      </c>
      <c r="AD939" s="48" t="n">
        <f aca="false">$AC939*$I939</f>
        <v>14533579123</v>
      </c>
      <c r="AE939" s="49" t="n">
        <f aca="false">IF($Q939&gt;0,$O939*$I939/$Q939/1000000,"")</f>
        <v>132.677239905534</v>
      </c>
      <c r="AF939" s="49" t="n">
        <f aca="false">IF($R939&gt;0,$P939*$I939/$R939/1000000,"")</f>
        <v>183.917530720827</v>
      </c>
      <c r="AG939" s="50" t="n">
        <f aca="false">IF(AND(ISNUMBER($AE939),ISNUMBER($AF939),$AF939&gt;0),$AE939/$AF939,"")</f>
        <v>0.721395287254744</v>
      </c>
      <c r="AH939" s="48" t="n">
        <f aca="false">IF($U939&gt;=5,SUM(INDEX($AD$909:$AD939,32-5):$AD939),"")</f>
        <v>-72590964547</v>
      </c>
      <c r="AI939" s="48" t="n">
        <f aca="false">IF($U939&gt;=STRUCT_S,MAX(INDEX($G$789:$G939,152-STRUCT_S):$G939),"")</f>
        <v>3760</v>
      </c>
      <c r="AJ939" s="48" t="n">
        <f aca="false">IF($U939&gt;=STRUCT_S,MIN(INDEX($H$789:$H939,152-STRUCT_S):$H939),"")</f>
        <v>3280</v>
      </c>
      <c r="AK939" s="48" t="n">
        <f aca="false">IF($U939&gt;=STRUCT_L,MAX(INDEX($G$689:$G939,252-STRUCT_L):$G939),"")</f>
        <v>3760</v>
      </c>
      <c r="AL939" s="48" t="n">
        <f aca="false">IF($U939&gt;=STRUCT_L,MIN(INDEX($H$689:$H939,252-STRUCT_L):$H939),"")</f>
        <v>2834</v>
      </c>
      <c r="AM939" s="46" t="n">
        <f aca="false">IF($A939&lt;&gt;$A940,1,0)</f>
        <v>0</v>
      </c>
      <c r="AN939" s="47" t="str">
        <f aca="false">IF($AM939=1,$A939,"")</f>
        <v/>
      </c>
    </row>
    <row r="940" customFormat="false" ht="15" hidden="false" customHeight="false" outlineLevel="0" collapsed="false">
      <c r="A940" s="43" t="s">
        <v>147</v>
      </c>
      <c r="B940" s="44" t="s">
        <v>149</v>
      </c>
      <c r="C940" s="45" t="n">
        <v>46123</v>
      </c>
      <c r="D940" s="46" t="n">
        <v>20260411</v>
      </c>
      <c r="E940" s="47" t="s">
        <v>443</v>
      </c>
      <c r="F940" s="48" t="n">
        <v>3768</v>
      </c>
      <c r="G940" s="48" t="n">
        <v>3810</v>
      </c>
      <c r="H940" s="48" t="n">
        <v>3660</v>
      </c>
      <c r="I940" s="48" t="n">
        <v>3781</v>
      </c>
      <c r="J940" s="48" t="n">
        <v>3706</v>
      </c>
      <c r="K940" s="48" t="n">
        <v>3689</v>
      </c>
      <c r="L940" s="48" t="n">
        <v>67541232</v>
      </c>
      <c r="M940" s="48" t="n">
        <v>255373398192</v>
      </c>
      <c r="N940" s="48" t="n">
        <v>5042</v>
      </c>
      <c r="O940" s="48" t="n">
        <v>41500332</v>
      </c>
      <c r="P940" s="48" t="n">
        <v>22786444</v>
      </c>
      <c r="Q940" s="48" t="n">
        <v>2542</v>
      </c>
      <c r="R940" s="48" t="n">
        <v>1206</v>
      </c>
      <c r="S940" s="48" t="n">
        <v>26040900</v>
      </c>
      <c r="T940" s="48" t="n">
        <v>44754788</v>
      </c>
      <c r="U940" s="46" t="n">
        <f aca="false">IF($A940=$A939,$U939+1,1)</f>
        <v>156</v>
      </c>
      <c r="V940" s="48" t="n">
        <f aca="false">IF($U940&gt;=MA_SHORT,AVERAGE(INDEX($I$540:$I940,402-MA_SHORT):$I940),"")</f>
        <v>3539.8</v>
      </c>
      <c r="W940" s="48" t="n">
        <f aca="false">IF($U940&gt;=MA_MED,AVERAGE(INDEX($I$540:$I940,402-MA_MED):$I940),"")</f>
        <v>3312.96</v>
      </c>
      <c r="X940" s="48" t="n">
        <f aca="false">IF($U940&gt;=MA_LONG1,AVERAGE(INDEX($I$540:$I940,402-MA_LONG1):$I940),"")</f>
        <v>3157.37</v>
      </c>
      <c r="Y940" s="48" t="str">
        <f aca="false">IF($U940&gt;=MA_LONG2,AVERAGE(INDEX($I$540:$I940,402-MA_LONG2):$I940),"")</f>
        <v/>
      </c>
      <c r="Z940" s="48" t="n">
        <f aca="false">IF($U940&gt;=MA_SHORT,AVERAGE(INDEX($L$820:$L940,122-MA_SHORT):$L940),"")</f>
        <v>83751837.25</v>
      </c>
      <c r="AA940" s="48" t="n">
        <f aca="false">IF($U940=1,$G940-$H940,MAX($G940-$H940,ABS($G940-$I939),ABS($H940-$I939)))</f>
        <v>150</v>
      </c>
      <c r="AB940" s="48" t="n">
        <f aca="false">IF($U940&gt;=ATR_PER,AVERAGE(INDEX($AA$820:$AA940,122-ATR_PER):$AA940),"")</f>
        <v>151.785714285714</v>
      </c>
      <c r="AC940" s="48" t="n">
        <f aca="false">$O940-$P940</f>
        <v>18713888</v>
      </c>
      <c r="AD940" s="48" t="n">
        <f aca="false">$AC940*$I940</f>
        <v>70757210528</v>
      </c>
      <c r="AE940" s="49" t="n">
        <f aca="false">IF($Q940&gt;0,$O940*$I940/$Q940/1000000,"")</f>
        <v>61.7280705318647</v>
      </c>
      <c r="AF940" s="49" t="n">
        <f aca="false">IF($R940&gt;0,$P940*$I940/$R940/1000000,"")</f>
        <v>71.4390918441128</v>
      </c>
      <c r="AG940" s="50" t="n">
        <f aca="false">IF(AND(ISNUMBER($AE940),ISNUMBER($AF940),$AF940&gt;0),$AE940/$AF940,"")</f>
        <v>0.864065722819678</v>
      </c>
      <c r="AH940" s="48" t="n">
        <f aca="false">IF($U940&gt;=5,SUM(INDEX($AD$910:$AD940,32-5):$AD940),"")</f>
        <v>33960745005</v>
      </c>
      <c r="AI940" s="48" t="n">
        <f aca="false">IF($U940&gt;=STRUCT_S,MAX(INDEX($G$790:$G940,152-STRUCT_S):$G940),"")</f>
        <v>3810</v>
      </c>
      <c r="AJ940" s="48" t="n">
        <f aca="false">IF($U940&gt;=STRUCT_S,MIN(INDEX($H$790:$H940,152-STRUCT_S):$H940),"")</f>
        <v>3280</v>
      </c>
      <c r="AK940" s="48" t="n">
        <f aca="false">IF($U940&gt;=STRUCT_L,MAX(INDEX($G$690:$G940,252-STRUCT_L):$G940),"")</f>
        <v>3810</v>
      </c>
      <c r="AL940" s="48" t="n">
        <f aca="false">IF($U940&gt;=STRUCT_L,MIN(INDEX($H$690:$H940,252-STRUCT_L):$H940),"")</f>
        <v>2834</v>
      </c>
      <c r="AM940" s="46" t="n">
        <f aca="false">IF($A940&lt;&gt;$A941,1,0)</f>
        <v>0</v>
      </c>
      <c r="AN940" s="47" t="str">
        <f aca="false">IF($AM940=1,$A940,"")</f>
        <v/>
      </c>
    </row>
    <row r="941" customFormat="false" ht="15" hidden="false" customHeight="false" outlineLevel="0" collapsed="false">
      <c r="A941" s="43" t="s">
        <v>147</v>
      </c>
      <c r="B941" s="44" t="s">
        <v>149</v>
      </c>
      <c r="C941" s="45" t="n">
        <v>46124</v>
      </c>
      <c r="D941" s="46" t="n">
        <v>20260412</v>
      </c>
      <c r="E941" s="47" t="s">
        <v>444</v>
      </c>
      <c r="F941" s="48" t="n">
        <v>3746</v>
      </c>
      <c r="G941" s="48" t="n">
        <v>3913</v>
      </c>
      <c r="H941" s="48" t="n">
        <v>3745</v>
      </c>
      <c r="I941" s="48" t="n">
        <v>3877</v>
      </c>
      <c r="J941" s="48" t="n">
        <v>3908</v>
      </c>
      <c r="K941" s="48" t="n">
        <v>3781</v>
      </c>
      <c r="L941" s="48" t="n">
        <v>75352326</v>
      </c>
      <c r="M941" s="48" t="n">
        <v>292140967902</v>
      </c>
      <c r="N941" s="48" t="n">
        <v>2587</v>
      </c>
      <c r="O941" s="48" t="n">
        <v>41098769</v>
      </c>
      <c r="P941" s="48" t="n">
        <v>36065475</v>
      </c>
      <c r="Q941" s="48" t="n">
        <v>1785</v>
      </c>
      <c r="R941" s="48" t="n">
        <v>1082</v>
      </c>
      <c r="S941" s="48" t="n">
        <v>34253557</v>
      </c>
      <c r="T941" s="48" t="n">
        <v>39286851</v>
      </c>
      <c r="U941" s="46" t="n">
        <f aca="false">IF($A941=$A940,$U940+1,1)</f>
        <v>157</v>
      </c>
      <c r="V941" s="48" t="n">
        <f aca="false">IF($U941&gt;=MA_SHORT,AVERAGE(INDEX($I$541:$I941,402-MA_SHORT):$I941),"")</f>
        <v>3565.35</v>
      </c>
      <c r="W941" s="48" t="n">
        <f aca="false">IF($U941&gt;=MA_MED,AVERAGE(INDEX($I$541:$I941,402-MA_MED):$I941),"")</f>
        <v>3325.22</v>
      </c>
      <c r="X941" s="48" t="n">
        <f aca="false">IF($U941&gt;=MA_LONG1,AVERAGE(INDEX($I$541:$I941,402-MA_LONG1):$I941),"")</f>
        <v>3167.01</v>
      </c>
      <c r="Y941" s="48" t="str">
        <f aca="false">IF($U941&gt;=MA_LONG2,AVERAGE(INDEX($I$541:$I941,402-MA_LONG2):$I941),"")</f>
        <v/>
      </c>
      <c r="Z941" s="48" t="n">
        <f aca="false">IF($U941&gt;=MA_SHORT,AVERAGE(INDEX($L$821:$L941,122-MA_SHORT):$L941),"")</f>
        <v>84553089.45</v>
      </c>
      <c r="AA941" s="48" t="n">
        <f aca="false">IF($U941=1,$G941-$H941,MAX($G941-$H941,ABS($G941-$I940),ABS($H941-$I940)))</f>
        <v>168</v>
      </c>
      <c r="AB941" s="48" t="n">
        <f aca="false">IF($U941&gt;=ATR_PER,AVERAGE(INDEX($AA$821:$AA941,122-ATR_PER):$AA941),"")</f>
        <v>150.285714285714</v>
      </c>
      <c r="AC941" s="48" t="n">
        <f aca="false">$O941-$P941</f>
        <v>5033294</v>
      </c>
      <c r="AD941" s="48" t="n">
        <f aca="false">$AC941*$I941</f>
        <v>19514080838</v>
      </c>
      <c r="AE941" s="49" t="n">
        <f aca="false">IF($Q941&gt;0,$O941*$I941/$Q941/1000000,"")</f>
        <v>89.266065777591</v>
      </c>
      <c r="AF941" s="49" t="n">
        <f aca="false">IF($R941&gt;0,$P941*$I941/$R941/1000000,"")</f>
        <v>129.229063378004</v>
      </c>
      <c r="AG941" s="50" t="n">
        <f aca="false">IF(AND(ISNUMBER($AE941),ISNUMBER($AF941),$AF941&gt;0),$AE941/$AF941,"")</f>
        <v>0.690758436563777</v>
      </c>
      <c r="AH941" s="48" t="n">
        <f aca="false">IF($U941&gt;=5,SUM(INDEX($AD$911:$AD941,32-5):$AD941),"")</f>
        <v>65072560643</v>
      </c>
      <c r="AI941" s="48" t="n">
        <f aca="false">IF($U941&gt;=STRUCT_S,MAX(INDEX($G$791:$G941,152-STRUCT_S):$G941),"")</f>
        <v>3913</v>
      </c>
      <c r="AJ941" s="48" t="n">
        <f aca="false">IF($U941&gt;=STRUCT_S,MIN(INDEX($H$791:$H941,152-STRUCT_S):$H941),"")</f>
        <v>3280</v>
      </c>
      <c r="AK941" s="48" t="n">
        <f aca="false">IF($U941&gt;=STRUCT_L,MAX(INDEX($G$691:$G941,252-STRUCT_L):$G941),"")</f>
        <v>3913</v>
      </c>
      <c r="AL941" s="48" t="n">
        <f aca="false">IF($U941&gt;=STRUCT_L,MIN(INDEX($H$691:$H941,252-STRUCT_L):$H941),"")</f>
        <v>2834</v>
      </c>
      <c r="AM941" s="46" t="n">
        <f aca="false">IF($A941&lt;&gt;$A942,1,0)</f>
        <v>0</v>
      </c>
      <c r="AN941" s="47" t="str">
        <f aca="false">IF($AM941=1,$A941,"")</f>
        <v/>
      </c>
    </row>
    <row r="942" customFormat="false" ht="15" hidden="false" customHeight="false" outlineLevel="0" collapsed="false">
      <c r="A942" s="43" t="s">
        <v>147</v>
      </c>
      <c r="B942" s="44" t="s">
        <v>149</v>
      </c>
      <c r="C942" s="45" t="n">
        <v>46125</v>
      </c>
      <c r="D942" s="46" t="n">
        <v>20260413</v>
      </c>
      <c r="E942" s="47" t="s">
        <v>445</v>
      </c>
      <c r="F942" s="48" t="n">
        <v>3803</v>
      </c>
      <c r="G942" s="48" t="n">
        <v>4018</v>
      </c>
      <c r="H942" s="48" t="n">
        <v>3785</v>
      </c>
      <c r="I942" s="48" t="n">
        <v>3925</v>
      </c>
      <c r="J942" s="48" t="n">
        <v>3928</v>
      </c>
      <c r="K942" s="48" t="n">
        <v>3877</v>
      </c>
      <c r="L942" s="48" t="n">
        <v>61555405</v>
      </c>
      <c r="M942" s="48" t="n">
        <v>241604964625</v>
      </c>
      <c r="N942" s="48" t="n">
        <v>2260</v>
      </c>
      <c r="O942" s="48" t="n">
        <v>30315978</v>
      </c>
      <c r="P942" s="48" t="n">
        <v>32195784</v>
      </c>
      <c r="Q942" s="48" t="n">
        <v>916</v>
      </c>
      <c r="R942" s="48" t="n">
        <v>833</v>
      </c>
      <c r="S942" s="48" t="n">
        <v>31239427</v>
      </c>
      <c r="T942" s="48" t="n">
        <v>29359621</v>
      </c>
      <c r="U942" s="46" t="n">
        <f aca="false">IF($A942=$A941,$U941+1,1)</f>
        <v>158</v>
      </c>
      <c r="V942" s="48" t="n">
        <f aca="false">IF($U942&gt;=MA_SHORT,AVERAGE(INDEX($I$542:$I942,402-MA_SHORT):$I942),"")</f>
        <v>3590.5</v>
      </c>
      <c r="W942" s="48" t="n">
        <f aca="false">IF($U942&gt;=MA_MED,AVERAGE(INDEX($I$542:$I942,402-MA_MED):$I942),"")</f>
        <v>3339.18</v>
      </c>
      <c r="X942" s="48" t="n">
        <f aca="false">IF($U942&gt;=MA_LONG1,AVERAGE(INDEX($I$542:$I942,402-MA_LONG1):$I942),"")</f>
        <v>3177.17</v>
      </c>
      <c r="Y942" s="48" t="str">
        <f aca="false">IF($U942&gt;=MA_LONG2,AVERAGE(INDEX($I$542:$I942,402-MA_LONG2):$I942),"")</f>
        <v/>
      </c>
      <c r="Z942" s="48" t="n">
        <f aca="false">IF($U942&gt;=MA_SHORT,AVERAGE(INDEX($L$822:$L942,122-MA_SHORT):$L942),"")</f>
        <v>84481867.15</v>
      </c>
      <c r="AA942" s="48" t="n">
        <f aca="false">IF($U942=1,$G942-$H942,MAX($G942-$H942,ABS($G942-$I941),ABS($H942-$I941)))</f>
        <v>233</v>
      </c>
      <c r="AB942" s="48" t="n">
        <f aca="false">IF($U942&gt;=ATR_PER,AVERAGE(INDEX($AA$822:$AA942,122-ATR_PER):$AA942),"")</f>
        <v>158.857142857143</v>
      </c>
      <c r="AC942" s="48" t="n">
        <f aca="false">$O942-$P942</f>
        <v>-1879806</v>
      </c>
      <c r="AD942" s="48" t="n">
        <f aca="false">$AC942*$I942</f>
        <v>-7378238550</v>
      </c>
      <c r="AE942" s="49" t="n">
        <f aca="false">IF($Q942&gt;0,$O942*$I942/$Q942/1000000,"")</f>
        <v>129.901979967249</v>
      </c>
      <c r="AF942" s="49" t="n">
        <f aca="false">IF($R942&gt;0,$P942*$I942/$R942/1000000,"")</f>
        <v>151.702823769508</v>
      </c>
      <c r="AG942" s="50" t="n">
        <f aca="false">IF(AND(ISNUMBER($AE942),ISNUMBER($AF942),$AF942&gt;0),$AE942/$AF942,"")</f>
        <v>0.856292432398079</v>
      </c>
      <c r="AH942" s="48" t="n">
        <f aca="false">IF($U942&gt;=5,SUM(INDEX($AD$912:$AD942,32-5):$AD942),"")</f>
        <v>67834408571</v>
      </c>
      <c r="AI942" s="48" t="n">
        <f aca="false">IF($U942&gt;=STRUCT_S,MAX(INDEX($G$792:$G942,152-STRUCT_S):$G942),"")</f>
        <v>4018</v>
      </c>
      <c r="AJ942" s="48" t="n">
        <f aca="false">IF($U942&gt;=STRUCT_S,MIN(INDEX($H$792:$H942,152-STRUCT_S):$H942),"")</f>
        <v>3280</v>
      </c>
      <c r="AK942" s="48" t="n">
        <f aca="false">IF($U942&gt;=STRUCT_L,MAX(INDEX($G$692:$G942,252-STRUCT_L):$G942),"")</f>
        <v>4018</v>
      </c>
      <c r="AL942" s="48" t="n">
        <f aca="false">IF($U942&gt;=STRUCT_L,MIN(INDEX($H$692:$H942,252-STRUCT_L):$H942),"")</f>
        <v>2834</v>
      </c>
      <c r="AM942" s="46" t="n">
        <f aca="false">IF($A942&lt;&gt;$A943,1,0)</f>
        <v>0</v>
      </c>
      <c r="AN942" s="47" t="str">
        <f aca="false">IF($AM942=1,$A942,"")</f>
        <v/>
      </c>
    </row>
    <row r="943" customFormat="false" ht="15" hidden="false" customHeight="false" outlineLevel="0" collapsed="false">
      <c r="A943" s="43" t="s">
        <v>147</v>
      </c>
      <c r="B943" s="44" t="s">
        <v>149</v>
      </c>
      <c r="C943" s="45" t="n">
        <v>46126</v>
      </c>
      <c r="D943" s="46" t="n">
        <v>20260414</v>
      </c>
      <c r="E943" s="47" t="s">
        <v>446</v>
      </c>
      <c r="F943" s="48" t="n">
        <v>3944</v>
      </c>
      <c r="G943" s="48" t="n">
        <v>4014</v>
      </c>
      <c r="H943" s="48" t="n">
        <v>3850</v>
      </c>
      <c r="I943" s="48" t="n">
        <v>3938</v>
      </c>
      <c r="J943" s="48" t="n">
        <v>3919</v>
      </c>
      <c r="K943" s="48" t="n">
        <v>3925</v>
      </c>
      <c r="L943" s="48" t="n">
        <v>58401668</v>
      </c>
      <c r="M943" s="48" t="n">
        <v>229985768584</v>
      </c>
      <c r="N943" s="48" t="n">
        <v>2048</v>
      </c>
      <c r="O943" s="48" t="n">
        <v>22495062</v>
      </c>
      <c r="P943" s="48" t="n">
        <v>37964875</v>
      </c>
      <c r="Q943" s="48" t="n">
        <v>1352</v>
      </c>
      <c r="R943" s="48" t="n">
        <v>810</v>
      </c>
      <c r="S943" s="48" t="n">
        <v>35906606</v>
      </c>
      <c r="T943" s="48" t="n">
        <v>20436793</v>
      </c>
      <c r="U943" s="46" t="n">
        <f aca="false">IF($A943=$A942,$U942+1,1)</f>
        <v>159</v>
      </c>
      <c r="V943" s="48" t="n">
        <f aca="false">IF($U943&gt;=MA_SHORT,AVERAGE(INDEX($I$543:$I943,402-MA_SHORT):$I943),"")</f>
        <v>3615.35</v>
      </c>
      <c r="W943" s="48" t="n">
        <f aca="false">IF($U943&gt;=MA_MED,AVERAGE(INDEX($I$543:$I943,402-MA_MED):$I943),"")</f>
        <v>3353.46</v>
      </c>
      <c r="X943" s="48" t="n">
        <f aca="false">IF($U943&gt;=MA_LONG1,AVERAGE(INDEX($I$543:$I943,402-MA_LONG1):$I943),"")</f>
        <v>3187.11</v>
      </c>
      <c r="Y943" s="48" t="str">
        <f aca="false">IF($U943&gt;=MA_LONG2,AVERAGE(INDEX($I$543:$I943,402-MA_LONG2):$I943),"")</f>
        <v/>
      </c>
      <c r="Z943" s="48" t="n">
        <f aca="false">IF($U943&gt;=MA_SHORT,AVERAGE(INDEX($L$823:$L943,122-MA_SHORT):$L943),"")</f>
        <v>72911581.45</v>
      </c>
      <c r="AA943" s="48" t="n">
        <f aca="false">IF($U943=1,$G943-$H943,MAX($G943-$H943,ABS($G943-$I942),ABS($H943-$I942)))</f>
        <v>164</v>
      </c>
      <c r="AB943" s="48" t="n">
        <f aca="false">IF($U943&gt;=ATR_PER,AVERAGE(INDEX($AA$823:$AA943,122-ATR_PER):$AA943),"")</f>
        <v>160.142857142857</v>
      </c>
      <c r="AC943" s="48" t="n">
        <f aca="false">$O943-$P943</f>
        <v>-15469813</v>
      </c>
      <c r="AD943" s="48" t="n">
        <f aca="false">$AC943*$I943</f>
        <v>-60920123594</v>
      </c>
      <c r="AE943" s="49" t="n">
        <f aca="false">IF($Q943&gt;0,$O943*$I943/$Q943/1000000,"")</f>
        <v>65.5218595828402</v>
      </c>
      <c r="AF943" s="49" t="n">
        <f aca="false">IF($R943&gt;0,$P943*$I943/$R943/1000000,"")</f>
        <v>184.574910802469</v>
      </c>
      <c r="AG943" s="50" t="n">
        <f aca="false">IF(AND(ISNUMBER($AE943),ISNUMBER($AF943),$AF943&gt;0),$AE943/$AF943,"")</f>
        <v>0.354987897856612</v>
      </c>
      <c r="AH943" s="48" t="n">
        <f aca="false">IF($U943&gt;=5,SUM(INDEX($AD$913:$AD943,32-5):$AD943),"")</f>
        <v>36506508345</v>
      </c>
      <c r="AI943" s="48" t="n">
        <f aca="false">IF($U943&gt;=STRUCT_S,MAX(INDEX($G$793:$G943,152-STRUCT_S):$G943),"")</f>
        <v>4018</v>
      </c>
      <c r="AJ943" s="48" t="n">
        <f aca="false">IF($U943&gt;=STRUCT_S,MIN(INDEX($H$793:$H943,152-STRUCT_S):$H943),"")</f>
        <v>3280</v>
      </c>
      <c r="AK943" s="48" t="n">
        <f aca="false">IF($U943&gt;=STRUCT_L,MAX(INDEX($G$693:$G943,252-STRUCT_L):$G943),"")</f>
        <v>4018</v>
      </c>
      <c r="AL943" s="48" t="n">
        <f aca="false">IF($U943&gt;=STRUCT_L,MIN(INDEX($H$693:$H943,252-STRUCT_L):$H943),"")</f>
        <v>2834</v>
      </c>
      <c r="AM943" s="46" t="n">
        <f aca="false">IF($A943&lt;&gt;$A944,1,0)</f>
        <v>0</v>
      </c>
      <c r="AN943" s="47" t="str">
        <f aca="false">IF($AM943=1,$A943,"")</f>
        <v/>
      </c>
    </row>
    <row r="944" customFormat="false" ht="15" hidden="false" customHeight="false" outlineLevel="0" collapsed="false">
      <c r="A944" s="43" t="s">
        <v>147</v>
      </c>
      <c r="B944" s="44" t="s">
        <v>149</v>
      </c>
      <c r="C944" s="45" t="n">
        <v>46127</v>
      </c>
      <c r="D944" s="46" t="n">
        <v>20260415</v>
      </c>
      <c r="E944" s="47" t="s">
        <v>447</v>
      </c>
      <c r="F944" s="48" t="n">
        <v>3885</v>
      </c>
      <c r="G944" s="48" t="n">
        <v>4001</v>
      </c>
      <c r="H944" s="48" t="n">
        <v>3875</v>
      </c>
      <c r="I944" s="48" t="n">
        <v>3938</v>
      </c>
      <c r="J944" s="48" t="n">
        <v>3992</v>
      </c>
      <c r="K944" s="48" t="n">
        <v>3938</v>
      </c>
      <c r="L944" s="48" t="n">
        <v>80057619</v>
      </c>
      <c r="M944" s="48" t="n">
        <v>315266903622</v>
      </c>
      <c r="N944" s="48" t="n">
        <v>5987</v>
      </c>
      <c r="O944" s="48" t="n">
        <v>28260142</v>
      </c>
      <c r="P944" s="48" t="n">
        <v>51561236</v>
      </c>
      <c r="Q944" s="48" t="n">
        <v>1826</v>
      </c>
      <c r="R944" s="48" t="n">
        <v>4538</v>
      </c>
      <c r="S944" s="48" t="n">
        <v>51797477</v>
      </c>
      <c r="T944" s="48" t="n">
        <v>28496383</v>
      </c>
      <c r="U944" s="46" t="n">
        <f aca="false">IF($A944=$A943,$U943+1,1)</f>
        <v>160</v>
      </c>
      <c r="V944" s="48" t="n">
        <f aca="false">IF($U944&gt;=MA_SHORT,AVERAGE(INDEX($I$544:$I944,402-MA_SHORT):$I944),"")</f>
        <v>3637.6</v>
      </c>
      <c r="W944" s="48" t="n">
        <f aca="false">IF($U944&gt;=MA_MED,AVERAGE(INDEX($I$544:$I944,402-MA_MED):$I944),"")</f>
        <v>3368.44</v>
      </c>
      <c r="X944" s="48" t="n">
        <f aca="false">IF($U944&gt;=MA_LONG1,AVERAGE(INDEX($I$544:$I944,402-MA_LONG1):$I944),"")</f>
        <v>3197.23</v>
      </c>
      <c r="Y944" s="48" t="str">
        <f aca="false">IF($U944&gt;=MA_LONG2,AVERAGE(INDEX($I$544:$I944,402-MA_LONG2):$I944),"")</f>
        <v/>
      </c>
      <c r="Z944" s="48" t="n">
        <f aca="false">IF($U944&gt;=MA_SHORT,AVERAGE(INDEX($L$824:$L944,122-MA_SHORT):$L944),"")</f>
        <v>73642244.45</v>
      </c>
      <c r="AA944" s="48" t="n">
        <f aca="false">IF($U944=1,$G944-$H944,MAX($G944-$H944,ABS($G944-$I943),ABS($H944-$I943)))</f>
        <v>126</v>
      </c>
      <c r="AB944" s="48" t="n">
        <f aca="false">IF($U944&gt;=ATR_PER,AVERAGE(INDEX($AA$824:$AA944,122-ATR_PER):$AA944),"")</f>
        <v>163.714285714286</v>
      </c>
      <c r="AC944" s="48" t="n">
        <f aca="false">$O944-$P944</f>
        <v>-23301094</v>
      </c>
      <c r="AD944" s="48" t="n">
        <f aca="false">$AC944*$I944</f>
        <v>-91759708172</v>
      </c>
      <c r="AE944" s="49" t="n">
        <f aca="false">IF($Q944&gt;0,$O944*$I944/$Q944/1000000,"")</f>
        <v>60.9465713012048</v>
      </c>
      <c r="AF944" s="49" t="n">
        <f aca="false">IF($R944&gt;0,$P944*$I944/$R944/1000000,"")</f>
        <v>44.7439725359189</v>
      </c>
      <c r="AG944" s="50" t="n">
        <f aca="false">IF(AND(ISNUMBER($AE944),ISNUMBER($AF944),$AF944&gt;0),$AE944/$AF944,"")</f>
        <v>1.36211802052844</v>
      </c>
      <c r="AH944" s="48" t="n">
        <f aca="false">IF($U944&gt;=5,SUM(INDEX($AD$914:$AD944,32-5):$AD944),"")</f>
        <v>-69786778950</v>
      </c>
      <c r="AI944" s="48" t="n">
        <f aca="false">IF($U944&gt;=STRUCT_S,MAX(INDEX($G$794:$G944,152-STRUCT_S):$G944),"")</f>
        <v>4018</v>
      </c>
      <c r="AJ944" s="48" t="n">
        <f aca="false">IF($U944&gt;=STRUCT_S,MIN(INDEX($H$794:$H944,152-STRUCT_S):$H944),"")</f>
        <v>3280</v>
      </c>
      <c r="AK944" s="48" t="n">
        <f aca="false">IF($U944&gt;=STRUCT_L,MAX(INDEX($G$694:$G944,252-STRUCT_L):$G944),"")</f>
        <v>4018</v>
      </c>
      <c r="AL944" s="48" t="n">
        <f aca="false">IF($U944&gt;=STRUCT_L,MIN(INDEX($H$694:$H944,252-STRUCT_L):$H944),"")</f>
        <v>2834</v>
      </c>
      <c r="AM944" s="46" t="n">
        <f aca="false">IF($A944&lt;&gt;$A945,1,0)</f>
        <v>0</v>
      </c>
      <c r="AN944" s="47" t="str">
        <f aca="false">IF($AM944=1,$A944,"")</f>
        <v/>
      </c>
    </row>
    <row r="945" customFormat="false" ht="15" hidden="false" customHeight="false" outlineLevel="0" collapsed="false">
      <c r="A945" s="43" t="s">
        <v>147</v>
      </c>
      <c r="B945" s="44" t="s">
        <v>149</v>
      </c>
      <c r="C945" s="45" t="n">
        <v>46130</v>
      </c>
      <c r="D945" s="46" t="n">
        <v>20260418</v>
      </c>
      <c r="E945" s="47" t="s">
        <v>448</v>
      </c>
      <c r="F945" s="48" t="n">
        <v>4013</v>
      </c>
      <c r="G945" s="48" t="n">
        <v>4054</v>
      </c>
      <c r="H945" s="48" t="n">
        <v>3926</v>
      </c>
      <c r="I945" s="48" t="n">
        <v>4041</v>
      </c>
      <c r="J945" s="48" t="n">
        <v>4005</v>
      </c>
      <c r="K945" s="48" t="n">
        <v>3938</v>
      </c>
      <c r="L945" s="48" t="n">
        <v>66250220</v>
      </c>
      <c r="M945" s="48" t="n">
        <v>267717139020</v>
      </c>
      <c r="N945" s="48" t="n">
        <v>4358</v>
      </c>
      <c r="O945" s="48" t="n">
        <v>34889117</v>
      </c>
      <c r="P945" s="48" t="n">
        <v>30509029</v>
      </c>
      <c r="Q945" s="48" t="n">
        <v>2303</v>
      </c>
      <c r="R945" s="48" t="n">
        <v>1568</v>
      </c>
      <c r="S945" s="48" t="n">
        <v>31361103</v>
      </c>
      <c r="T945" s="48" t="n">
        <v>35741191</v>
      </c>
      <c r="U945" s="46" t="n">
        <f aca="false">IF($A945=$A944,$U944+1,1)</f>
        <v>161</v>
      </c>
      <c r="V945" s="48" t="n">
        <f aca="false">IF($U945&gt;=MA_SHORT,AVERAGE(INDEX($I$545:$I945,402-MA_SHORT):$I945),"")</f>
        <v>3662.5</v>
      </c>
      <c r="W945" s="48" t="n">
        <f aca="false">IF($U945&gt;=MA_MED,AVERAGE(INDEX($I$545:$I945,402-MA_MED):$I945),"")</f>
        <v>3386.08</v>
      </c>
      <c r="X945" s="48" t="n">
        <f aca="false">IF($U945&gt;=MA_LONG1,AVERAGE(INDEX($I$545:$I945,402-MA_LONG1):$I945),"")</f>
        <v>3208.12</v>
      </c>
      <c r="Y945" s="48" t="str">
        <f aca="false">IF($U945&gt;=MA_LONG2,AVERAGE(INDEX($I$545:$I945,402-MA_LONG2):$I945),"")</f>
        <v/>
      </c>
      <c r="Z945" s="48" t="n">
        <f aca="false">IF($U945&gt;=MA_SHORT,AVERAGE(INDEX($L$825:$L945,122-MA_SHORT):$L945),"")</f>
        <v>72939887.5</v>
      </c>
      <c r="AA945" s="48" t="n">
        <f aca="false">IF($U945=1,$G945-$H945,MAX($G945-$H945,ABS($G945-$I944),ABS($H945-$I944)))</f>
        <v>128</v>
      </c>
      <c r="AB945" s="48" t="n">
        <f aca="false">IF($U945&gt;=ATR_PER,AVERAGE(INDEX($AA$825:$AA945,122-ATR_PER):$AA945),"")</f>
        <v>162</v>
      </c>
      <c r="AC945" s="48" t="n">
        <f aca="false">$O945-$P945</f>
        <v>4380088</v>
      </c>
      <c r="AD945" s="48" t="n">
        <f aca="false">$AC945*$I945</f>
        <v>17699935608</v>
      </c>
      <c r="AE945" s="49" t="n">
        <f aca="false">IF($Q945&gt;0,$O945*$I945/$Q945/1000000,"")</f>
        <v>61.2188110277898</v>
      </c>
      <c r="AF945" s="49" t="n">
        <f aca="false">IF($R945&gt;0,$P945*$I945/$R945/1000000,"")</f>
        <v>78.6269044572704</v>
      </c>
      <c r="AG945" s="50" t="n">
        <f aca="false">IF(AND(ISNUMBER($AE945),ISNUMBER($AF945),$AF945&gt;0),$AE945/$AF945,"")</f>
        <v>0.778598769090026</v>
      </c>
      <c r="AH945" s="48" t="n">
        <f aca="false">IF($U945&gt;=5,SUM(INDEX($AD$915:$AD945,32-5):$AD945),"")</f>
        <v>-122844053870</v>
      </c>
      <c r="AI945" s="48" t="n">
        <f aca="false">IF($U945&gt;=STRUCT_S,MAX(INDEX($G$795:$G945,152-STRUCT_S):$G945),"")</f>
        <v>4054</v>
      </c>
      <c r="AJ945" s="48" t="n">
        <f aca="false">IF($U945&gt;=STRUCT_S,MIN(INDEX($H$795:$H945,152-STRUCT_S):$H945),"")</f>
        <v>3280</v>
      </c>
      <c r="AK945" s="48" t="n">
        <f aca="false">IF($U945&gt;=STRUCT_L,MAX(INDEX($G$695:$G945,252-STRUCT_L):$G945),"")</f>
        <v>4054</v>
      </c>
      <c r="AL945" s="48" t="n">
        <f aca="false">IF($U945&gt;=STRUCT_L,MIN(INDEX($H$695:$H945,252-STRUCT_L):$H945),"")</f>
        <v>2834</v>
      </c>
      <c r="AM945" s="46" t="n">
        <f aca="false">IF($A945&lt;&gt;$A946,1,0)</f>
        <v>0</v>
      </c>
      <c r="AN945" s="47" t="str">
        <f aca="false">IF($AM945=1,$A945,"")</f>
        <v/>
      </c>
    </row>
    <row r="946" customFormat="false" ht="15" hidden="false" customHeight="false" outlineLevel="0" collapsed="false">
      <c r="A946" s="43" t="s">
        <v>147</v>
      </c>
      <c r="B946" s="44" t="s">
        <v>149</v>
      </c>
      <c r="C946" s="45" t="n">
        <v>46131</v>
      </c>
      <c r="D946" s="46" t="n">
        <v>20260419</v>
      </c>
      <c r="E946" s="47" t="s">
        <v>449</v>
      </c>
      <c r="F946" s="48" t="n">
        <v>3858</v>
      </c>
      <c r="G946" s="48" t="n">
        <v>4086</v>
      </c>
      <c r="H946" s="48" t="n">
        <v>3848</v>
      </c>
      <c r="I946" s="48" t="n">
        <v>3892</v>
      </c>
      <c r="J946" s="48" t="n">
        <v>4002</v>
      </c>
      <c r="K946" s="48" t="n">
        <v>4041</v>
      </c>
      <c r="L946" s="48" t="n">
        <v>69932271</v>
      </c>
      <c r="M946" s="48" t="n">
        <v>272176398732</v>
      </c>
      <c r="N946" s="48" t="n">
        <v>3285</v>
      </c>
      <c r="O946" s="48" t="n">
        <v>15501609</v>
      </c>
      <c r="P946" s="48" t="n">
        <v>55945816</v>
      </c>
      <c r="Q946" s="48" t="n">
        <v>937</v>
      </c>
      <c r="R946" s="48" t="n">
        <v>1566</v>
      </c>
      <c r="S946" s="48" t="n">
        <v>54430662</v>
      </c>
      <c r="T946" s="48" t="n">
        <v>13986455</v>
      </c>
      <c r="U946" s="46" t="n">
        <f aca="false">IF($A946=$A945,$U945+1,1)</f>
        <v>162</v>
      </c>
      <c r="V946" s="48" t="n">
        <f aca="false">IF($U946&gt;=MA_SHORT,AVERAGE(INDEX($I$546:$I946,402-MA_SHORT):$I946),"")</f>
        <v>3681.1</v>
      </c>
      <c r="W946" s="48" t="n">
        <f aca="false">IF($U946&gt;=MA_MED,AVERAGE(INDEX($I$546:$I946,402-MA_MED):$I946),"")</f>
        <v>3403.84</v>
      </c>
      <c r="X946" s="48" t="n">
        <f aca="false">IF($U946&gt;=MA_LONG1,AVERAGE(INDEX($I$546:$I946,402-MA_LONG1):$I946),"")</f>
        <v>3216.81</v>
      </c>
      <c r="Y946" s="48" t="str">
        <f aca="false">IF($U946&gt;=MA_LONG2,AVERAGE(INDEX($I$546:$I946,402-MA_LONG2):$I946),"")</f>
        <v/>
      </c>
      <c r="Z946" s="48" t="n">
        <f aca="false">IF($U946&gt;=MA_SHORT,AVERAGE(INDEX($L$826:$L946,122-MA_SHORT):$L946),"")</f>
        <v>73461795.45</v>
      </c>
      <c r="AA946" s="48" t="n">
        <f aca="false">IF($U946=1,$G946-$H946,MAX($G946-$H946,ABS($G946-$I945),ABS($H946-$I945)))</f>
        <v>238</v>
      </c>
      <c r="AB946" s="48" t="n">
        <f aca="false">IF($U946&gt;=ATR_PER,AVERAGE(INDEX($AA$826:$AA946,122-ATR_PER):$AA946),"")</f>
        <v>164.571428571429</v>
      </c>
      <c r="AC946" s="48" t="n">
        <f aca="false">$O946-$P946</f>
        <v>-40444207</v>
      </c>
      <c r="AD946" s="48" t="n">
        <f aca="false">$AC946*$I946</f>
        <v>-157408853644</v>
      </c>
      <c r="AE946" s="49" t="n">
        <f aca="false">IF($Q946&gt;0,$O946*$I946/$Q946/1000000,"")</f>
        <v>64.3887537118463</v>
      </c>
      <c r="AF946" s="49" t="n">
        <f aca="false">IF($R946&gt;0,$P946*$I946/$R946/1000000,"")</f>
        <v>139.042858155811</v>
      </c>
      <c r="AG946" s="50" t="n">
        <f aca="false">IF(AND(ISNUMBER($AE946),ISNUMBER($AF946),$AF946&gt;0),$AE946/$AF946,"")</f>
        <v>0.463085659816432</v>
      </c>
      <c r="AH946" s="48" t="n">
        <f aca="false">IF($U946&gt;=5,SUM(INDEX($AD$916:$AD946,32-5):$AD946),"")</f>
        <v>-299766988352</v>
      </c>
      <c r="AI946" s="48" t="n">
        <f aca="false">IF($U946&gt;=STRUCT_S,MAX(INDEX($G$796:$G946,152-STRUCT_S):$G946),"")</f>
        <v>4086</v>
      </c>
      <c r="AJ946" s="48" t="n">
        <f aca="false">IF($U946&gt;=STRUCT_S,MIN(INDEX($H$796:$H946,152-STRUCT_S):$H946),"")</f>
        <v>3280</v>
      </c>
      <c r="AK946" s="48" t="n">
        <f aca="false">IF($U946&gt;=STRUCT_L,MAX(INDEX($G$696:$G946,252-STRUCT_L):$G946),"")</f>
        <v>4086</v>
      </c>
      <c r="AL946" s="48" t="n">
        <f aca="false">IF($U946&gt;=STRUCT_L,MIN(INDEX($H$696:$H946,252-STRUCT_L):$H946),"")</f>
        <v>2834</v>
      </c>
      <c r="AM946" s="46" t="n">
        <f aca="false">IF($A946&lt;&gt;$A947,1,0)</f>
        <v>0</v>
      </c>
      <c r="AN946" s="47" t="str">
        <f aca="false">IF($AM946=1,$A946,"")</f>
        <v/>
      </c>
    </row>
    <row r="947" customFormat="false" ht="15" hidden="false" customHeight="false" outlineLevel="0" collapsed="false">
      <c r="A947" s="43" t="s">
        <v>147</v>
      </c>
      <c r="B947" s="44" t="s">
        <v>149</v>
      </c>
      <c r="C947" s="45" t="n">
        <v>46132</v>
      </c>
      <c r="D947" s="46" t="n">
        <v>20260420</v>
      </c>
      <c r="E947" s="47" t="s">
        <v>450</v>
      </c>
      <c r="F947" s="48" t="n">
        <v>3833</v>
      </c>
      <c r="G947" s="48" t="n">
        <v>3912</v>
      </c>
      <c r="H947" s="48" t="n">
        <v>3761</v>
      </c>
      <c r="I947" s="48" t="n">
        <v>3780</v>
      </c>
      <c r="J947" s="48" t="n">
        <v>3833</v>
      </c>
      <c r="K947" s="48" t="n">
        <v>3892</v>
      </c>
      <c r="L947" s="48" t="n">
        <v>82211406</v>
      </c>
      <c r="M947" s="48" t="n">
        <v>310759114680</v>
      </c>
      <c r="N947" s="48" t="n">
        <v>2137</v>
      </c>
      <c r="O947" s="48" t="n">
        <v>23573455</v>
      </c>
      <c r="P947" s="48" t="n">
        <v>57744402</v>
      </c>
      <c r="Q947" s="48" t="n">
        <v>662</v>
      </c>
      <c r="R947" s="48" t="n">
        <v>1260</v>
      </c>
      <c r="S947" s="48" t="n">
        <v>58637951</v>
      </c>
      <c r="T947" s="48" t="n">
        <v>24467004</v>
      </c>
      <c r="U947" s="46" t="n">
        <f aca="false">IF($A947=$A946,$U946+1,1)</f>
        <v>163</v>
      </c>
      <c r="V947" s="48" t="n">
        <f aca="false">IF($U947&gt;=MA_SHORT,AVERAGE(INDEX($I$547:$I947,402-MA_SHORT):$I947),"")</f>
        <v>3700.5</v>
      </c>
      <c r="W947" s="48" t="n">
        <f aca="false">IF($U947&gt;=MA_MED,AVERAGE(INDEX($I$547:$I947,402-MA_MED):$I947),"")</f>
        <v>3418.18</v>
      </c>
      <c r="X947" s="48" t="n">
        <f aca="false">IF($U947&gt;=MA_LONG1,AVERAGE(INDEX($I$547:$I947,402-MA_LONG1):$I947),"")</f>
        <v>3223.68</v>
      </c>
      <c r="Y947" s="48" t="str">
        <f aca="false">IF($U947&gt;=MA_LONG2,AVERAGE(INDEX($I$547:$I947,402-MA_LONG2):$I947),"")</f>
        <v/>
      </c>
      <c r="Z947" s="48" t="n">
        <f aca="false">IF($U947&gt;=MA_SHORT,AVERAGE(INDEX($L$827:$L947,122-MA_SHORT):$L947),"")</f>
        <v>69091485.5</v>
      </c>
      <c r="AA947" s="48" t="n">
        <f aca="false">IF($U947=1,$G947-$H947,MAX($G947-$H947,ABS($G947-$I946),ABS($H947-$I946)))</f>
        <v>151</v>
      </c>
      <c r="AB947" s="48" t="n">
        <f aca="false">IF($U947&gt;=ATR_PER,AVERAGE(INDEX($AA$827:$AA947,122-ATR_PER):$AA947),"")</f>
        <v>147.142857142857</v>
      </c>
      <c r="AC947" s="48" t="n">
        <f aca="false">$O947-$P947</f>
        <v>-34170947</v>
      </c>
      <c r="AD947" s="48" t="n">
        <f aca="false">$AC947*$I947</f>
        <v>-129166179660</v>
      </c>
      <c r="AE947" s="49" t="n">
        <f aca="false">IF($Q947&gt;0,$O947*$I947/$Q947/1000000,"")</f>
        <v>134.603715861027</v>
      </c>
      <c r="AF947" s="49" t="n">
        <f aca="false">IF($R947&gt;0,$P947*$I947/$R947/1000000,"")</f>
        <v>173.233206</v>
      </c>
      <c r="AG947" s="50" t="n">
        <f aca="false">IF(AND(ISNUMBER($AE947),ISNUMBER($AF947),$AF947&gt;0),$AE947/$AF947,"")</f>
        <v>0.777008744276355</v>
      </c>
      <c r="AH947" s="48" t="n">
        <f aca="false">IF($U947&gt;=5,SUM(INDEX($AD$917:$AD947,32-5):$AD947),"")</f>
        <v>-421554929462</v>
      </c>
      <c r="AI947" s="48" t="n">
        <f aca="false">IF($U947&gt;=STRUCT_S,MAX(INDEX($G$797:$G947,152-STRUCT_S):$G947),"")</f>
        <v>4086</v>
      </c>
      <c r="AJ947" s="48" t="n">
        <f aca="false">IF($U947&gt;=STRUCT_S,MIN(INDEX($H$797:$H947,152-STRUCT_S):$H947),"")</f>
        <v>3280</v>
      </c>
      <c r="AK947" s="48" t="n">
        <f aca="false">IF($U947&gt;=STRUCT_L,MAX(INDEX($G$697:$G947,252-STRUCT_L):$G947),"")</f>
        <v>4086</v>
      </c>
      <c r="AL947" s="48" t="n">
        <f aca="false">IF($U947&gt;=STRUCT_L,MIN(INDEX($H$697:$H947,252-STRUCT_L):$H947),"")</f>
        <v>2834</v>
      </c>
      <c r="AM947" s="46" t="n">
        <f aca="false">IF($A947&lt;&gt;$A948,1,0)</f>
        <v>0</v>
      </c>
      <c r="AN947" s="47" t="str">
        <f aca="false">IF($AM947=1,$A947,"")</f>
        <v/>
      </c>
    </row>
    <row r="948" customFormat="false" ht="15" hidden="false" customHeight="false" outlineLevel="0" collapsed="false">
      <c r="A948" s="43" t="s">
        <v>147</v>
      </c>
      <c r="B948" s="44" t="s">
        <v>149</v>
      </c>
      <c r="C948" s="45" t="n">
        <v>46133</v>
      </c>
      <c r="D948" s="46" t="n">
        <v>20260421</v>
      </c>
      <c r="E948" s="47" t="s">
        <v>451</v>
      </c>
      <c r="F948" s="48" t="n">
        <v>3633</v>
      </c>
      <c r="G948" s="48" t="n">
        <v>3837</v>
      </c>
      <c r="H948" s="48" t="n">
        <v>3559</v>
      </c>
      <c r="I948" s="48" t="n">
        <v>3614</v>
      </c>
      <c r="J948" s="48" t="n">
        <v>3824</v>
      </c>
      <c r="K948" s="48" t="n">
        <v>3780</v>
      </c>
      <c r="L948" s="48" t="n">
        <v>72831737</v>
      </c>
      <c r="M948" s="48" t="n">
        <v>263213897518</v>
      </c>
      <c r="N948" s="48" t="n">
        <v>3138</v>
      </c>
      <c r="O948" s="48" t="n">
        <v>17367677</v>
      </c>
      <c r="P948" s="48" t="n">
        <v>54998642</v>
      </c>
      <c r="Q948" s="48" t="n">
        <v>1072</v>
      </c>
      <c r="R948" s="48" t="n">
        <v>2125</v>
      </c>
      <c r="S948" s="48" t="n">
        <v>55464060</v>
      </c>
      <c r="T948" s="48" t="n">
        <v>17833095</v>
      </c>
      <c r="U948" s="46" t="n">
        <f aca="false">IF($A948=$A947,$U947+1,1)</f>
        <v>164</v>
      </c>
      <c r="V948" s="48" t="n">
        <f aca="false">IF($U948&gt;=MA_SHORT,AVERAGE(INDEX($I$548:$I948,402-MA_SHORT):$I948),"")</f>
        <v>3708.95</v>
      </c>
      <c r="W948" s="48" t="n">
        <f aca="false">IF($U948&gt;=MA_MED,AVERAGE(INDEX($I$548:$I948,402-MA_MED):$I948),"")</f>
        <v>3428.02</v>
      </c>
      <c r="X948" s="48" t="n">
        <f aca="false">IF($U948&gt;=MA_LONG1,AVERAGE(INDEX($I$548:$I948,402-MA_LONG1):$I948),"")</f>
        <v>3229.44</v>
      </c>
      <c r="Y948" s="48" t="str">
        <f aca="false">IF($U948&gt;=MA_LONG2,AVERAGE(INDEX($I$548:$I948,402-MA_LONG2):$I948),"")</f>
        <v/>
      </c>
      <c r="Z948" s="48" t="n">
        <f aca="false">IF($U948&gt;=MA_SHORT,AVERAGE(INDEX($L$828:$L948,122-MA_SHORT):$L948),"")</f>
        <v>68977314.15</v>
      </c>
      <c r="AA948" s="48" t="n">
        <f aca="false">IF($U948=1,$G948-$H948,MAX($G948-$H948,ABS($G948-$I947),ABS($H948-$I947)))</f>
        <v>278</v>
      </c>
      <c r="AB948" s="48" t="n">
        <f aca="false">IF($U948&gt;=ATR_PER,AVERAGE(INDEX($AA$828:$AA948,122-ATR_PER):$AA948),"")</f>
        <v>155.642857142857</v>
      </c>
      <c r="AC948" s="48" t="n">
        <f aca="false">$O948-$P948</f>
        <v>-37630965</v>
      </c>
      <c r="AD948" s="48" t="n">
        <f aca="false">$AC948*$I948</f>
        <v>-135998307510</v>
      </c>
      <c r="AE948" s="49" t="n">
        <f aca="false">IF($Q948&gt;0,$O948*$I948/$Q948/1000000,"")</f>
        <v>58.5511051100746</v>
      </c>
      <c r="AF948" s="49" t="n">
        <f aca="false">IF($R948&gt;0,$P948*$I948/$R948/1000000,"")</f>
        <v>93.5365139708235</v>
      </c>
      <c r="AG948" s="50" t="n">
        <f aca="false">IF(AND(ISNUMBER($AE948),ISNUMBER($AF948),$AF948&gt;0),$AE948/$AF948,"")</f>
        <v>0.625970571538921</v>
      </c>
      <c r="AH948" s="48" t="n">
        <f aca="false">IF($U948&gt;=5,SUM(INDEX($AD$918:$AD948,32-5):$AD948),"")</f>
        <v>-496633113378</v>
      </c>
      <c r="AI948" s="48" t="n">
        <f aca="false">IF($U948&gt;=STRUCT_S,MAX(INDEX($G$798:$G948,152-STRUCT_S):$G948),"")</f>
        <v>4086</v>
      </c>
      <c r="AJ948" s="48" t="n">
        <f aca="false">IF($U948&gt;=STRUCT_S,MIN(INDEX($H$798:$H948,152-STRUCT_S):$H948),"")</f>
        <v>3280</v>
      </c>
      <c r="AK948" s="48" t="n">
        <f aca="false">IF($U948&gt;=STRUCT_L,MAX(INDEX($G$698:$G948,252-STRUCT_L):$G948),"")</f>
        <v>4086</v>
      </c>
      <c r="AL948" s="48" t="n">
        <f aca="false">IF($U948&gt;=STRUCT_L,MIN(INDEX($H$698:$H948,252-STRUCT_L):$H948),"")</f>
        <v>2834</v>
      </c>
      <c r="AM948" s="46" t="n">
        <f aca="false">IF($A948&lt;&gt;$A949,1,0)</f>
        <v>0</v>
      </c>
      <c r="AN948" s="47" t="str">
        <f aca="false">IF($AM948=1,$A948,"")</f>
        <v/>
      </c>
    </row>
    <row r="949" customFormat="false" ht="15" hidden="false" customHeight="false" outlineLevel="0" collapsed="false">
      <c r="A949" s="43" t="s">
        <v>147</v>
      </c>
      <c r="B949" s="44" t="s">
        <v>149</v>
      </c>
      <c r="C949" s="45" t="n">
        <v>46134</v>
      </c>
      <c r="D949" s="46" t="n">
        <v>20260422</v>
      </c>
      <c r="E949" s="47" t="s">
        <v>452</v>
      </c>
      <c r="F949" s="48" t="n">
        <v>3551</v>
      </c>
      <c r="G949" s="48" t="n">
        <v>3630</v>
      </c>
      <c r="H949" s="48" t="n">
        <v>3543</v>
      </c>
      <c r="I949" s="48" t="n">
        <v>3558</v>
      </c>
      <c r="J949" s="48" t="n">
        <v>3569</v>
      </c>
      <c r="K949" s="48" t="n">
        <v>3614</v>
      </c>
      <c r="L949" s="48" t="n">
        <v>62587596</v>
      </c>
      <c r="M949" s="48" t="n">
        <v>222686666568</v>
      </c>
      <c r="N949" s="48" t="n">
        <v>2337</v>
      </c>
      <c r="O949" s="48" t="n">
        <v>22729587</v>
      </c>
      <c r="P949" s="48" t="n">
        <v>37515505</v>
      </c>
      <c r="Q949" s="48" t="n">
        <v>586</v>
      </c>
      <c r="R949" s="48" t="n">
        <v>1137</v>
      </c>
      <c r="S949" s="48" t="n">
        <v>39858009</v>
      </c>
      <c r="T949" s="48" t="n">
        <v>25072091</v>
      </c>
      <c r="U949" s="46" t="n">
        <f aca="false">IF($A949=$A948,$U948+1,1)</f>
        <v>165</v>
      </c>
      <c r="V949" s="48" t="n">
        <f aca="false">IF($U949&gt;=MA_SHORT,AVERAGE(INDEX($I$549:$I949,402-MA_SHORT):$I949),"")</f>
        <v>3712.85</v>
      </c>
      <c r="W949" s="48" t="n">
        <f aca="false">IF($U949&gt;=MA_MED,AVERAGE(INDEX($I$549:$I949,402-MA_MED):$I949),"")</f>
        <v>3437.28</v>
      </c>
      <c r="X949" s="48" t="n">
        <f aca="false">IF($U949&gt;=MA_LONG1,AVERAGE(INDEX($I$549:$I949,402-MA_LONG1):$I949),"")</f>
        <v>3234.09</v>
      </c>
      <c r="Y949" s="48" t="str">
        <f aca="false">IF($U949&gt;=MA_LONG2,AVERAGE(INDEX($I$549:$I949,402-MA_LONG2):$I949),"")</f>
        <v/>
      </c>
      <c r="Z949" s="48" t="n">
        <f aca="false">IF($U949&gt;=MA_SHORT,AVERAGE(INDEX($L$829:$L949,122-MA_SHORT):$L949),"")</f>
        <v>68627423.8</v>
      </c>
      <c r="AA949" s="48" t="n">
        <f aca="false">IF($U949=1,$G949-$H949,MAX($G949-$H949,ABS($G949-$I948),ABS($H949-$I948)))</f>
        <v>87</v>
      </c>
      <c r="AB949" s="48" t="n">
        <f aca="false">IF($U949&gt;=ATR_PER,AVERAGE(INDEX($AA$829:$AA949,122-ATR_PER):$AA949),"")</f>
        <v>152.642857142857</v>
      </c>
      <c r="AC949" s="48" t="n">
        <f aca="false">$O949-$P949</f>
        <v>-14785918</v>
      </c>
      <c r="AD949" s="48" t="n">
        <f aca="false">$AC949*$I949</f>
        <v>-52608296244</v>
      </c>
      <c r="AE949" s="49" t="n">
        <f aca="false">IF($Q949&gt;0,$O949*$I949/$Q949/1000000,"")</f>
        <v>138.006605027304</v>
      </c>
      <c r="AF949" s="49" t="n">
        <f aca="false">IF($R949&gt;0,$P949*$I949/$R949/1000000,"")</f>
        <v>117.396804564644</v>
      </c>
      <c r="AG949" s="50" t="n">
        <f aca="false">IF(AND(ISNUMBER($AE949),ISNUMBER($AF949),$AF949&gt;0),$AE949/$AF949,"")</f>
        <v>1.17555674142145</v>
      </c>
      <c r="AH949" s="48" t="n">
        <f aca="false">IF($U949&gt;=5,SUM(INDEX($AD$919:$AD949,32-5):$AD949),"")</f>
        <v>-457481701450</v>
      </c>
      <c r="AI949" s="48" t="n">
        <f aca="false">IF($U949&gt;=STRUCT_S,MAX(INDEX($G$799:$G949,152-STRUCT_S):$G949),"")</f>
        <v>4086</v>
      </c>
      <c r="AJ949" s="48" t="n">
        <f aca="false">IF($U949&gt;=STRUCT_S,MIN(INDEX($H$799:$H949,152-STRUCT_S):$H949),"")</f>
        <v>3280</v>
      </c>
      <c r="AK949" s="48" t="n">
        <f aca="false">IF($U949&gt;=STRUCT_L,MAX(INDEX($G$699:$G949,252-STRUCT_L):$G949),"")</f>
        <v>4086</v>
      </c>
      <c r="AL949" s="48" t="n">
        <f aca="false">IF($U949&gt;=STRUCT_L,MIN(INDEX($H$699:$H949,252-STRUCT_L):$H949),"")</f>
        <v>2834</v>
      </c>
      <c r="AM949" s="46" t="n">
        <f aca="false">IF($A949&lt;&gt;$A950,1,0)</f>
        <v>0</v>
      </c>
      <c r="AN949" s="47" t="str">
        <f aca="false">IF($AM949=1,$A949,"")</f>
        <v/>
      </c>
    </row>
    <row r="950" customFormat="false" ht="15" hidden="false" customHeight="false" outlineLevel="0" collapsed="false">
      <c r="A950" s="43" t="s">
        <v>147</v>
      </c>
      <c r="B950" s="44" t="s">
        <v>149</v>
      </c>
      <c r="C950" s="45" t="n">
        <v>46137</v>
      </c>
      <c r="D950" s="46" t="n">
        <v>20260425</v>
      </c>
      <c r="E950" s="47" t="s">
        <v>453</v>
      </c>
      <c r="F950" s="48" t="n">
        <v>3472</v>
      </c>
      <c r="G950" s="48" t="n">
        <v>3745</v>
      </c>
      <c r="H950" s="48" t="n">
        <v>3465</v>
      </c>
      <c r="I950" s="48" t="n">
        <v>3649</v>
      </c>
      <c r="J950" s="48" t="n">
        <v>3470</v>
      </c>
      <c r="K950" s="48" t="n">
        <v>3558</v>
      </c>
      <c r="L950" s="48" t="n">
        <v>82971187</v>
      </c>
      <c r="M950" s="48" t="n">
        <v>302761861363</v>
      </c>
      <c r="N950" s="48" t="n">
        <v>1881</v>
      </c>
      <c r="O950" s="48" t="n">
        <v>42044900</v>
      </c>
      <c r="P950" s="48" t="n">
        <v>37938758</v>
      </c>
      <c r="Q950" s="48" t="n">
        <v>1279</v>
      </c>
      <c r="R950" s="48" t="n">
        <v>531</v>
      </c>
      <c r="S950" s="48" t="n">
        <v>40926287</v>
      </c>
      <c r="T950" s="48" t="n">
        <v>45032429</v>
      </c>
      <c r="U950" s="46" t="n">
        <f aca="false">IF($A950=$A949,$U949+1,1)</f>
        <v>166</v>
      </c>
      <c r="V950" s="48" t="n">
        <f aca="false">IF($U950&gt;=MA_SHORT,AVERAGE(INDEX($I$550:$I950,402-MA_SHORT):$I950),"")</f>
        <v>3719.8</v>
      </c>
      <c r="W950" s="48" t="n">
        <f aca="false">IF($U950&gt;=MA_MED,AVERAGE(INDEX($I$550:$I950,402-MA_MED):$I950),"")</f>
        <v>3448.76</v>
      </c>
      <c r="X950" s="48" t="n">
        <f aca="false">IF($U950&gt;=MA_LONG1,AVERAGE(INDEX($I$550:$I950,402-MA_LONG1):$I950),"")</f>
        <v>3240.21</v>
      </c>
      <c r="Y950" s="48" t="str">
        <f aca="false">IF($U950&gt;=MA_LONG2,AVERAGE(INDEX($I$550:$I950,402-MA_LONG2):$I950),"")</f>
        <v/>
      </c>
      <c r="Z950" s="48" t="n">
        <f aca="false">IF($U950&gt;=MA_SHORT,AVERAGE(INDEX($L$830:$L950,122-MA_SHORT):$L950),"")</f>
        <v>69764702.95</v>
      </c>
      <c r="AA950" s="48" t="n">
        <f aca="false">IF($U950=1,$G950-$H950,MAX($G950-$H950,ABS($G950-$I949),ABS($H950-$I949)))</f>
        <v>280</v>
      </c>
      <c r="AB950" s="48" t="n">
        <f aca="false">IF($U950&gt;=ATR_PER,AVERAGE(INDEX($AA$830:$AA950,122-ATR_PER):$AA950),"")</f>
        <v>158.714285714286</v>
      </c>
      <c r="AC950" s="48" t="n">
        <f aca="false">$O950-$P950</f>
        <v>4106142</v>
      </c>
      <c r="AD950" s="48" t="n">
        <f aca="false">$AC950*$I950</f>
        <v>14983312158</v>
      </c>
      <c r="AE950" s="49" t="n">
        <f aca="false">IF($Q950&gt;0,$O950*$I950/$Q950/1000000,"")</f>
        <v>119.954527052385</v>
      </c>
      <c r="AF950" s="49" t="n">
        <f aca="false">IF($R950&gt;0,$P950*$I950/$R950/1000000,"")</f>
        <v>260.712858647834</v>
      </c>
      <c r="AG950" s="50" t="n">
        <f aca="false">IF(AND(ISNUMBER($AE950),ISNUMBER($AF950),$AF950&gt;0),$AE950/$AF950,"")</f>
        <v>0.460102074268676</v>
      </c>
      <c r="AH950" s="48" t="n">
        <f aca="false">IF($U950&gt;=5,SUM(INDEX($AD$920:$AD950,32-5):$AD950),"")</f>
        <v>-460198324900</v>
      </c>
      <c r="AI950" s="48" t="n">
        <f aca="false">IF($U950&gt;=STRUCT_S,MAX(INDEX($G$800:$G950,152-STRUCT_S):$G950),"")</f>
        <v>4086</v>
      </c>
      <c r="AJ950" s="48" t="n">
        <f aca="false">IF($U950&gt;=STRUCT_S,MIN(INDEX($H$800:$H950,152-STRUCT_S):$H950),"")</f>
        <v>3280</v>
      </c>
      <c r="AK950" s="48" t="n">
        <f aca="false">IF($U950&gt;=STRUCT_L,MAX(INDEX($G$700:$G950,252-STRUCT_L):$G950),"")</f>
        <v>4086</v>
      </c>
      <c r="AL950" s="48" t="n">
        <f aca="false">IF($U950&gt;=STRUCT_L,MIN(INDEX($H$700:$H950,252-STRUCT_L):$H950),"")</f>
        <v>2834</v>
      </c>
      <c r="AM950" s="46" t="n">
        <f aca="false">IF($A950&lt;&gt;$A951,1,0)</f>
        <v>0</v>
      </c>
      <c r="AN950" s="47" t="str">
        <f aca="false">IF($AM950=1,$A950,"")</f>
        <v/>
      </c>
    </row>
    <row r="951" customFormat="false" ht="15" hidden="false" customHeight="false" outlineLevel="0" collapsed="false">
      <c r="A951" s="43" t="s">
        <v>147</v>
      </c>
      <c r="B951" s="44" t="s">
        <v>149</v>
      </c>
      <c r="C951" s="45" t="n">
        <v>46138</v>
      </c>
      <c r="D951" s="46" t="n">
        <v>20260426</v>
      </c>
      <c r="E951" s="47" t="s">
        <v>454</v>
      </c>
      <c r="F951" s="48" t="n">
        <v>3676</v>
      </c>
      <c r="G951" s="48" t="n">
        <v>3689</v>
      </c>
      <c r="H951" s="48" t="n">
        <v>3533</v>
      </c>
      <c r="I951" s="48" t="n">
        <v>3572</v>
      </c>
      <c r="J951" s="48" t="n">
        <v>3678</v>
      </c>
      <c r="K951" s="48" t="n">
        <v>3649</v>
      </c>
      <c r="L951" s="48" t="n">
        <v>64513847</v>
      </c>
      <c r="M951" s="48" t="n">
        <v>230443461484</v>
      </c>
      <c r="N951" s="48" t="n">
        <v>2946</v>
      </c>
      <c r="O951" s="48" t="n">
        <v>21728207</v>
      </c>
      <c r="P951" s="48" t="n">
        <v>48691856</v>
      </c>
      <c r="Q951" s="48" t="n">
        <v>767</v>
      </c>
      <c r="R951" s="48" t="n">
        <v>1822</v>
      </c>
      <c r="S951" s="48" t="n">
        <v>42785640</v>
      </c>
      <c r="T951" s="48" t="n">
        <v>15821991</v>
      </c>
      <c r="U951" s="46" t="n">
        <f aca="false">IF($A951=$A950,$U950+1,1)</f>
        <v>167</v>
      </c>
      <c r="V951" s="48" t="n">
        <f aca="false">IF($U951&gt;=MA_SHORT,AVERAGE(INDEX($I$551:$I951,402-MA_SHORT):$I951),"")</f>
        <v>3720.05</v>
      </c>
      <c r="W951" s="48" t="n">
        <f aca="false">IF($U951&gt;=MA_MED,AVERAGE(INDEX($I$551:$I951,402-MA_MED):$I951),"")</f>
        <v>3460.54</v>
      </c>
      <c r="X951" s="48" t="n">
        <f aca="false">IF($U951&gt;=MA_LONG1,AVERAGE(INDEX($I$551:$I951,402-MA_LONG1):$I951),"")</f>
        <v>3245.63</v>
      </c>
      <c r="Y951" s="48" t="str">
        <f aca="false">IF($U951&gt;=MA_LONG2,AVERAGE(INDEX($I$551:$I951,402-MA_LONG2):$I951),"")</f>
        <v/>
      </c>
      <c r="Z951" s="48" t="n">
        <f aca="false">IF($U951&gt;=MA_SHORT,AVERAGE(INDEX($L$831:$L951,122-MA_SHORT):$L951),"")</f>
        <v>68328141.35</v>
      </c>
      <c r="AA951" s="48" t="n">
        <f aca="false">IF($U951=1,$G951-$H951,MAX($G951-$H951,ABS($G951-$I950),ABS($H951-$I950)))</f>
        <v>156</v>
      </c>
      <c r="AB951" s="48" t="n">
        <f aca="false">IF($U951&gt;=ATR_PER,AVERAGE(INDEX($AA$831:$AA951,122-ATR_PER):$AA951),"")</f>
        <v>161.5</v>
      </c>
      <c r="AC951" s="48" t="n">
        <f aca="false">$O951-$P951</f>
        <v>-26963649</v>
      </c>
      <c r="AD951" s="48" t="n">
        <f aca="false">$AC951*$I951</f>
        <v>-96314154228</v>
      </c>
      <c r="AE951" s="49" t="n">
        <f aca="false">IF($Q951&gt;0,$O951*$I951/$Q951/1000000,"")</f>
        <v>101.190554633638</v>
      </c>
      <c r="AF951" s="49" t="n">
        <f aca="false">IF($R951&gt;0,$P951*$I951/$R951/1000000,"")</f>
        <v>95.4595552316136</v>
      </c>
      <c r="AG951" s="50" t="n">
        <f aca="false">IF(AND(ISNUMBER($AE951),ISNUMBER($AF951),$AF951&gt;0),$AE951/$AF951,"")</f>
        <v>1.06003589046815</v>
      </c>
      <c r="AH951" s="48" t="n">
        <f aca="false">IF($U951&gt;=5,SUM(INDEX($AD$921:$AD951,32-5):$AD951),"")</f>
        <v>-399103625484</v>
      </c>
      <c r="AI951" s="48" t="n">
        <f aca="false">IF($U951&gt;=STRUCT_S,MAX(INDEX($G$801:$G951,152-STRUCT_S):$G951),"")</f>
        <v>4086</v>
      </c>
      <c r="AJ951" s="48" t="n">
        <f aca="false">IF($U951&gt;=STRUCT_S,MIN(INDEX($H$801:$H951,152-STRUCT_S):$H951),"")</f>
        <v>3280</v>
      </c>
      <c r="AK951" s="48" t="n">
        <f aca="false">IF($U951&gt;=STRUCT_L,MAX(INDEX($G$701:$G951,252-STRUCT_L):$G951),"")</f>
        <v>4086</v>
      </c>
      <c r="AL951" s="48" t="n">
        <f aca="false">IF($U951&gt;=STRUCT_L,MIN(INDEX($H$701:$H951,252-STRUCT_L):$H951),"")</f>
        <v>2834</v>
      </c>
      <c r="AM951" s="46" t="n">
        <f aca="false">IF($A951&lt;&gt;$A952,1,0)</f>
        <v>0</v>
      </c>
      <c r="AN951" s="47" t="str">
        <f aca="false">IF($AM951=1,$A951,"")</f>
        <v/>
      </c>
    </row>
    <row r="952" customFormat="false" ht="15" hidden="false" customHeight="false" outlineLevel="0" collapsed="false">
      <c r="A952" s="43" t="s">
        <v>147</v>
      </c>
      <c r="B952" s="44" t="s">
        <v>149</v>
      </c>
      <c r="C952" s="45" t="n">
        <v>46139</v>
      </c>
      <c r="D952" s="46" t="n">
        <v>20260427</v>
      </c>
      <c r="E952" s="47" t="s">
        <v>455</v>
      </c>
      <c r="F952" s="48" t="n">
        <v>3569</v>
      </c>
      <c r="G952" s="48" t="n">
        <v>3715</v>
      </c>
      <c r="H952" s="48" t="n">
        <v>3549</v>
      </c>
      <c r="I952" s="48" t="n">
        <v>3691</v>
      </c>
      <c r="J952" s="48" t="n">
        <v>3628</v>
      </c>
      <c r="K952" s="48" t="n">
        <v>3572</v>
      </c>
      <c r="L952" s="48" t="n">
        <v>68710014</v>
      </c>
      <c r="M952" s="48" t="n">
        <v>253608661674</v>
      </c>
      <c r="N952" s="48" t="n">
        <v>1589</v>
      </c>
      <c r="O952" s="48" t="n">
        <v>39218247</v>
      </c>
      <c r="P952" s="48" t="n">
        <v>30571115</v>
      </c>
      <c r="Q952" s="48" t="n">
        <v>650</v>
      </c>
      <c r="R952" s="48" t="n">
        <v>582</v>
      </c>
      <c r="S952" s="48" t="n">
        <v>29491767</v>
      </c>
      <c r="T952" s="48" t="n">
        <v>38138899</v>
      </c>
      <c r="U952" s="46" t="n">
        <f aca="false">IF($A952=$A951,$U951+1,1)</f>
        <v>168</v>
      </c>
      <c r="V952" s="48" t="n">
        <f aca="false">IF($U952&gt;=MA_SHORT,AVERAGE(INDEX($I$552:$I952,402-MA_SHORT):$I952),"")</f>
        <v>3735</v>
      </c>
      <c r="W952" s="48" t="n">
        <f aca="false">IF($U952&gt;=MA_MED,AVERAGE(INDEX($I$552:$I952,402-MA_MED):$I952),"")</f>
        <v>3475.12</v>
      </c>
      <c r="X952" s="48" t="n">
        <f aca="false">IF($U952&gt;=MA_LONG1,AVERAGE(INDEX($I$552:$I952,402-MA_LONG1):$I952),"")</f>
        <v>3252.22</v>
      </c>
      <c r="Y952" s="48" t="str">
        <f aca="false">IF($U952&gt;=MA_LONG2,AVERAGE(INDEX($I$552:$I952,402-MA_LONG2):$I952),"")</f>
        <v/>
      </c>
      <c r="Z952" s="48" t="n">
        <f aca="false">IF($U952&gt;=MA_SHORT,AVERAGE(INDEX($L$832:$L952,122-MA_SHORT):$L952),"")</f>
        <v>68057636.25</v>
      </c>
      <c r="AA952" s="48" t="n">
        <f aca="false">IF($U952=1,$G952-$H952,MAX($G952-$H952,ABS($G952-$I951),ABS($H952-$I951)))</f>
        <v>166</v>
      </c>
      <c r="AB952" s="48" t="n">
        <f aca="false">IF($U952&gt;=ATR_PER,AVERAGE(INDEX($AA$832:$AA952,122-ATR_PER):$AA952),"")</f>
        <v>170</v>
      </c>
      <c r="AC952" s="48" t="n">
        <f aca="false">$O952-$P952</f>
        <v>8647132</v>
      </c>
      <c r="AD952" s="48" t="n">
        <f aca="false">$AC952*$I952</f>
        <v>31916564212</v>
      </c>
      <c r="AE952" s="49" t="n">
        <f aca="false">IF($Q952&gt;0,$O952*$I952/$Q952/1000000,"")</f>
        <v>222.699307195385</v>
      </c>
      <c r="AF952" s="49" t="n">
        <f aca="false">IF($R952&gt;0,$P952*$I952/$R952/1000000,"")</f>
        <v>193.879700111684</v>
      </c>
      <c r="AG952" s="50" t="n">
        <f aca="false">IF(AND(ISNUMBER($AE952),ISNUMBER($AF952),$AF952&gt;0),$AE952/$AF952,"")</f>
        <v>1.14864685197625</v>
      </c>
      <c r="AH952" s="48" t="n">
        <f aca="false">IF($U952&gt;=5,SUM(INDEX($AD$922:$AD952,32-5):$AD952),"")</f>
        <v>-238020881612</v>
      </c>
      <c r="AI952" s="48" t="n">
        <f aca="false">IF($U952&gt;=STRUCT_S,MAX(INDEX($G$802:$G952,152-STRUCT_S):$G952),"")</f>
        <v>4086</v>
      </c>
      <c r="AJ952" s="48" t="n">
        <f aca="false">IF($U952&gt;=STRUCT_S,MIN(INDEX($H$802:$H952,152-STRUCT_S):$H952),"")</f>
        <v>3280</v>
      </c>
      <c r="AK952" s="48" t="n">
        <f aca="false">IF($U952&gt;=STRUCT_L,MAX(INDEX($G$702:$G952,252-STRUCT_L):$G952),"")</f>
        <v>4086</v>
      </c>
      <c r="AL952" s="48" t="n">
        <f aca="false">IF($U952&gt;=STRUCT_L,MIN(INDEX($H$702:$H952,252-STRUCT_L):$H952),"")</f>
        <v>2834</v>
      </c>
      <c r="AM952" s="46" t="n">
        <f aca="false">IF($A952&lt;&gt;$A953,1,0)</f>
        <v>0</v>
      </c>
      <c r="AN952" s="47" t="str">
        <f aca="false">IF($AM952=1,$A952,"")</f>
        <v/>
      </c>
    </row>
    <row r="953" customFormat="false" ht="15" hidden="false" customHeight="false" outlineLevel="0" collapsed="false">
      <c r="A953" s="43" t="s">
        <v>147</v>
      </c>
      <c r="B953" s="44" t="s">
        <v>149</v>
      </c>
      <c r="C953" s="45" t="n">
        <v>46140</v>
      </c>
      <c r="D953" s="46" t="n">
        <v>20260428</v>
      </c>
      <c r="E953" s="47" t="s">
        <v>456</v>
      </c>
      <c r="F953" s="48" t="n">
        <v>3649</v>
      </c>
      <c r="G953" s="48" t="n">
        <v>3745</v>
      </c>
      <c r="H953" s="48" t="n">
        <v>3535</v>
      </c>
      <c r="I953" s="48" t="n">
        <v>3588</v>
      </c>
      <c r="J953" s="48" t="n">
        <v>3646</v>
      </c>
      <c r="K953" s="48" t="n">
        <v>3691</v>
      </c>
      <c r="L953" s="48" t="n">
        <v>67799824</v>
      </c>
      <c r="M953" s="48" t="n">
        <v>243265768512</v>
      </c>
      <c r="N953" s="48" t="n">
        <v>2807</v>
      </c>
      <c r="O953" s="48" t="n">
        <v>21122766</v>
      </c>
      <c r="P953" s="48" t="n">
        <v>48254806</v>
      </c>
      <c r="Q953" s="48" t="n">
        <v>690</v>
      </c>
      <c r="R953" s="48" t="n">
        <v>1241</v>
      </c>
      <c r="S953" s="48" t="n">
        <v>46677058</v>
      </c>
      <c r="T953" s="48" t="n">
        <v>19545018</v>
      </c>
      <c r="U953" s="46" t="n">
        <f aca="false">IF($A953=$A952,$U952+1,1)</f>
        <v>169</v>
      </c>
      <c r="V953" s="48" t="n">
        <f aca="false">IF($U953&gt;=MA_SHORT,AVERAGE(INDEX($I$553:$I953,402-MA_SHORT):$I953),"")</f>
        <v>3736.5</v>
      </c>
      <c r="W953" s="48" t="n">
        <f aca="false">IF($U953&gt;=MA_MED,AVERAGE(INDEX($I$553:$I953,402-MA_MED):$I953),"")</f>
        <v>3488.1</v>
      </c>
      <c r="X953" s="48" t="n">
        <f aca="false">IF($U953&gt;=MA_LONG1,AVERAGE(INDEX($I$553:$I953,402-MA_LONG1):$I953),"")</f>
        <v>3257.93</v>
      </c>
      <c r="Y953" s="48" t="str">
        <f aca="false">IF($U953&gt;=MA_LONG2,AVERAGE(INDEX($I$553:$I953,402-MA_LONG2):$I953),"")</f>
        <v/>
      </c>
      <c r="Z953" s="48" t="n">
        <f aca="false">IF($U953&gt;=MA_SHORT,AVERAGE(INDEX($L$833:$L953,122-MA_SHORT):$L953),"")</f>
        <v>67743720.2</v>
      </c>
      <c r="AA953" s="48" t="n">
        <f aca="false">IF($U953=1,$G953-$H953,MAX($G953-$H953,ABS($G953-$I952),ABS($H953-$I952)))</f>
        <v>210</v>
      </c>
      <c r="AB953" s="48" t="n">
        <f aca="false">IF($U953&gt;=ATR_PER,AVERAGE(INDEX($AA$833:$AA953,122-ATR_PER):$AA953),"")</f>
        <v>181.071428571429</v>
      </c>
      <c r="AC953" s="48" t="n">
        <f aca="false">$O953-$P953</f>
        <v>-27132040</v>
      </c>
      <c r="AD953" s="48" t="n">
        <f aca="false">$AC953*$I953</f>
        <v>-97349759520</v>
      </c>
      <c r="AE953" s="49" t="n">
        <f aca="false">IF($Q953&gt;0,$O953*$I953/$Q953/1000000,"")</f>
        <v>109.8383832</v>
      </c>
      <c r="AF953" s="49" t="n">
        <f aca="false">IF($R953&gt;0,$P953*$I953/$R953/1000000,"")</f>
        <v>139.515103890411</v>
      </c>
      <c r="AG953" s="50" t="n">
        <f aca="false">IF(AND(ISNUMBER($AE953),ISNUMBER($AF953),$AF953&gt;0),$AE953/$AF953,"")</f>
        <v>0.787286681779473</v>
      </c>
      <c r="AH953" s="48" t="n">
        <f aca="false">IF($U953&gt;=5,SUM(INDEX($AD$923:$AD953,32-5):$AD953),"")</f>
        <v>-199372333622</v>
      </c>
      <c r="AI953" s="48" t="n">
        <f aca="false">IF($U953&gt;=STRUCT_S,MAX(INDEX($G$803:$G953,152-STRUCT_S):$G953),"")</f>
        <v>4086</v>
      </c>
      <c r="AJ953" s="48" t="n">
        <f aca="false">IF($U953&gt;=STRUCT_S,MIN(INDEX($H$803:$H953,152-STRUCT_S):$H953),"")</f>
        <v>3465</v>
      </c>
      <c r="AK953" s="48" t="n">
        <f aca="false">IF($U953&gt;=STRUCT_L,MAX(INDEX($G$703:$G953,252-STRUCT_L):$G953),"")</f>
        <v>4086</v>
      </c>
      <c r="AL953" s="48" t="n">
        <f aca="false">IF($U953&gt;=STRUCT_L,MIN(INDEX($H$703:$H953,252-STRUCT_L):$H953),"")</f>
        <v>2834</v>
      </c>
      <c r="AM953" s="46" t="n">
        <f aca="false">IF($A953&lt;&gt;$A954,1,0)</f>
        <v>0</v>
      </c>
      <c r="AN953" s="47" t="str">
        <f aca="false">IF($AM953=1,$A953,"")</f>
        <v/>
      </c>
    </row>
    <row r="954" customFormat="false" ht="15" hidden="false" customHeight="false" outlineLevel="0" collapsed="false">
      <c r="A954" s="43" t="s">
        <v>147</v>
      </c>
      <c r="B954" s="44" t="s">
        <v>149</v>
      </c>
      <c r="C954" s="45" t="n">
        <v>46141</v>
      </c>
      <c r="D954" s="46" t="n">
        <v>20260429</v>
      </c>
      <c r="E954" s="47" t="s">
        <v>457</v>
      </c>
      <c r="F954" s="48" t="n">
        <v>3631</v>
      </c>
      <c r="G954" s="48" t="n">
        <v>3642</v>
      </c>
      <c r="H954" s="48" t="n">
        <v>3505</v>
      </c>
      <c r="I954" s="48" t="n">
        <v>3558</v>
      </c>
      <c r="J954" s="48" t="n">
        <v>3636</v>
      </c>
      <c r="K954" s="48" t="n">
        <v>3588</v>
      </c>
      <c r="L954" s="48" t="n">
        <v>79587584</v>
      </c>
      <c r="M954" s="48" t="n">
        <v>283172623872</v>
      </c>
      <c r="N954" s="48" t="n">
        <v>5859</v>
      </c>
      <c r="O954" s="48" t="n">
        <v>34432400</v>
      </c>
      <c r="P954" s="48" t="n">
        <v>46042636</v>
      </c>
      <c r="Q954" s="48" t="n">
        <v>2074</v>
      </c>
      <c r="R954" s="48" t="n">
        <v>4178</v>
      </c>
      <c r="S954" s="48" t="n">
        <v>45155184</v>
      </c>
      <c r="T954" s="48" t="n">
        <v>33544948</v>
      </c>
      <c r="U954" s="46" t="n">
        <f aca="false">IF($A954=$A953,$U953+1,1)</f>
        <v>170</v>
      </c>
      <c r="V954" s="48" t="n">
        <f aca="false">IF($U954&gt;=MA_SHORT,AVERAGE(INDEX($I$554:$I954,402-MA_SHORT):$I954),"")</f>
        <v>3735</v>
      </c>
      <c r="W954" s="48" t="n">
        <f aca="false">IF($U954&gt;=MA_MED,AVERAGE(INDEX($I$554:$I954,402-MA_MED):$I954),"")</f>
        <v>3498.78</v>
      </c>
      <c r="X954" s="48" t="n">
        <f aca="false">IF($U954&gt;=MA_LONG1,AVERAGE(INDEX($I$554:$I954,402-MA_LONG1):$I954),"")</f>
        <v>3263.32</v>
      </c>
      <c r="Y954" s="48" t="str">
        <f aca="false">IF($U954&gt;=MA_LONG2,AVERAGE(INDEX($I$554:$I954,402-MA_LONG2):$I954),"")</f>
        <v/>
      </c>
      <c r="Z954" s="48" t="n">
        <f aca="false">IF($U954&gt;=MA_SHORT,AVERAGE(INDEX($L$834:$L954,122-MA_SHORT):$L954),"")</f>
        <v>68715065.8</v>
      </c>
      <c r="AA954" s="48" t="n">
        <f aca="false">IF($U954=1,$G954-$H954,MAX($G954-$H954,ABS($G954-$I953),ABS($H954-$I953)))</f>
        <v>137</v>
      </c>
      <c r="AB954" s="48" t="n">
        <f aca="false">IF($U954&gt;=ATR_PER,AVERAGE(INDEX($AA$834:$AA954,122-ATR_PER):$AA954),"")</f>
        <v>180.142857142857</v>
      </c>
      <c r="AC954" s="48" t="n">
        <f aca="false">$O954-$P954</f>
        <v>-11610236</v>
      </c>
      <c r="AD954" s="48" t="n">
        <f aca="false">$AC954*$I954</f>
        <v>-41309219688</v>
      </c>
      <c r="AE954" s="49" t="n">
        <f aca="false">IF($Q954&gt;0,$O954*$I954/$Q954/1000000,"")</f>
        <v>59.0696621022179</v>
      </c>
      <c r="AF954" s="49" t="n">
        <f aca="false">IF($R954&gt;0,$P954*$I954/$R954/1000000,"")</f>
        <v>39.2100763255146</v>
      </c>
      <c r="AG954" s="50" t="n">
        <f aca="false">IF(AND(ISNUMBER($AE954),ISNUMBER($AF954),$AF954&gt;0),$AE954/$AF954,"")</f>
        <v>1.50649189284491</v>
      </c>
      <c r="AH954" s="48" t="n">
        <f aca="false">IF($U954&gt;=5,SUM(INDEX($AD$924:$AD954,32-5):$AD954),"")</f>
        <v>-188073257066</v>
      </c>
      <c r="AI954" s="48" t="n">
        <f aca="false">IF($U954&gt;=STRUCT_S,MAX(INDEX($G$804:$G954,152-STRUCT_S):$G954),"")</f>
        <v>4086</v>
      </c>
      <c r="AJ954" s="48" t="n">
        <f aca="false">IF($U954&gt;=STRUCT_S,MIN(INDEX($H$804:$H954,152-STRUCT_S):$H954),"")</f>
        <v>3465</v>
      </c>
      <c r="AK954" s="48" t="n">
        <f aca="false">IF($U954&gt;=STRUCT_L,MAX(INDEX($G$704:$G954,252-STRUCT_L):$G954),"")</f>
        <v>4086</v>
      </c>
      <c r="AL954" s="48" t="n">
        <f aca="false">IF($U954&gt;=STRUCT_L,MIN(INDEX($H$704:$H954,252-STRUCT_L):$H954),"")</f>
        <v>2834</v>
      </c>
      <c r="AM954" s="46" t="n">
        <f aca="false">IF($A954&lt;&gt;$A955,1,0)</f>
        <v>0</v>
      </c>
      <c r="AN954" s="47" t="str">
        <f aca="false">IF($AM954=1,$A954,"")</f>
        <v/>
      </c>
    </row>
    <row r="955" customFormat="false" ht="15" hidden="false" customHeight="false" outlineLevel="0" collapsed="false">
      <c r="A955" s="43" t="s">
        <v>147</v>
      </c>
      <c r="B955" s="44" t="s">
        <v>149</v>
      </c>
      <c r="C955" s="45" t="n">
        <v>46144</v>
      </c>
      <c r="D955" s="46" t="n">
        <v>20260502</v>
      </c>
      <c r="E955" s="47" t="s">
        <v>458</v>
      </c>
      <c r="F955" s="48" t="n">
        <v>3515</v>
      </c>
      <c r="G955" s="48" t="n">
        <v>3643</v>
      </c>
      <c r="H955" s="48" t="n">
        <v>3341</v>
      </c>
      <c r="I955" s="48" t="n">
        <v>3423</v>
      </c>
      <c r="J955" s="48" t="n">
        <v>3583</v>
      </c>
      <c r="K955" s="48" t="n">
        <v>3558</v>
      </c>
      <c r="L955" s="48" t="n">
        <v>88725093</v>
      </c>
      <c r="M955" s="48" t="n">
        <v>303705993339</v>
      </c>
      <c r="N955" s="48" t="n">
        <v>2843</v>
      </c>
      <c r="O955" s="48" t="n">
        <v>31027752</v>
      </c>
      <c r="P955" s="48" t="n">
        <v>57984404</v>
      </c>
      <c r="Q955" s="48" t="n">
        <v>797</v>
      </c>
      <c r="R955" s="48" t="n">
        <v>1594</v>
      </c>
      <c r="S955" s="48" t="n">
        <v>57697341</v>
      </c>
      <c r="T955" s="48" t="n">
        <v>30740689</v>
      </c>
      <c r="U955" s="46" t="n">
        <f aca="false">IF($A955=$A954,$U954+1,1)</f>
        <v>171</v>
      </c>
      <c r="V955" s="48" t="n">
        <f aca="false">IF($U955&gt;=MA_SHORT,AVERAGE(INDEX($I$555:$I955,402-MA_SHORT):$I955),"")</f>
        <v>3722.95</v>
      </c>
      <c r="W955" s="48" t="n">
        <f aca="false">IF($U955&gt;=MA_MED,AVERAGE(INDEX($I$555:$I955,402-MA_MED):$I955),"")</f>
        <v>3508.16</v>
      </c>
      <c r="X955" s="48" t="n">
        <f aca="false">IF($U955&gt;=MA_LONG1,AVERAGE(INDEX($I$555:$I955,402-MA_LONG1):$I955),"")</f>
        <v>3268.59</v>
      </c>
      <c r="Y955" s="48" t="str">
        <f aca="false">IF($U955&gt;=MA_LONG2,AVERAGE(INDEX($I$555:$I955,402-MA_LONG2):$I955),"")</f>
        <v/>
      </c>
      <c r="Z955" s="48" t="n">
        <f aca="false">IF($U955&gt;=MA_SHORT,AVERAGE(INDEX($L$835:$L955,122-MA_SHORT):$L955),"")</f>
        <v>69924253</v>
      </c>
      <c r="AA955" s="48" t="n">
        <f aca="false">IF($U955=1,$G955-$H955,MAX($G955-$H955,ABS($G955-$I954),ABS($H955-$I954)))</f>
        <v>302</v>
      </c>
      <c r="AB955" s="48" t="n">
        <f aca="false">IF($U955&gt;=ATR_PER,AVERAGE(INDEX($AA$835:$AA955,122-ATR_PER):$AA955),"")</f>
        <v>189.714285714286</v>
      </c>
      <c r="AC955" s="48" t="n">
        <f aca="false">$O955-$P955</f>
        <v>-26956652</v>
      </c>
      <c r="AD955" s="48" t="n">
        <f aca="false">$AC955*$I955</f>
        <v>-92272619796</v>
      </c>
      <c r="AE955" s="49" t="n">
        <f aca="false">IF($Q955&gt;0,$O955*$I955/$Q955/1000000,"")</f>
        <v>133.259717811794</v>
      </c>
      <c r="AF955" s="49" t="n">
        <f aca="false">IF($R955&gt;0,$P955*$I955/$R955/1000000,"")</f>
        <v>124.517324273526</v>
      </c>
      <c r="AG955" s="50" t="n">
        <f aca="false">IF(AND(ISNUMBER($AE955),ISNUMBER($AF955),$AF955&gt;0),$AE955/$AF955,"")</f>
        <v>1.07021025860678</v>
      </c>
      <c r="AH955" s="48" t="n">
        <f aca="false">IF($U955&gt;=5,SUM(INDEX($AD$925:$AD955,32-5):$AD955),"")</f>
        <v>-295329189020</v>
      </c>
      <c r="AI955" s="48" t="n">
        <f aca="false">IF($U955&gt;=STRUCT_S,MAX(INDEX($G$805:$G955,152-STRUCT_S):$G955),"")</f>
        <v>4086</v>
      </c>
      <c r="AJ955" s="48" t="n">
        <f aca="false">IF($U955&gt;=STRUCT_S,MIN(INDEX($H$805:$H955,152-STRUCT_S):$H955),"")</f>
        <v>3341</v>
      </c>
      <c r="AK955" s="48" t="n">
        <f aca="false">IF($U955&gt;=STRUCT_L,MAX(INDEX($G$705:$G955,252-STRUCT_L):$G955),"")</f>
        <v>4086</v>
      </c>
      <c r="AL955" s="48" t="n">
        <f aca="false">IF($U955&gt;=STRUCT_L,MIN(INDEX($H$705:$H955,252-STRUCT_L):$H955),"")</f>
        <v>2834</v>
      </c>
      <c r="AM955" s="46" t="n">
        <f aca="false">IF($A955&lt;&gt;$A956,1,0)</f>
        <v>0</v>
      </c>
      <c r="AN955" s="47" t="str">
        <f aca="false">IF($AM955=1,$A955,"")</f>
        <v/>
      </c>
    </row>
    <row r="956" customFormat="false" ht="15" hidden="false" customHeight="false" outlineLevel="0" collapsed="false">
      <c r="A956" s="43" t="s">
        <v>147</v>
      </c>
      <c r="B956" s="44" t="s">
        <v>149</v>
      </c>
      <c r="C956" s="45" t="n">
        <v>46145</v>
      </c>
      <c r="D956" s="46" t="n">
        <v>20260503</v>
      </c>
      <c r="E956" s="47" t="s">
        <v>459</v>
      </c>
      <c r="F956" s="48" t="n">
        <v>3430</v>
      </c>
      <c r="G956" s="48" t="n">
        <v>3466</v>
      </c>
      <c r="H956" s="48" t="n">
        <v>3351</v>
      </c>
      <c r="I956" s="48" t="n">
        <v>3394</v>
      </c>
      <c r="J956" s="48" t="n">
        <v>3389</v>
      </c>
      <c r="K956" s="48" t="n">
        <v>3423</v>
      </c>
      <c r="L956" s="48" t="n">
        <v>60174551</v>
      </c>
      <c r="M956" s="48" t="n">
        <v>204232426094</v>
      </c>
      <c r="N956" s="48" t="n">
        <v>2431</v>
      </c>
      <c r="O956" s="48" t="n">
        <v>22034129</v>
      </c>
      <c r="P956" s="48" t="n">
        <v>36696512</v>
      </c>
      <c r="Q956" s="48" t="n">
        <v>651</v>
      </c>
      <c r="R956" s="48" t="n">
        <v>1211</v>
      </c>
      <c r="S956" s="48" t="n">
        <v>38140422</v>
      </c>
      <c r="T956" s="48" t="n">
        <v>23478039</v>
      </c>
      <c r="U956" s="46" t="n">
        <f aca="false">IF($A956=$A955,$U955+1,1)</f>
        <v>172</v>
      </c>
      <c r="V956" s="48" t="n">
        <f aca="false">IF($U956&gt;=MA_SHORT,AVERAGE(INDEX($I$556:$I956,402-MA_SHORT):$I956),"")</f>
        <v>3709.65</v>
      </c>
      <c r="W956" s="48" t="n">
        <f aca="false">IF($U956&gt;=MA_MED,AVERAGE(INDEX($I$556:$I956,402-MA_MED):$I956),"")</f>
        <v>3517.7</v>
      </c>
      <c r="X956" s="48" t="n">
        <f aca="false">IF($U956&gt;=MA_LONG1,AVERAGE(INDEX($I$556:$I956,402-MA_LONG1):$I956),"")</f>
        <v>3273.99</v>
      </c>
      <c r="Y956" s="48" t="str">
        <f aca="false">IF($U956&gt;=MA_LONG2,AVERAGE(INDEX($I$556:$I956,402-MA_LONG2):$I956),"")</f>
        <v/>
      </c>
      <c r="Z956" s="48" t="n">
        <f aca="false">IF($U956&gt;=MA_SHORT,AVERAGE(INDEX($L$836:$L956,122-MA_SHORT):$L956),"")</f>
        <v>70051041.6</v>
      </c>
      <c r="AA956" s="48" t="n">
        <f aca="false">IF($U956=1,$G956-$H956,MAX($G956-$H956,ABS($G956-$I955),ABS($H956-$I955)))</f>
        <v>115</v>
      </c>
      <c r="AB956" s="48" t="n">
        <f aca="false">IF($U956&gt;=ATR_PER,AVERAGE(INDEX($AA$836:$AA956,122-ATR_PER):$AA956),"")</f>
        <v>181.285714285714</v>
      </c>
      <c r="AC956" s="48" t="n">
        <f aca="false">$O956-$P956</f>
        <v>-14662383</v>
      </c>
      <c r="AD956" s="48" t="n">
        <f aca="false">$AC956*$I956</f>
        <v>-49764127902</v>
      </c>
      <c r="AE956" s="49" t="n">
        <f aca="false">IF($Q956&gt;0,$O956*$I956/$Q956/1000000,"")</f>
        <v>114.875320777266</v>
      </c>
      <c r="AF956" s="49" t="n">
        <f aca="false">IF($R956&gt;0,$P956*$I956/$R956/1000000,"")</f>
        <v>102.847202087531</v>
      </c>
      <c r="AG956" s="50" t="n">
        <f aca="false">IF(AND(ISNUMBER($AE956),ISNUMBER($AF956),$AF956&gt;0),$AE956/$AF956,"")</f>
        <v>1.11695134574004</v>
      </c>
      <c r="AH956" s="48" t="n">
        <f aca="false">IF($U956&gt;=5,SUM(INDEX($AD$926:$AD956,32-5):$AD956),"")</f>
        <v>-248779162694</v>
      </c>
      <c r="AI956" s="48" t="n">
        <f aca="false">IF($U956&gt;=STRUCT_S,MAX(INDEX($G$806:$G956,152-STRUCT_S):$G956),"")</f>
        <v>4086</v>
      </c>
      <c r="AJ956" s="48" t="n">
        <f aca="false">IF($U956&gt;=STRUCT_S,MIN(INDEX($H$806:$H956,152-STRUCT_S):$H956),"")</f>
        <v>3341</v>
      </c>
      <c r="AK956" s="48" t="n">
        <f aca="false">IF($U956&gt;=STRUCT_L,MAX(INDEX($G$706:$G956,252-STRUCT_L):$G956),"")</f>
        <v>4086</v>
      </c>
      <c r="AL956" s="48" t="n">
        <f aca="false">IF($U956&gt;=STRUCT_L,MIN(INDEX($H$706:$H956,252-STRUCT_L):$H956),"")</f>
        <v>2834</v>
      </c>
      <c r="AM956" s="46" t="n">
        <f aca="false">IF($A956&lt;&gt;$A957,1,0)</f>
        <v>0</v>
      </c>
      <c r="AN956" s="47" t="str">
        <f aca="false">IF($AM956=1,$A956,"")</f>
        <v/>
      </c>
    </row>
    <row r="957" customFormat="false" ht="15" hidden="false" customHeight="false" outlineLevel="0" collapsed="false">
      <c r="A957" s="43" t="s">
        <v>147</v>
      </c>
      <c r="B957" s="44" t="s">
        <v>149</v>
      </c>
      <c r="C957" s="45" t="n">
        <v>46146</v>
      </c>
      <c r="D957" s="46" t="n">
        <v>20260504</v>
      </c>
      <c r="E957" s="47" t="s">
        <v>460</v>
      </c>
      <c r="F957" s="48" t="n">
        <v>3334</v>
      </c>
      <c r="G957" s="48" t="n">
        <v>3406</v>
      </c>
      <c r="H957" s="48" t="n">
        <v>3330</v>
      </c>
      <c r="I957" s="48" t="n">
        <v>3342</v>
      </c>
      <c r="J957" s="48" t="n">
        <v>3335</v>
      </c>
      <c r="K957" s="48" t="n">
        <v>3394</v>
      </c>
      <c r="L957" s="48" t="n">
        <v>62527764</v>
      </c>
      <c r="M957" s="48" t="n">
        <v>208967787288</v>
      </c>
      <c r="N957" s="48" t="n">
        <v>3501</v>
      </c>
      <c r="O957" s="48" t="n">
        <v>22299787</v>
      </c>
      <c r="P957" s="48" t="n">
        <v>40261769</v>
      </c>
      <c r="Q957" s="48" t="n">
        <v>1210</v>
      </c>
      <c r="R957" s="48" t="n">
        <v>2240</v>
      </c>
      <c r="S957" s="48" t="n">
        <v>40227977</v>
      </c>
      <c r="T957" s="48" t="n">
        <v>22265995</v>
      </c>
      <c r="U957" s="46" t="n">
        <f aca="false">IF($A957=$A956,$U956+1,1)</f>
        <v>173</v>
      </c>
      <c r="V957" s="48" t="n">
        <f aca="false">IF($U957&gt;=MA_SHORT,AVERAGE(INDEX($I$557:$I957,402-MA_SHORT):$I957),"")</f>
        <v>3695.3</v>
      </c>
      <c r="W957" s="48" t="n">
        <f aca="false">IF($U957&gt;=MA_MED,AVERAGE(INDEX($I$557:$I957,402-MA_MED):$I957),"")</f>
        <v>3526.44</v>
      </c>
      <c r="X957" s="48" t="n">
        <f aca="false">IF($U957&gt;=MA_LONG1,AVERAGE(INDEX($I$557:$I957,402-MA_LONG1):$I957),"")</f>
        <v>3278.3</v>
      </c>
      <c r="Y957" s="48" t="str">
        <f aca="false">IF($U957&gt;=MA_LONG2,AVERAGE(INDEX($I$557:$I957,402-MA_LONG2):$I957),"")</f>
        <v/>
      </c>
      <c r="Z957" s="48" t="n">
        <f aca="false">IF($U957&gt;=MA_SHORT,AVERAGE(INDEX($L$837:$L957,122-MA_SHORT):$L957),"")</f>
        <v>70168739.25</v>
      </c>
      <c r="AA957" s="48" t="n">
        <f aca="false">IF($U957=1,$G957-$H957,MAX($G957-$H957,ABS($G957-$I956),ABS($H957-$I956)))</f>
        <v>76</v>
      </c>
      <c r="AB957" s="48" t="n">
        <f aca="false">IF($U957&gt;=ATR_PER,AVERAGE(INDEX($AA$837:$AA957,122-ATR_PER):$AA957),"")</f>
        <v>175</v>
      </c>
      <c r="AC957" s="48" t="n">
        <f aca="false">$O957-$P957</f>
        <v>-17961982</v>
      </c>
      <c r="AD957" s="48" t="n">
        <f aca="false">$AC957*$I957</f>
        <v>-60028943844</v>
      </c>
      <c r="AE957" s="49" t="n">
        <f aca="false">IF($Q957&gt;0,$O957*$I957/$Q957/1000000,"")</f>
        <v>61.5916431024793</v>
      </c>
      <c r="AF957" s="49" t="n">
        <f aca="false">IF($R957&gt;0,$P957*$I957/$R957/1000000,"")</f>
        <v>60.0691214276786</v>
      </c>
      <c r="AG957" s="50" t="n">
        <f aca="false">IF(AND(ISNUMBER($AE957),ISNUMBER($AF957),$AF957&gt;0),$AE957/$AF957,"")</f>
        <v>1.02534616186511</v>
      </c>
      <c r="AH957" s="48" t="n">
        <f aca="false">IF($U957&gt;=5,SUM(INDEX($AD$927:$AD957,32-5):$AD957),"")</f>
        <v>-340724670750</v>
      </c>
      <c r="AI957" s="48" t="n">
        <f aca="false">IF($U957&gt;=STRUCT_S,MAX(INDEX($G$807:$G957,152-STRUCT_S):$G957),"")</f>
        <v>4086</v>
      </c>
      <c r="AJ957" s="48" t="n">
        <f aca="false">IF($U957&gt;=STRUCT_S,MIN(INDEX($H$807:$H957,152-STRUCT_S):$H957),"")</f>
        <v>3330</v>
      </c>
      <c r="AK957" s="48" t="n">
        <f aca="false">IF($U957&gt;=STRUCT_L,MAX(INDEX($G$707:$G957,252-STRUCT_L):$G957),"")</f>
        <v>4086</v>
      </c>
      <c r="AL957" s="48" t="n">
        <f aca="false">IF($U957&gt;=STRUCT_L,MIN(INDEX($H$707:$H957,252-STRUCT_L):$H957),"")</f>
        <v>2834</v>
      </c>
      <c r="AM957" s="46" t="n">
        <f aca="false">IF($A957&lt;&gt;$A958,1,0)</f>
        <v>0</v>
      </c>
      <c r="AN957" s="47" t="str">
        <f aca="false">IF($AM957=1,$A957,"")</f>
        <v/>
      </c>
    </row>
    <row r="958" customFormat="false" ht="15" hidden="false" customHeight="false" outlineLevel="0" collapsed="false">
      <c r="A958" s="43" t="s">
        <v>147</v>
      </c>
      <c r="B958" s="44" t="s">
        <v>149</v>
      </c>
      <c r="C958" s="45" t="n">
        <v>46147</v>
      </c>
      <c r="D958" s="46" t="n">
        <v>20260505</v>
      </c>
      <c r="E958" s="47" t="s">
        <v>461</v>
      </c>
      <c r="F958" s="48" t="n">
        <v>3398</v>
      </c>
      <c r="G958" s="48" t="n">
        <v>3420</v>
      </c>
      <c r="H958" s="48" t="n">
        <v>3328</v>
      </c>
      <c r="I958" s="48" t="n">
        <v>3406</v>
      </c>
      <c r="J958" s="48" t="n">
        <v>3328</v>
      </c>
      <c r="K958" s="48" t="n">
        <v>3342</v>
      </c>
      <c r="L958" s="48" t="n">
        <v>63843359</v>
      </c>
      <c r="M958" s="48" t="n">
        <v>217450480754</v>
      </c>
      <c r="N958" s="48" t="n">
        <v>1951</v>
      </c>
      <c r="O958" s="48" t="n">
        <v>31998512</v>
      </c>
      <c r="P958" s="48" t="n">
        <v>36151692</v>
      </c>
      <c r="Q958" s="48" t="n">
        <v>924</v>
      </c>
      <c r="R958" s="48" t="n">
        <v>687</v>
      </c>
      <c r="S958" s="48" t="n">
        <v>31844847</v>
      </c>
      <c r="T958" s="48" t="n">
        <v>27691667</v>
      </c>
      <c r="U958" s="46" t="n">
        <f aca="false">IF($A958=$A957,$U957+1,1)</f>
        <v>174</v>
      </c>
      <c r="V958" s="48" t="n">
        <f aca="false">IF($U958&gt;=MA_SHORT,AVERAGE(INDEX($I$558:$I958,402-MA_SHORT):$I958),"")</f>
        <v>3682.8</v>
      </c>
      <c r="W958" s="48" t="n">
        <f aca="false">IF($U958&gt;=MA_MED,AVERAGE(INDEX($I$558:$I958,402-MA_MED):$I958),"")</f>
        <v>3534.98</v>
      </c>
      <c r="X958" s="48" t="n">
        <f aca="false">IF($U958&gt;=MA_LONG1,AVERAGE(INDEX($I$558:$I958,402-MA_LONG1):$I958),"")</f>
        <v>3284.3</v>
      </c>
      <c r="Y958" s="48" t="str">
        <f aca="false">IF($U958&gt;=MA_LONG2,AVERAGE(INDEX($I$558:$I958,402-MA_LONG2):$I958),"")</f>
        <v/>
      </c>
      <c r="Z958" s="48" t="n">
        <f aca="false">IF($U958&gt;=MA_SHORT,AVERAGE(INDEX($L$838:$L958,122-MA_SHORT):$L958),"")</f>
        <v>70214928.65</v>
      </c>
      <c r="AA958" s="48" t="n">
        <f aca="false">IF($U958=1,$G958-$H958,MAX($G958-$H958,ABS($G958-$I957),ABS($H958-$I957)))</f>
        <v>92</v>
      </c>
      <c r="AB958" s="48" t="n">
        <f aca="false">IF($U958&gt;=ATR_PER,AVERAGE(INDEX($AA$838:$AA958,122-ATR_PER):$AA958),"")</f>
        <v>172.571428571429</v>
      </c>
      <c r="AC958" s="48" t="n">
        <f aca="false">$O958-$P958</f>
        <v>-4153180</v>
      </c>
      <c r="AD958" s="48" t="n">
        <f aca="false">$AC958*$I958</f>
        <v>-14145731080</v>
      </c>
      <c r="AE958" s="49" t="n">
        <f aca="false">IF($Q958&gt;0,$O958*$I958/$Q958/1000000,"")</f>
        <v>117.951224969697</v>
      </c>
      <c r="AF958" s="49" t="n">
        <f aca="false">IF($R958&gt;0,$P958*$I958/$R958/1000000,"")</f>
        <v>179.232406043668</v>
      </c>
      <c r="AG958" s="50" t="n">
        <f aca="false">IF(AND(ISNUMBER($AE958),ISNUMBER($AF958),$AF958&gt;0),$AE958/$AF958,"")</f>
        <v>0.658090953379041</v>
      </c>
      <c r="AH958" s="48" t="n">
        <f aca="false">IF($U958&gt;=5,SUM(INDEX($AD$928:$AD958,32-5):$AD958),"")</f>
        <v>-257520642310</v>
      </c>
      <c r="AI958" s="48" t="n">
        <f aca="false">IF($U958&gt;=STRUCT_S,MAX(INDEX($G$808:$G958,152-STRUCT_S):$G958),"")</f>
        <v>4086</v>
      </c>
      <c r="AJ958" s="48" t="n">
        <f aca="false">IF($U958&gt;=STRUCT_S,MIN(INDEX($H$808:$H958,152-STRUCT_S):$H958),"")</f>
        <v>3328</v>
      </c>
      <c r="AK958" s="48" t="n">
        <f aca="false">IF($U958&gt;=STRUCT_L,MAX(INDEX($G$708:$G958,252-STRUCT_L):$G958),"")</f>
        <v>4086</v>
      </c>
      <c r="AL958" s="48" t="n">
        <f aca="false">IF($U958&gt;=STRUCT_L,MIN(INDEX($H$708:$H958,252-STRUCT_L):$H958),"")</f>
        <v>2834</v>
      </c>
      <c r="AM958" s="46" t="n">
        <f aca="false">IF($A958&lt;&gt;$A959,1,0)</f>
        <v>0</v>
      </c>
      <c r="AN958" s="47" t="str">
        <f aca="false">IF($AM958=1,$A958,"")</f>
        <v/>
      </c>
    </row>
    <row r="959" customFormat="false" ht="15" hidden="false" customHeight="false" outlineLevel="0" collapsed="false">
      <c r="A959" s="43" t="s">
        <v>147</v>
      </c>
      <c r="B959" s="44" t="s">
        <v>149</v>
      </c>
      <c r="C959" s="45" t="n">
        <v>46148</v>
      </c>
      <c r="D959" s="46" t="n">
        <v>20260506</v>
      </c>
      <c r="E959" s="47" t="s">
        <v>462</v>
      </c>
      <c r="F959" s="48" t="n">
        <v>3371</v>
      </c>
      <c r="G959" s="48" t="n">
        <v>3424</v>
      </c>
      <c r="H959" s="48" t="n">
        <v>3360</v>
      </c>
      <c r="I959" s="48" t="n">
        <v>3377</v>
      </c>
      <c r="J959" s="48" t="n">
        <v>3391</v>
      </c>
      <c r="K959" s="48" t="n">
        <v>3406</v>
      </c>
      <c r="L959" s="48" t="n">
        <v>60189080</v>
      </c>
      <c r="M959" s="48" t="n">
        <v>203258523160</v>
      </c>
      <c r="N959" s="48" t="n">
        <v>1788</v>
      </c>
      <c r="O959" s="48" t="n">
        <v>19784550</v>
      </c>
      <c r="P959" s="48" t="n">
        <v>43646888</v>
      </c>
      <c r="Q959" s="48" t="n">
        <v>384</v>
      </c>
      <c r="R959" s="48" t="n">
        <v>853</v>
      </c>
      <c r="S959" s="48" t="n">
        <v>40404530</v>
      </c>
      <c r="T959" s="48" t="n">
        <v>16542192</v>
      </c>
      <c r="U959" s="46" t="n">
        <f aca="false">IF($A959=$A958,$U958+1,1)</f>
        <v>175</v>
      </c>
      <c r="V959" s="48" t="n">
        <f aca="false">IF($U959&gt;=MA_SHORT,AVERAGE(INDEX($I$559:$I959,402-MA_SHORT):$I959),"")</f>
        <v>3667.2</v>
      </c>
      <c r="W959" s="48" t="n">
        <f aca="false">IF($U959&gt;=MA_MED,AVERAGE(INDEX($I$559:$I959,402-MA_MED):$I959),"")</f>
        <v>3540.58</v>
      </c>
      <c r="X959" s="48" t="n">
        <f aca="false">IF($U959&gt;=MA_LONG1,AVERAGE(INDEX($I$559:$I959,402-MA_LONG1):$I959),"")</f>
        <v>3290.29</v>
      </c>
      <c r="Y959" s="48" t="str">
        <f aca="false">IF($U959&gt;=MA_LONG2,AVERAGE(INDEX($I$559:$I959,402-MA_LONG2):$I959),"")</f>
        <v/>
      </c>
      <c r="Z959" s="48" t="n">
        <f aca="false">IF($U959&gt;=MA_SHORT,AVERAGE(INDEX($L$839:$L959,122-MA_SHORT):$L959),"")</f>
        <v>69788189.15</v>
      </c>
      <c r="AA959" s="48" t="n">
        <f aca="false">IF($U959=1,$G959-$H959,MAX($G959-$H959,ABS($G959-$I958),ABS($H959-$I958)))</f>
        <v>64</v>
      </c>
      <c r="AB959" s="48" t="n">
        <f aca="false">IF($U959&gt;=ATR_PER,AVERAGE(INDEX($AA$839:$AA959,122-ATR_PER):$AA959),"")</f>
        <v>168</v>
      </c>
      <c r="AC959" s="48" t="n">
        <f aca="false">$O959-$P959</f>
        <v>-23862338</v>
      </c>
      <c r="AD959" s="48" t="n">
        <f aca="false">$AC959*$I959</f>
        <v>-80583115426</v>
      </c>
      <c r="AE959" s="49" t="n">
        <f aca="false">IF($Q959&gt;0,$O959*$I959/$Q959/1000000,"")</f>
        <v>173.990691015625</v>
      </c>
      <c r="AF959" s="49" t="n">
        <f aca="false">IF($R959&gt;0,$P959*$I959/$R959/1000000,"")</f>
        <v>172.796648037515</v>
      </c>
      <c r="AG959" s="50" t="n">
        <f aca="false">IF(AND(ISNUMBER($AE959),ISNUMBER($AF959),$AF959&gt;0),$AE959/$AF959,"")</f>
        <v>1.00691010497988</v>
      </c>
      <c r="AH959" s="48" t="n">
        <f aca="false">IF($U959&gt;=5,SUM(INDEX($AD$929:$AD959,32-5):$AD959),"")</f>
        <v>-296794538048</v>
      </c>
      <c r="AI959" s="48" t="n">
        <f aca="false">IF($U959&gt;=STRUCT_S,MAX(INDEX($G$809:$G959,152-STRUCT_S):$G959),"")</f>
        <v>4086</v>
      </c>
      <c r="AJ959" s="48" t="n">
        <f aca="false">IF($U959&gt;=STRUCT_S,MIN(INDEX($H$809:$H959,152-STRUCT_S):$H959),"")</f>
        <v>3328</v>
      </c>
      <c r="AK959" s="48" t="n">
        <f aca="false">IF($U959&gt;=STRUCT_L,MAX(INDEX($G$709:$G959,252-STRUCT_L):$G959),"")</f>
        <v>4086</v>
      </c>
      <c r="AL959" s="48" t="n">
        <f aca="false">IF($U959&gt;=STRUCT_L,MIN(INDEX($H$709:$H959,252-STRUCT_L):$H959),"")</f>
        <v>2834</v>
      </c>
      <c r="AM959" s="46" t="n">
        <f aca="false">IF($A959&lt;&gt;$A960,1,0)</f>
        <v>0</v>
      </c>
      <c r="AN959" s="47" t="str">
        <f aca="false">IF($AM959=1,$A959,"")</f>
        <v/>
      </c>
    </row>
    <row r="960" customFormat="false" ht="15" hidden="false" customHeight="false" outlineLevel="0" collapsed="false">
      <c r="A960" s="43" t="s">
        <v>147</v>
      </c>
      <c r="B960" s="44" t="s">
        <v>149</v>
      </c>
      <c r="C960" s="45" t="n">
        <v>46151</v>
      </c>
      <c r="D960" s="46" t="n">
        <v>20260509</v>
      </c>
      <c r="E960" s="47" t="s">
        <v>463</v>
      </c>
      <c r="F960" s="48" t="n">
        <v>3245</v>
      </c>
      <c r="G960" s="48" t="n">
        <v>3391</v>
      </c>
      <c r="H960" s="48" t="n">
        <v>3240</v>
      </c>
      <c r="I960" s="48" t="n">
        <v>3253</v>
      </c>
      <c r="J960" s="48" t="n">
        <v>3311</v>
      </c>
      <c r="K960" s="48" t="n">
        <v>3377</v>
      </c>
      <c r="L960" s="48" t="n">
        <v>69879675</v>
      </c>
      <c r="M960" s="48" t="n">
        <v>227318582775</v>
      </c>
      <c r="N960" s="48" t="n">
        <v>1918</v>
      </c>
      <c r="O960" s="48" t="n">
        <v>15088074</v>
      </c>
      <c r="P960" s="48" t="n">
        <v>55106772</v>
      </c>
      <c r="Q960" s="48" t="n">
        <v>527</v>
      </c>
      <c r="R960" s="48" t="n">
        <v>1182</v>
      </c>
      <c r="S960" s="48" t="n">
        <v>54791601</v>
      </c>
      <c r="T960" s="48" t="n">
        <v>14772903</v>
      </c>
      <c r="U960" s="46" t="n">
        <f aca="false">IF($A960=$A959,$U959+1,1)</f>
        <v>176</v>
      </c>
      <c r="V960" s="48" t="n">
        <f aca="false">IF($U960&gt;=MA_SHORT,AVERAGE(INDEX($I$560:$I960,402-MA_SHORT):$I960),"")</f>
        <v>3640.8</v>
      </c>
      <c r="W960" s="48" t="n">
        <f aca="false">IF($U960&gt;=MA_MED,AVERAGE(INDEX($I$560:$I960,402-MA_MED):$I960),"")</f>
        <v>3541.54</v>
      </c>
      <c r="X960" s="48" t="n">
        <f aca="false">IF($U960&gt;=MA_LONG1,AVERAGE(INDEX($I$560:$I960,402-MA_LONG1):$I960),"")</f>
        <v>3294.31</v>
      </c>
      <c r="Y960" s="48" t="str">
        <f aca="false">IF($U960&gt;=MA_LONG2,AVERAGE(INDEX($I$560:$I960,402-MA_LONG2):$I960),"")</f>
        <v/>
      </c>
      <c r="Z960" s="48" t="n">
        <f aca="false">IF($U960&gt;=MA_SHORT,AVERAGE(INDEX($L$840:$L960,122-MA_SHORT):$L960),"")</f>
        <v>69905111.3</v>
      </c>
      <c r="AA960" s="48" t="n">
        <f aca="false">IF($U960=1,$G960-$H960,MAX($G960-$H960,ABS($G960-$I959),ABS($H960-$I959)))</f>
        <v>151</v>
      </c>
      <c r="AB960" s="48" t="n">
        <f aca="false">IF($U960&gt;=ATR_PER,AVERAGE(INDEX($AA$840:$AA960,122-ATR_PER):$AA960),"")</f>
        <v>161.785714285714</v>
      </c>
      <c r="AC960" s="48" t="n">
        <f aca="false">$O960-$P960</f>
        <v>-40018698</v>
      </c>
      <c r="AD960" s="48" t="n">
        <f aca="false">$AC960*$I960</f>
        <v>-130180824594</v>
      </c>
      <c r="AE960" s="49" t="n">
        <f aca="false">IF($Q960&gt;0,$O960*$I960/$Q960/1000000,"")</f>
        <v>93.1337850512334</v>
      </c>
      <c r="AF960" s="49" t="n">
        <f aca="false">IF($R960&gt;0,$P960*$I960/$R960/1000000,"")</f>
        <v>151.660177086294</v>
      </c>
      <c r="AG960" s="50" t="n">
        <f aca="false">IF(AND(ISNUMBER($AE960),ISNUMBER($AF960),$AF960&gt;0),$AE960/$AF960,"")</f>
        <v>0.614095188602084</v>
      </c>
      <c r="AH960" s="48" t="n">
        <f aca="false">IF($U960&gt;=5,SUM(INDEX($AD$930:$AD960,32-5):$AD960),"")</f>
        <v>-334702742846</v>
      </c>
      <c r="AI960" s="48" t="n">
        <f aca="false">IF($U960&gt;=STRUCT_S,MAX(INDEX($G$810:$G960,152-STRUCT_S):$G960),"")</f>
        <v>4086</v>
      </c>
      <c r="AJ960" s="48" t="n">
        <f aca="false">IF($U960&gt;=STRUCT_S,MIN(INDEX($H$810:$H960,152-STRUCT_S):$H960),"")</f>
        <v>3240</v>
      </c>
      <c r="AK960" s="48" t="n">
        <f aca="false">IF($U960&gt;=STRUCT_L,MAX(INDEX($G$710:$G960,252-STRUCT_L):$G960),"")</f>
        <v>4086</v>
      </c>
      <c r="AL960" s="48" t="n">
        <f aca="false">IF($U960&gt;=STRUCT_L,MIN(INDEX($H$710:$H960,252-STRUCT_L):$H960),"")</f>
        <v>2834</v>
      </c>
      <c r="AM960" s="46" t="n">
        <f aca="false">IF($A960&lt;&gt;$A961,1,0)</f>
        <v>0</v>
      </c>
      <c r="AN960" s="47" t="str">
        <f aca="false">IF($AM960=1,$A960,"")</f>
        <v/>
      </c>
    </row>
    <row r="961" customFormat="false" ht="15" hidden="false" customHeight="false" outlineLevel="0" collapsed="false">
      <c r="A961" s="43" t="s">
        <v>147</v>
      </c>
      <c r="B961" s="44" t="s">
        <v>149</v>
      </c>
      <c r="C961" s="45" t="n">
        <v>46152</v>
      </c>
      <c r="D961" s="46" t="n">
        <v>20260510</v>
      </c>
      <c r="E961" s="47" t="s">
        <v>464</v>
      </c>
      <c r="F961" s="48" t="n">
        <v>3201</v>
      </c>
      <c r="G961" s="48" t="n">
        <v>3378</v>
      </c>
      <c r="H961" s="48" t="n">
        <v>3188</v>
      </c>
      <c r="I961" s="48" t="n">
        <v>3312</v>
      </c>
      <c r="J961" s="48" t="n">
        <v>3243</v>
      </c>
      <c r="K961" s="48" t="n">
        <v>3253</v>
      </c>
      <c r="L961" s="48" t="n">
        <v>100122676</v>
      </c>
      <c r="M961" s="48" t="n">
        <v>331606302912</v>
      </c>
      <c r="N961" s="48" t="n">
        <v>2742</v>
      </c>
      <c r="O961" s="48" t="n">
        <v>50818127</v>
      </c>
      <c r="P961" s="48" t="n">
        <v>46723994</v>
      </c>
      <c r="Q961" s="48" t="n">
        <v>1132</v>
      </c>
      <c r="R961" s="48" t="n">
        <v>1054</v>
      </c>
      <c r="S961" s="48" t="n">
        <v>49304549</v>
      </c>
      <c r="T961" s="48" t="n">
        <v>53398682</v>
      </c>
      <c r="U961" s="46" t="n">
        <f aca="false">IF($A961=$A960,$U960+1,1)</f>
        <v>177</v>
      </c>
      <c r="V961" s="48" t="n">
        <f aca="false">IF($U961&gt;=MA_SHORT,AVERAGE(INDEX($I$561:$I961,402-MA_SHORT):$I961),"")</f>
        <v>3612.55</v>
      </c>
      <c r="W961" s="48" t="n">
        <f aca="false">IF($U961&gt;=MA_MED,AVERAGE(INDEX($I$561:$I961,402-MA_MED):$I961),"")</f>
        <v>3542.62</v>
      </c>
      <c r="X961" s="48" t="n">
        <f aca="false">IF($U961&gt;=MA_LONG1,AVERAGE(INDEX($I$561:$I961,402-MA_LONG1):$I961),"")</f>
        <v>3299.83</v>
      </c>
      <c r="Y961" s="48" t="str">
        <f aca="false">IF($U961&gt;=MA_LONG2,AVERAGE(INDEX($I$561:$I961,402-MA_LONG2):$I961),"")</f>
        <v/>
      </c>
      <c r="Z961" s="48" t="n">
        <f aca="false">IF($U961&gt;=MA_SHORT,AVERAGE(INDEX($L$841:$L961,122-MA_SHORT):$L961),"")</f>
        <v>71143628.8</v>
      </c>
      <c r="AA961" s="48" t="n">
        <f aca="false">IF($U961=1,$G961-$H961,MAX($G961-$H961,ABS($G961-$I960),ABS($H961-$I960)))</f>
        <v>190</v>
      </c>
      <c r="AB961" s="48" t="n">
        <f aca="false">IF($U961&gt;=ATR_PER,AVERAGE(INDEX($AA$841:$AA961,122-ATR_PER):$AA961),"")</f>
        <v>164.571428571429</v>
      </c>
      <c r="AC961" s="48" t="n">
        <f aca="false">$O961-$P961</f>
        <v>4094133</v>
      </c>
      <c r="AD961" s="48" t="n">
        <f aca="false">$AC961*$I961</f>
        <v>13559768496</v>
      </c>
      <c r="AE961" s="49" t="n">
        <f aca="false">IF($Q961&gt;0,$O961*$I961/$Q961/1000000,"")</f>
        <v>148.683424579505</v>
      </c>
      <c r="AF961" s="49" t="n">
        <f aca="false">IF($R961&gt;0,$P961*$I961/$R961/1000000,"")</f>
        <v>146.821506762808</v>
      </c>
      <c r="AG961" s="50" t="n">
        <f aca="false">IF(AND(ISNUMBER($AE961),ISNUMBER($AF961),$AF961&gt;0),$AE961/$AF961,"")</f>
        <v>1.01268150598471</v>
      </c>
      <c r="AH961" s="48" t="n">
        <f aca="false">IF($U961&gt;=5,SUM(INDEX($AD$931:$AD961,32-5):$AD961),"")</f>
        <v>-271378846448</v>
      </c>
      <c r="AI961" s="48" t="n">
        <f aca="false">IF($U961&gt;=STRUCT_S,MAX(INDEX($G$811:$G961,152-STRUCT_S):$G961),"")</f>
        <v>4086</v>
      </c>
      <c r="AJ961" s="48" t="n">
        <f aca="false">IF($U961&gt;=STRUCT_S,MIN(INDEX($H$811:$H961,152-STRUCT_S):$H961),"")</f>
        <v>3188</v>
      </c>
      <c r="AK961" s="48" t="n">
        <f aca="false">IF($U961&gt;=STRUCT_L,MAX(INDEX($G$711:$G961,252-STRUCT_L):$G961),"")</f>
        <v>4086</v>
      </c>
      <c r="AL961" s="48" t="n">
        <f aca="false">IF($U961&gt;=STRUCT_L,MIN(INDEX($H$711:$H961,252-STRUCT_L):$H961),"")</f>
        <v>2834</v>
      </c>
      <c r="AM961" s="46" t="n">
        <f aca="false">IF($A961&lt;&gt;$A962,1,0)</f>
        <v>0</v>
      </c>
      <c r="AN961" s="47" t="str">
        <f aca="false">IF($AM961=1,$A961,"")</f>
        <v/>
      </c>
    </row>
    <row r="962" customFormat="false" ht="15" hidden="false" customHeight="false" outlineLevel="0" collapsed="false">
      <c r="A962" s="43" t="s">
        <v>147</v>
      </c>
      <c r="B962" s="44" t="s">
        <v>149</v>
      </c>
      <c r="C962" s="45" t="n">
        <v>46153</v>
      </c>
      <c r="D962" s="46" t="n">
        <v>20260511</v>
      </c>
      <c r="E962" s="47" t="s">
        <v>465</v>
      </c>
      <c r="F962" s="48" t="n">
        <v>3353</v>
      </c>
      <c r="G962" s="48" t="n">
        <v>3379</v>
      </c>
      <c r="H962" s="48" t="n">
        <v>3238</v>
      </c>
      <c r="I962" s="48" t="n">
        <v>3305</v>
      </c>
      <c r="J962" s="48" t="n">
        <v>3265</v>
      </c>
      <c r="K962" s="48" t="n">
        <v>3312</v>
      </c>
      <c r="L962" s="48" t="n">
        <v>72829476</v>
      </c>
      <c r="M962" s="48" t="n">
        <v>240701418180</v>
      </c>
      <c r="N962" s="48" t="n">
        <v>3419</v>
      </c>
      <c r="O962" s="48" t="n">
        <v>32482828</v>
      </c>
      <c r="P962" s="48" t="n">
        <v>43163669</v>
      </c>
      <c r="Q962" s="48" t="n">
        <v>773</v>
      </c>
      <c r="R962" s="48" t="n">
        <v>2414</v>
      </c>
      <c r="S962" s="48" t="n">
        <v>40346648</v>
      </c>
      <c r="T962" s="48" t="n">
        <v>29665807</v>
      </c>
      <c r="U962" s="46" t="n">
        <f aca="false">IF($A962=$A961,$U961+1,1)</f>
        <v>178</v>
      </c>
      <c r="V962" s="48" t="n">
        <f aca="false">IF($U962&gt;=MA_SHORT,AVERAGE(INDEX($I$562:$I962,402-MA_SHORT):$I962),"")</f>
        <v>3581.55</v>
      </c>
      <c r="W962" s="48" t="n">
        <f aca="false">IF($U962&gt;=MA_MED,AVERAGE(INDEX($I$562:$I962,402-MA_MED):$I962),"")</f>
        <v>3540.74</v>
      </c>
      <c r="X962" s="48" t="n">
        <f aca="false">IF($U962&gt;=MA_LONG1,AVERAGE(INDEX($I$562:$I962,402-MA_LONG1):$I962),"")</f>
        <v>3304.49</v>
      </c>
      <c r="Y962" s="48" t="str">
        <f aca="false">IF($U962&gt;=MA_LONG2,AVERAGE(INDEX($I$562:$I962,402-MA_LONG2):$I962),"")</f>
        <v/>
      </c>
      <c r="Z962" s="48" t="n">
        <f aca="false">IF($U962&gt;=MA_SHORT,AVERAGE(INDEX($L$842:$L962,122-MA_SHORT):$L962),"")</f>
        <v>71707332.35</v>
      </c>
      <c r="AA962" s="48" t="n">
        <f aca="false">IF($U962=1,$G962-$H962,MAX($G962-$H962,ABS($G962-$I961),ABS($H962-$I961)))</f>
        <v>141</v>
      </c>
      <c r="AB962" s="48" t="n">
        <f aca="false">IF($U962&gt;=ATR_PER,AVERAGE(INDEX($AA$842:$AA962,122-ATR_PER):$AA962),"")</f>
        <v>154.785714285714</v>
      </c>
      <c r="AC962" s="48" t="n">
        <f aca="false">$O962-$P962</f>
        <v>-10680841</v>
      </c>
      <c r="AD962" s="48" t="n">
        <f aca="false">$AC962*$I962</f>
        <v>-35300179505</v>
      </c>
      <c r="AE962" s="49" t="n">
        <f aca="false">IF($Q962&gt;0,$O962*$I962/$Q962/1000000,"")</f>
        <v>138.881948952135</v>
      </c>
      <c r="AF962" s="49" t="n">
        <f aca="false">IF($R962&gt;0,$P962*$I962/$R962/1000000,"")</f>
        <v>59.0952469117647</v>
      </c>
      <c r="AG962" s="50" t="n">
        <f aca="false">IF(AND(ISNUMBER($AE962),ISNUMBER($AF962),$AF962&gt;0),$AE962/$AF962,"")</f>
        <v>2.35013738345995</v>
      </c>
      <c r="AH962" s="48" t="n">
        <f aca="false">IF($U962&gt;=5,SUM(INDEX($AD$932:$AD962,32-5):$AD962),"")</f>
        <v>-246650082109</v>
      </c>
      <c r="AI962" s="48" t="n">
        <f aca="false">IF($U962&gt;=STRUCT_S,MAX(INDEX($G$812:$G962,152-STRUCT_S):$G962),"")</f>
        <v>4086</v>
      </c>
      <c r="AJ962" s="48" t="n">
        <f aca="false">IF($U962&gt;=STRUCT_S,MIN(INDEX($H$812:$H962,152-STRUCT_S):$H962),"")</f>
        <v>3188</v>
      </c>
      <c r="AK962" s="48" t="n">
        <f aca="false">IF($U962&gt;=STRUCT_L,MAX(INDEX($G$712:$G962,252-STRUCT_L):$G962),"")</f>
        <v>4086</v>
      </c>
      <c r="AL962" s="48" t="n">
        <f aca="false">IF($U962&gt;=STRUCT_L,MIN(INDEX($H$712:$H962,252-STRUCT_L):$H962),"")</f>
        <v>2834</v>
      </c>
      <c r="AM962" s="46" t="n">
        <f aca="false">IF($A962&lt;&gt;$A963,1,0)</f>
        <v>0</v>
      </c>
      <c r="AN962" s="47" t="str">
        <f aca="false">IF($AM962=1,$A962,"")</f>
        <v/>
      </c>
    </row>
    <row r="963" customFormat="false" ht="15" hidden="false" customHeight="false" outlineLevel="0" collapsed="false">
      <c r="A963" s="43" t="s">
        <v>147</v>
      </c>
      <c r="B963" s="44" t="s">
        <v>149</v>
      </c>
      <c r="C963" s="45" t="n">
        <v>46154</v>
      </c>
      <c r="D963" s="46" t="n">
        <v>20260512</v>
      </c>
      <c r="E963" s="47" t="s">
        <v>466</v>
      </c>
      <c r="F963" s="48" t="n">
        <v>3369</v>
      </c>
      <c r="G963" s="48" t="n">
        <v>3391</v>
      </c>
      <c r="H963" s="48" t="n">
        <v>3269</v>
      </c>
      <c r="I963" s="48" t="n">
        <v>3355</v>
      </c>
      <c r="J963" s="48" t="n">
        <v>3344</v>
      </c>
      <c r="K963" s="48" t="n">
        <v>3305</v>
      </c>
      <c r="L963" s="48" t="n">
        <v>62461603</v>
      </c>
      <c r="M963" s="48" t="n">
        <v>209558678065</v>
      </c>
      <c r="N963" s="48" t="n">
        <v>4003</v>
      </c>
      <c r="O963" s="48" t="n">
        <v>25193100</v>
      </c>
      <c r="P963" s="48" t="n">
        <v>35222921</v>
      </c>
      <c r="Q963" s="48" t="n">
        <v>2146</v>
      </c>
      <c r="R963" s="48" t="n">
        <v>1146</v>
      </c>
      <c r="S963" s="48" t="n">
        <v>37268503</v>
      </c>
      <c r="T963" s="48" t="n">
        <v>27238682</v>
      </c>
      <c r="U963" s="46" t="n">
        <f aca="false">IF($A963=$A962,$U962+1,1)</f>
        <v>179</v>
      </c>
      <c r="V963" s="48" t="n">
        <f aca="false">IF($U963&gt;=MA_SHORT,AVERAGE(INDEX($I$563:$I963,402-MA_SHORT):$I963),"")</f>
        <v>3552.4</v>
      </c>
      <c r="W963" s="48" t="n">
        <f aca="false">IF($U963&gt;=MA_MED,AVERAGE(INDEX($I$563:$I963,402-MA_MED):$I963),"")</f>
        <v>3540.78</v>
      </c>
      <c r="X963" s="48" t="n">
        <f aca="false">IF($U963&gt;=MA_LONG1,AVERAGE(INDEX($I$563:$I963,402-MA_LONG1):$I963),"")</f>
        <v>3310.01</v>
      </c>
      <c r="Y963" s="48" t="str">
        <f aca="false">IF($U963&gt;=MA_LONG2,AVERAGE(INDEX($I$563:$I963,402-MA_LONG2):$I963),"")</f>
        <v/>
      </c>
      <c r="Z963" s="48" t="n">
        <f aca="false">IF($U963&gt;=MA_SHORT,AVERAGE(INDEX($L$843:$L963,122-MA_SHORT):$L963),"")</f>
        <v>71910329.1</v>
      </c>
      <c r="AA963" s="48" t="n">
        <f aca="false">IF($U963=1,$G963-$H963,MAX($G963-$H963,ABS($G963-$I962),ABS($H963-$I962)))</f>
        <v>122</v>
      </c>
      <c r="AB963" s="48" t="n">
        <f aca="false">IF($U963&gt;=ATR_PER,AVERAGE(INDEX($AA$843:$AA963,122-ATR_PER):$AA963),"")</f>
        <v>157.285714285714</v>
      </c>
      <c r="AC963" s="48" t="n">
        <f aca="false">$O963-$P963</f>
        <v>-10029821</v>
      </c>
      <c r="AD963" s="48" t="n">
        <f aca="false">$AC963*$I963</f>
        <v>-33650049455</v>
      </c>
      <c r="AE963" s="49" t="n">
        <f aca="false">IF($Q963&gt;0,$O963*$I963/$Q963/1000000,"")</f>
        <v>39.3862304287046</v>
      </c>
      <c r="AF963" s="49" t="n">
        <f aca="false">IF($R963&gt;0,$P963*$I963/$R963/1000000,"")</f>
        <v>103.117713747819</v>
      </c>
      <c r="AG963" s="50" t="n">
        <f aca="false">IF(AND(ISNUMBER($AE963),ISNUMBER($AF963),$AF963&gt;0),$AE963/$AF963,"")</f>
        <v>0.381954069744276</v>
      </c>
      <c r="AH963" s="48" t="n">
        <f aca="false">IF($U963&gt;=5,SUM(INDEX($AD$933:$AD963,32-5):$AD963),"")</f>
        <v>-266154400484</v>
      </c>
      <c r="AI963" s="48" t="n">
        <f aca="false">IF($U963&gt;=STRUCT_S,MAX(INDEX($G$813:$G963,152-STRUCT_S):$G963),"")</f>
        <v>4086</v>
      </c>
      <c r="AJ963" s="48" t="n">
        <f aca="false">IF($U963&gt;=STRUCT_S,MIN(INDEX($H$813:$H963,152-STRUCT_S):$H963),"")</f>
        <v>3188</v>
      </c>
      <c r="AK963" s="48" t="n">
        <f aca="false">IF($U963&gt;=STRUCT_L,MAX(INDEX($G$713:$G963,252-STRUCT_L):$G963),"")</f>
        <v>4086</v>
      </c>
      <c r="AL963" s="48" t="n">
        <f aca="false">IF($U963&gt;=STRUCT_L,MIN(INDEX($H$713:$H963,252-STRUCT_L):$H963),"")</f>
        <v>2834</v>
      </c>
      <c r="AM963" s="46" t="n">
        <f aca="false">IF($A963&lt;&gt;$A964,1,0)</f>
        <v>0</v>
      </c>
      <c r="AN963" s="47" t="str">
        <f aca="false">IF($AM963=1,$A963,"")</f>
        <v/>
      </c>
    </row>
    <row r="964" customFormat="false" ht="15" hidden="false" customHeight="false" outlineLevel="0" collapsed="false">
      <c r="A964" s="43" t="s">
        <v>147</v>
      </c>
      <c r="B964" s="44" t="s">
        <v>149</v>
      </c>
      <c r="C964" s="45" t="n">
        <v>46155</v>
      </c>
      <c r="D964" s="46" t="n">
        <v>20260513</v>
      </c>
      <c r="E964" s="47" t="s">
        <v>467</v>
      </c>
      <c r="F964" s="48" t="n">
        <v>3447</v>
      </c>
      <c r="G964" s="48" t="n">
        <v>3465</v>
      </c>
      <c r="H964" s="48" t="n">
        <v>3333</v>
      </c>
      <c r="I964" s="48" t="n">
        <v>3443</v>
      </c>
      <c r="J964" s="48" t="n">
        <v>3401</v>
      </c>
      <c r="K964" s="48" t="n">
        <v>3355</v>
      </c>
      <c r="L964" s="48" t="n">
        <v>66275680</v>
      </c>
      <c r="M964" s="48" t="n">
        <v>228187166240</v>
      </c>
      <c r="N964" s="48" t="n">
        <v>1995</v>
      </c>
      <c r="O964" s="48" t="n">
        <v>27954784</v>
      </c>
      <c r="P964" s="48" t="n">
        <v>36862956</v>
      </c>
      <c r="Q964" s="48" t="n">
        <v>1154</v>
      </c>
      <c r="R964" s="48" t="n">
        <v>741</v>
      </c>
      <c r="S964" s="48" t="n">
        <v>38320896</v>
      </c>
      <c r="T964" s="48" t="n">
        <v>29412724</v>
      </c>
      <c r="U964" s="46" t="n">
        <f aca="false">IF($A964=$A963,$U963+1,1)</f>
        <v>180</v>
      </c>
      <c r="V964" s="48" t="n">
        <f aca="false">IF($U964&gt;=MA_SHORT,AVERAGE(INDEX($I$564:$I964,402-MA_SHORT):$I964),"")</f>
        <v>3527.65</v>
      </c>
      <c r="W964" s="48" t="n">
        <f aca="false">IF($U964&gt;=MA_MED,AVERAGE(INDEX($I$564:$I964,402-MA_MED):$I964),"")</f>
        <v>3543.36</v>
      </c>
      <c r="X964" s="48" t="n">
        <f aca="false">IF($U964&gt;=MA_LONG1,AVERAGE(INDEX($I$564:$I964,402-MA_LONG1):$I964),"")</f>
        <v>3315.99</v>
      </c>
      <c r="Y964" s="48" t="str">
        <f aca="false">IF($U964&gt;=MA_LONG2,AVERAGE(INDEX($I$564:$I964,402-MA_LONG2):$I964),"")</f>
        <v/>
      </c>
      <c r="Z964" s="48" t="n">
        <f aca="false">IF($U964&gt;=MA_SHORT,AVERAGE(INDEX($L$844:$L964,122-MA_SHORT):$L964),"")</f>
        <v>71221232.15</v>
      </c>
      <c r="AA964" s="48" t="n">
        <f aca="false">IF($U964=1,$G964-$H964,MAX($G964-$H964,ABS($G964-$I963),ABS($H964-$I963)))</f>
        <v>132</v>
      </c>
      <c r="AB964" s="48" t="n">
        <f aca="false">IF($U964&gt;=ATR_PER,AVERAGE(INDEX($AA$844:$AA964,122-ATR_PER):$AA964),"")</f>
        <v>146.714285714286</v>
      </c>
      <c r="AC964" s="48" t="n">
        <f aca="false">$O964-$P964</f>
        <v>-8908172</v>
      </c>
      <c r="AD964" s="48" t="n">
        <f aca="false">$AC964*$I964</f>
        <v>-30670836196</v>
      </c>
      <c r="AE964" s="49" t="n">
        <f aca="false">IF($Q964&gt;0,$O964*$I964/$Q964/1000000,"")</f>
        <v>83.4040912582322</v>
      </c>
      <c r="AF964" s="49" t="n">
        <f aca="false">IF($R964&gt;0,$P964*$I964/$R964/1000000,"")</f>
        <v>171.280914315789</v>
      </c>
      <c r="AG964" s="50" t="n">
        <f aca="false">IF(AND(ISNUMBER($AE964),ISNUMBER($AF964),$AF964&gt;0),$AE964/$AF964,"")</f>
        <v>0.486943286071329</v>
      </c>
      <c r="AH964" s="48" t="n">
        <f aca="false">IF($U964&gt;=5,SUM(INDEX($AD$934:$AD964,32-5):$AD964),"")</f>
        <v>-216242121254</v>
      </c>
      <c r="AI964" s="48" t="n">
        <f aca="false">IF($U964&gt;=STRUCT_S,MAX(INDEX($G$814:$G964,152-STRUCT_S):$G964),"")</f>
        <v>4086</v>
      </c>
      <c r="AJ964" s="48" t="n">
        <f aca="false">IF($U964&gt;=STRUCT_S,MIN(INDEX($H$814:$H964,152-STRUCT_S):$H964),"")</f>
        <v>3188</v>
      </c>
      <c r="AK964" s="48" t="n">
        <f aca="false">IF($U964&gt;=STRUCT_L,MAX(INDEX($G$714:$G964,252-STRUCT_L):$G964),"")</f>
        <v>4086</v>
      </c>
      <c r="AL964" s="48" t="n">
        <f aca="false">IF($U964&gt;=STRUCT_L,MIN(INDEX($H$714:$H964,252-STRUCT_L):$H964),"")</f>
        <v>2834</v>
      </c>
      <c r="AM964" s="46" t="n">
        <f aca="false">IF($A964&lt;&gt;$A965,1,0)</f>
        <v>0</v>
      </c>
      <c r="AN964" s="47" t="str">
        <f aca="false">IF($AM964=1,$A964,"")</f>
        <v/>
      </c>
    </row>
    <row r="965" customFormat="false" ht="15" hidden="false" customHeight="false" outlineLevel="0" collapsed="false">
      <c r="A965" s="43" t="s">
        <v>147</v>
      </c>
      <c r="B965" s="44" t="s">
        <v>149</v>
      </c>
      <c r="C965" s="45" t="n">
        <v>46158</v>
      </c>
      <c r="D965" s="46" t="n">
        <v>20260516</v>
      </c>
      <c r="E965" s="47" t="s">
        <v>468</v>
      </c>
      <c r="F965" s="48" t="n">
        <v>3443</v>
      </c>
      <c r="G965" s="48" t="n">
        <v>3477</v>
      </c>
      <c r="H965" s="48" t="n">
        <v>3427</v>
      </c>
      <c r="I965" s="48" t="n">
        <v>3461</v>
      </c>
      <c r="J965" s="48" t="n">
        <v>3438</v>
      </c>
      <c r="K965" s="48" t="n">
        <v>3443</v>
      </c>
      <c r="L965" s="48" t="n">
        <v>59059936</v>
      </c>
      <c r="M965" s="48" t="n">
        <v>204406438496</v>
      </c>
      <c r="N965" s="48" t="n">
        <v>3518</v>
      </c>
      <c r="O965" s="48" t="n">
        <v>29267140</v>
      </c>
      <c r="P965" s="48" t="n">
        <v>30739480</v>
      </c>
      <c r="Q965" s="48" t="n">
        <v>1485</v>
      </c>
      <c r="R965" s="48" t="n">
        <v>875</v>
      </c>
      <c r="S965" s="48" t="n">
        <v>29792796</v>
      </c>
      <c r="T965" s="48" t="n">
        <v>28320456</v>
      </c>
      <c r="U965" s="46" t="n">
        <f aca="false">IF($A965=$A964,$U964+1,1)</f>
        <v>181</v>
      </c>
      <c r="V965" s="48" t="n">
        <f aca="false">IF($U965&gt;=MA_SHORT,AVERAGE(INDEX($I$565:$I965,402-MA_SHORT):$I965),"")</f>
        <v>3498.65</v>
      </c>
      <c r="W965" s="48" t="n">
        <f aca="false">IF($U965&gt;=MA_MED,AVERAGE(INDEX($I$565:$I965,402-MA_MED):$I965),"")</f>
        <v>3547.06</v>
      </c>
      <c r="X965" s="48" t="n">
        <f aca="false">IF($U965&gt;=MA_LONG1,AVERAGE(INDEX($I$565:$I965,402-MA_LONG1):$I965),"")</f>
        <v>3322.3</v>
      </c>
      <c r="Y965" s="48" t="str">
        <f aca="false">IF($U965&gt;=MA_LONG2,AVERAGE(INDEX($I$565:$I965,402-MA_LONG2):$I965),"")</f>
        <v/>
      </c>
      <c r="Z965" s="48" t="n">
        <f aca="false">IF($U965&gt;=MA_SHORT,AVERAGE(INDEX($L$845:$L965,122-MA_SHORT):$L965),"")</f>
        <v>70861717.95</v>
      </c>
      <c r="AA965" s="48" t="n">
        <f aca="false">IF($U965=1,$G965-$H965,MAX($G965-$H965,ABS($G965-$I964),ABS($H965-$I964)))</f>
        <v>50</v>
      </c>
      <c r="AB965" s="48" t="n">
        <f aca="false">IF($U965&gt;=ATR_PER,AVERAGE(INDEX($AA$845:$AA965,122-ATR_PER):$AA965),"")</f>
        <v>139.142857142857</v>
      </c>
      <c r="AC965" s="48" t="n">
        <f aca="false">$O965-$P965</f>
        <v>-1472340</v>
      </c>
      <c r="AD965" s="48" t="n">
        <f aca="false">$AC965*$I965</f>
        <v>-5095768740</v>
      </c>
      <c r="AE965" s="49" t="n">
        <f aca="false">IF($Q965&gt;0,$O965*$I965/$Q965/1000000,"")</f>
        <v>68.2111592861953</v>
      </c>
      <c r="AF965" s="49" t="n">
        <f aca="false">IF($R965&gt;0,$P965*$I965/$R965/1000000,"")</f>
        <v>121.587817462857</v>
      </c>
      <c r="AG965" s="50" t="n">
        <f aca="false">IF(AND(ISNUMBER($AE965),ISNUMBER($AF965),$AF965&gt;0),$AE965/$AF965,"")</f>
        <v>0.561003237902782</v>
      </c>
      <c r="AH965" s="48" t="n">
        <f aca="false">IF($U965&gt;=5,SUM(INDEX($AD$935:$AD965,32-5):$AD965),"")</f>
        <v>-91157065400</v>
      </c>
      <c r="AI965" s="48" t="n">
        <f aca="false">IF($U965&gt;=STRUCT_S,MAX(INDEX($G$815:$G965,152-STRUCT_S):$G965),"")</f>
        <v>4086</v>
      </c>
      <c r="AJ965" s="48" t="n">
        <f aca="false">IF($U965&gt;=STRUCT_S,MIN(INDEX($H$815:$H965,152-STRUCT_S):$H965),"")</f>
        <v>3188</v>
      </c>
      <c r="AK965" s="48" t="n">
        <f aca="false">IF($U965&gt;=STRUCT_L,MAX(INDEX($G$715:$G965,252-STRUCT_L):$G965),"")</f>
        <v>4086</v>
      </c>
      <c r="AL965" s="48" t="n">
        <f aca="false">IF($U965&gt;=STRUCT_L,MIN(INDEX($H$715:$H965,252-STRUCT_L):$H965),"")</f>
        <v>2834</v>
      </c>
      <c r="AM965" s="46" t="n">
        <f aca="false">IF($A965&lt;&gt;$A966,1,0)</f>
        <v>0</v>
      </c>
      <c r="AN965" s="47" t="str">
        <f aca="false">IF($AM965=1,$A965,"")</f>
        <v/>
      </c>
    </row>
    <row r="966" customFormat="false" ht="15" hidden="false" customHeight="false" outlineLevel="0" collapsed="false">
      <c r="A966" s="43" t="s">
        <v>147</v>
      </c>
      <c r="B966" s="44" t="s">
        <v>149</v>
      </c>
      <c r="C966" s="45" t="n">
        <v>46159</v>
      </c>
      <c r="D966" s="46" t="n">
        <v>20260517</v>
      </c>
      <c r="E966" s="47" t="s">
        <v>469</v>
      </c>
      <c r="F966" s="48" t="n">
        <v>3433</v>
      </c>
      <c r="G966" s="48" t="n">
        <v>3477</v>
      </c>
      <c r="H966" s="48" t="n">
        <v>3363</v>
      </c>
      <c r="I966" s="48" t="n">
        <v>3379</v>
      </c>
      <c r="J966" s="48" t="n">
        <v>3390</v>
      </c>
      <c r="K966" s="48" t="n">
        <v>3461</v>
      </c>
      <c r="L966" s="48" t="n">
        <v>65404034</v>
      </c>
      <c r="M966" s="48" t="n">
        <v>221000230886</v>
      </c>
      <c r="N966" s="48" t="n">
        <v>2394</v>
      </c>
      <c r="O966" s="48" t="n">
        <v>26551534</v>
      </c>
      <c r="P966" s="48" t="n">
        <v>37854832</v>
      </c>
      <c r="Q966" s="48" t="n">
        <v>552</v>
      </c>
      <c r="R966" s="48" t="n">
        <v>1519</v>
      </c>
      <c r="S966" s="48" t="n">
        <v>38852500</v>
      </c>
      <c r="T966" s="48" t="n">
        <v>27549202</v>
      </c>
      <c r="U966" s="46" t="n">
        <f aca="false">IF($A966=$A965,$U965+1,1)</f>
        <v>182</v>
      </c>
      <c r="V966" s="48" t="n">
        <f aca="false">IF($U966&gt;=MA_SHORT,AVERAGE(INDEX($I$566:$I966,402-MA_SHORT):$I966),"")</f>
        <v>3473</v>
      </c>
      <c r="W966" s="48" t="n">
        <f aca="false">IF($U966&gt;=MA_MED,AVERAGE(INDEX($I$566:$I966,402-MA_MED):$I966),"")</f>
        <v>3546.88</v>
      </c>
      <c r="X966" s="48" t="n">
        <f aca="false">IF($U966&gt;=MA_LONG1,AVERAGE(INDEX($I$566:$I966,402-MA_LONG1):$I966),"")</f>
        <v>3327.18</v>
      </c>
      <c r="Y966" s="48" t="str">
        <f aca="false">IF($U966&gt;=MA_LONG2,AVERAGE(INDEX($I$566:$I966,402-MA_LONG2):$I966),"")</f>
        <v/>
      </c>
      <c r="Z966" s="48" t="n">
        <f aca="false">IF($U966&gt;=MA_SHORT,AVERAGE(INDEX($L$846:$L966,122-MA_SHORT):$L966),"")</f>
        <v>70635306.1</v>
      </c>
      <c r="AA966" s="48" t="n">
        <f aca="false">IF($U966=1,$G966-$H966,MAX($G966-$H966,ABS($G966-$I965),ABS($H966-$I965)))</f>
        <v>114</v>
      </c>
      <c r="AB966" s="48" t="n">
        <f aca="false">IF($U966&gt;=ATR_PER,AVERAGE(INDEX($AA$846:$AA966,122-ATR_PER):$AA966),"")</f>
        <v>135.428571428571</v>
      </c>
      <c r="AC966" s="48" t="n">
        <f aca="false">$O966-$P966</f>
        <v>-11303298</v>
      </c>
      <c r="AD966" s="48" t="n">
        <f aca="false">$AC966*$I966</f>
        <v>-38193843942</v>
      </c>
      <c r="AE966" s="49" t="n">
        <f aca="false">IF($Q966&gt;0,$O966*$I966/$Q966/1000000,"")</f>
        <v>162.531944539855</v>
      </c>
      <c r="AF966" s="49" t="n">
        <f aca="false">IF($R966&gt;0,$P966*$I966/$R966/1000000,"")</f>
        <v>84.2076875102041</v>
      </c>
      <c r="AG966" s="50" t="n">
        <f aca="false">IF(AND(ISNUMBER($AE966),ISNUMBER($AF966),$AF966&gt;0),$AE966/$AF966,"")</f>
        <v>1.93013190773301</v>
      </c>
      <c r="AH966" s="48" t="n">
        <f aca="false">IF($U966&gt;=5,SUM(INDEX($AD$936:$AD966,32-5):$AD966),"")</f>
        <v>-142910677838</v>
      </c>
      <c r="AI966" s="48" t="n">
        <f aca="false">IF($U966&gt;=STRUCT_S,MAX(INDEX($G$816:$G966,152-STRUCT_S):$G966),"")</f>
        <v>3912</v>
      </c>
      <c r="AJ966" s="48" t="n">
        <f aca="false">IF($U966&gt;=STRUCT_S,MIN(INDEX($H$816:$H966,152-STRUCT_S):$H966),"")</f>
        <v>3188</v>
      </c>
      <c r="AK966" s="48" t="n">
        <f aca="false">IF($U966&gt;=STRUCT_L,MAX(INDEX($G$716:$G966,252-STRUCT_L):$G966),"")</f>
        <v>4086</v>
      </c>
      <c r="AL966" s="48" t="n">
        <f aca="false">IF($U966&gt;=STRUCT_L,MIN(INDEX($H$716:$H966,252-STRUCT_L):$H966),"")</f>
        <v>2882</v>
      </c>
      <c r="AM966" s="46" t="n">
        <f aca="false">IF($A966&lt;&gt;$A967,1,0)</f>
        <v>0</v>
      </c>
      <c r="AN966" s="47" t="str">
        <f aca="false">IF($AM966=1,$A966,"")</f>
        <v/>
      </c>
    </row>
    <row r="967" customFormat="false" ht="15" hidden="false" customHeight="false" outlineLevel="0" collapsed="false">
      <c r="A967" s="43" t="s">
        <v>147</v>
      </c>
      <c r="B967" s="44" t="s">
        <v>149</v>
      </c>
      <c r="C967" s="45" t="n">
        <v>46160</v>
      </c>
      <c r="D967" s="46" t="n">
        <v>20260518</v>
      </c>
      <c r="E967" s="47" t="s">
        <v>470</v>
      </c>
      <c r="F967" s="48" t="n">
        <v>3412</v>
      </c>
      <c r="G967" s="48" t="n">
        <v>3437</v>
      </c>
      <c r="H967" s="48" t="n">
        <v>3301</v>
      </c>
      <c r="I967" s="48" t="n">
        <v>3359</v>
      </c>
      <c r="J967" s="48" t="n">
        <v>3305</v>
      </c>
      <c r="K967" s="48" t="n">
        <v>3379</v>
      </c>
      <c r="L967" s="48" t="n">
        <v>71442581</v>
      </c>
      <c r="M967" s="48" t="n">
        <v>239975629579</v>
      </c>
      <c r="N967" s="48" t="n">
        <v>2277</v>
      </c>
      <c r="O967" s="48" t="n">
        <v>28403652</v>
      </c>
      <c r="P967" s="48" t="n">
        <v>40265226</v>
      </c>
      <c r="Q967" s="48" t="n">
        <v>612</v>
      </c>
      <c r="R967" s="48" t="n">
        <v>1357</v>
      </c>
      <c r="S967" s="48" t="n">
        <v>43038929</v>
      </c>
      <c r="T967" s="48" t="n">
        <v>31177355</v>
      </c>
      <c r="U967" s="46" t="n">
        <f aca="false">IF($A967=$A966,$U966+1,1)</f>
        <v>183</v>
      </c>
      <c r="V967" s="48" t="n">
        <f aca="false">IF($U967&gt;=MA_SHORT,AVERAGE(INDEX($I$567:$I967,402-MA_SHORT):$I967),"")</f>
        <v>3451.95</v>
      </c>
      <c r="W967" s="48" t="n">
        <f aca="false">IF($U967&gt;=MA_MED,AVERAGE(INDEX($I$567:$I967,402-MA_MED):$I967),"")</f>
        <v>3547.26</v>
      </c>
      <c r="X967" s="48" t="n">
        <f aca="false">IF($U967&gt;=MA_LONG1,AVERAGE(INDEX($I$567:$I967,402-MA_LONG1):$I967),"")</f>
        <v>3332.58</v>
      </c>
      <c r="Y967" s="48" t="str">
        <f aca="false">IF($U967&gt;=MA_LONG2,AVERAGE(INDEX($I$567:$I967,402-MA_LONG2):$I967),"")</f>
        <v/>
      </c>
      <c r="Z967" s="48" t="n">
        <f aca="false">IF($U967&gt;=MA_SHORT,AVERAGE(INDEX($L$847:$L967,122-MA_SHORT):$L967),"")</f>
        <v>70096864.85</v>
      </c>
      <c r="AA967" s="48" t="n">
        <f aca="false">IF($U967=1,$G967-$H967,MAX($G967-$H967,ABS($G967-$I966),ABS($H967-$I966)))</f>
        <v>136</v>
      </c>
      <c r="AB967" s="48" t="n">
        <f aca="false">IF($U967&gt;=ATR_PER,AVERAGE(INDEX($AA$847:$AA967,122-ATR_PER):$AA967),"")</f>
        <v>130.142857142857</v>
      </c>
      <c r="AC967" s="48" t="n">
        <f aca="false">$O967-$P967</f>
        <v>-11861574</v>
      </c>
      <c r="AD967" s="48" t="n">
        <f aca="false">$AC967*$I967</f>
        <v>-39843027066</v>
      </c>
      <c r="AE967" s="49" t="n">
        <f aca="false">IF($Q967&gt;0,$O967*$I967/$Q967/1000000,"")</f>
        <v>155.895207627451</v>
      </c>
      <c r="AF967" s="49" t="n">
        <f aca="false">IF($R967&gt;0,$P967*$I967/$R967/1000000,"")</f>
        <v>99.6690450508475</v>
      </c>
      <c r="AG967" s="50" t="n">
        <f aca="false">IF(AND(ISNUMBER($AE967),ISNUMBER($AF967),$AF967&gt;0),$AE967/$AF967,"")</f>
        <v>1.56412863741113</v>
      </c>
      <c r="AH967" s="48" t="n">
        <f aca="false">IF($U967&gt;=5,SUM(INDEX($AD$937:$AD967,32-5):$AD967),"")</f>
        <v>-147453525399</v>
      </c>
      <c r="AI967" s="48" t="n">
        <f aca="false">IF($U967&gt;=STRUCT_S,MAX(INDEX($G$817:$G967,152-STRUCT_S):$G967),"")</f>
        <v>3837</v>
      </c>
      <c r="AJ967" s="48" t="n">
        <f aca="false">IF($U967&gt;=STRUCT_S,MIN(INDEX($H$817:$H967,152-STRUCT_S):$H967),"")</f>
        <v>3188</v>
      </c>
      <c r="AK967" s="48" t="n">
        <f aca="false">IF($U967&gt;=STRUCT_L,MAX(INDEX($G$717:$G967,252-STRUCT_L):$G967),"")</f>
        <v>4086</v>
      </c>
      <c r="AL967" s="48" t="n">
        <f aca="false">IF($U967&gt;=STRUCT_L,MIN(INDEX($H$717:$H967,252-STRUCT_L):$H967),"")</f>
        <v>2896</v>
      </c>
      <c r="AM967" s="46" t="n">
        <f aca="false">IF($A967&lt;&gt;$A968,1,0)</f>
        <v>0</v>
      </c>
      <c r="AN967" s="47" t="str">
        <f aca="false">IF($AM967=1,$A967,"")</f>
        <v/>
      </c>
    </row>
    <row r="968" customFormat="false" ht="15" hidden="false" customHeight="false" outlineLevel="0" collapsed="false">
      <c r="A968" s="43" t="s">
        <v>147</v>
      </c>
      <c r="B968" s="44" t="s">
        <v>149</v>
      </c>
      <c r="C968" s="45" t="n">
        <v>46161</v>
      </c>
      <c r="D968" s="46" t="n">
        <v>20260519</v>
      </c>
      <c r="E968" s="47" t="s">
        <v>471</v>
      </c>
      <c r="F968" s="48" t="n">
        <v>3418</v>
      </c>
      <c r="G968" s="48" t="n">
        <v>3426</v>
      </c>
      <c r="H968" s="48" t="n">
        <v>3342</v>
      </c>
      <c r="I968" s="48" t="n">
        <v>3409</v>
      </c>
      <c r="J968" s="48" t="n">
        <v>3389</v>
      </c>
      <c r="K968" s="48" t="n">
        <v>3359</v>
      </c>
      <c r="L968" s="48" t="n">
        <v>62378041</v>
      </c>
      <c r="M968" s="48" t="n">
        <v>212646741769</v>
      </c>
      <c r="N968" s="48" t="n">
        <v>2645</v>
      </c>
      <c r="O968" s="48" t="n">
        <v>35676117</v>
      </c>
      <c r="P968" s="48" t="n">
        <v>27090277</v>
      </c>
      <c r="Q968" s="48" t="n">
        <v>1122</v>
      </c>
      <c r="R968" s="48" t="n">
        <v>650</v>
      </c>
      <c r="S968" s="48" t="n">
        <v>26701924</v>
      </c>
      <c r="T968" s="48" t="n">
        <v>35287764</v>
      </c>
      <c r="U968" s="46" t="n">
        <f aca="false">IF($A968=$A967,$U967+1,1)</f>
        <v>184</v>
      </c>
      <c r="V968" s="48" t="n">
        <f aca="false">IF($U968&gt;=MA_SHORT,AVERAGE(INDEX($I$568:$I968,402-MA_SHORT):$I968),"")</f>
        <v>3441.7</v>
      </c>
      <c r="W968" s="48" t="n">
        <f aca="false">IF($U968&gt;=MA_MED,AVERAGE(INDEX($I$568:$I968,402-MA_MED):$I968),"")</f>
        <v>3546.98</v>
      </c>
      <c r="X968" s="48" t="n">
        <f aca="false">IF($U968&gt;=MA_LONG1,AVERAGE(INDEX($I$568:$I968,402-MA_LONG1):$I968),"")</f>
        <v>3337.59</v>
      </c>
      <c r="Y968" s="48" t="str">
        <f aca="false">IF($U968&gt;=MA_LONG2,AVERAGE(INDEX($I$568:$I968,402-MA_LONG2):$I968),"")</f>
        <v/>
      </c>
      <c r="Z968" s="48" t="n">
        <f aca="false">IF($U968&gt;=MA_SHORT,AVERAGE(INDEX($L$848:$L968,122-MA_SHORT):$L968),"")</f>
        <v>69574180.05</v>
      </c>
      <c r="AA968" s="48" t="n">
        <f aca="false">IF($U968=1,$G968-$H968,MAX($G968-$H968,ABS($G968-$I967),ABS($H968-$I967)))</f>
        <v>84</v>
      </c>
      <c r="AB968" s="48" t="n">
        <f aca="false">IF($U968&gt;=ATR_PER,AVERAGE(INDEX($AA$848:$AA968,122-ATR_PER):$AA968),"")</f>
        <v>126.357142857143</v>
      </c>
      <c r="AC968" s="48" t="n">
        <f aca="false">$O968-$P968</f>
        <v>8585840</v>
      </c>
      <c r="AD968" s="48" t="n">
        <f aca="false">$AC968*$I968</f>
        <v>29269128560</v>
      </c>
      <c r="AE968" s="49" t="n">
        <f aca="false">IF($Q968&gt;0,$O968*$I968/$Q968/1000000,"")</f>
        <v>108.395617516043</v>
      </c>
      <c r="AF968" s="49" t="n">
        <f aca="false">IF($R968&gt;0,$P968*$I968/$R968/1000000,"")</f>
        <v>142.078083527692</v>
      </c>
      <c r="AG968" s="50" t="n">
        <f aca="false">IF(AND(ISNUMBER($AE968),ISNUMBER($AF968),$AF968&gt;0),$AE968/$AF968,"")</f>
        <v>0.762929896185681</v>
      </c>
      <c r="AH968" s="48" t="n">
        <f aca="false">IF($U968&gt;=5,SUM(INDEX($AD$938:$AD968,32-5):$AD968),"")</f>
        <v>-84534347384</v>
      </c>
      <c r="AI968" s="48" t="n">
        <f aca="false">IF($U968&gt;=STRUCT_S,MAX(INDEX($G$818:$G968,152-STRUCT_S):$G968),"")</f>
        <v>3745</v>
      </c>
      <c r="AJ968" s="48" t="n">
        <f aca="false">IF($U968&gt;=STRUCT_S,MIN(INDEX($H$818:$H968,152-STRUCT_S):$H968),"")</f>
        <v>3188</v>
      </c>
      <c r="AK968" s="48" t="n">
        <f aca="false">IF($U968&gt;=STRUCT_L,MAX(INDEX($G$718:$G968,252-STRUCT_L):$G968),"")</f>
        <v>4086</v>
      </c>
      <c r="AL968" s="48" t="n">
        <f aca="false">IF($U968&gt;=STRUCT_L,MIN(INDEX($H$718:$H968,252-STRUCT_L):$H968),"")</f>
        <v>2912</v>
      </c>
      <c r="AM968" s="46" t="n">
        <f aca="false">IF($A968&lt;&gt;$A969,1,0)</f>
        <v>0</v>
      </c>
      <c r="AN968" s="47" t="str">
        <f aca="false">IF($AM968=1,$A968,"")</f>
        <v/>
      </c>
    </row>
    <row r="969" customFormat="false" ht="15" hidden="false" customHeight="false" outlineLevel="0" collapsed="false">
      <c r="A969" s="43" t="s">
        <v>147</v>
      </c>
      <c r="B969" s="44" t="s">
        <v>149</v>
      </c>
      <c r="C969" s="45" t="n">
        <v>46162</v>
      </c>
      <c r="D969" s="46" t="n">
        <v>20260520</v>
      </c>
      <c r="E969" s="47" t="s">
        <v>472</v>
      </c>
      <c r="F969" s="48" t="n">
        <v>3375</v>
      </c>
      <c r="G969" s="48" t="n">
        <v>3422</v>
      </c>
      <c r="H969" s="48" t="n">
        <v>3316</v>
      </c>
      <c r="I969" s="48" t="n">
        <v>3329</v>
      </c>
      <c r="J969" s="48" t="n">
        <v>3336</v>
      </c>
      <c r="K969" s="48" t="n">
        <v>3409</v>
      </c>
      <c r="L969" s="48" t="n">
        <v>65326632</v>
      </c>
      <c r="M969" s="48" t="n">
        <v>217472357928</v>
      </c>
      <c r="N969" s="48" t="n">
        <v>2585</v>
      </c>
      <c r="O969" s="48" t="n">
        <v>18895668</v>
      </c>
      <c r="P969" s="48" t="n">
        <v>47208275</v>
      </c>
      <c r="Q969" s="48" t="n">
        <v>805</v>
      </c>
      <c r="R969" s="48" t="n">
        <v>1394</v>
      </c>
      <c r="S969" s="48" t="n">
        <v>46430964</v>
      </c>
      <c r="T969" s="48" t="n">
        <v>18118357</v>
      </c>
      <c r="U969" s="46" t="n">
        <f aca="false">IF($A969=$A968,$U968+1,1)</f>
        <v>185</v>
      </c>
      <c r="V969" s="48" t="n">
        <f aca="false">IF($U969&gt;=MA_SHORT,AVERAGE(INDEX($I$569:$I969,402-MA_SHORT):$I969),"")</f>
        <v>3430.25</v>
      </c>
      <c r="W969" s="48" t="n">
        <f aca="false">IF($U969&gt;=MA_MED,AVERAGE(INDEX($I$569:$I969,402-MA_MED):$I969),"")</f>
        <v>3546.2</v>
      </c>
      <c r="X969" s="48" t="n">
        <f aca="false">IF($U969&gt;=MA_LONG1,AVERAGE(INDEX($I$569:$I969,402-MA_LONG1):$I969),"")</f>
        <v>3340.43</v>
      </c>
      <c r="Y969" s="48" t="str">
        <f aca="false">IF($U969&gt;=MA_LONG2,AVERAGE(INDEX($I$569:$I969,402-MA_LONG2):$I969),"")</f>
        <v/>
      </c>
      <c r="Z969" s="48" t="n">
        <f aca="false">IF($U969&gt;=MA_SHORT,AVERAGE(INDEX($L$849:$L969,122-MA_SHORT):$L969),"")</f>
        <v>69711131.85</v>
      </c>
      <c r="AA969" s="48" t="n">
        <f aca="false">IF($U969=1,$G969-$H969,MAX($G969-$H969,ABS($G969-$I968),ABS($H969-$I968)))</f>
        <v>106</v>
      </c>
      <c r="AB969" s="48" t="n">
        <f aca="false">IF($U969&gt;=ATR_PER,AVERAGE(INDEX($AA$849:$AA969,122-ATR_PER):$AA969),"")</f>
        <v>112.357142857143</v>
      </c>
      <c r="AC969" s="48" t="n">
        <f aca="false">$O969-$P969</f>
        <v>-28312607</v>
      </c>
      <c r="AD969" s="48" t="n">
        <f aca="false">$AC969*$I969</f>
        <v>-94252668703</v>
      </c>
      <c r="AE969" s="49" t="n">
        <f aca="false">IF($Q969&gt;0,$O969*$I969/$Q969/1000000,"")</f>
        <v>78.1412158658385</v>
      </c>
      <c r="AF969" s="49" t="n">
        <f aca="false">IF($R969&gt;0,$P969*$I969/$R969/1000000,"")</f>
        <v>112.737695462697</v>
      </c>
      <c r="AG969" s="50" t="n">
        <f aca="false">IF(AND(ISNUMBER($AE969),ISNUMBER($AF969),$AF969&gt;0),$AE969/$AF969,"")</f>
        <v>0.693124119178877</v>
      </c>
      <c r="AH969" s="48" t="n">
        <f aca="false">IF($U969&gt;=5,SUM(INDEX($AD$939:$AD969,32-5):$AD969),"")</f>
        <v>-148116179891</v>
      </c>
      <c r="AI969" s="48" t="n">
        <f aca="false">IF($U969&gt;=STRUCT_S,MAX(INDEX($G$819:$G969,152-STRUCT_S):$G969),"")</f>
        <v>3745</v>
      </c>
      <c r="AJ969" s="48" t="n">
        <f aca="false">IF($U969&gt;=STRUCT_S,MIN(INDEX($H$819:$H969,152-STRUCT_S):$H969),"")</f>
        <v>3188</v>
      </c>
      <c r="AK969" s="48" t="n">
        <f aca="false">IF($U969&gt;=STRUCT_L,MAX(INDEX($G$719:$G969,252-STRUCT_L):$G969),"")</f>
        <v>4086</v>
      </c>
      <c r="AL969" s="48" t="n">
        <f aca="false">IF($U969&gt;=STRUCT_L,MIN(INDEX($H$719:$H969,252-STRUCT_L):$H969),"")</f>
        <v>3077</v>
      </c>
      <c r="AM969" s="46" t="n">
        <f aca="false">IF($A969&lt;&gt;$A970,1,0)</f>
        <v>0</v>
      </c>
      <c r="AN969" s="47" t="str">
        <f aca="false">IF($AM969=1,$A969,"")</f>
        <v/>
      </c>
    </row>
    <row r="970" customFormat="false" ht="15" hidden="false" customHeight="false" outlineLevel="0" collapsed="false">
      <c r="A970" s="43" t="s">
        <v>147</v>
      </c>
      <c r="B970" s="44" t="s">
        <v>149</v>
      </c>
      <c r="C970" s="45" t="n">
        <v>46165</v>
      </c>
      <c r="D970" s="46" t="n">
        <v>20260523</v>
      </c>
      <c r="E970" s="47" t="s">
        <v>473</v>
      </c>
      <c r="F970" s="48" t="n">
        <v>3351</v>
      </c>
      <c r="G970" s="48" t="n">
        <v>3428</v>
      </c>
      <c r="H970" s="48" t="n">
        <v>3140</v>
      </c>
      <c r="I970" s="48" t="n">
        <v>3236</v>
      </c>
      <c r="J970" s="48" t="n">
        <v>3242</v>
      </c>
      <c r="K970" s="48" t="n">
        <v>3329</v>
      </c>
      <c r="L970" s="48" t="n">
        <v>106112981</v>
      </c>
      <c r="M970" s="48" t="n">
        <v>343381606516</v>
      </c>
      <c r="N970" s="48" t="n">
        <v>6590</v>
      </c>
      <c r="O970" s="48" t="n">
        <v>34191770</v>
      </c>
      <c r="P970" s="48" t="n">
        <v>72174906</v>
      </c>
      <c r="Q970" s="48" t="n">
        <v>1801</v>
      </c>
      <c r="R970" s="48" t="n">
        <v>2910</v>
      </c>
      <c r="S970" s="48" t="n">
        <v>71921211</v>
      </c>
      <c r="T970" s="48" t="n">
        <v>33938075</v>
      </c>
      <c r="U970" s="46" t="n">
        <f aca="false">IF($A970=$A969,$U969+1,1)</f>
        <v>186</v>
      </c>
      <c r="V970" s="48" t="n">
        <f aca="false">IF($U970&gt;=MA_SHORT,AVERAGE(INDEX($I$570:$I970,402-MA_SHORT):$I970),"")</f>
        <v>3409.6</v>
      </c>
      <c r="W970" s="48" t="n">
        <f aca="false">IF($U970&gt;=MA_MED,AVERAGE(INDEX($I$570:$I970,402-MA_MED):$I970),"")</f>
        <v>3544</v>
      </c>
      <c r="X970" s="48" t="n">
        <f aca="false">IF($U970&gt;=MA_LONG1,AVERAGE(INDEX($I$570:$I970,402-MA_LONG1):$I970),"")</f>
        <v>3341.83</v>
      </c>
      <c r="Y970" s="48" t="str">
        <f aca="false">IF($U970&gt;=MA_LONG2,AVERAGE(INDEX($I$570:$I970,402-MA_LONG2):$I970),"")</f>
        <v/>
      </c>
      <c r="Z970" s="48" t="n">
        <f aca="false">IF($U970&gt;=MA_SHORT,AVERAGE(INDEX($L$850:$L970,122-MA_SHORT):$L970),"")</f>
        <v>70868221.55</v>
      </c>
      <c r="AA970" s="48" t="n">
        <f aca="false">IF($U970=1,$G970-$H970,MAX($G970-$H970,ABS($G970-$I969),ABS($H970-$I969)))</f>
        <v>288</v>
      </c>
      <c r="AB970" s="48" t="n">
        <f aca="false">IF($U970&gt;=ATR_PER,AVERAGE(INDEX($AA$850:$AA970,122-ATR_PER):$AA970),"")</f>
        <v>124.714285714286</v>
      </c>
      <c r="AC970" s="48" t="n">
        <f aca="false">$O970-$P970</f>
        <v>-37983136</v>
      </c>
      <c r="AD970" s="48" t="n">
        <f aca="false">$AC970*$I970</f>
        <v>-122913428096</v>
      </c>
      <c r="AE970" s="49" t="n">
        <f aca="false">IF($Q970&gt;0,$O970*$I970/$Q970/1000000,"")</f>
        <v>61.4350736923931</v>
      </c>
      <c r="AF970" s="49" t="n">
        <f aca="false">IF($R970&gt;0,$P970*$I970/$R970/1000000,"")</f>
        <v>80.2604796618557</v>
      </c>
      <c r="AG970" s="50" t="n">
        <f aca="false">IF(AND(ISNUMBER($AE970),ISNUMBER($AF970),$AF970&gt;0),$AE970/$AF970,"")</f>
        <v>0.765446131785212</v>
      </c>
      <c r="AH970" s="48" t="n">
        <f aca="false">IF($U970&gt;=5,SUM(INDEX($AD$940:$AD970,32-5):$AD970),"")</f>
        <v>-265933839247</v>
      </c>
      <c r="AI970" s="48" t="n">
        <f aca="false">IF($U970&gt;=STRUCT_S,MAX(INDEX($G$820:$G970,152-STRUCT_S):$G970),"")</f>
        <v>3745</v>
      </c>
      <c r="AJ970" s="48" t="n">
        <f aca="false">IF($U970&gt;=STRUCT_S,MIN(INDEX($H$820:$H970,152-STRUCT_S):$H970),"")</f>
        <v>3140</v>
      </c>
      <c r="AK970" s="48" t="n">
        <f aca="false">IF($U970&gt;=STRUCT_L,MAX(INDEX($G$720:$G970,252-STRUCT_L):$G970),"")</f>
        <v>4086</v>
      </c>
      <c r="AL970" s="48" t="n">
        <f aca="false">IF($U970&gt;=STRUCT_L,MIN(INDEX($H$720:$H970,252-STRUCT_L):$H970),"")</f>
        <v>3140</v>
      </c>
      <c r="AM970" s="46" t="n">
        <f aca="false">IF($A970&lt;&gt;$A971,1,0)</f>
        <v>0</v>
      </c>
      <c r="AN970" s="47" t="str">
        <f aca="false">IF($AM970=1,$A970,"")</f>
        <v/>
      </c>
    </row>
    <row r="971" customFormat="false" ht="15" hidden="false" customHeight="false" outlineLevel="0" collapsed="false">
      <c r="A971" s="43" t="s">
        <v>147</v>
      </c>
      <c r="B971" s="44" t="s">
        <v>149</v>
      </c>
      <c r="C971" s="45" t="n">
        <v>46166</v>
      </c>
      <c r="D971" s="46" t="n">
        <v>20260524</v>
      </c>
      <c r="E971" s="47" t="s">
        <v>474</v>
      </c>
      <c r="F971" s="48" t="n">
        <v>3168</v>
      </c>
      <c r="G971" s="48" t="n">
        <v>3277</v>
      </c>
      <c r="H971" s="48" t="n">
        <v>3068</v>
      </c>
      <c r="I971" s="48" t="n">
        <v>3108</v>
      </c>
      <c r="J971" s="48" t="n">
        <v>3204</v>
      </c>
      <c r="K971" s="48" t="n">
        <v>3236</v>
      </c>
      <c r="L971" s="48" t="n">
        <v>70854083</v>
      </c>
      <c r="M971" s="48" t="n">
        <v>220214489964</v>
      </c>
      <c r="N971" s="48" t="n">
        <v>1593</v>
      </c>
      <c r="O971" s="48" t="n">
        <v>20892319</v>
      </c>
      <c r="P971" s="48" t="n">
        <v>44598731</v>
      </c>
      <c r="Q971" s="48" t="n">
        <v>474</v>
      </c>
      <c r="R971" s="48" t="n">
        <v>924</v>
      </c>
      <c r="S971" s="48" t="n">
        <v>49961764</v>
      </c>
      <c r="T971" s="48" t="n">
        <v>26255352</v>
      </c>
      <c r="U971" s="46" t="n">
        <f aca="false">IF($A971=$A970,$U970+1,1)</f>
        <v>187</v>
      </c>
      <c r="V971" s="48" t="n">
        <f aca="false">IF($U971&gt;=MA_SHORT,AVERAGE(INDEX($I$571:$I971,402-MA_SHORT):$I971),"")</f>
        <v>3386.4</v>
      </c>
      <c r="W971" s="48" t="n">
        <f aca="false">IF($U971&gt;=MA_MED,AVERAGE(INDEX($I$571:$I971,402-MA_MED):$I971),"")</f>
        <v>3538.84</v>
      </c>
      <c r="X971" s="48" t="n">
        <f aca="false">IF($U971&gt;=MA_LONG1,AVERAGE(INDEX($I$571:$I971,402-MA_LONG1):$I971),"")</f>
        <v>3342.28</v>
      </c>
      <c r="Y971" s="48" t="str">
        <f aca="false">IF($U971&gt;=MA_LONG2,AVERAGE(INDEX($I$571:$I971,402-MA_LONG2):$I971),"")</f>
        <v/>
      </c>
      <c r="Z971" s="48" t="n">
        <f aca="false">IF($U971&gt;=MA_SHORT,AVERAGE(INDEX($L$851:$L971,122-MA_SHORT):$L971),"")</f>
        <v>71185233.35</v>
      </c>
      <c r="AA971" s="48" t="n">
        <f aca="false">IF($U971=1,$G971-$H971,MAX($G971-$H971,ABS($G971-$I970),ABS($H971-$I970)))</f>
        <v>209</v>
      </c>
      <c r="AB971" s="48" t="n">
        <f aca="false">IF($U971&gt;=ATR_PER,AVERAGE(INDEX($AA$851:$AA971,122-ATR_PER):$AA971),"")</f>
        <v>134.214285714286</v>
      </c>
      <c r="AC971" s="48" t="n">
        <f aca="false">$O971-$P971</f>
        <v>-23706412</v>
      </c>
      <c r="AD971" s="48" t="n">
        <f aca="false">$AC971*$I971</f>
        <v>-73679528496</v>
      </c>
      <c r="AE971" s="49" t="n">
        <f aca="false">IF($Q971&gt;0,$O971*$I971/$Q971/1000000,"")</f>
        <v>136.990142303797</v>
      </c>
      <c r="AF971" s="49" t="n">
        <f aca="false">IF($R971&gt;0,$P971*$I971/$R971/1000000,"")</f>
        <v>150.013913363636</v>
      </c>
      <c r="AG971" s="50" t="n">
        <f aca="false">IF(AND(ISNUMBER($AE971),ISNUMBER($AF971),$AF971&gt;0),$AE971/$AF971,"")</f>
        <v>0.913182912385806</v>
      </c>
      <c r="AH971" s="48" t="n">
        <f aca="false">IF($U971&gt;=5,SUM(INDEX($AD$941:$AD971,32-5):$AD971),"")</f>
        <v>-301419523801</v>
      </c>
      <c r="AI971" s="48" t="n">
        <f aca="false">IF($U971&gt;=STRUCT_S,MAX(INDEX($G$821:$G971,152-STRUCT_S):$G971),"")</f>
        <v>3745</v>
      </c>
      <c r="AJ971" s="48" t="n">
        <f aca="false">IF($U971&gt;=STRUCT_S,MIN(INDEX($H$821:$H971,152-STRUCT_S):$H971),"")</f>
        <v>3068</v>
      </c>
      <c r="AK971" s="48" t="n">
        <f aca="false">IF($U971&gt;=STRUCT_L,MAX(INDEX($G$721:$G971,252-STRUCT_L):$G971),"")</f>
        <v>4086</v>
      </c>
      <c r="AL971" s="48" t="n">
        <f aca="false">IF($U971&gt;=STRUCT_L,MIN(INDEX($H$721:$H971,252-STRUCT_L):$H971),"")</f>
        <v>3068</v>
      </c>
      <c r="AM971" s="46" t="n">
        <f aca="false">IF($A971&lt;&gt;$A972,1,0)</f>
        <v>0</v>
      </c>
      <c r="AN971" s="47" t="str">
        <f aca="false">IF($AM971=1,$A971,"")</f>
        <v/>
      </c>
    </row>
    <row r="972" customFormat="false" ht="15" hidden="false" customHeight="false" outlineLevel="0" collapsed="false">
      <c r="A972" s="43" t="s">
        <v>147</v>
      </c>
      <c r="B972" s="44" t="s">
        <v>149</v>
      </c>
      <c r="C972" s="45" t="n">
        <v>46167</v>
      </c>
      <c r="D972" s="46" t="n">
        <v>20260525</v>
      </c>
      <c r="E972" s="47" t="s">
        <v>475</v>
      </c>
      <c r="F972" s="48" t="n">
        <v>3111</v>
      </c>
      <c r="G972" s="48" t="n">
        <v>3194</v>
      </c>
      <c r="H972" s="48" t="n">
        <v>3054</v>
      </c>
      <c r="I972" s="48" t="n">
        <v>3140</v>
      </c>
      <c r="J972" s="48" t="n">
        <v>3087</v>
      </c>
      <c r="K972" s="48" t="n">
        <v>3108</v>
      </c>
      <c r="L972" s="48" t="n">
        <v>97261031</v>
      </c>
      <c r="M972" s="48" t="n">
        <v>305399637340</v>
      </c>
      <c r="N972" s="48" t="n">
        <v>2252</v>
      </c>
      <c r="O972" s="48" t="n">
        <v>45592890</v>
      </c>
      <c r="P972" s="48" t="n">
        <v>55491944</v>
      </c>
      <c r="Q972" s="48" t="n">
        <v>1099</v>
      </c>
      <c r="R972" s="48" t="n">
        <v>912</v>
      </c>
      <c r="S972" s="48" t="n">
        <v>51668141</v>
      </c>
      <c r="T972" s="48" t="n">
        <v>41769087</v>
      </c>
      <c r="U972" s="46" t="n">
        <f aca="false">IF($A972=$A971,$U971+1,1)</f>
        <v>188</v>
      </c>
      <c r="V972" s="48" t="n">
        <f aca="false">IF($U972&gt;=MA_SHORT,AVERAGE(INDEX($I$572:$I972,402-MA_SHORT):$I972),"")</f>
        <v>3358.85</v>
      </c>
      <c r="W972" s="48" t="n">
        <f aca="false">IF($U972&gt;=MA_MED,AVERAGE(INDEX($I$572:$I972,402-MA_MED):$I972),"")</f>
        <v>3533.2</v>
      </c>
      <c r="X972" s="48" t="n">
        <f aca="false">IF($U972&gt;=MA_LONG1,AVERAGE(INDEX($I$572:$I972,402-MA_LONG1):$I972),"")</f>
        <v>3343.11</v>
      </c>
      <c r="Y972" s="48" t="str">
        <f aca="false">IF($U972&gt;=MA_LONG2,AVERAGE(INDEX($I$572:$I972,402-MA_LONG2):$I972),"")</f>
        <v/>
      </c>
      <c r="Z972" s="48" t="n">
        <f aca="false">IF($U972&gt;=MA_SHORT,AVERAGE(INDEX($L$852:$L972,122-MA_SHORT):$L972),"")</f>
        <v>72612784.2</v>
      </c>
      <c r="AA972" s="48" t="n">
        <f aca="false">IF($U972=1,$G972-$H972,MAX($G972-$H972,ABS($G972-$I971),ABS($H972-$I971)))</f>
        <v>140</v>
      </c>
      <c r="AB972" s="48" t="n">
        <f aca="false">IF($U972&gt;=ATR_PER,AVERAGE(INDEX($AA$852:$AA972,122-ATR_PER):$AA972),"")</f>
        <v>137.642857142857</v>
      </c>
      <c r="AC972" s="48" t="n">
        <f aca="false">$O972-$P972</f>
        <v>-9899054</v>
      </c>
      <c r="AD972" s="48" t="n">
        <f aca="false">$AC972*$I972</f>
        <v>-31083029560</v>
      </c>
      <c r="AE972" s="49" t="n">
        <f aca="false">IF($Q972&gt;0,$O972*$I972/$Q972/1000000,"")</f>
        <v>130.2654</v>
      </c>
      <c r="AF972" s="49" t="n">
        <f aca="false">IF($R972&gt;0,$P972*$I972/$R972/1000000,"")</f>
        <v>191.057789649123</v>
      </c>
      <c r="AG972" s="50" t="n">
        <f aca="false">IF(AND(ISNUMBER($AE972),ISNUMBER($AF972),$AF972&gt;0),$AE972/$AF972,"")</f>
        <v>0.681811509696789</v>
      </c>
      <c r="AH972" s="48" t="n">
        <f aca="false">IF($U972&gt;=5,SUM(INDEX($AD$942:$AD972,32-5):$AD972),"")</f>
        <v>-292659526295</v>
      </c>
      <c r="AI972" s="48" t="n">
        <f aca="false">IF($U972&gt;=STRUCT_S,MAX(INDEX($G$822:$G972,152-STRUCT_S):$G972),"")</f>
        <v>3745</v>
      </c>
      <c r="AJ972" s="48" t="n">
        <f aca="false">IF($U972&gt;=STRUCT_S,MIN(INDEX($H$822:$H972,152-STRUCT_S):$H972),"")</f>
        <v>3054</v>
      </c>
      <c r="AK972" s="48" t="n">
        <f aca="false">IF($U972&gt;=STRUCT_L,MAX(INDEX($G$722:$G972,252-STRUCT_L):$G972),"")</f>
        <v>4086</v>
      </c>
      <c r="AL972" s="48" t="n">
        <f aca="false">IF($U972&gt;=STRUCT_L,MIN(INDEX($H$722:$H972,252-STRUCT_L):$H972),"")</f>
        <v>3054</v>
      </c>
      <c r="AM972" s="46" t="n">
        <f aca="false">IF($A972&lt;&gt;$A973,1,0)</f>
        <v>0</v>
      </c>
      <c r="AN972" s="47" t="str">
        <f aca="false">IF($AM972=1,$A972,"")</f>
        <v/>
      </c>
    </row>
    <row r="973" customFormat="false" ht="15" hidden="false" customHeight="false" outlineLevel="0" collapsed="false">
      <c r="A973" s="43" t="s">
        <v>147</v>
      </c>
      <c r="B973" s="44" t="s">
        <v>149</v>
      </c>
      <c r="C973" s="45" t="n">
        <v>46168</v>
      </c>
      <c r="D973" s="46" t="n">
        <v>20260526</v>
      </c>
      <c r="E973" s="47" t="s">
        <v>476</v>
      </c>
      <c r="F973" s="48" t="n">
        <v>3115</v>
      </c>
      <c r="G973" s="48" t="n">
        <v>3159</v>
      </c>
      <c r="H973" s="48" t="n">
        <v>2994</v>
      </c>
      <c r="I973" s="48" t="n">
        <v>3012</v>
      </c>
      <c r="J973" s="48" t="n">
        <v>3082</v>
      </c>
      <c r="K973" s="48" t="n">
        <v>3140</v>
      </c>
      <c r="L973" s="48" t="n">
        <v>85575569</v>
      </c>
      <c r="M973" s="48" t="n">
        <v>257753613828</v>
      </c>
      <c r="N973" s="48" t="n">
        <v>2505</v>
      </c>
      <c r="O973" s="48" t="n">
        <v>20927352</v>
      </c>
      <c r="P973" s="48" t="n">
        <v>64933706</v>
      </c>
      <c r="Q973" s="48" t="n">
        <v>864</v>
      </c>
      <c r="R973" s="48" t="n">
        <v>1160</v>
      </c>
      <c r="S973" s="48" t="n">
        <v>64648217</v>
      </c>
      <c r="T973" s="48" t="n">
        <v>20641863</v>
      </c>
      <c r="U973" s="46" t="n">
        <f aca="false">IF($A973=$A972,$U972+1,1)</f>
        <v>189</v>
      </c>
      <c r="V973" s="48" t="n">
        <f aca="false">IF($U973&gt;=MA_SHORT,AVERAGE(INDEX($I$573:$I973,402-MA_SHORT):$I973),"")</f>
        <v>3330.05</v>
      </c>
      <c r="W973" s="48" t="n">
        <f aca="false">IF($U973&gt;=MA_MED,AVERAGE(INDEX($I$573:$I973,402-MA_MED):$I973),"")</f>
        <v>3524.62</v>
      </c>
      <c r="X973" s="48" t="n">
        <f aca="false">IF($U973&gt;=MA_LONG1,AVERAGE(INDEX($I$573:$I973,402-MA_LONG1):$I973),"")</f>
        <v>3343.54</v>
      </c>
      <c r="Y973" s="48" t="str">
        <f aca="false">IF($U973&gt;=MA_LONG2,AVERAGE(INDEX($I$573:$I973,402-MA_LONG2):$I973),"")</f>
        <v/>
      </c>
      <c r="Z973" s="48" t="n">
        <f aca="false">IF($U973&gt;=MA_SHORT,AVERAGE(INDEX($L$853:$L973,122-MA_SHORT):$L973),"")</f>
        <v>73501571.45</v>
      </c>
      <c r="AA973" s="48" t="n">
        <f aca="false">IF($U973=1,$G973-$H973,MAX($G973-$H973,ABS($G973-$I972),ABS($H973-$I972)))</f>
        <v>165</v>
      </c>
      <c r="AB973" s="48" t="n">
        <f aca="false">IF($U973&gt;=ATR_PER,AVERAGE(INDEX($AA$853:$AA973,122-ATR_PER):$AA973),"")</f>
        <v>144.857142857143</v>
      </c>
      <c r="AC973" s="48" t="n">
        <f aca="false">$O973-$P973</f>
        <v>-44006354</v>
      </c>
      <c r="AD973" s="48" t="n">
        <f aca="false">$AC973*$I973</f>
        <v>-132547138248</v>
      </c>
      <c r="AE973" s="49" t="n">
        <f aca="false">IF($Q973&gt;0,$O973*$I973/$Q973/1000000,"")</f>
        <v>72.9550743333333</v>
      </c>
      <c r="AF973" s="49" t="n">
        <f aca="false">IF($R973&gt;0,$P973*$I973/$R973/1000000,"")</f>
        <v>168.603726268966</v>
      </c>
      <c r="AG973" s="50" t="n">
        <f aca="false">IF(AND(ISNUMBER($AE973),ISNUMBER($AF973),$AF973&gt;0),$AE973/$AF973,"")</f>
        <v>0.432701435180333</v>
      </c>
      <c r="AH973" s="48" t="n">
        <f aca="false">IF($U973&gt;=5,SUM(INDEX($AD$943:$AD973,32-5):$AD973),"")</f>
        <v>-454475793103</v>
      </c>
      <c r="AI973" s="48" t="n">
        <f aca="false">IF($U973&gt;=STRUCT_S,MAX(INDEX($G$823:$G973,152-STRUCT_S):$G973),"")</f>
        <v>3643</v>
      </c>
      <c r="AJ973" s="48" t="n">
        <f aca="false">IF($U973&gt;=STRUCT_S,MIN(INDEX($H$823:$H973,152-STRUCT_S):$H973),"")</f>
        <v>2994</v>
      </c>
      <c r="AK973" s="48" t="n">
        <f aca="false">IF($U973&gt;=STRUCT_L,MAX(INDEX($G$723:$G973,252-STRUCT_L):$G973),"")</f>
        <v>4086</v>
      </c>
      <c r="AL973" s="48" t="n">
        <f aca="false">IF($U973&gt;=STRUCT_L,MIN(INDEX($H$723:$H973,252-STRUCT_L):$H973),"")</f>
        <v>2994</v>
      </c>
      <c r="AM973" s="46" t="n">
        <f aca="false">IF($A973&lt;&gt;$A974,1,0)</f>
        <v>0</v>
      </c>
      <c r="AN973" s="47" t="str">
        <f aca="false">IF($AM973=1,$A973,"")</f>
        <v/>
      </c>
    </row>
    <row r="974" customFormat="false" ht="15" hidden="false" customHeight="false" outlineLevel="0" collapsed="false">
      <c r="A974" s="43" t="s">
        <v>147</v>
      </c>
      <c r="B974" s="44" t="s">
        <v>149</v>
      </c>
      <c r="C974" s="45" t="n">
        <v>46169</v>
      </c>
      <c r="D974" s="46" t="n">
        <v>20260527</v>
      </c>
      <c r="E974" s="47" t="s">
        <v>477</v>
      </c>
      <c r="F974" s="48" t="n">
        <v>3153</v>
      </c>
      <c r="G974" s="48" t="n">
        <v>3178</v>
      </c>
      <c r="H974" s="48" t="n">
        <v>2963</v>
      </c>
      <c r="I974" s="48" t="n">
        <v>3127</v>
      </c>
      <c r="J974" s="48" t="n">
        <v>3065</v>
      </c>
      <c r="K974" s="48" t="n">
        <v>3012</v>
      </c>
      <c r="L974" s="48" t="n">
        <v>70381865</v>
      </c>
      <c r="M974" s="48" t="n">
        <v>220084091855</v>
      </c>
      <c r="N974" s="48" t="n">
        <v>2465</v>
      </c>
      <c r="O974" s="48" t="n">
        <v>44571879</v>
      </c>
      <c r="P974" s="48" t="n">
        <v>25818336</v>
      </c>
      <c r="Q974" s="48" t="n">
        <v>1027</v>
      </c>
      <c r="R974" s="48" t="n">
        <v>635</v>
      </c>
      <c r="S974" s="48" t="n">
        <v>25809986</v>
      </c>
      <c r="T974" s="48" t="n">
        <v>44563529</v>
      </c>
      <c r="U974" s="46" t="n">
        <f aca="false">IF($A974=$A973,$U973+1,1)</f>
        <v>190</v>
      </c>
      <c r="V974" s="48" t="n">
        <f aca="false">IF($U974&gt;=MA_SHORT,AVERAGE(INDEX($I$574:$I974,402-MA_SHORT):$I974),"")</f>
        <v>3308.5</v>
      </c>
      <c r="W974" s="48" t="n">
        <f aca="false">IF($U974&gt;=MA_MED,AVERAGE(INDEX($I$574:$I974,402-MA_MED):$I974),"")</f>
        <v>3517.3</v>
      </c>
      <c r="X974" s="48" t="n">
        <f aca="false">IF($U974&gt;=MA_LONG1,AVERAGE(INDEX($I$574:$I974,402-MA_LONG1):$I974),"")</f>
        <v>3345.29</v>
      </c>
      <c r="Y974" s="48" t="str">
        <f aca="false">IF($U974&gt;=MA_LONG2,AVERAGE(INDEX($I$574:$I974,402-MA_LONG2):$I974),"")</f>
        <v/>
      </c>
      <c r="Z974" s="48" t="n">
        <f aca="false">IF($U974&gt;=MA_SHORT,AVERAGE(INDEX($L$854:$L974,122-MA_SHORT):$L974),"")</f>
        <v>73041285.5</v>
      </c>
      <c r="AA974" s="48" t="n">
        <f aca="false">IF($U974=1,$G974-$H974,MAX($G974-$H974,ABS($G974-$I973),ABS($H974-$I973)))</f>
        <v>215</v>
      </c>
      <c r="AB974" s="48" t="n">
        <f aca="false">IF($U974&gt;=ATR_PER,AVERAGE(INDEX($AA$854:$AA974,122-ATR_PER):$AA974),"")</f>
        <v>149.428571428571</v>
      </c>
      <c r="AC974" s="48" t="n">
        <f aca="false">$O974-$P974</f>
        <v>18753543</v>
      </c>
      <c r="AD974" s="48" t="n">
        <f aca="false">$AC974*$I974</f>
        <v>58642328961</v>
      </c>
      <c r="AE974" s="49" t="n">
        <f aca="false">IF($Q974&gt;0,$O974*$I974/$Q974/1000000,"")</f>
        <v>135.712040538462</v>
      </c>
      <c r="AF974" s="49" t="n">
        <f aca="false">IF($R974&gt;0,$P974*$I974/$R974/1000000,"")</f>
        <v>127.140057751181</v>
      </c>
      <c r="AG974" s="50" t="n">
        <f aca="false">IF(AND(ISNUMBER($AE974),ISNUMBER($AF974),$AF974&gt;0),$AE974/$AF974,"")</f>
        <v>1.06742157380529</v>
      </c>
      <c r="AH974" s="48" t="n">
        <f aca="false">IF($U974&gt;=5,SUM(INDEX($AD$944:$AD974,32-5):$AD974),"")</f>
        <v>-301580795439</v>
      </c>
      <c r="AI974" s="48" t="n">
        <f aca="false">IF($U974&gt;=STRUCT_S,MAX(INDEX($G$824:$G974,152-STRUCT_S):$G974),"")</f>
        <v>3643</v>
      </c>
      <c r="AJ974" s="48" t="n">
        <f aca="false">IF($U974&gt;=STRUCT_S,MIN(INDEX($H$824:$H974,152-STRUCT_S):$H974),"")</f>
        <v>2963</v>
      </c>
      <c r="AK974" s="48" t="n">
        <f aca="false">IF($U974&gt;=STRUCT_L,MAX(INDEX($G$724:$G974,252-STRUCT_L):$G974),"")</f>
        <v>4086</v>
      </c>
      <c r="AL974" s="48" t="n">
        <f aca="false">IF($U974&gt;=STRUCT_L,MIN(INDEX($H$724:$H974,252-STRUCT_L):$H974),"")</f>
        <v>2963</v>
      </c>
      <c r="AM974" s="46" t="n">
        <f aca="false">IF($A974&lt;&gt;$A975,1,0)</f>
        <v>0</v>
      </c>
      <c r="AN974" s="47" t="str">
        <f aca="false">IF($AM974=1,$A974,"")</f>
        <v/>
      </c>
    </row>
    <row r="975" customFormat="false" ht="15" hidden="false" customHeight="false" outlineLevel="0" collapsed="false">
      <c r="A975" s="43" t="s">
        <v>147</v>
      </c>
      <c r="B975" s="44" t="s">
        <v>149</v>
      </c>
      <c r="C975" s="45" t="n">
        <v>46172</v>
      </c>
      <c r="D975" s="46" t="n">
        <v>20260530</v>
      </c>
      <c r="E975" s="47" t="s">
        <v>478</v>
      </c>
      <c r="F975" s="48" t="n">
        <v>3110</v>
      </c>
      <c r="G975" s="48" t="n">
        <v>3148</v>
      </c>
      <c r="H975" s="48" t="n">
        <v>3012</v>
      </c>
      <c r="I975" s="48" t="n">
        <v>3032</v>
      </c>
      <c r="J975" s="48" t="n">
        <v>3087</v>
      </c>
      <c r="K975" s="48" t="n">
        <v>3127</v>
      </c>
      <c r="L975" s="48" t="n">
        <v>67701906</v>
      </c>
      <c r="M975" s="48" t="n">
        <v>205272178992</v>
      </c>
      <c r="N975" s="48" t="n">
        <v>3583</v>
      </c>
      <c r="O975" s="48" t="n">
        <v>18035434</v>
      </c>
      <c r="P975" s="48" t="n">
        <v>50178419</v>
      </c>
      <c r="Q975" s="48" t="n">
        <v>786</v>
      </c>
      <c r="R975" s="48" t="n">
        <v>2101</v>
      </c>
      <c r="S975" s="48" t="n">
        <v>49666472</v>
      </c>
      <c r="T975" s="48" t="n">
        <v>17523487</v>
      </c>
      <c r="U975" s="46" t="n">
        <f aca="false">IF($A975=$A974,$U974+1,1)</f>
        <v>191</v>
      </c>
      <c r="V975" s="48" t="n">
        <f aca="false">IF($U975&gt;=MA_SHORT,AVERAGE(INDEX($I$575:$I975,402-MA_SHORT):$I975),"")</f>
        <v>3288.95</v>
      </c>
      <c r="W975" s="48" t="n">
        <f aca="false">IF($U975&gt;=MA_MED,AVERAGE(INDEX($I$575:$I975,402-MA_MED):$I975),"")</f>
        <v>3507.08</v>
      </c>
      <c r="X975" s="48" t="n">
        <f aca="false">IF($U975&gt;=MA_LONG1,AVERAGE(INDEX($I$575:$I975,402-MA_LONG1):$I975),"")</f>
        <v>3345.71</v>
      </c>
      <c r="Y975" s="48" t="str">
        <f aca="false">IF($U975&gt;=MA_LONG2,AVERAGE(INDEX($I$575:$I975,402-MA_LONG2):$I975),"")</f>
        <v/>
      </c>
      <c r="Z975" s="48" t="n">
        <f aca="false">IF($U975&gt;=MA_SHORT,AVERAGE(INDEX($L$855:$L975,122-MA_SHORT):$L975),"")</f>
        <v>71990126.15</v>
      </c>
      <c r="AA975" s="48" t="n">
        <f aca="false">IF($U975=1,$G975-$H975,MAX($G975-$H975,ABS($G975-$I974),ABS($H975-$I974)))</f>
        <v>136</v>
      </c>
      <c r="AB975" s="48" t="n">
        <f aca="false">IF($U975&gt;=ATR_PER,AVERAGE(INDEX($AA$855:$AA975,122-ATR_PER):$AA975),"")</f>
        <v>145.571428571429</v>
      </c>
      <c r="AC975" s="48" t="n">
        <f aca="false">$O975-$P975</f>
        <v>-32142985</v>
      </c>
      <c r="AD975" s="48" t="n">
        <f aca="false">$AC975*$I975</f>
        <v>-97457530520</v>
      </c>
      <c r="AE975" s="49" t="n">
        <f aca="false">IF($Q975&gt;0,$O975*$I975/$Q975/1000000,"")</f>
        <v>69.5718013842239</v>
      </c>
      <c r="AF975" s="49" t="n">
        <f aca="false">IF($R975&gt;0,$P975*$I975/$R975/1000000,"")</f>
        <v>72.4135965768682</v>
      </c>
      <c r="AG975" s="50" t="n">
        <f aca="false">IF(AND(ISNUMBER($AE975),ISNUMBER($AF975),$AF975&gt;0),$AE975/$AF975,"")</f>
        <v>0.960756055119737</v>
      </c>
      <c r="AH975" s="48" t="n">
        <f aca="false">IF($U975&gt;=5,SUM(INDEX($AD$945:$AD975,32-5):$AD975),"")</f>
        <v>-276124897863</v>
      </c>
      <c r="AI975" s="48" t="n">
        <f aca="false">IF($U975&gt;=STRUCT_S,MAX(INDEX($G$825:$G975,152-STRUCT_S):$G975),"")</f>
        <v>3477</v>
      </c>
      <c r="AJ975" s="48" t="n">
        <f aca="false">IF($U975&gt;=STRUCT_S,MIN(INDEX($H$825:$H975,152-STRUCT_S):$H975),"")</f>
        <v>2963</v>
      </c>
      <c r="AK975" s="48" t="n">
        <f aca="false">IF($U975&gt;=STRUCT_L,MAX(INDEX($G$725:$G975,252-STRUCT_L):$G975),"")</f>
        <v>4086</v>
      </c>
      <c r="AL975" s="48" t="n">
        <f aca="false">IF($U975&gt;=STRUCT_L,MIN(INDEX($H$725:$H975,252-STRUCT_L):$H975),"")</f>
        <v>2963</v>
      </c>
      <c r="AM975" s="46" t="n">
        <f aca="false">IF($A975&lt;&gt;$A976,1,0)</f>
        <v>0</v>
      </c>
      <c r="AN975" s="47" t="str">
        <f aca="false">IF($AM975=1,$A975,"")</f>
        <v/>
      </c>
    </row>
    <row r="976" customFormat="false" ht="15" hidden="false" customHeight="false" outlineLevel="0" collapsed="false">
      <c r="A976" s="43" t="s">
        <v>147</v>
      </c>
      <c r="B976" s="44" t="s">
        <v>149</v>
      </c>
      <c r="C976" s="45" t="n">
        <v>46173</v>
      </c>
      <c r="D976" s="46" t="n">
        <v>20260531</v>
      </c>
      <c r="E976" s="47" t="s">
        <v>479</v>
      </c>
      <c r="F976" s="48" t="n">
        <v>3038</v>
      </c>
      <c r="G976" s="48" t="n">
        <v>3062</v>
      </c>
      <c r="H976" s="48" t="n">
        <v>3007</v>
      </c>
      <c r="I976" s="48" t="n">
        <v>3037</v>
      </c>
      <c r="J976" s="48" t="n">
        <v>3022</v>
      </c>
      <c r="K976" s="48" t="n">
        <v>3032</v>
      </c>
      <c r="L976" s="48" t="n">
        <v>57830282</v>
      </c>
      <c r="M976" s="48" t="n">
        <v>175630566434</v>
      </c>
      <c r="N976" s="48" t="n">
        <v>3821</v>
      </c>
      <c r="O976" s="48" t="n">
        <v>20112097</v>
      </c>
      <c r="P976" s="48" t="n">
        <v>37757299</v>
      </c>
      <c r="Q976" s="48" t="n">
        <v>2682</v>
      </c>
      <c r="R976" s="48" t="n">
        <v>1472</v>
      </c>
      <c r="S976" s="48" t="n">
        <v>37718185</v>
      </c>
      <c r="T976" s="48" t="n">
        <v>20072983</v>
      </c>
      <c r="U976" s="46" t="n">
        <f aca="false">IF($A976=$A975,$U975+1,1)</f>
        <v>192</v>
      </c>
      <c r="V976" s="48" t="n">
        <f aca="false">IF($U976&gt;=MA_SHORT,AVERAGE(INDEX($I$576:$I976,402-MA_SHORT):$I976),"")</f>
        <v>3271.1</v>
      </c>
      <c r="W976" s="48" t="n">
        <f aca="false">IF($U976&gt;=MA_MED,AVERAGE(INDEX($I$576:$I976,402-MA_MED):$I976),"")</f>
        <v>3497.42</v>
      </c>
      <c r="X976" s="48" t="n">
        <f aca="false">IF($U976&gt;=MA_LONG1,AVERAGE(INDEX($I$576:$I976,402-MA_LONG1):$I976),"")</f>
        <v>3345.58</v>
      </c>
      <c r="Y976" s="48" t="str">
        <f aca="false">IF($U976&gt;=MA_LONG2,AVERAGE(INDEX($I$576:$I976,402-MA_LONG2):$I976),"")</f>
        <v/>
      </c>
      <c r="Z976" s="48" t="n">
        <f aca="false">IF($U976&gt;=MA_SHORT,AVERAGE(INDEX($L$856:$L976,122-MA_SHORT):$L976),"")</f>
        <v>71872912.7</v>
      </c>
      <c r="AA976" s="48" t="n">
        <f aca="false">IF($U976=1,$G976-$H976,MAX($G976-$H976,ABS($G976-$I975),ABS($H976-$I975)))</f>
        <v>55</v>
      </c>
      <c r="AB976" s="48" t="n">
        <f aca="false">IF($U976&gt;=ATR_PER,AVERAGE(INDEX($AA$856:$AA976,122-ATR_PER):$AA976),"")</f>
        <v>139.428571428571</v>
      </c>
      <c r="AC976" s="48" t="n">
        <f aca="false">$O976-$P976</f>
        <v>-17645202</v>
      </c>
      <c r="AD976" s="48" t="n">
        <f aca="false">$AC976*$I976</f>
        <v>-53588478474</v>
      </c>
      <c r="AE976" s="49" t="n">
        <f aca="false">IF($Q976&gt;0,$O976*$I976/$Q976/1000000,"")</f>
        <v>22.7742127475764</v>
      </c>
      <c r="AF976" s="49" t="n">
        <f aca="false">IF($R976&gt;0,$P976*$I976/$R976/1000000,"")</f>
        <v>77.9000795264946</v>
      </c>
      <c r="AG976" s="50" t="n">
        <f aca="false">IF(AND(ISNUMBER($AE976),ISNUMBER($AF976),$AF976&gt;0),$AE976/$AF976,"")</f>
        <v>0.292351598175592</v>
      </c>
      <c r="AH976" s="48" t="n">
        <f aca="false">IF($U976&gt;=5,SUM(INDEX($AD$946:$AD976,32-5):$AD976),"")</f>
        <v>-256033847841</v>
      </c>
      <c r="AI976" s="48" t="n">
        <f aca="false">IF($U976&gt;=STRUCT_S,MAX(INDEX($G$826:$G976,152-STRUCT_S):$G976),"")</f>
        <v>3477</v>
      </c>
      <c r="AJ976" s="48" t="n">
        <f aca="false">IF($U976&gt;=STRUCT_S,MIN(INDEX($H$826:$H976,152-STRUCT_S):$H976),"")</f>
        <v>2963</v>
      </c>
      <c r="AK976" s="48" t="n">
        <f aca="false">IF($U976&gt;=STRUCT_L,MAX(INDEX($G$726:$G976,252-STRUCT_L):$G976),"")</f>
        <v>4086</v>
      </c>
      <c r="AL976" s="48" t="n">
        <f aca="false">IF($U976&gt;=STRUCT_L,MIN(INDEX($H$726:$H976,252-STRUCT_L):$H976),"")</f>
        <v>2963</v>
      </c>
      <c r="AM976" s="46" t="n">
        <f aca="false">IF($A976&lt;&gt;$A977,1,0)</f>
        <v>0</v>
      </c>
      <c r="AN976" s="47" t="str">
        <f aca="false">IF($AM976=1,$A976,"")</f>
        <v/>
      </c>
    </row>
    <row r="977" customFormat="false" ht="15" hidden="false" customHeight="false" outlineLevel="0" collapsed="false">
      <c r="A977" s="43" t="s">
        <v>147</v>
      </c>
      <c r="B977" s="44" t="s">
        <v>149</v>
      </c>
      <c r="C977" s="45" t="n">
        <v>46174</v>
      </c>
      <c r="D977" s="46" t="n">
        <v>20260601</v>
      </c>
      <c r="E977" s="47" t="s">
        <v>480</v>
      </c>
      <c r="F977" s="48" t="n">
        <v>3075</v>
      </c>
      <c r="G977" s="48" t="n">
        <v>3128</v>
      </c>
      <c r="H977" s="48" t="n">
        <v>3009</v>
      </c>
      <c r="I977" s="48" t="n">
        <v>3100</v>
      </c>
      <c r="J977" s="48" t="n">
        <v>3104</v>
      </c>
      <c r="K977" s="48" t="n">
        <v>3037</v>
      </c>
      <c r="L977" s="48" t="n">
        <v>203562384</v>
      </c>
      <c r="M977" s="48" t="n">
        <v>631043390400</v>
      </c>
      <c r="N977" s="48" t="n">
        <v>4530</v>
      </c>
      <c r="O977" s="48" t="n">
        <v>113897414</v>
      </c>
      <c r="P977" s="48" t="n">
        <v>92439466</v>
      </c>
      <c r="Q977" s="48" t="n">
        <v>2575</v>
      </c>
      <c r="R977" s="48" t="n">
        <v>1676</v>
      </c>
      <c r="S977" s="48" t="n">
        <v>89664970</v>
      </c>
      <c r="T977" s="48" t="n">
        <v>111122918</v>
      </c>
      <c r="U977" s="46" t="n">
        <f aca="false">IF($A977=$A976,$U976+1,1)</f>
        <v>193</v>
      </c>
      <c r="V977" s="48" t="n">
        <f aca="false">IF($U977&gt;=MA_SHORT,AVERAGE(INDEX($I$577:$I977,402-MA_SHORT):$I977),"")</f>
        <v>3259</v>
      </c>
      <c r="W977" s="48" t="n">
        <f aca="false">IF($U977&gt;=MA_MED,AVERAGE(INDEX($I$577:$I977,402-MA_MED):$I977),"")</f>
        <v>3491.58</v>
      </c>
      <c r="X977" s="48" t="n">
        <f aca="false">IF($U977&gt;=MA_LONG1,AVERAGE(INDEX($I$577:$I977,402-MA_LONG1):$I977),"")</f>
        <v>3346.6</v>
      </c>
      <c r="Y977" s="48" t="str">
        <f aca="false">IF($U977&gt;=MA_LONG2,AVERAGE(INDEX($I$577:$I977,402-MA_LONG2):$I977),"")</f>
        <v/>
      </c>
      <c r="Z977" s="48" t="n">
        <f aca="false">IF($U977&gt;=MA_SHORT,AVERAGE(INDEX($L$857:$L977,122-MA_SHORT):$L977),"")</f>
        <v>78924643.7</v>
      </c>
      <c r="AA977" s="48" t="n">
        <f aca="false">IF($U977=1,$G977-$H977,MAX($G977-$H977,ABS($G977-$I976),ABS($H977-$I976)))</f>
        <v>119</v>
      </c>
      <c r="AB977" s="48" t="n">
        <f aca="false">IF($U977&gt;=ATR_PER,AVERAGE(INDEX($AA$857:$AA977,122-ATR_PER):$AA977),"")</f>
        <v>139.214285714286</v>
      </c>
      <c r="AC977" s="48" t="n">
        <f aca="false">$O977-$P977</f>
        <v>21457948</v>
      </c>
      <c r="AD977" s="48" t="n">
        <f aca="false">$AC977*$I977</f>
        <v>66519638800</v>
      </c>
      <c r="AE977" s="49" t="n">
        <f aca="false">IF($Q977&gt;0,$O977*$I977/$Q977/1000000,"")</f>
        <v>137.119216854369</v>
      </c>
      <c r="AF977" s="49" t="n">
        <f aca="false">IF($R977&gt;0,$P977*$I977/$R977/1000000,"")</f>
        <v>170.979919212411</v>
      </c>
      <c r="AG977" s="50" t="n">
        <f aca="false">IF(AND(ISNUMBER($AE977),ISNUMBER($AF977),$AF977&gt;0),$AE977/$AF977,"")</f>
        <v>0.801960940711546</v>
      </c>
      <c r="AH977" s="48" t="n">
        <f aca="false">IF($U977&gt;=5,SUM(INDEX($AD$947:$AD977,32-5):$AD977),"")</f>
        <v>-158431179481</v>
      </c>
      <c r="AI977" s="48" t="n">
        <f aca="false">IF($U977&gt;=STRUCT_S,MAX(INDEX($G$827:$G977,152-STRUCT_S):$G977),"")</f>
        <v>3477</v>
      </c>
      <c r="AJ977" s="48" t="n">
        <f aca="false">IF($U977&gt;=STRUCT_S,MIN(INDEX($H$827:$H977,152-STRUCT_S):$H977),"")</f>
        <v>2963</v>
      </c>
      <c r="AK977" s="48" t="n">
        <f aca="false">IF($U977&gt;=STRUCT_L,MAX(INDEX($G$727:$G977,252-STRUCT_L):$G977),"")</f>
        <v>4086</v>
      </c>
      <c r="AL977" s="48" t="n">
        <f aca="false">IF($U977&gt;=STRUCT_L,MIN(INDEX($H$727:$H977,252-STRUCT_L):$H977),"")</f>
        <v>2963</v>
      </c>
      <c r="AM977" s="46" t="n">
        <f aca="false">IF($A977&lt;&gt;$A978,1,0)</f>
        <v>0</v>
      </c>
      <c r="AN977" s="47" t="str">
        <f aca="false">IF($AM977=1,$A977,"")</f>
        <v/>
      </c>
    </row>
    <row r="978" customFormat="false" ht="15" hidden="false" customHeight="false" outlineLevel="0" collapsed="false">
      <c r="A978" s="43" t="s">
        <v>147</v>
      </c>
      <c r="B978" s="44" t="s">
        <v>149</v>
      </c>
      <c r="C978" s="45" t="n">
        <v>46175</v>
      </c>
      <c r="D978" s="46" t="n">
        <v>20260602</v>
      </c>
      <c r="E978" s="47" t="s">
        <v>481</v>
      </c>
      <c r="F978" s="48" t="n">
        <v>3054</v>
      </c>
      <c r="G978" s="48" t="n">
        <v>3111</v>
      </c>
      <c r="H978" s="48" t="n">
        <v>2996</v>
      </c>
      <c r="I978" s="48" t="n">
        <v>3007</v>
      </c>
      <c r="J978" s="48" t="n">
        <v>3051</v>
      </c>
      <c r="K978" s="48" t="n">
        <v>3100</v>
      </c>
      <c r="L978" s="48" t="n">
        <v>71973464</v>
      </c>
      <c r="M978" s="48" t="n">
        <v>216424206248</v>
      </c>
      <c r="N978" s="48" t="n">
        <v>2000</v>
      </c>
      <c r="O978" s="48" t="n">
        <v>19656320</v>
      </c>
      <c r="P978" s="48" t="n">
        <v>49085287</v>
      </c>
      <c r="Q978" s="48" t="n">
        <v>550</v>
      </c>
      <c r="R978" s="48" t="n">
        <v>984</v>
      </c>
      <c r="S978" s="48" t="n">
        <v>52317144</v>
      </c>
      <c r="T978" s="48" t="n">
        <v>22888177</v>
      </c>
      <c r="U978" s="46" t="n">
        <f aca="false">IF($A978=$A977,$U977+1,1)</f>
        <v>194</v>
      </c>
      <c r="V978" s="48" t="n">
        <f aca="false">IF($U978&gt;=MA_SHORT,AVERAGE(INDEX($I$578:$I978,402-MA_SHORT):$I978),"")</f>
        <v>3239.05</v>
      </c>
      <c r="W978" s="48" t="n">
        <f aca="false">IF($U978&gt;=MA_MED,AVERAGE(INDEX($I$578:$I978,402-MA_MED):$I978),"")</f>
        <v>3482.82</v>
      </c>
      <c r="X978" s="48" t="n">
        <f aca="false">IF($U978&gt;=MA_LONG1,AVERAGE(INDEX($I$578:$I978,402-MA_LONG1):$I978),"")</f>
        <v>3346.11</v>
      </c>
      <c r="Y978" s="48" t="str">
        <f aca="false">IF($U978&gt;=MA_LONG2,AVERAGE(INDEX($I$578:$I978,402-MA_LONG2):$I978),"")</f>
        <v/>
      </c>
      <c r="Z978" s="48" t="n">
        <f aca="false">IF($U978&gt;=MA_SHORT,AVERAGE(INDEX($L$858:$L978,122-MA_SHORT):$L978),"")</f>
        <v>79331148.95</v>
      </c>
      <c r="AA978" s="48" t="n">
        <f aca="false">IF($U978=1,$G978-$H978,MAX($G978-$H978,ABS($G978-$I977),ABS($H978-$I977)))</f>
        <v>115</v>
      </c>
      <c r="AB978" s="48" t="n">
        <f aca="false">IF($U978&gt;=ATR_PER,AVERAGE(INDEX($AA$858:$AA978,122-ATR_PER):$AA978),"")</f>
        <v>138</v>
      </c>
      <c r="AC978" s="48" t="n">
        <f aca="false">$O978-$P978</f>
        <v>-29428967</v>
      </c>
      <c r="AD978" s="48" t="n">
        <f aca="false">$AC978*$I978</f>
        <v>-88492903769</v>
      </c>
      <c r="AE978" s="49" t="n">
        <f aca="false">IF($Q978&gt;0,$O978*$I978/$Q978/1000000,"")</f>
        <v>107.466462254545</v>
      </c>
      <c r="AF978" s="49" t="n">
        <f aca="false">IF($R978&gt;0,$P978*$I978/$R978/1000000,"")</f>
        <v>149.999449196138</v>
      </c>
      <c r="AG978" s="50" t="n">
        <f aca="false">IF(AND(ISNUMBER($AE978),ISNUMBER($AF978),$AF978&gt;0),$AE978/$AF978,"")</f>
        <v>0.716445712504071</v>
      </c>
      <c r="AH978" s="48" t="n">
        <f aca="false">IF($U978&gt;=5,SUM(INDEX($AD$948:$AD978,32-5):$AD978),"")</f>
        <v>-114376945002</v>
      </c>
      <c r="AI978" s="48" t="n">
        <f aca="false">IF($U978&gt;=STRUCT_S,MAX(INDEX($G$828:$G978,152-STRUCT_S):$G978),"")</f>
        <v>3477</v>
      </c>
      <c r="AJ978" s="48" t="n">
        <f aca="false">IF($U978&gt;=STRUCT_S,MIN(INDEX($H$828:$H978,152-STRUCT_S):$H978),"")</f>
        <v>2963</v>
      </c>
      <c r="AK978" s="48" t="n">
        <f aca="false">IF($U978&gt;=STRUCT_L,MAX(INDEX($G$728:$G978,252-STRUCT_L):$G978),"")</f>
        <v>4086</v>
      </c>
      <c r="AL978" s="48" t="n">
        <f aca="false">IF($U978&gt;=STRUCT_L,MIN(INDEX($H$728:$H978,252-STRUCT_L):$H978),"")</f>
        <v>2963</v>
      </c>
      <c r="AM978" s="46" t="n">
        <f aca="false">IF($A978&lt;&gt;$A979,1,0)</f>
        <v>0</v>
      </c>
      <c r="AN978" s="47" t="str">
        <f aca="false">IF($AM978=1,$A978,"")</f>
        <v/>
      </c>
    </row>
    <row r="979" customFormat="false" ht="15" hidden="false" customHeight="false" outlineLevel="0" collapsed="false">
      <c r="A979" s="43" t="s">
        <v>147</v>
      </c>
      <c r="B979" s="44" t="s">
        <v>149</v>
      </c>
      <c r="C979" s="45" t="n">
        <v>46176</v>
      </c>
      <c r="D979" s="46" t="n">
        <v>20260603</v>
      </c>
      <c r="E979" s="47" t="s">
        <v>482</v>
      </c>
      <c r="F979" s="48" t="n">
        <v>3071</v>
      </c>
      <c r="G979" s="48" t="n">
        <v>3124</v>
      </c>
      <c r="H979" s="48" t="n">
        <v>2957</v>
      </c>
      <c r="I979" s="48" t="n">
        <v>3073</v>
      </c>
      <c r="J979" s="48" t="n">
        <v>3098</v>
      </c>
      <c r="K979" s="48" t="n">
        <v>3007</v>
      </c>
      <c r="L979" s="48" t="n">
        <v>99749370</v>
      </c>
      <c r="M979" s="48" t="n">
        <v>306529814010</v>
      </c>
      <c r="N979" s="48" t="n">
        <v>2522</v>
      </c>
      <c r="O979" s="48" t="n">
        <v>51159267</v>
      </c>
      <c r="P979" s="48" t="n">
        <v>55912325</v>
      </c>
      <c r="Q979" s="48" t="n">
        <v>1637</v>
      </c>
      <c r="R979" s="48" t="n">
        <v>692</v>
      </c>
      <c r="S979" s="48" t="n">
        <v>48590103</v>
      </c>
      <c r="T979" s="48" t="n">
        <v>43837045</v>
      </c>
      <c r="U979" s="46" t="n">
        <f aca="false">IF($A979=$A978,$U978+1,1)</f>
        <v>195</v>
      </c>
      <c r="V979" s="48" t="n">
        <f aca="false">IF($U979&gt;=MA_SHORT,AVERAGE(INDEX($I$579:$I979,402-MA_SHORT):$I979),"")</f>
        <v>3223.85</v>
      </c>
      <c r="W979" s="48" t="n">
        <f aca="false">IF($U979&gt;=MA_MED,AVERAGE(INDEX($I$579:$I979,402-MA_MED):$I979),"")</f>
        <v>3474.68</v>
      </c>
      <c r="X979" s="48" t="n">
        <f aca="false">IF($U979&gt;=MA_LONG1,AVERAGE(INDEX($I$579:$I979,402-MA_LONG1):$I979),"")</f>
        <v>3345.88</v>
      </c>
      <c r="Y979" s="48" t="str">
        <f aca="false">IF($U979&gt;=MA_LONG2,AVERAGE(INDEX($I$579:$I979,402-MA_LONG2):$I979),"")</f>
        <v/>
      </c>
      <c r="Z979" s="48" t="n">
        <f aca="false">IF($U979&gt;=MA_SHORT,AVERAGE(INDEX($L$859:$L979,122-MA_SHORT):$L979),"")</f>
        <v>81309163.45</v>
      </c>
      <c r="AA979" s="48" t="n">
        <f aca="false">IF($U979=1,$G979-$H979,MAX($G979-$H979,ABS($G979-$I978),ABS($H979-$I978)))</f>
        <v>167</v>
      </c>
      <c r="AB979" s="48" t="n">
        <f aca="false">IF($U979&gt;=ATR_PER,AVERAGE(INDEX($AA$859:$AA979,122-ATR_PER):$AA979),"")</f>
        <v>146.357142857143</v>
      </c>
      <c r="AC979" s="48" t="n">
        <f aca="false">$O979-$P979</f>
        <v>-4753058</v>
      </c>
      <c r="AD979" s="48" t="n">
        <f aca="false">$AC979*$I979</f>
        <v>-14606147234</v>
      </c>
      <c r="AE979" s="49" t="n">
        <f aca="false">IF($Q979&gt;0,$O979*$I979/$Q979/1000000,"")</f>
        <v>96.0369135558949</v>
      </c>
      <c r="AF979" s="49" t="n">
        <f aca="false">IF($R979&gt;0,$P979*$I979/$R979/1000000,"")</f>
        <v>248.292738041908</v>
      </c>
      <c r="AG979" s="50" t="n">
        <f aca="false">IF(AND(ISNUMBER($AE979),ISNUMBER($AF979),$AF979&gt;0),$AE979/$AF979,"")</f>
        <v>0.386789055182458</v>
      </c>
      <c r="AH979" s="48" t="n">
        <f aca="false">IF($U979&gt;=5,SUM(INDEX($AD$949:$AD979,32-5):$AD979),"")</f>
        <v>-187625421197</v>
      </c>
      <c r="AI979" s="48" t="n">
        <f aca="false">IF($U979&gt;=STRUCT_S,MAX(INDEX($G$829:$G979,152-STRUCT_S):$G979),"")</f>
        <v>3477</v>
      </c>
      <c r="AJ979" s="48" t="n">
        <f aca="false">IF($U979&gt;=STRUCT_S,MIN(INDEX($H$829:$H979,152-STRUCT_S):$H979),"")</f>
        <v>2957</v>
      </c>
      <c r="AK979" s="48" t="n">
        <f aca="false">IF($U979&gt;=STRUCT_L,MAX(INDEX($G$729:$G979,252-STRUCT_L):$G979),"")</f>
        <v>4086</v>
      </c>
      <c r="AL979" s="48" t="n">
        <f aca="false">IF($U979&gt;=STRUCT_L,MIN(INDEX($H$729:$H979,252-STRUCT_L):$H979),"")</f>
        <v>2957</v>
      </c>
      <c r="AM979" s="46" t="n">
        <f aca="false">IF($A979&lt;&gt;$A980,1,0)</f>
        <v>0</v>
      </c>
      <c r="AN979" s="47" t="str">
        <f aca="false">IF($AM979=1,$A979,"")</f>
        <v/>
      </c>
    </row>
    <row r="980" customFormat="false" ht="15" hidden="false" customHeight="false" outlineLevel="0" collapsed="false">
      <c r="A980" s="43" t="s">
        <v>147</v>
      </c>
      <c r="B980" s="44" t="s">
        <v>149</v>
      </c>
      <c r="C980" s="45" t="n">
        <v>46179</v>
      </c>
      <c r="D980" s="46" t="n">
        <v>20260606</v>
      </c>
      <c r="E980" s="47" t="s">
        <v>483</v>
      </c>
      <c r="F980" s="48" t="n">
        <v>3027</v>
      </c>
      <c r="G980" s="48" t="n">
        <v>3199</v>
      </c>
      <c r="H980" s="48" t="n">
        <v>3005</v>
      </c>
      <c r="I980" s="48" t="n">
        <v>3129</v>
      </c>
      <c r="J980" s="48" t="n">
        <v>3152</v>
      </c>
      <c r="K980" s="48" t="n">
        <v>3073</v>
      </c>
      <c r="L980" s="48" t="n">
        <v>74298132</v>
      </c>
      <c r="M980" s="48" t="n">
        <v>232478855028</v>
      </c>
      <c r="N980" s="48" t="n">
        <v>1671</v>
      </c>
      <c r="O980" s="48" t="n">
        <v>39130166</v>
      </c>
      <c r="P980" s="48" t="n">
        <v>36304280</v>
      </c>
      <c r="Q980" s="48" t="n">
        <v>1087</v>
      </c>
      <c r="R980" s="48" t="n">
        <v>588</v>
      </c>
      <c r="S980" s="48" t="n">
        <v>35167966</v>
      </c>
      <c r="T980" s="48" t="n">
        <v>37993852</v>
      </c>
      <c r="U980" s="46" t="n">
        <f aca="false">IF($A980=$A979,$U979+1,1)</f>
        <v>196</v>
      </c>
      <c r="V980" s="48" t="n">
        <f aca="false">IF($U980&gt;=MA_SHORT,AVERAGE(INDEX($I$580:$I980,402-MA_SHORT):$I980),"")</f>
        <v>3217.65</v>
      </c>
      <c r="W980" s="48" t="n">
        <f aca="false">IF($U980&gt;=MA_MED,AVERAGE(INDEX($I$580:$I980,402-MA_MED):$I980),"")</f>
        <v>3467.06</v>
      </c>
      <c r="X980" s="48" t="n">
        <f aca="false">IF($U980&gt;=MA_LONG1,AVERAGE(INDEX($I$580:$I980,402-MA_LONG1):$I980),"")</f>
        <v>3346.26</v>
      </c>
      <c r="Y980" s="48" t="str">
        <f aca="false">IF($U980&gt;=MA_LONG2,AVERAGE(INDEX($I$580:$I980,402-MA_LONG2):$I980),"")</f>
        <v/>
      </c>
      <c r="Z980" s="48" t="n">
        <f aca="false">IF($U980&gt;=MA_SHORT,AVERAGE(INDEX($L$860:$L980,122-MA_SHORT):$L980),"")</f>
        <v>81530086.3</v>
      </c>
      <c r="AA980" s="48" t="n">
        <f aca="false">IF($U980=1,$G980-$H980,MAX($G980-$H980,ABS($G980-$I979),ABS($H980-$I979)))</f>
        <v>194</v>
      </c>
      <c r="AB980" s="48" t="n">
        <f aca="false">IF($U980&gt;=ATR_PER,AVERAGE(INDEX($AA$860:$AA980,122-ATR_PER):$AA980),"")</f>
        <v>152.071428571429</v>
      </c>
      <c r="AC980" s="48" t="n">
        <f aca="false">$O980-$P980</f>
        <v>2825886</v>
      </c>
      <c r="AD980" s="48" t="n">
        <f aca="false">$AC980*$I980</f>
        <v>8842197294</v>
      </c>
      <c r="AE980" s="49" t="n">
        <f aca="false">IF($Q980&gt;0,$O980*$I980/$Q980/1000000,"")</f>
        <v>112.638720712052</v>
      </c>
      <c r="AF980" s="49" t="n">
        <f aca="false">IF($R980&gt;0,$P980*$I980/$R980/1000000,"")</f>
        <v>193.190632857143</v>
      </c>
      <c r="AG980" s="50" t="n">
        <f aca="false">IF(AND(ISNUMBER($AE980),ISNUMBER($AF980),$AF980&gt;0),$AE980/$AF980,"")</f>
        <v>0.583044421182385</v>
      </c>
      <c r="AH980" s="48" t="n">
        <f aca="false">IF($U980&gt;=5,SUM(INDEX($AD$950:$AD980,32-5):$AD980),"")</f>
        <v>-81325693383</v>
      </c>
      <c r="AI980" s="48" t="n">
        <f aca="false">IF($U980&gt;=STRUCT_S,MAX(INDEX($G$830:$G980,152-STRUCT_S):$G980),"")</f>
        <v>3477</v>
      </c>
      <c r="AJ980" s="48" t="n">
        <f aca="false">IF($U980&gt;=STRUCT_S,MIN(INDEX($H$830:$H980,152-STRUCT_S):$H980),"")</f>
        <v>2957</v>
      </c>
      <c r="AK980" s="48" t="n">
        <f aca="false">IF($U980&gt;=STRUCT_L,MAX(INDEX($G$730:$G980,252-STRUCT_L):$G980),"")</f>
        <v>4086</v>
      </c>
      <c r="AL980" s="48" t="n">
        <f aca="false">IF($U980&gt;=STRUCT_L,MIN(INDEX($H$730:$H980,252-STRUCT_L):$H980),"")</f>
        <v>2957</v>
      </c>
      <c r="AM980" s="46" t="n">
        <f aca="false">IF($A980&lt;&gt;$A981,1,0)</f>
        <v>0</v>
      </c>
      <c r="AN980" s="47" t="str">
        <f aca="false">IF($AM980=1,$A980,"")</f>
        <v/>
      </c>
    </row>
    <row r="981" customFormat="false" ht="15" hidden="false" customHeight="false" outlineLevel="0" collapsed="false">
      <c r="A981" s="43" t="s">
        <v>147</v>
      </c>
      <c r="B981" s="44" t="s">
        <v>149</v>
      </c>
      <c r="C981" s="45" t="n">
        <v>46180</v>
      </c>
      <c r="D981" s="46" t="n">
        <v>20260607</v>
      </c>
      <c r="E981" s="47" t="s">
        <v>484</v>
      </c>
      <c r="F981" s="48" t="n">
        <v>3086</v>
      </c>
      <c r="G981" s="48" t="n">
        <v>3151</v>
      </c>
      <c r="H981" s="48" t="n">
        <v>3052</v>
      </c>
      <c r="I981" s="48" t="n">
        <v>3074</v>
      </c>
      <c r="J981" s="48" t="n">
        <v>3053</v>
      </c>
      <c r="K981" s="48" t="n">
        <v>3129</v>
      </c>
      <c r="L981" s="48" t="n">
        <v>63303004</v>
      </c>
      <c r="M981" s="48" t="n">
        <v>194593434296</v>
      </c>
      <c r="N981" s="48" t="n">
        <v>3151</v>
      </c>
      <c r="O981" s="48" t="n">
        <v>19489607</v>
      </c>
      <c r="P981" s="48" t="n">
        <v>45458628</v>
      </c>
      <c r="Q981" s="48" t="n">
        <v>915</v>
      </c>
      <c r="R981" s="48" t="n">
        <v>1686</v>
      </c>
      <c r="S981" s="48" t="n">
        <v>43813397</v>
      </c>
      <c r="T981" s="48" t="n">
        <v>17844376</v>
      </c>
      <c r="U981" s="46" t="n">
        <f aca="false">IF($A981=$A980,$U980+1,1)</f>
        <v>197</v>
      </c>
      <c r="V981" s="48" t="n">
        <f aca="false">IF($U981&gt;=MA_SHORT,AVERAGE(INDEX($I$581:$I981,402-MA_SHORT):$I981),"")</f>
        <v>3205.75</v>
      </c>
      <c r="W981" s="48" t="n">
        <f aca="false">IF($U981&gt;=MA_MED,AVERAGE(INDEX($I$581:$I981,402-MA_MED):$I981),"")</f>
        <v>3457.2</v>
      </c>
      <c r="X981" s="48" t="n">
        <f aca="false">IF($U981&gt;=MA_LONG1,AVERAGE(INDEX($I$581:$I981,402-MA_LONG1):$I981),"")</f>
        <v>3345.96</v>
      </c>
      <c r="Y981" s="48" t="str">
        <f aca="false">IF($U981&gt;=MA_LONG2,AVERAGE(INDEX($I$581:$I981,402-MA_LONG2):$I981),"")</f>
        <v/>
      </c>
      <c r="Z981" s="48" t="n">
        <f aca="false">IF($U981&gt;=MA_SHORT,AVERAGE(INDEX($L$861:$L981,122-MA_SHORT):$L981),"")</f>
        <v>79689102.7</v>
      </c>
      <c r="AA981" s="48" t="n">
        <f aca="false">IF($U981=1,$G981-$H981,MAX($G981-$H981,ABS($G981-$I980),ABS($H981-$I980)))</f>
        <v>99</v>
      </c>
      <c r="AB981" s="48" t="n">
        <f aca="false">IF($U981&gt;=ATR_PER,AVERAGE(INDEX($AA$861:$AA981,122-ATR_PER):$AA981),"")</f>
        <v>149.428571428571</v>
      </c>
      <c r="AC981" s="48" t="n">
        <f aca="false">$O981-$P981</f>
        <v>-25969021</v>
      </c>
      <c r="AD981" s="48" t="n">
        <f aca="false">$AC981*$I981</f>
        <v>-79828770554</v>
      </c>
      <c r="AE981" s="49" t="n">
        <f aca="false">IF($Q981&gt;0,$O981*$I981/$Q981/1000000,"")</f>
        <v>65.476559473224</v>
      </c>
      <c r="AF981" s="49" t="n">
        <f aca="false">IF($R981&gt;0,$P981*$I981/$R981/1000000,"")</f>
        <v>82.8824569822064</v>
      </c>
      <c r="AG981" s="50" t="n">
        <f aca="false">IF(AND(ISNUMBER($AE981),ISNUMBER($AF981),$AF981&gt;0),$AE981/$AF981,"")</f>
        <v>0.789992983524618</v>
      </c>
      <c r="AH981" s="48" t="n">
        <f aca="false">IF($U981&gt;=5,SUM(INDEX($AD$951:$AD981,32-5):$AD981),"")</f>
        <v>-107565985463</v>
      </c>
      <c r="AI981" s="48" t="n">
        <f aca="false">IF($U981&gt;=STRUCT_S,MAX(INDEX($G$831:$G981,152-STRUCT_S):$G981),"")</f>
        <v>3477</v>
      </c>
      <c r="AJ981" s="48" t="n">
        <f aca="false">IF($U981&gt;=STRUCT_S,MIN(INDEX($H$831:$H981,152-STRUCT_S):$H981),"")</f>
        <v>2957</v>
      </c>
      <c r="AK981" s="48" t="n">
        <f aca="false">IF($U981&gt;=STRUCT_L,MAX(INDEX($G$731:$G981,252-STRUCT_L):$G981),"")</f>
        <v>4086</v>
      </c>
      <c r="AL981" s="48" t="n">
        <f aca="false">IF($U981&gt;=STRUCT_L,MIN(INDEX($H$731:$H981,252-STRUCT_L):$H981),"")</f>
        <v>2957</v>
      </c>
      <c r="AM981" s="46" t="n">
        <f aca="false">IF($A981&lt;&gt;$A982,1,0)</f>
        <v>0</v>
      </c>
      <c r="AN981" s="47" t="str">
        <f aca="false">IF($AM981=1,$A981,"")</f>
        <v/>
      </c>
    </row>
    <row r="982" customFormat="false" ht="15" hidden="false" customHeight="false" outlineLevel="0" collapsed="false">
      <c r="A982" s="43" t="s">
        <v>147</v>
      </c>
      <c r="B982" s="44" t="s">
        <v>149</v>
      </c>
      <c r="C982" s="45" t="n">
        <v>46181</v>
      </c>
      <c r="D982" s="46" t="n">
        <v>20260608</v>
      </c>
      <c r="E982" s="47" t="s">
        <v>485</v>
      </c>
      <c r="F982" s="48" t="n">
        <v>3066</v>
      </c>
      <c r="G982" s="48" t="n">
        <v>3281</v>
      </c>
      <c r="H982" s="48" t="n">
        <v>3010</v>
      </c>
      <c r="I982" s="48" t="n">
        <v>3214</v>
      </c>
      <c r="J982" s="48" t="n">
        <v>3103</v>
      </c>
      <c r="K982" s="48" t="n">
        <v>3074</v>
      </c>
      <c r="L982" s="48" t="n">
        <v>72911542</v>
      </c>
      <c r="M982" s="48" t="n">
        <v>234337695988</v>
      </c>
      <c r="N982" s="48" t="n">
        <v>2645</v>
      </c>
      <c r="O982" s="48" t="n">
        <v>37636021</v>
      </c>
      <c r="P982" s="48" t="n">
        <v>37455084</v>
      </c>
      <c r="Q982" s="48" t="n">
        <v>1751</v>
      </c>
      <c r="R982" s="48" t="n">
        <v>888</v>
      </c>
      <c r="S982" s="48" t="n">
        <v>35275521</v>
      </c>
      <c r="T982" s="48" t="n">
        <v>35456458</v>
      </c>
      <c r="U982" s="46" t="n">
        <f aca="false">IF($A982=$A981,$U981+1,1)</f>
        <v>198</v>
      </c>
      <c r="V982" s="48" t="n">
        <f aca="false">IF($U982&gt;=MA_SHORT,AVERAGE(INDEX($I$582:$I982,402-MA_SHORT):$I982),"")</f>
        <v>3201.2</v>
      </c>
      <c r="W982" s="48" t="n">
        <f aca="false">IF($U982&gt;=MA_MED,AVERAGE(INDEX($I$582:$I982,402-MA_MED):$I982),"")</f>
        <v>3453.64</v>
      </c>
      <c r="X982" s="48" t="n">
        <f aca="false">IF($U982&gt;=MA_LONG1,AVERAGE(INDEX($I$582:$I982,402-MA_LONG1):$I982),"")</f>
        <v>3346.33</v>
      </c>
      <c r="Y982" s="48" t="str">
        <f aca="false">IF($U982&gt;=MA_LONG2,AVERAGE(INDEX($I$582:$I982,402-MA_LONG2):$I982),"")</f>
        <v/>
      </c>
      <c r="Z982" s="48" t="n">
        <f aca="false">IF($U982&gt;=MA_SHORT,AVERAGE(INDEX($L$862:$L982,122-MA_SHORT):$L982),"")</f>
        <v>79693206</v>
      </c>
      <c r="AA982" s="48" t="n">
        <f aca="false">IF($U982=1,$G982-$H982,MAX($G982-$H982,ABS($G982-$I981),ABS($H982-$I981)))</f>
        <v>271</v>
      </c>
      <c r="AB982" s="48" t="n">
        <f aca="false">IF($U982&gt;=ATR_PER,AVERAGE(INDEX($AA$862:$AA982,122-ATR_PER):$AA982),"")</f>
        <v>162.785714285714</v>
      </c>
      <c r="AC982" s="48" t="n">
        <f aca="false">$O982-$P982</f>
        <v>180937</v>
      </c>
      <c r="AD982" s="48" t="n">
        <f aca="false">$AC982*$I982</f>
        <v>581531518</v>
      </c>
      <c r="AE982" s="49" t="n">
        <f aca="false">IF($Q982&gt;0,$O982*$I982/$Q982/1000000,"")</f>
        <v>69.0817655591091</v>
      </c>
      <c r="AF982" s="49" t="n">
        <f aca="false">IF($R982&gt;0,$P982*$I982/$R982/1000000,"")</f>
        <v>135.563783756757</v>
      </c>
      <c r="AG982" s="50" t="n">
        <f aca="false">IF(AND(ISNUMBER($AE982),ISNUMBER($AF982),$AF982&gt;0),$AE982/$AF982,"")</f>
        <v>0.509588650041394</v>
      </c>
      <c r="AH982" s="48" t="n">
        <f aca="false">IF($U982&gt;=5,SUM(INDEX($AD$952:$AD982,32-5):$AD982),"")</f>
        <v>-173504092745</v>
      </c>
      <c r="AI982" s="48" t="n">
        <f aca="false">IF($U982&gt;=STRUCT_S,MAX(INDEX($G$832:$G982,152-STRUCT_S):$G982),"")</f>
        <v>3477</v>
      </c>
      <c r="AJ982" s="48" t="n">
        <f aca="false">IF($U982&gt;=STRUCT_S,MIN(INDEX($H$832:$H982,152-STRUCT_S):$H982),"")</f>
        <v>2957</v>
      </c>
      <c r="AK982" s="48" t="n">
        <f aca="false">IF($U982&gt;=STRUCT_L,MAX(INDEX($G$732:$G982,252-STRUCT_L):$G982),"")</f>
        <v>4086</v>
      </c>
      <c r="AL982" s="48" t="n">
        <f aca="false">IF($U982&gt;=STRUCT_L,MIN(INDEX($H$732:$H982,252-STRUCT_L):$H982),"")</f>
        <v>2957</v>
      </c>
      <c r="AM982" s="46" t="n">
        <f aca="false">IF($A982&lt;&gt;$A983,1,0)</f>
        <v>0</v>
      </c>
      <c r="AN982" s="47" t="str">
        <f aca="false">IF($AM982=1,$A982,"")</f>
        <v/>
      </c>
    </row>
    <row r="983" customFormat="false" ht="15" hidden="false" customHeight="false" outlineLevel="0" collapsed="false">
      <c r="A983" s="43" t="s">
        <v>147</v>
      </c>
      <c r="B983" s="44" t="s">
        <v>149</v>
      </c>
      <c r="C983" s="45" t="n">
        <v>46182</v>
      </c>
      <c r="D983" s="46" t="n">
        <v>20260609</v>
      </c>
      <c r="E983" s="47" t="s">
        <v>486</v>
      </c>
      <c r="F983" s="48" t="n">
        <v>3216</v>
      </c>
      <c r="G983" s="48" t="n">
        <v>3264</v>
      </c>
      <c r="H983" s="48" t="n">
        <v>3181</v>
      </c>
      <c r="I983" s="48" t="n">
        <v>3231</v>
      </c>
      <c r="J983" s="48" t="n">
        <v>3247</v>
      </c>
      <c r="K983" s="48" t="n">
        <v>3214</v>
      </c>
      <c r="L983" s="48" t="n">
        <v>59081018</v>
      </c>
      <c r="M983" s="48" t="n">
        <v>190890769158</v>
      </c>
      <c r="N983" s="48" t="n">
        <v>3223</v>
      </c>
      <c r="O983" s="48" t="n">
        <v>25430668</v>
      </c>
      <c r="P983" s="48" t="n">
        <v>31151030</v>
      </c>
      <c r="Q983" s="48" t="n">
        <v>1617</v>
      </c>
      <c r="R983" s="48" t="n">
        <v>1122</v>
      </c>
      <c r="S983" s="48" t="n">
        <v>33650350</v>
      </c>
      <c r="T983" s="48" t="n">
        <v>27929988</v>
      </c>
      <c r="U983" s="46" t="n">
        <f aca="false">IF($A983=$A982,$U982+1,1)</f>
        <v>199</v>
      </c>
      <c r="V983" s="48" t="n">
        <f aca="false">IF($U983&gt;=MA_SHORT,AVERAGE(INDEX($I$583:$I983,402-MA_SHORT):$I983),"")</f>
        <v>3195</v>
      </c>
      <c r="W983" s="48" t="n">
        <f aca="false">IF($U983&gt;=MA_MED,AVERAGE(INDEX($I$583:$I983,402-MA_MED):$I983),"")</f>
        <v>3447.1</v>
      </c>
      <c r="X983" s="48" t="n">
        <f aca="false">IF($U983&gt;=MA_LONG1,AVERAGE(INDEX($I$583:$I983,402-MA_LONG1):$I983),"")</f>
        <v>3345.95</v>
      </c>
      <c r="Y983" s="48" t="str">
        <f aca="false">IF($U983&gt;=MA_LONG2,AVERAGE(INDEX($I$583:$I983,402-MA_LONG2):$I983),"")</f>
        <v/>
      </c>
      <c r="Z983" s="48" t="n">
        <f aca="false">IF($U983&gt;=MA_SHORT,AVERAGE(INDEX($L$863:$L983,122-MA_SHORT):$L983),"")</f>
        <v>79524176.75</v>
      </c>
      <c r="AA983" s="48" t="n">
        <f aca="false">IF($U983=1,$G983-$H983,MAX($G983-$H983,ABS($G983-$I982),ABS($H983-$I982)))</f>
        <v>83</v>
      </c>
      <c r="AB983" s="48" t="n">
        <f aca="false">IF($U983&gt;=ATR_PER,AVERAGE(INDEX($AA$863:$AA983,122-ATR_PER):$AA983),"")</f>
        <v>161.142857142857</v>
      </c>
      <c r="AC983" s="48" t="n">
        <f aca="false">$O983-$P983</f>
        <v>-5720362</v>
      </c>
      <c r="AD983" s="48" t="n">
        <f aca="false">$AC983*$I983</f>
        <v>-18482489622</v>
      </c>
      <c r="AE983" s="49" t="n">
        <f aca="false">IF($Q983&gt;0,$O983*$I983/$Q983/1000000,"")</f>
        <v>50.8141547977737</v>
      </c>
      <c r="AF983" s="49" t="n">
        <f aca="false">IF($R983&gt;0,$P983*$I983/$R983/1000000,"")</f>
        <v>89.7049714171123</v>
      </c>
      <c r="AG983" s="50" t="n">
        <f aca="false">IF(AND(ISNUMBER($AE983),ISNUMBER($AF983),$AF983&gt;0),$AE983/$AF983,"")</f>
        <v>0.566458625369789</v>
      </c>
      <c r="AH983" s="48" t="n">
        <f aca="false">IF($U983&gt;=5,SUM(INDEX($AD$953:$AD983,32-5):$AD983),"")</f>
        <v>-103493678598</v>
      </c>
      <c r="AI983" s="48" t="n">
        <f aca="false">IF($U983&gt;=STRUCT_S,MAX(INDEX($G$833:$G983,152-STRUCT_S):$G983),"")</f>
        <v>3477</v>
      </c>
      <c r="AJ983" s="48" t="n">
        <f aca="false">IF($U983&gt;=STRUCT_S,MIN(INDEX($H$833:$H983,152-STRUCT_S):$H983),"")</f>
        <v>2957</v>
      </c>
      <c r="AK983" s="48" t="n">
        <f aca="false">IF($U983&gt;=STRUCT_L,MAX(INDEX($G$733:$G983,252-STRUCT_L):$G983),"")</f>
        <v>4086</v>
      </c>
      <c r="AL983" s="48" t="n">
        <f aca="false">IF($U983&gt;=STRUCT_L,MIN(INDEX($H$733:$H983,252-STRUCT_L):$H983),"")</f>
        <v>2957</v>
      </c>
      <c r="AM983" s="46" t="n">
        <f aca="false">IF($A983&lt;&gt;$A984,1,0)</f>
        <v>0</v>
      </c>
      <c r="AN983" s="47" t="str">
        <f aca="false">IF($AM983=1,$A983,"")</f>
        <v/>
      </c>
    </row>
    <row r="984" customFormat="false" ht="15" hidden="false" customHeight="false" outlineLevel="0" collapsed="false">
      <c r="A984" s="43" t="s">
        <v>147</v>
      </c>
      <c r="B984" s="44" t="s">
        <v>149</v>
      </c>
      <c r="C984" s="45" t="n">
        <v>46183</v>
      </c>
      <c r="D984" s="46" t="n">
        <v>20260610</v>
      </c>
      <c r="E984" s="47" t="s">
        <v>487</v>
      </c>
      <c r="F984" s="48" t="n">
        <v>3137</v>
      </c>
      <c r="G984" s="48" t="n">
        <v>3275</v>
      </c>
      <c r="H984" s="48" t="n">
        <v>3060</v>
      </c>
      <c r="I984" s="48" t="n">
        <v>3102</v>
      </c>
      <c r="J984" s="48" t="n">
        <v>3198</v>
      </c>
      <c r="K984" s="48" t="n">
        <v>3231</v>
      </c>
      <c r="L984" s="48" t="n">
        <v>106041045</v>
      </c>
      <c r="M984" s="48" t="n">
        <v>328939321590</v>
      </c>
      <c r="N984" s="48" t="n">
        <v>3436</v>
      </c>
      <c r="O984" s="48" t="n">
        <v>29886840</v>
      </c>
      <c r="P984" s="48" t="n">
        <v>75538734</v>
      </c>
      <c r="Q984" s="48" t="n">
        <v>1088</v>
      </c>
      <c r="R984" s="48" t="n">
        <v>2296</v>
      </c>
      <c r="S984" s="48" t="n">
        <v>76154205</v>
      </c>
      <c r="T984" s="48" t="n">
        <v>30502311</v>
      </c>
      <c r="U984" s="46" t="n">
        <f aca="false">IF($A984=$A983,$U983+1,1)</f>
        <v>200</v>
      </c>
      <c r="V984" s="48" t="n">
        <f aca="false">IF($U984&gt;=MA_SHORT,AVERAGE(INDEX($I$584:$I984,402-MA_SHORT):$I984),"")</f>
        <v>3177.95</v>
      </c>
      <c r="W984" s="48" t="n">
        <f aca="false">IF($U984&gt;=MA_MED,AVERAGE(INDEX($I$584:$I984,402-MA_MED):$I984),"")</f>
        <v>3437.38</v>
      </c>
      <c r="X984" s="48" t="n">
        <f aca="false">IF($U984&gt;=MA_LONG1,AVERAGE(INDEX($I$584:$I984,402-MA_LONG1):$I984),"")</f>
        <v>3344.65</v>
      </c>
      <c r="Y984" s="48" t="n">
        <f aca="false">IF($U984&gt;=MA_LONG2,AVERAGE(INDEX($I$584:$I984,402-MA_LONG2):$I984),"")</f>
        <v>3083.76</v>
      </c>
      <c r="Z984" s="48" t="n">
        <f aca="false">IF($U984&gt;=MA_SHORT,AVERAGE(INDEX($L$864:$L984,122-MA_SHORT):$L984),"")</f>
        <v>81512445</v>
      </c>
      <c r="AA984" s="48" t="n">
        <f aca="false">IF($U984=1,$G984-$H984,MAX($G984-$H984,ABS($G984-$I983),ABS($H984-$I983)))</f>
        <v>215</v>
      </c>
      <c r="AB984" s="48" t="n">
        <f aca="false">IF($U984&gt;=ATR_PER,AVERAGE(INDEX($AA$864:$AA984,122-ATR_PER):$AA984),"")</f>
        <v>155.928571428571</v>
      </c>
      <c r="AC984" s="48" t="n">
        <f aca="false">$O984-$P984</f>
        <v>-45651894</v>
      </c>
      <c r="AD984" s="48" t="n">
        <f aca="false">$AC984*$I984</f>
        <v>-141612175188</v>
      </c>
      <c r="AE984" s="49" t="n">
        <f aca="false">IF($Q984&gt;0,$O984*$I984/$Q984/1000000,"")</f>
        <v>85.2104574264706</v>
      </c>
      <c r="AF984" s="49" t="n">
        <f aca="false">IF($R984&gt;0,$P984*$I984/$R984/1000000,"")</f>
        <v>102.056251249129</v>
      </c>
      <c r="AG984" s="50" t="n">
        <f aca="false">IF(AND(ISNUMBER($AE984),ISNUMBER($AF984),$AF984&gt;0),$AE984/$AF984,"")</f>
        <v>0.834936188460067</v>
      </c>
      <c r="AH984" s="48" t="n">
        <f aca="false">IF($U984&gt;=5,SUM(INDEX($AD$954:$AD984,32-5):$AD984),"")</f>
        <v>-230499706552</v>
      </c>
      <c r="AI984" s="48" t="n">
        <f aca="false">IF($U984&gt;=STRUCT_S,MAX(INDEX($G$834:$G984,152-STRUCT_S):$G984),"")</f>
        <v>3477</v>
      </c>
      <c r="AJ984" s="48" t="n">
        <f aca="false">IF($U984&gt;=STRUCT_S,MIN(INDEX($H$834:$H984,152-STRUCT_S):$H984),"")</f>
        <v>2957</v>
      </c>
      <c r="AK984" s="48" t="n">
        <f aca="false">IF($U984&gt;=STRUCT_L,MAX(INDEX($G$734:$G984,252-STRUCT_L):$G984),"")</f>
        <v>4086</v>
      </c>
      <c r="AL984" s="48" t="n">
        <f aca="false">IF($U984&gt;=STRUCT_L,MIN(INDEX($H$734:$H984,252-STRUCT_L):$H984),"")</f>
        <v>2957</v>
      </c>
      <c r="AM984" s="46" t="n">
        <f aca="false">IF($A984&lt;&gt;$A985,1,0)</f>
        <v>0</v>
      </c>
      <c r="AN984" s="47" t="str">
        <f aca="false">IF($AM984=1,$A984,"")</f>
        <v/>
      </c>
    </row>
    <row r="985" customFormat="false" ht="15" hidden="false" customHeight="false" outlineLevel="0" collapsed="false">
      <c r="A985" s="43" t="s">
        <v>147</v>
      </c>
      <c r="B985" s="44" t="s">
        <v>149</v>
      </c>
      <c r="C985" s="45" t="n">
        <v>46186</v>
      </c>
      <c r="D985" s="46" t="n">
        <v>20260613</v>
      </c>
      <c r="E985" s="47" t="s">
        <v>488</v>
      </c>
      <c r="F985" s="48" t="n">
        <v>3168</v>
      </c>
      <c r="G985" s="48" t="n">
        <v>3177</v>
      </c>
      <c r="H985" s="48" t="n">
        <v>3070</v>
      </c>
      <c r="I985" s="48" t="n">
        <v>3144</v>
      </c>
      <c r="J985" s="48" t="n">
        <v>3140</v>
      </c>
      <c r="K985" s="48" t="n">
        <v>3102</v>
      </c>
      <c r="L985" s="48" t="n">
        <v>61915672</v>
      </c>
      <c r="M985" s="48" t="n">
        <v>194662872768</v>
      </c>
      <c r="N985" s="48" t="n">
        <v>2752</v>
      </c>
      <c r="O985" s="48" t="n">
        <v>25906723</v>
      </c>
      <c r="P985" s="48" t="n">
        <v>36076840</v>
      </c>
      <c r="Q985" s="48" t="n">
        <v>1382</v>
      </c>
      <c r="R985" s="48" t="n">
        <v>865</v>
      </c>
      <c r="S985" s="48" t="n">
        <v>36008949</v>
      </c>
      <c r="T985" s="48" t="n">
        <v>25838832</v>
      </c>
      <c r="U985" s="46" t="n">
        <f aca="false">IF($A985=$A984,$U984+1,1)</f>
        <v>201</v>
      </c>
      <c r="V985" s="48" t="n">
        <f aca="false">IF($U985&gt;=MA_SHORT,AVERAGE(INDEX($I$585:$I985,402-MA_SHORT):$I985),"")</f>
        <v>3162.1</v>
      </c>
      <c r="W985" s="48" t="n">
        <f aca="false">IF($U985&gt;=MA_MED,AVERAGE(INDEX($I$585:$I985,402-MA_MED):$I985),"")</f>
        <v>3426.98</v>
      </c>
      <c r="X985" s="48" t="n">
        <f aca="false">IF($U985&gt;=MA_LONG1,AVERAGE(INDEX($I$585:$I985,402-MA_LONG1):$I985),"")</f>
        <v>3344.35</v>
      </c>
      <c r="Y985" s="48" t="n">
        <f aca="false">IF($U985&gt;=MA_LONG2,AVERAGE(INDEX($I$585:$I985,402-MA_LONG2):$I985),"")</f>
        <v>3087.535</v>
      </c>
      <c r="Z985" s="48" t="n">
        <f aca="false">IF($U985&gt;=MA_SHORT,AVERAGE(INDEX($L$865:$L985,122-MA_SHORT):$L985),"")</f>
        <v>81655231.8</v>
      </c>
      <c r="AA985" s="48" t="n">
        <f aca="false">IF($U985=1,$G985-$H985,MAX($G985-$H985,ABS($G985-$I984),ABS($H985-$I984)))</f>
        <v>107</v>
      </c>
      <c r="AB985" s="48" t="n">
        <f aca="false">IF($U985&gt;=ATR_PER,AVERAGE(INDEX($AA$865:$AA985,122-ATR_PER):$AA985),"")</f>
        <v>148.642857142857</v>
      </c>
      <c r="AC985" s="48" t="n">
        <f aca="false">$O985-$P985</f>
        <v>-10170117</v>
      </c>
      <c r="AD985" s="48" t="n">
        <f aca="false">$AC985*$I985</f>
        <v>-31974847848</v>
      </c>
      <c r="AE985" s="49" t="n">
        <f aca="false">IF($Q985&gt;0,$O985*$I985/$Q985/1000000,"")</f>
        <v>58.9368575340087</v>
      </c>
      <c r="AF985" s="49" t="n">
        <f aca="false">IF($R985&gt;0,$P985*$I985/$R985/1000000,"")</f>
        <v>131.127843884393</v>
      </c>
      <c r="AG985" s="50" t="n">
        <f aca="false">IF(AND(ISNUMBER($AE985),ISNUMBER($AF985),$AF985&gt;0),$AE985/$AF985,"")</f>
        <v>0.449461043422399</v>
      </c>
      <c r="AH985" s="48" t="n">
        <f aca="false">IF($U985&gt;=5,SUM(INDEX($AD$955:$AD985,32-5):$AD985),"")</f>
        <v>-271316751694</v>
      </c>
      <c r="AI985" s="48" t="n">
        <f aca="false">IF($U985&gt;=STRUCT_S,MAX(INDEX($G$835:$G985,152-STRUCT_S):$G985),"")</f>
        <v>3477</v>
      </c>
      <c r="AJ985" s="48" t="n">
        <f aca="false">IF($U985&gt;=STRUCT_S,MIN(INDEX($H$835:$H985,152-STRUCT_S):$H985),"")</f>
        <v>2957</v>
      </c>
      <c r="AK985" s="48" t="n">
        <f aca="false">IF($U985&gt;=STRUCT_L,MAX(INDEX($G$735:$G985,252-STRUCT_L):$G985),"")</f>
        <v>4086</v>
      </c>
      <c r="AL985" s="48" t="n">
        <f aca="false">IF($U985&gt;=STRUCT_L,MIN(INDEX($H$735:$H985,252-STRUCT_L):$H985),"")</f>
        <v>2957</v>
      </c>
      <c r="AM985" s="46" t="n">
        <f aca="false">IF($A985&lt;&gt;$A986,1,0)</f>
        <v>0</v>
      </c>
      <c r="AN985" s="47" t="str">
        <f aca="false">IF($AM985=1,$A985,"")</f>
        <v/>
      </c>
    </row>
    <row r="986" customFormat="false" ht="15" hidden="false" customHeight="false" outlineLevel="0" collapsed="false">
      <c r="A986" s="43" t="s">
        <v>147</v>
      </c>
      <c r="B986" s="44" t="s">
        <v>149</v>
      </c>
      <c r="C986" s="45" t="n">
        <v>46187</v>
      </c>
      <c r="D986" s="46" t="n">
        <v>20260614</v>
      </c>
      <c r="E986" s="47" t="s">
        <v>489</v>
      </c>
      <c r="F986" s="48" t="n">
        <v>3121</v>
      </c>
      <c r="G986" s="48" t="n">
        <v>3186</v>
      </c>
      <c r="H986" s="48" t="n">
        <v>3101</v>
      </c>
      <c r="I986" s="48" t="n">
        <v>3143</v>
      </c>
      <c r="J986" s="48" t="n">
        <v>3122</v>
      </c>
      <c r="K986" s="48" t="n">
        <v>3144</v>
      </c>
      <c r="L986" s="48" t="n">
        <v>57372971</v>
      </c>
      <c r="M986" s="48" t="n">
        <v>180323247853</v>
      </c>
      <c r="N986" s="48" t="n">
        <v>1990</v>
      </c>
      <c r="O986" s="48" t="n">
        <v>26966757</v>
      </c>
      <c r="P986" s="48" t="n">
        <v>27580585</v>
      </c>
      <c r="Q986" s="48" t="n">
        <v>719</v>
      </c>
      <c r="R986" s="48" t="n">
        <v>1348</v>
      </c>
      <c r="S986" s="48" t="n">
        <v>30406214</v>
      </c>
      <c r="T986" s="48" t="n">
        <v>29792386</v>
      </c>
      <c r="U986" s="46" t="n">
        <f aca="false">IF($A986=$A985,$U985+1,1)</f>
        <v>202</v>
      </c>
      <c r="V986" s="48" t="n">
        <f aca="false">IF($U986&gt;=MA_SHORT,AVERAGE(INDEX($I$586:$I986,402-MA_SHORT):$I986),"")</f>
        <v>3150.3</v>
      </c>
      <c r="W986" s="48" t="n">
        <f aca="false">IF($U986&gt;=MA_MED,AVERAGE(INDEX($I$586:$I986,402-MA_MED):$I986),"")</f>
        <v>3416.64</v>
      </c>
      <c r="X986" s="48" t="n">
        <f aca="false">IF($U986&gt;=MA_LONG1,AVERAGE(INDEX($I$586:$I986,402-MA_LONG1):$I986),"")</f>
        <v>3343.8</v>
      </c>
      <c r="Y986" s="48" t="n">
        <f aca="false">IF($U986&gt;=MA_LONG2,AVERAGE(INDEX($I$586:$I986,402-MA_LONG2):$I986),"")</f>
        <v>3091.09</v>
      </c>
      <c r="Z986" s="48" t="n">
        <f aca="false">IF($U986&gt;=MA_SHORT,AVERAGE(INDEX($L$866:$L986,122-MA_SHORT):$L986),"")</f>
        <v>81253678.65</v>
      </c>
      <c r="AA986" s="48" t="n">
        <f aca="false">IF($U986=1,$G986-$H986,MAX($G986-$H986,ABS($G986-$I985),ABS($H986-$I985)))</f>
        <v>85</v>
      </c>
      <c r="AB986" s="48" t="n">
        <f aca="false">IF($U986&gt;=ATR_PER,AVERAGE(INDEX($AA$866:$AA986,122-ATR_PER):$AA986),"")</f>
        <v>144.714285714286</v>
      </c>
      <c r="AC986" s="48" t="n">
        <f aca="false">$O986-$P986</f>
        <v>-613828</v>
      </c>
      <c r="AD986" s="48" t="n">
        <f aca="false">$AC986*$I986</f>
        <v>-1929261404</v>
      </c>
      <c r="AE986" s="49" t="n">
        <f aca="false">IF($Q986&gt;0,$O986*$I986/$Q986/1000000,"")</f>
        <v>117.881108833102</v>
      </c>
      <c r="AF986" s="49" t="n">
        <f aca="false">IF($R986&gt;0,$P986*$I986/$R986/1000000,"")</f>
        <v>64.3069574591988</v>
      </c>
      <c r="AG986" s="50" t="n">
        <f aca="false">IF(AND(ISNUMBER($AE986),ISNUMBER($AF986),$AF986&gt;0),$AE986/$AF986,"")</f>
        <v>1.83310039054319</v>
      </c>
      <c r="AH986" s="48" t="n">
        <f aca="false">IF($U986&gt;=5,SUM(INDEX($AD$956:$AD986,32-5):$AD986),"")</f>
        <v>-193417242544</v>
      </c>
      <c r="AI986" s="48" t="n">
        <f aca="false">IF($U986&gt;=STRUCT_S,MAX(INDEX($G$836:$G986,152-STRUCT_S):$G986),"")</f>
        <v>3437</v>
      </c>
      <c r="AJ986" s="48" t="n">
        <f aca="false">IF($U986&gt;=STRUCT_S,MIN(INDEX($H$836:$H986,152-STRUCT_S):$H986),"")</f>
        <v>2957</v>
      </c>
      <c r="AK986" s="48" t="n">
        <f aca="false">IF($U986&gt;=STRUCT_L,MAX(INDEX($G$736:$G986,252-STRUCT_L):$G986),"")</f>
        <v>4086</v>
      </c>
      <c r="AL986" s="48" t="n">
        <f aca="false">IF($U986&gt;=STRUCT_L,MIN(INDEX($H$736:$H986,252-STRUCT_L):$H986),"")</f>
        <v>2957</v>
      </c>
      <c r="AM986" s="46" t="n">
        <f aca="false">IF($A986&lt;&gt;$A987,1,0)</f>
        <v>0</v>
      </c>
      <c r="AN986" s="47" t="str">
        <f aca="false">IF($AM986=1,$A986,"")</f>
        <v/>
      </c>
    </row>
    <row r="987" customFormat="false" ht="15" hidden="false" customHeight="false" outlineLevel="0" collapsed="false">
      <c r="A987" s="43" t="s">
        <v>147</v>
      </c>
      <c r="B987" s="44" t="s">
        <v>149</v>
      </c>
      <c r="C987" s="45" t="n">
        <v>46188</v>
      </c>
      <c r="D987" s="46" t="n">
        <v>20260615</v>
      </c>
      <c r="E987" s="47" t="s">
        <v>490</v>
      </c>
      <c r="F987" s="48" t="n">
        <v>3223</v>
      </c>
      <c r="G987" s="48" t="n">
        <v>3258</v>
      </c>
      <c r="H987" s="48" t="n">
        <v>3119</v>
      </c>
      <c r="I987" s="48" t="n">
        <v>3233</v>
      </c>
      <c r="J987" s="48" t="n">
        <v>3217</v>
      </c>
      <c r="K987" s="48" t="n">
        <v>3143</v>
      </c>
      <c r="L987" s="48" t="n">
        <v>67102185</v>
      </c>
      <c r="M987" s="48" t="n">
        <v>216941364105</v>
      </c>
      <c r="N987" s="48" t="n">
        <v>1568</v>
      </c>
      <c r="O987" s="48" t="n">
        <v>36394939</v>
      </c>
      <c r="P987" s="48" t="n">
        <v>26853973</v>
      </c>
      <c r="Q987" s="48" t="n">
        <v>783</v>
      </c>
      <c r="R987" s="48" t="n">
        <v>524</v>
      </c>
      <c r="S987" s="48" t="n">
        <v>30707246</v>
      </c>
      <c r="T987" s="48" t="n">
        <v>40248212</v>
      </c>
      <c r="U987" s="46" t="n">
        <f aca="false">IF($A987=$A986,$U986+1,1)</f>
        <v>203</v>
      </c>
      <c r="V987" s="48" t="n">
        <f aca="false">IF($U987&gt;=MA_SHORT,AVERAGE(INDEX($I$587:$I987,402-MA_SHORT):$I987),"")</f>
        <v>3144</v>
      </c>
      <c r="W987" s="48" t="n">
        <f aca="false">IF($U987&gt;=MA_MED,AVERAGE(INDEX($I$587:$I987,402-MA_MED):$I987),"")</f>
        <v>3408.72</v>
      </c>
      <c r="X987" s="48" t="n">
        <f aca="false">IF($U987&gt;=MA_LONG1,AVERAGE(INDEX($I$587:$I987,402-MA_LONG1):$I987),"")</f>
        <v>3344.31</v>
      </c>
      <c r="Y987" s="48" t="n">
        <f aca="false">IF($U987&gt;=MA_LONG2,AVERAGE(INDEX($I$587:$I987,402-MA_LONG2):$I987),"")</f>
        <v>3094.855</v>
      </c>
      <c r="Z987" s="48" t="n">
        <f aca="false">IF($U987&gt;=MA_SHORT,AVERAGE(INDEX($L$867:$L987,122-MA_SHORT):$L987),"")</f>
        <v>81036658.85</v>
      </c>
      <c r="AA987" s="48" t="n">
        <f aca="false">IF($U987=1,$G987-$H987,MAX($G987-$H987,ABS($G987-$I986),ABS($H987-$I986)))</f>
        <v>139</v>
      </c>
      <c r="AB987" s="48" t="n">
        <f aca="false">IF($U987&gt;=ATR_PER,AVERAGE(INDEX($AA$867:$AA987,122-ATR_PER):$AA987),"")</f>
        <v>142.857142857143</v>
      </c>
      <c r="AC987" s="48" t="n">
        <f aca="false">$O987-$P987</f>
        <v>9540966</v>
      </c>
      <c r="AD987" s="48" t="n">
        <f aca="false">$AC987*$I987</f>
        <v>30845943078</v>
      </c>
      <c r="AE987" s="49" t="n">
        <f aca="false">IF($Q987&gt;0,$O987*$I987/$Q987/1000000,"")</f>
        <v>150.274377761175</v>
      </c>
      <c r="AF987" s="49" t="n">
        <f aca="false">IF($R987&gt;0,$P987*$I987/$R987/1000000,"")</f>
        <v>165.684913566794</v>
      </c>
      <c r="AG987" s="50" t="n">
        <f aca="false">IF(AND(ISNUMBER($AE987),ISNUMBER($AF987),$AF987&gt;0),$AE987/$AF987,"")</f>
        <v>0.906988901560996</v>
      </c>
      <c r="AH987" s="48" t="n">
        <f aca="false">IF($U987&gt;=5,SUM(INDEX($AD$957:$AD987,32-5):$AD987),"")</f>
        <v>-163152830984</v>
      </c>
      <c r="AI987" s="48" t="n">
        <f aca="false">IF($U987&gt;=STRUCT_S,MAX(INDEX($G$837:$G987,152-STRUCT_S):$G987),"")</f>
        <v>3428</v>
      </c>
      <c r="AJ987" s="48" t="n">
        <f aca="false">IF($U987&gt;=STRUCT_S,MIN(INDEX($H$837:$H987,152-STRUCT_S):$H987),"")</f>
        <v>2957</v>
      </c>
      <c r="AK987" s="48" t="n">
        <f aca="false">IF($U987&gt;=STRUCT_L,MAX(INDEX($G$737:$G987,252-STRUCT_L):$G987),"")</f>
        <v>4086</v>
      </c>
      <c r="AL987" s="48" t="n">
        <f aca="false">IF($U987&gt;=STRUCT_L,MIN(INDEX($H$737:$H987,252-STRUCT_L):$H987),"")</f>
        <v>2957</v>
      </c>
      <c r="AM987" s="46" t="n">
        <f aca="false">IF($A987&lt;&gt;$A988,1,0)</f>
        <v>0</v>
      </c>
      <c r="AN987" s="47" t="str">
        <f aca="false">IF($AM987=1,$A987,"")</f>
        <v/>
      </c>
    </row>
    <row r="988" customFormat="false" ht="15" hidden="false" customHeight="false" outlineLevel="0" collapsed="false">
      <c r="A988" s="43" t="s">
        <v>147</v>
      </c>
      <c r="B988" s="44" t="s">
        <v>149</v>
      </c>
      <c r="C988" s="45" t="n">
        <v>46189</v>
      </c>
      <c r="D988" s="46" t="n">
        <v>20260616</v>
      </c>
      <c r="E988" s="47" t="s">
        <v>491</v>
      </c>
      <c r="F988" s="48" t="n">
        <v>3224</v>
      </c>
      <c r="G988" s="48" t="n">
        <v>3245</v>
      </c>
      <c r="H988" s="48" t="n">
        <v>3136</v>
      </c>
      <c r="I988" s="48" t="n">
        <v>3147</v>
      </c>
      <c r="J988" s="48" t="n">
        <v>3211</v>
      </c>
      <c r="K988" s="48" t="n">
        <v>3233</v>
      </c>
      <c r="L988" s="48" t="n">
        <v>67493157</v>
      </c>
      <c r="M988" s="48" t="n">
        <v>212400965079</v>
      </c>
      <c r="N988" s="48" t="n">
        <v>2880</v>
      </c>
      <c r="O988" s="48" t="n">
        <v>24466061</v>
      </c>
      <c r="P988" s="48" t="n">
        <v>42161488</v>
      </c>
      <c r="Q988" s="48" t="n">
        <v>997</v>
      </c>
      <c r="R988" s="48" t="n">
        <v>1715</v>
      </c>
      <c r="S988" s="48" t="n">
        <v>43027096</v>
      </c>
      <c r="T988" s="48" t="n">
        <v>25331669</v>
      </c>
      <c r="U988" s="46" t="n">
        <f aca="false">IF($A988=$A987,$U987+1,1)</f>
        <v>204</v>
      </c>
      <c r="V988" s="48" t="n">
        <f aca="false">IF($U988&gt;=MA_SHORT,AVERAGE(INDEX($I$588:$I988,402-MA_SHORT):$I988),"")</f>
        <v>3130.9</v>
      </c>
      <c r="W988" s="48" t="n">
        <f aca="false">IF($U988&gt;=MA_MED,AVERAGE(INDEX($I$588:$I988,402-MA_MED):$I988),"")</f>
        <v>3398.54</v>
      </c>
      <c r="X988" s="48" t="n">
        <f aca="false">IF($U988&gt;=MA_LONG1,AVERAGE(INDEX($I$588:$I988,402-MA_LONG1):$I988),"")</f>
        <v>3344.19</v>
      </c>
      <c r="Y988" s="48" t="n">
        <f aca="false">IF($U988&gt;=MA_LONG2,AVERAGE(INDEX($I$588:$I988,402-MA_LONG2):$I988),"")</f>
        <v>3098.29</v>
      </c>
      <c r="Z988" s="48" t="n">
        <f aca="false">IF($U988&gt;=MA_SHORT,AVERAGE(INDEX($L$868:$L988,122-MA_SHORT):$L988),"")</f>
        <v>81292414.65</v>
      </c>
      <c r="AA988" s="48" t="n">
        <f aca="false">IF($U988=1,$G988-$H988,MAX($G988-$H988,ABS($G988-$I987),ABS($H988-$I987)))</f>
        <v>109</v>
      </c>
      <c r="AB988" s="48" t="n">
        <f aca="false">IF($U988&gt;=ATR_PER,AVERAGE(INDEX($AA$868:$AA988,122-ATR_PER):$AA988),"")</f>
        <v>135.285714285714</v>
      </c>
      <c r="AC988" s="48" t="n">
        <f aca="false">$O988-$P988</f>
        <v>-17695427</v>
      </c>
      <c r="AD988" s="48" t="n">
        <f aca="false">$AC988*$I988</f>
        <v>-55687508769</v>
      </c>
      <c r="AE988" s="49" t="n">
        <f aca="false">IF($Q988&gt;0,$O988*$I988/$Q988/1000000,"")</f>
        <v>77.2263730862588</v>
      </c>
      <c r="AF988" s="49" t="n">
        <f aca="false">IF($R988&gt;0,$P988*$I988/$R988/1000000,"")</f>
        <v>77.3657158810496</v>
      </c>
      <c r="AG988" s="50" t="n">
        <f aca="false">IF(AND(ISNUMBER($AE988),ISNUMBER($AF988),$AF988&gt;0),$AE988/$AF988,"")</f>
        <v>0.998198907704738</v>
      </c>
      <c r="AH988" s="48" t="n">
        <f aca="false">IF($U988&gt;=5,SUM(INDEX($AD$958:$AD988,32-5):$AD988),"")</f>
        <v>-200357850131</v>
      </c>
      <c r="AI988" s="48" t="n">
        <f aca="false">IF($U988&gt;=STRUCT_S,MAX(INDEX($G$838:$G988,152-STRUCT_S):$G988),"")</f>
        <v>3428</v>
      </c>
      <c r="AJ988" s="48" t="n">
        <f aca="false">IF($U988&gt;=STRUCT_S,MIN(INDEX($H$838:$H988,152-STRUCT_S):$H988),"")</f>
        <v>2957</v>
      </c>
      <c r="AK988" s="48" t="n">
        <f aca="false">IF($U988&gt;=STRUCT_L,MAX(INDEX($G$738:$G988,252-STRUCT_L):$G988),"")</f>
        <v>4086</v>
      </c>
      <c r="AL988" s="48" t="n">
        <f aca="false">IF($U988&gt;=STRUCT_L,MIN(INDEX($H$738:$H988,252-STRUCT_L):$H988),"")</f>
        <v>2957</v>
      </c>
      <c r="AM988" s="46" t="n">
        <f aca="false">IF($A988&lt;&gt;$A989,1,0)</f>
        <v>0</v>
      </c>
      <c r="AN988" s="47" t="str">
        <f aca="false">IF($AM988=1,$A988,"")</f>
        <v/>
      </c>
    </row>
    <row r="989" customFormat="false" ht="15" hidden="false" customHeight="false" outlineLevel="0" collapsed="false">
      <c r="A989" s="43" t="s">
        <v>147</v>
      </c>
      <c r="B989" s="44" t="s">
        <v>149</v>
      </c>
      <c r="C989" s="45" t="n">
        <v>46190</v>
      </c>
      <c r="D989" s="46" t="n">
        <v>20260617</v>
      </c>
      <c r="E989" s="47" t="s">
        <v>492</v>
      </c>
      <c r="F989" s="48" t="n">
        <v>3143</v>
      </c>
      <c r="G989" s="48" t="n">
        <v>3219</v>
      </c>
      <c r="H989" s="48" t="n">
        <v>3080</v>
      </c>
      <c r="I989" s="48" t="n">
        <v>3152</v>
      </c>
      <c r="J989" s="48" t="n">
        <v>3183</v>
      </c>
      <c r="K989" s="48" t="n">
        <v>3147</v>
      </c>
      <c r="L989" s="48" t="n">
        <v>57809577</v>
      </c>
      <c r="M989" s="48" t="n">
        <v>182215786704</v>
      </c>
      <c r="N989" s="48" t="n">
        <v>1574</v>
      </c>
      <c r="O989" s="48" t="n">
        <v>23396936</v>
      </c>
      <c r="P989" s="48" t="n">
        <v>38823131</v>
      </c>
      <c r="Q989" s="48" t="n">
        <v>1107</v>
      </c>
      <c r="R989" s="48" t="n">
        <v>576</v>
      </c>
      <c r="S989" s="48" t="n">
        <v>34412641</v>
      </c>
      <c r="T989" s="48" t="n">
        <v>18986446</v>
      </c>
      <c r="U989" s="46" t="n">
        <f aca="false">IF($A989=$A988,$U988+1,1)</f>
        <v>205</v>
      </c>
      <c r="V989" s="48" t="n">
        <f aca="false">IF($U989&gt;=MA_SHORT,AVERAGE(INDEX($I$589:$I989,402-MA_SHORT):$I989),"")</f>
        <v>3122.05</v>
      </c>
      <c r="W989" s="48" t="n">
        <f aca="false">IF($U989&gt;=MA_MED,AVERAGE(INDEX($I$589:$I989,402-MA_MED):$I989),"")</f>
        <v>3387.8</v>
      </c>
      <c r="X989" s="48" t="n">
        <f aca="false">IF($U989&gt;=MA_LONG1,AVERAGE(INDEX($I$589:$I989,402-MA_LONG1):$I989),"")</f>
        <v>3344.1</v>
      </c>
      <c r="Y989" s="48" t="n">
        <f aca="false">IF($U989&gt;=MA_LONG2,AVERAGE(INDEX($I$589:$I989,402-MA_LONG2):$I989),"")</f>
        <v>3101.835</v>
      </c>
      <c r="Z989" s="48" t="n">
        <f aca="false">IF($U989&gt;=MA_SHORT,AVERAGE(INDEX($L$869:$L989,122-MA_SHORT):$L989),"")</f>
        <v>80916561.9</v>
      </c>
      <c r="AA989" s="48" t="n">
        <f aca="false">IF($U989=1,$G989-$H989,MAX($G989-$H989,ABS($G989-$I988),ABS($H989-$I988)))</f>
        <v>139</v>
      </c>
      <c r="AB989" s="48" t="n">
        <f aca="false">IF($U989&gt;=ATR_PER,AVERAGE(INDEX($AA$869:$AA989,122-ATR_PER):$AA989),"")</f>
        <v>135.5</v>
      </c>
      <c r="AC989" s="48" t="n">
        <f aca="false">$O989-$P989</f>
        <v>-15426195</v>
      </c>
      <c r="AD989" s="48" t="n">
        <f aca="false">$AC989*$I989</f>
        <v>-48623366640</v>
      </c>
      <c r="AE989" s="49" t="n">
        <f aca="false">IF($Q989&gt;0,$O989*$I989/$Q989/1000000,"")</f>
        <v>66.6189180415538</v>
      </c>
      <c r="AF989" s="49" t="n">
        <f aca="false">IF($R989&gt;0,$P989*$I989/$R989/1000000,"")</f>
        <v>212.448800194444</v>
      </c>
      <c r="AG989" s="50" t="n">
        <f aca="false">IF(AND(ISNUMBER($AE989),ISNUMBER($AF989),$AF989&gt;0),$AE989/$AF989,"")</f>
        <v>0.313576343950074</v>
      </c>
      <c r="AH989" s="48" t="n">
        <f aca="false">IF($U989&gt;=5,SUM(INDEX($AD$959:$AD989,32-5):$AD989),"")</f>
        <v>-107369041583</v>
      </c>
      <c r="AI989" s="48" t="n">
        <f aca="false">IF($U989&gt;=STRUCT_S,MAX(INDEX($G$839:$G989,152-STRUCT_S):$G989),"")</f>
        <v>3428</v>
      </c>
      <c r="AJ989" s="48" t="n">
        <f aca="false">IF($U989&gt;=STRUCT_S,MIN(INDEX($H$839:$H989,152-STRUCT_S):$H989),"")</f>
        <v>2957</v>
      </c>
      <c r="AK989" s="48" t="n">
        <f aca="false">IF($U989&gt;=STRUCT_L,MAX(INDEX($G$739:$G989,252-STRUCT_L):$G989),"")</f>
        <v>4086</v>
      </c>
      <c r="AL989" s="48" t="n">
        <f aca="false">IF($U989&gt;=STRUCT_L,MIN(INDEX($H$739:$H989,252-STRUCT_L):$H989),"")</f>
        <v>2957</v>
      </c>
      <c r="AM989" s="46" t="n">
        <f aca="false">IF($A989&lt;&gt;$A990,1,0)</f>
        <v>0</v>
      </c>
      <c r="AN989" s="47" t="str">
        <f aca="false">IF($AM989=1,$A989,"")</f>
        <v/>
      </c>
    </row>
    <row r="990" customFormat="false" ht="15" hidden="false" customHeight="false" outlineLevel="0" collapsed="false">
      <c r="A990" s="43" t="s">
        <v>147</v>
      </c>
      <c r="B990" s="44" t="s">
        <v>149</v>
      </c>
      <c r="C990" s="45" t="n">
        <v>46193</v>
      </c>
      <c r="D990" s="46" t="n">
        <v>20260620</v>
      </c>
      <c r="E990" s="47" t="s">
        <v>493</v>
      </c>
      <c r="F990" s="48" t="n">
        <v>3211</v>
      </c>
      <c r="G990" s="48" t="n">
        <v>3268</v>
      </c>
      <c r="H990" s="48" t="n">
        <v>3132</v>
      </c>
      <c r="I990" s="48" t="n">
        <v>3247</v>
      </c>
      <c r="J990" s="48" t="n">
        <v>3137</v>
      </c>
      <c r="K990" s="48" t="n">
        <v>3152</v>
      </c>
      <c r="L990" s="48" t="n">
        <v>95344946</v>
      </c>
      <c r="M990" s="48" t="n">
        <v>309585039662</v>
      </c>
      <c r="N990" s="48" t="n">
        <v>7213</v>
      </c>
      <c r="O990" s="48" t="n">
        <v>54064022</v>
      </c>
      <c r="P990" s="48" t="n">
        <v>38601333</v>
      </c>
      <c r="Q990" s="48" t="n">
        <v>3635</v>
      </c>
      <c r="R990" s="48" t="n">
        <v>2547</v>
      </c>
      <c r="S990" s="48" t="n">
        <v>41280924</v>
      </c>
      <c r="T990" s="48" t="n">
        <v>56743613</v>
      </c>
      <c r="U990" s="46" t="n">
        <f aca="false">IF($A990=$A989,$U989+1,1)</f>
        <v>206</v>
      </c>
      <c r="V990" s="48" t="n">
        <f aca="false">IF($U990&gt;=MA_SHORT,AVERAGE(INDEX($I$590:$I990,402-MA_SHORT):$I990),"")</f>
        <v>3122.6</v>
      </c>
      <c r="W990" s="48" t="n">
        <f aca="false">IF($U990&gt;=MA_MED,AVERAGE(INDEX($I$590:$I990,402-MA_MED):$I990),"")</f>
        <v>3377.12</v>
      </c>
      <c r="X990" s="48" t="n">
        <f aca="false">IF($U990&gt;=MA_LONG1,AVERAGE(INDEX($I$590:$I990,402-MA_LONG1):$I990),"")</f>
        <v>3345.04</v>
      </c>
      <c r="Y990" s="48" t="n">
        <f aca="false">IF($U990&gt;=MA_LONG2,AVERAGE(INDEX($I$590:$I990,402-MA_LONG2):$I990),"")</f>
        <v>3105.895</v>
      </c>
      <c r="Z990" s="48" t="n">
        <f aca="false">IF($U990&gt;=MA_SHORT,AVERAGE(INDEX($L$870:$L990,122-MA_SHORT):$L990),"")</f>
        <v>80378160.15</v>
      </c>
      <c r="AA990" s="48" t="n">
        <f aca="false">IF($U990=1,$G990-$H990,MAX($G990-$H990,ABS($G990-$I989),ABS($H990-$I989)))</f>
        <v>136</v>
      </c>
      <c r="AB990" s="48" t="n">
        <f aca="false">IF($U990&gt;=ATR_PER,AVERAGE(INDEX($AA$870:$AA990,122-ATR_PER):$AA990),"")</f>
        <v>141.285714285714</v>
      </c>
      <c r="AC990" s="48" t="n">
        <f aca="false">$O990-$P990</f>
        <v>15462689</v>
      </c>
      <c r="AD990" s="48" t="n">
        <f aca="false">$AC990*$I990</f>
        <v>50207351183</v>
      </c>
      <c r="AE990" s="49" t="n">
        <f aca="false">IF($Q990&gt;0,$O990*$I990/$Q990/1000000,"")</f>
        <v>48.2932268044017</v>
      </c>
      <c r="AF990" s="49" t="n">
        <f aca="false">IF($R990&gt;0,$P990*$I990/$R990/1000000,"")</f>
        <v>49.2102584416961</v>
      </c>
      <c r="AG990" s="50" t="n">
        <f aca="false">IF(AND(ISNUMBER($AE990),ISNUMBER($AF990),$AF990&gt;0),$AE990/$AF990,"")</f>
        <v>0.981365031066013</v>
      </c>
      <c r="AH990" s="48" t="n">
        <f aca="false">IF($U990&gt;=5,SUM(INDEX($AD$960:$AD990,32-5):$AD990),"")</f>
        <v>-25186842552</v>
      </c>
      <c r="AI990" s="48" t="n">
        <f aca="false">IF($U990&gt;=STRUCT_S,MAX(INDEX($G$840:$G990,152-STRUCT_S):$G990),"")</f>
        <v>3281</v>
      </c>
      <c r="AJ990" s="48" t="n">
        <f aca="false">IF($U990&gt;=STRUCT_S,MIN(INDEX($H$840:$H990,152-STRUCT_S):$H990),"")</f>
        <v>2957</v>
      </c>
      <c r="AK990" s="48" t="n">
        <f aca="false">IF($U990&gt;=STRUCT_L,MAX(INDEX($G$740:$G990,252-STRUCT_L):$G990),"")</f>
        <v>4086</v>
      </c>
      <c r="AL990" s="48" t="n">
        <f aca="false">IF($U990&gt;=STRUCT_L,MIN(INDEX($H$740:$H990,252-STRUCT_L):$H990),"")</f>
        <v>2957</v>
      </c>
      <c r="AM990" s="46" t="n">
        <f aca="false">IF($A990&lt;&gt;$A991,1,0)</f>
        <v>0</v>
      </c>
      <c r="AN990" s="47" t="str">
        <f aca="false">IF($AM990=1,$A990,"")</f>
        <v/>
      </c>
    </row>
    <row r="991" customFormat="false" ht="15" hidden="false" customHeight="false" outlineLevel="0" collapsed="false">
      <c r="A991" s="43" t="s">
        <v>147</v>
      </c>
      <c r="B991" s="44" t="s">
        <v>149</v>
      </c>
      <c r="C991" s="45" t="n">
        <v>46194</v>
      </c>
      <c r="D991" s="46" t="n">
        <v>20260621</v>
      </c>
      <c r="E991" s="47" t="s">
        <v>494</v>
      </c>
      <c r="F991" s="48" t="n">
        <v>3309</v>
      </c>
      <c r="G991" s="48" t="n">
        <v>3314</v>
      </c>
      <c r="H991" s="48" t="n">
        <v>3225</v>
      </c>
      <c r="I991" s="48" t="n">
        <v>3292</v>
      </c>
      <c r="J991" s="48" t="n">
        <v>3236</v>
      </c>
      <c r="K991" s="48" t="n">
        <v>3247</v>
      </c>
      <c r="L991" s="48" t="n">
        <v>62025376</v>
      </c>
      <c r="M991" s="48" t="n">
        <v>204187537792</v>
      </c>
      <c r="N991" s="48" t="n">
        <v>5745</v>
      </c>
      <c r="O991" s="48" t="n">
        <v>24069261</v>
      </c>
      <c r="P991" s="48" t="n">
        <v>37992508</v>
      </c>
      <c r="Q991" s="48" t="n">
        <v>2485</v>
      </c>
      <c r="R991" s="48" t="n">
        <v>1785</v>
      </c>
      <c r="S991" s="48" t="n">
        <v>37956115</v>
      </c>
      <c r="T991" s="48" t="n">
        <v>24032868</v>
      </c>
      <c r="U991" s="46" t="n">
        <f aca="false">IF($A991=$A990,$U990+1,1)</f>
        <v>207</v>
      </c>
      <c r="V991" s="48" t="n">
        <f aca="false">IF($U991&gt;=MA_SHORT,AVERAGE(INDEX($I$591:$I991,402-MA_SHORT):$I991),"")</f>
        <v>3131.8</v>
      </c>
      <c r="W991" s="48" t="n">
        <f aca="false">IF($U991&gt;=MA_MED,AVERAGE(INDEX($I$591:$I991,402-MA_MED):$I991),"")</f>
        <v>3365.42</v>
      </c>
      <c r="X991" s="48" t="n">
        <f aca="false">IF($U991&gt;=MA_LONG1,AVERAGE(INDEX($I$591:$I991,402-MA_LONG1):$I991),"")</f>
        <v>3345.32</v>
      </c>
      <c r="Y991" s="48" t="n">
        <f aca="false">IF($U991&gt;=MA_LONG2,AVERAGE(INDEX($I$591:$I991,402-MA_LONG2):$I991),"")</f>
        <v>3110.055</v>
      </c>
      <c r="Z991" s="48" t="n">
        <f aca="false">IF($U991&gt;=MA_SHORT,AVERAGE(INDEX($L$871:$L991,122-MA_SHORT):$L991),"")</f>
        <v>79936724.8</v>
      </c>
      <c r="AA991" s="48" t="n">
        <f aca="false">IF($U991=1,$G991-$H991,MAX($G991-$H991,ABS($G991-$I990),ABS($H991-$I990)))</f>
        <v>89</v>
      </c>
      <c r="AB991" s="48" t="n">
        <f aca="false">IF($U991&gt;=ATR_PER,AVERAGE(INDEX($AA$871:$AA991,122-ATR_PER):$AA991),"")</f>
        <v>139.142857142857</v>
      </c>
      <c r="AC991" s="48" t="n">
        <f aca="false">$O991-$P991</f>
        <v>-13923247</v>
      </c>
      <c r="AD991" s="48" t="n">
        <f aca="false">$AC991*$I991</f>
        <v>-45835329124</v>
      </c>
      <c r="AE991" s="49" t="n">
        <f aca="false">IF($Q991&gt;0,$O991*$I991/$Q991/1000000,"")</f>
        <v>31.8857171879276</v>
      </c>
      <c r="AF991" s="49" t="n">
        <f aca="false">IF($R991&gt;0,$P991*$I991/$R991/1000000,"")</f>
        <v>70.0679755383754</v>
      </c>
      <c r="AG991" s="50" t="n">
        <f aca="false">IF(AND(ISNUMBER($AE991),ISNUMBER($AF991),$AF991&gt;0),$AE991/$AF991,"")</f>
        <v>0.455068338180602</v>
      </c>
      <c r="AH991" s="48" t="n">
        <f aca="false">IF($U991&gt;=5,SUM(INDEX($AD$961:$AD991,32-5):$AD991),"")</f>
        <v>-69092910272</v>
      </c>
      <c r="AI991" s="48" t="n">
        <f aca="false">IF($U991&gt;=STRUCT_S,MAX(INDEX($G$841:$G991,152-STRUCT_S):$G991),"")</f>
        <v>3314</v>
      </c>
      <c r="AJ991" s="48" t="n">
        <f aca="false">IF($U991&gt;=STRUCT_S,MIN(INDEX($H$841:$H991,152-STRUCT_S):$H991),"")</f>
        <v>2957</v>
      </c>
      <c r="AK991" s="48" t="n">
        <f aca="false">IF($U991&gt;=STRUCT_L,MAX(INDEX($G$741:$G991,252-STRUCT_L):$G991),"")</f>
        <v>4086</v>
      </c>
      <c r="AL991" s="48" t="n">
        <f aca="false">IF($U991&gt;=STRUCT_L,MIN(INDEX($H$741:$H991,252-STRUCT_L):$H991),"")</f>
        <v>2957</v>
      </c>
      <c r="AM991" s="46" t="n">
        <f aca="false">IF($A991&lt;&gt;$A992,1,0)</f>
        <v>0</v>
      </c>
      <c r="AN991" s="47" t="str">
        <f aca="false">IF($AM991=1,$A991,"")</f>
        <v/>
      </c>
    </row>
    <row r="992" customFormat="false" ht="15" hidden="false" customHeight="false" outlineLevel="0" collapsed="false">
      <c r="A992" s="43" t="s">
        <v>147</v>
      </c>
      <c r="B992" s="44" t="s">
        <v>149</v>
      </c>
      <c r="C992" s="45" t="n">
        <v>46195</v>
      </c>
      <c r="D992" s="46" t="n">
        <v>20260622</v>
      </c>
      <c r="E992" s="47" t="s">
        <v>495</v>
      </c>
      <c r="F992" s="48" t="n">
        <v>3309</v>
      </c>
      <c r="G992" s="48" t="n">
        <v>3311</v>
      </c>
      <c r="H992" s="48" t="n">
        <v>3274</v>
      </c>
      <c r="I992" s="48" t="n">
        <v>3293</v>
      </c>
      <c r="J992" s="48" t="n">
        <v>3288</v>
      </c>
      <c r="K992" s="48" t="n">
        <v>3292</v>
      </c>
      <c r="L992" s="48" t="n">
        <v>67783028</v>
      </c>
      <c r="M992" s="48" t="n">
        <v>223209511204</v>
      </c>
      <c r="N992" s="48" t="n">
        <v>1743</v>
      </c>
      <c r="O992" s="48" t="n">
        <v>26923121</v>
      </c>
      <c r="P992" s="48" t="n">
        <v>41777640</v>
      </c>
      <c r="Q992" s="48" t="n">
        <v>944</v>
      </c>
      <c r="R992" s="48" t="n">
        <v>458</v>
      </c>
      <c r="S992" s="48" t="n">
        <v>40859907</v>
      </c>
      <c r="T992" s="48" t="n">
        <v>26005388</v>
      </c>
      <c r="U992" s="46" t="n">
        <f aca="false">IF($A992=$A991,$U991+1,1)</f>
        <v>208</v>
      </c>
      <c r="V992" s="48" t="n">
        <f aca="false">IF($U992&gt;=MA_SHORT,AVERAGE(INDEX($I$592:$I992,402-MA_SHORT):$I992),"")</f>
        <v>3139.45</v>
      </c>
      <c r="W992" s="48" t="n">
        <f aca="false">IF($U992&gt;=MA_MED,AVERAGE(INDEX($I$592:$I992,402-MA_MED):$I992),"")</f>
        <v>3352.78</v>
      </c>
      <c r="X992" s="48" t="n">
        <f aca="false">IF($U992&gt;=MA_LONG1,AVERAGE(INDEX($I$592:$I992,402-MA_LONG1):$I992),"")</f>
        <v>3345.98</v>
      </c>
      <c r="Y992" s="48" t="n">
        <f aca="false">IF($U992&gt;=MA_LONG2,AVERAGE(INDEX($I$592:$I992,402-MA_LONG2):$I992),"")</f>
        <v>3114.325</v>
      </c>
      <c r="Z992" s="48" t="n">
        <f aca="false">IF($U992&gt;=MA_SHORT,AVERAGE(INDEX($L$872:$L992,122-MA_SHORT):$L992),"")</f>
        <v>78462824.65</v>
      </c>
      <c r="AA992" s="48" t="n">
        <f aca="false">IF($U992=1,$G992-$H992,MAX($G992-$H992,ABS($G992-$I991),ABS($H992-$I991)))</f>
        <v>37</v>
      </c>
      <c r="AB992" s="48" t="n">
        <f aca="false">IF($U992&gt;=ATR_PER,AVERAGE(INDEX($AA$872:$AA992,122-ATR_PER):$AA992),"")</f>
        <v>133.571428571429</v>
      </c>
      <c r="AC992" s="48" t="n">
        <f aca="false">$O992-$P992</f>
        <v>-14854519</v>
      </c>
      <c r="AD992" s="48" t="n">
        <f aca="false">$AC992*$I992</f>
        <v>-48915931067</v>
      </c>
      <c r="AE992" s="49" t="n">
        <f aca="false">IF($Q992&gt;0,$O992*$I992/$Q992/1000000,"")</f>
        <v>93.9172006917373</v>
      </c>
      <c r="AF992" s="49" t="n">
        <f aca="false">IF($R992&gt;0,$P992*$I992/$R992/1000000,"")</f>
        <v>300.379407248908</v>
      </c>
      <c r="AG992" s="50" t="n">
        <f aca="false">IF(AND(ISNUMBER($AE992),ISNUMBER($AF992),$AF992&gt;0),$AE992/$AF992,"")</f>
        <v>0.312661914982451</v>
      </c>
      <c r="AH992" s="48" t="n">
        <f aca="false">IF($U992&gt;=5,SUM(INDEX($AD$962:$AD992,32-5):$AD992),"")</f>
        <v>-148854784417</v>
      </c>
      <c r="AI992" s="48" t="n">
        <f aca="false">IF($U992&gt;=STRUCT_S,MAX(INDEX($G$842:$G992,152-STRUCT_S):$G992),"")</f>
        <v>3314</v>
      </c>
      <c r="AJ992" s="48" t="n">
        <f aca="false">IF($U992&gt;=STRUCT_S,MIN(INDEX($H$842:$H992,152-STRUCT_S):$H992),"")</f>
        <v>2957</v>
      </c>
      <c r="AK992" s="48" t="n">
        <f aca="false">IF($U992&gt;=STRUCT_L,MAX(INDEX($G$742:$G992,252-STRUCT_L):$G992),"")</f>
        <v>4086</v>
      </c>
      <c r="AL992" s="48" t="n">
        <f aca="false">IF($U992&gt;=STRUCT_L,MIN(INDEX($H$742:$H992,252-STRUCT_L):$H992),"")</f>
        <v>2957</v>
      </c>
      <c r="AM992" s="46" t="n">
        <f aca="false">IF($A992&lt;&gt;$A993,1,0)</f>
        <v>0</v>
      </c>
      <c r="AN992" s="47" t="str">
        <f aca="false">IF($AM992=1,$A992,"")</f>
        <v/>
      </c>
    </row>
    <row r="993" customFormat="false" ht="15" hidden="false" customHeight="false" outlineLevel="0" collapsed="false">
      <c r="A993" s="43" t="s">
        <v>147</v>
      </c>
      <c r="B993" s="44" t="s">
        <v>149</v>
      </c>
      <c r="C993" s="45" t="n">
        <v>46196</v>
      </c>
      <c r="D993" s="46" t="n">
        <v>20260623</v>
      </c>
      <c r="E993" s="47" t="s">
        <v>496</v>
      </c>
      <c r="F993" s="48" t="n">
        <v>3286</v>
      </c>
      <c r="G993" s="48" t="n">
        <v>3333</v>
      </c>
      <c r="H993" s="48" t="n">
        <v>3237</v>
      </c>
      <c r="I993" s="48" t="n">
        <v>3277</v>
      </c>
      <c r="J993" s="48" t="n">
        <v>3289</v>
      </c>
      <c r="K993" s="48" t="n">
        <v>3293</v>
      </c>
      <c r="L993" s="48" t="n">
        <v>98831631</v>
      </c>
      <c r="M993" s="48" t="n">
        <v>323871254787</v>
      </c>
      <c r="N993" s="48" t="n">
        <v>3709</v>
      </c>
      <c r="O993" s="48" t="n">
        <v>35979654</v>
      </c>
      <c r="P993" s="48" t="n">
        <v>64055572</v>
      </c>
      <c r="Q993" s="48" t="n">
        <v>990</v>
      </c>
      <c r="R993" s="48" t="n">
        <v>1877</v>
      </c>
      <c r="S993" s="48" t="n">
        <v>62851977</v>
      </c>
      <c r="T993" s="48" t="n">
        <v>34776059</v>
      </c>
      <c r="U993" s="46" t="n">
        <f aca="false">IF($A993=$A992,$U992+1,1)</f>
        <v>209</v>
      </c>
      <c r="V993" s="48" t="n">
        <f aca="false">IF($U993&gt;=MA_SHORT,AVERAGE(INDEX($I$593:$I993,402-MA_SHORT):$I993),"")</f>
        <v>3152.7</v>
      </c>
      <c r="W993" s="48" t="n">
        <f aca="false">IF($U993&gt;=MA_MED,AVERAGE(INDEX($I$593:$I993,402-MA_MED):$I993),"")</f>
        <v>3339.56</v>
      </c>
      <c r="X993" s="48" t="n">
        <f aca="false">IF($U993&gt;=MA_LONG1,AVERAGE(INDEX($I$593:$I993,402-MA_LONG1):$I993),"")</f>
        <v>3346.51</v>
      </c>
      <c r="Y993" s="48" t="n">
        <f aca="false">IF($U993&gt;=MA_LONG2,AVERAGE(INDEX($I$593:$I993,402-MA_LONG2):$I993),"")</f>
        <v>3118.745</v>
      </c>
      <c r="Z993" s="48" t="n">
        <f aca="false">IF($U993&gt;=MA_SHORT,AVERAGE(INDEX($L$873:$L993,122-MA_SHORT):$L993),"")</f>
        <v>79125627.75</v>
      </c>
      <c r="AA993" s="48" t="n">
        <f aca="false">IF($U993=1,$G993-$H993,MAX($G993-$H993,ABS($G993-$I992),ABS($H993-$I992)))</f>
        <v>96</v>
      </c>
      <c r="AB993" s="48" t="n">
        <f aca="false">IF($U993&gt;=ATR_PER,AVERAGE(INDEX($AA$873:$AA993,122-ATR_PER):$AA993),"")</f>
        <v>128.5</v>
      </c>
      <c r="AC993" s="48" t="n">
        <f aca="false">$O993-$P993</f>
        <v>-28075918</v>
      </c>
      <c r="AD993" s="48" t="n">
        <f aca="false">$AC993*$I993</f>
        <v>-92004783286</v>
      </c>
      <c r="AE993" s="49" t="n">
        <f aca="false">IF($Q993&gt;0,$O993*$I993/$Q993/1000000,"")</f>
        <v>119.096289048485</v>
      </c>
      <c r="AF993" s="49" t="n">
        <f aca="false">IF($R993&gt;0,$P993*$I993/$R993/1000000,"")</f>
        <v>111.832770082046</v>
      </c>
      <c r="AG993" s="50" t="n">
        <f aca="false">IF(AND(ISNUMBER($AE993),ISNUMBER($AF993),$AF993&gt;0),$AE993/$AF993,"")</f>
        <v>1.06494982607612</v>
      </c>
      <c r="AH993" s="48" t="n">
        <f aca="false">IF($U993&gt;=5,SUM(INDEX($AD$963:$AD993,32-5):$AD993),"")</f>
        <v>-185172058934</v>
      </c>
      <c r="AI993" s="48" t="n">
        <f aca="false">IF($U993&gt;=STRUCT_S,MAX(INDEX($G$843:$G993,152-STRUCT_S):$G993),"")</f>
        <v>3333</v>
      </c>
      <c r="AJ993" s="48" t="n">
        <f aca="false">IF($U993&gt;=STRUCT_S,MIN(INDEX($H$843:$H993,152-STRUCT_S):$H993),"")</f>
        <v>2957</v>
      </c>
      <c r="AK993" s="48" t="n">
        <f aca="false">IF($U993&gt;=STRUCT_L,MAX(INDEX($G$743:$G993,252-STRUCT_L):$G993),"")</f>
        <v>4086</v>
      </c>
      <c r="AL993" s="48" t="n">
        <f aca="false">IF($U993&gt;=STRUCT_L,MIN(INDEX($H$743:$H993,252-STRUCT_L):$H993),"")</f>
        <v>2957</v>
      </c>
      <c r="AM993" s="46" t="n">
        <f aca="false">IF($A993&lt;&gt;$A994,1,0)</f>
        <v>0</v>
      </c>
      <c r="AN993" s="47" t="str">
        <f aca="false">IF($AM993=1,$A993,"")</f>
        <v/>
      </c>
    </row>
    <row r="994" customFormat="false" ht="15" hidden="false" customHeight="false" outlineLevel="0" collapsed="false">
      <c r="A994" s="43" t="s">
        <v>147</v>
      </c>
      <c r="B994" s="44" t="s">
        <v>149</v>
      </c>
      <c r="C994" s="45" t="n">
        <v>46197</v>
      </c>
      <c r="D994" s="46" t="n">
        <v>20260624</v>
      </c>
      <c r="E994" s="47" t="s">
        <v>497</v>
      </c>
      <c r="F994" s="48" t="n">
        <v>3166</v>
      </c>
      <c r="G994" s="48" t="n">
        <v>3424</v>
      </c>
      <c r="H994" s="48" t="n">
        <v>3165</v>
      </c>
      <c r="I994" s="48" t="n">
        <v>3311</v>
      </c>
      <c r="J994" s="48" t="n">
        <v>3266</v>
      </c>
      <c r="K994" s="48" t="n">
        <v>3277</v>
      </c>
      <c r="L994" s="48" t="n">
        <v>317509985</v>
      </c>
      <c r="M994" s="48" t="n">
        <v>1051275560335</v>
      </c>
      <c r="N994" s="48" t="n">
        <v>17006</v>
      </c>
      <c r="O994" s="48" t="n">
        <v>151718471</v>
      </c>
      <c r="P994" s="48" t="n">
        <v>183387969</v>
      </c>
      <c r="Q994" s="48" t="n">
        <v>11347</v>
      </c>
      <c r="R994" s="48" t="n">
        <v>7137</v>
      </c>
      <c r="S994" s="48" t="n">
        <v>165791514</v>
      </c>
      <c r="T994" s="48" t="n">
        <v>134122016</v>
      </c>
      <c r="U994" s="46" t="n">
        <f aca="false">IF($A994=$A993,$U993+1,1)</f>
        <v>210</v>
      </c>
      <c r="V994" s="48" t="n">
        <f aca="false">IF($U994&gt;=MA_SHORT,AVERAGE(INDEX($I$594:$I994,402-MA_SHORT):$I994),"")</f>
        <v>3161.9</v>
      </c>
      <c r="W994" s="48" t="n">
        <f aca="false">IF($U994&gt;=MA_MED,AVERAGE(INDEX($I$594:$I994,402-MA_MED):$I994),"")</f>
        <v>3327.02</v>
      </c>
      <c r="X994" s="48" t="n">
        <f aca="false">IF($U994&gt;=MA_LONG1,AVERAGE(INDEX($I$594:$I994,402-MA_LONG1):$I994),"")</f>
        <v>3347.73</v>
      </c>
      <c r="Y994" s="48" t="n">
        <f aca="false">IF($U994&gt;=MA_LONG2,AVERAGE(INDEX($I$594:$I994,402-MA_LONG2):$I994),"")</f>
        <v>3123.46</v>
      </c>
      <c r="Z994" s="48" t="n">
        <f aca="false">IF($U994&gt;=MA_SHORT,AVERAGE(INDEX($L$874:$L994,122-MA_SHORT):$L994),"")</f>
        <v>91482033.75</v>
      </c>
      <c r="AA994" s="48" t="n">
        <f aca="false">IF($U994=1,$G994-$H994,MAX($G994-$H994,ABS($G994-$I993),ABS($H994-$I993)))</f>
        <v>259</v>
      </c>
      <c r="AB994" s="48" t="n">
        <f aca="false">IF($U994&gt;=ATR_PER,AVERAGE(INDEX($AA$874:$AA994,122-ATR_PER):$AA994),"")</f>
        <v>133.142857142857</v>
      </c>
      <c r="AC994" s="48" t="n">
        <f aca="false">$O994-$P994</f>
        <v>-31669498</v>
      </c>
      <c r="AD994" s="48" t="n">
        <f aca="false">$AC994*$I994</f>
        <v>-104857707878</v>
      </c>
      <c r="AE994" s="49" t="n">
        <f aca="false">IF($Q994&gt;0,$O994*$I994/$Q994/1000000,"")</f>
        <v>44.2707197921036</v>
      </c>
      <c r="AF994" s="49" t="n">
        <f aca="false">IF($R994&gt;0,$P994*$I994/$R994/1000000,"")</f>
        <v>85.0774226368222</v>
      </c>
      <c r="AG994" s="50" t="n">
        <f aca="false">IF(AND(ISNUMBER($AE994),ISNUMBER($AF994),$AF994&gt;0),$AE994/$AF994,"")</f>
        <v>0.520358027077126</v>
      </c>
      <c r="AH994" s="48" t="n">
        <f aca="false">IF($U994&gt;=5,SUM(INDEX($AD$964:$AD994,32-5):$AD994),"")</f>
        <v>-241406400172</v>
      </c>
      <c r="AI994" s="48" t="n">
        <f aca="false">IF($U994&gt;=STRUCT_S,MAX(INDEX($G$844:$G994,152-STRUCT_S):$G994),"")</f>
        <v>3424</v>
      </c>
      <c r="AJ994" s="48" t="n">
        <f aca="false">IF($U994&gt;=STRUCT_S,MIN(INDEX($H$844:$H994,152-STRUCT_S):$H994),"")</f>
        <v>2957</v>
      </c>
      <c r="AK994" s="48" t="n">
        <f aca="false">IF($U994&gt;=STRUCT_L,MAX(INDEX($G$744:$G994,252-STRUCT_L):$G994),"")</f>
        <v>4086</v>
      </c>
      <c r="AL994" s="48" t="n">
        <f aca="false">IF($U994&gt;=STRUCT_L,MIN(INDEX($H$744:$H994,252-STRUCT_L):$H994),"")</f>
        <v>2957</v>
      </c>
      <c r="AM994" s="46" t="n">
        <f aca="false">IF($A994&lt;&gt;$A995,1,0)</f>
        <v>0</v>
      </c>
      <c r="AN994" s="47" t="str">
        <f aca="false">IF($AM994=1,$A994,"")</f>
        <v/>
      </c>
    </row>
    <row r="995" customFormat="false" ht="15" hidden="false" customHeight="false" outlineLevel="0" collapsed="false">
      <c r="A995" s="43" t="s">
        <v>147</v>
      </c>
      <c r="B995" s="44" t="s">
        <v>149</v>
      </c>
      <c r="C995" s="45" t="n">
        <v>46200</v>
      </c>
      <c r="D995" s="46" t="n">
        <v>20260627</v>
      </c>
      <c r="E995" s="47" t="s">
        <v>498</v>
      </c>
      <c r="F995" s="48" t="n">
        <v>3377</v>
      </c>
      <c r="G995" s="48" t="n">
        <v>3391</v>
      </c>
      <c r="H995" s="48" t="n">
        <v>3294</v>
      </c>
      <c r="I995" s="48" t="n">
        <v>3374</v>
      </c>
      <c r="J995" s="48" t="n">
        <v>3326</v>
      </c>
      <c r="K995" s="48" t="n">
        <v>3311</v>
      </c>
      <c r="L995" s="48" t="n">
        <v>63801193</v>
      </c>
      <c r="M995" s="48" t="n">
        <v>215265225182</v>
      </c>
      <c r="N995" s="48" t="n">
        <v>1758</v>
      </c>
      <c r="O995" s="48" t="n">
        <v>29188280</v>
      </c>
      <c r="P995" s="48" t="n">
        <v>33505686</v>
      </c>
      <c r="Q995" s="48" t="n">
        <v>1201</v>
      </c>
      <c r="R995" s="48" t="n">
        <v>443</v>
      </c>
      <c r="S995" s="48" t="n">
        <v>34612913</v>
      </c>
      <c r="T995" s="48" t="n">
        <v>30295507</v>
      </c>
      <c r="U995" s="46" t="n">
        <f aca="false">IF($A995=$A994,$U994+1,1)</f>
        <v>211</v>
      </c>
      <c r="V995" s="48" t="n">
        <f aca="false">IF($U995&gt;=MA_SHORT,AVERAGE(INDEX($I$595:$I995,402-MA_SHORT):$I995),"")</f>
        <v>3179</v>
      </c>
      <c r="W995" s="48" t="n">
        <f aca="false">IF($U995&gt;=MA_MED,AVERAGE(INDEX($I$595:$I995,402-MA_MED):$I995),"")</f>
        <v>3313.68</v>
      </c>
      <c r="X995" s="48" t="n">
        <f aca="false">IF($U995&gt;=MA_LONG1,AVERAGE(INDEX($I$595:$I995,402-MA_LONG1):$I995),"")</f>
        <v>3349.88</v>
      </c>
      <c r="Y995" s="48" t="n">
        <f aca="false">IF($U995&gt;=MA_LONG2,AVERAGE(INDEX($I$595:$I995,402-MA_LONG2):$I995),"")</f>
        <v>3128.78</v>
      </c>
      <c r="Z995" s="48" t="n">
        <f aca="false">IF($U995&gt;=MA_SHORT,AVERAGE(INDEX($L$875:$L995,122-MA_SHORT):$L995),"")</f>
        <v>91286998.1</v>
      </c>
      <c r="AA995" s="48" t="n">
        <f aca="false">IF($U995=1,$G995-$H995,MAX($G995-$H995,ABS($G995-$I994),ABS($H995-$I994)))</f>
        <v>97</v>
      </c>
      <c r="AB995" s="48" t="n">
        <f aca="false">IF($U995&gt;=ATR_PER,AVERAGE(INDEX($AA$875:$AA995,122-ATR_PER):$AA995),"")</f>
        <v>133</v>
      </c>
      <c r="AC995" s="48" t="n">
        <f aca="false">$O995-$P995</f>
        <v>-4317406</v>
      </c>
      <c r="AD995" s="48" t="n">
        <f aca="false">$AC995*$I995</f>
        <v>-14566927844</v>
      </c>
      <c r="AE995" s="49" t="n">
        <f aca="false">IF($Q995&gt;0,$O995*$I995/$Q995/1000000,"")</f>
        <v>81.9993811157369</v>
      </c>
      <c r="AF995" s="49" t="n">
        <f aca="false">IF($R995&gt;0,$P995*$I995/$R995/1000000,"")</f>
        <v>255.187775539503</v>
      </c>
      <c r="AG995" s="50" t="n">
        <f aca="false">IF(AND(ISNUMBER($AE995),ISNUMBER($AF995),$AF995&gt;0),$AE995/$AF995,"")</f>
        <v>0.321329581491035</v>
      </c>
      <c r="AH995" s="48" t="n">
        <f aca="false">IF($U995&gt;=5,SUM(INDEX($AD$965:$AD995,32-5):$AD995),"")</f>
        <v>-306180679199</v>
      </c>
      <c r="AI995" s="48" t="n">
        <f aca="false">IF($U995&gt;=STRUCT_S,MAX(INDEX($G$845:$G995,152-STRUCT_S):$G995),"")</f>
        <v>3424</v>
      </c>
      <c r="AJ995" s="48" t="n">
        <f aca="false">IF($U995&gt;=STRUCT_S,MIN(INDEX($H$845:$H995,152-STRUCT_S):$H995),"")</f>
        <v>2957</v>
      </c>
      <c r="AK995" s="48" t="n">
        <f aca="false">IF($U995&gt;=STRUCT_L,MAX(INDEX($G$745:$G995,252-STRUCT_L):$G995),"")</f>
        <v>4086</v>
      </c>
      <c r="AL995" s="48" t="n">
        <f aca="false">IF($U995&gt;=STRUCT_L,MIN(INDEX($H$745:$H995,252-STRUCT_L):$H995),"")</f>
        <v>2957</v>
      </c>
      <c r="AM995" s="46" t="n">
        <f aca="false">IF($A995&lt;&gt;$A996,1,0)</f>
        <v>0</v>
      </c>
      <c r="AN995" s="47" t="str">
        <f aca="false">IF($AM995=1,$A995,"")</f>
        <v/>
      </c>
    </row>
    <row r="996" customFormat="false" ht="15" hidden="false" customHeight="false" outlineLevel="0" collapsed="false">
      <c r="A996" s="43" t="s">
        <v>147</v>
      </c>
      <c r="B996" s="44" t="s">
        <v>149</v>
      </c>
      <c r="C996" s="45" t="n">
        <v>46201</v>
      </c>
      <c r="D996" s="46" t="n">
        <v>20260628</v>
      </c>
      <c r="E996" s="47" t="s">
        <v>499</v>
      </c>
      <c r="F996" s="48" t="n">
        <v>3380</v>
      </c>
      <c r="G996" s="48" t="n">
        <v>3580</v>
      </c>
      <c r="H996" s="48" t="n">
        <v>3273</v>
      </c>
      <c r="I996" s="48" t="n">
        <v>3476</v>
      </c>
      <c r="J996" s="48" t="n">
        <v>3388</v>
      </c>
      <c r="K996" s="48" t="n">
        <v>3374</v>
      </c>
      <c r="L996" s="48" t="n">
        <v>67650582</v>
      </c>
      <c r="M996" s="48" t="n">
        <v>235153423032</v>
      </c>
      <c r="N996" s="48" t="n">
        <v>1592</v>
      </c>
      <c r="O996" s="48" t="n">
        <v>34059559</v>
      </c>
      <c r="P996" s="48" t="n">
        <v>33029783</v>
      </c>
      <c r="Q996" s="48" t="n">
        <v>697</v>
      </c>
      <c r="R996" s="48" t="n">
        <v>432</v>
      </c>
      <c r="S996" s="48" t="n">
        <v>33591023</v>
      </c>
      <c r="T996" s="48" t="n">
        <v>34620799</v>
      </c>
      <c r="U996" s="46" t="n">
        <f aca="false">IF($A996=$A995,$U995+1,1)</f>
        <v>212</v>
      </c>
      <c r="V996" s="48" t="n">
        <f aca="false">IF($U996&gt;=MA_SHORT,AVERAGE(INDEX($I$596:$I996,402-MA_SHORT):$I996),"")</f>
        <v>3200.95</v>
      </c>
      <c r="W996" s="48" t="n">
        <f aca="false">IF($U996&gt;=MA_MED,AVERAGE(INDEX($I$596:$I996,402-MA_MED):$I996),"")</f>
        <v>3305.36</v>
      </c>
      <c r="X996" s="48" t="n">
        <f aca="false">IF($U996&gt;=MA_LONG1,AVERAGE(INDEX($I$596:$I996,402-MA_LONG1):$I996),"")</f>
        <v>3354.6</v>
      </c>
      <c r="Y996" s="48" t="n">
        <f aca="false">IF($U996&gt;=MA_LONG2,AVERAGE(INDEX($I$596:$I996,402-MA_LONG2):$I996),"")</f>
        <v>3134.505</v>
      </c>
      <c r="Z996" s="48" t="n">
        <f aca="false">IF($U996&gt;=MA_SHORT,AVERAGE(INDEX($L$876:$L996,122-MA_SHORT):$L996),"")</f>
        <v>91778013.1</v>
      </c>
      <c r="AA996" s="48" t="n">
        <f aca="false">IF($U996=1,$G996-$H996,MAX($G996-$H996,ABS($G996-$I995),ABS($H996-$I995)))</f>
        <v>307</v>
      </c>
      <c r="AB996" s="48" t="n">
        <f aca="false">IF($U996&gt;=ATR_PER,AVERAGE(INDEX($AA$876:$AA996,122-ATR_PER):$AA996),"")</f>
        <v>135.571428571429</v>
      </c>
      <c r="AC996" s="48" t="n">
        <f aca="false">$O996-$P996</f>
        <v>1029776</v>
      </c>
      <c r="AD996" s="48" t="n">
        <f aca="false">$AC996*$I996</f>
        <v>3579501376</v>
      </c>
      <c r="AE996" s="49" t="n">
        <f aca="false">IF($Q996&gt;0,$O996*$I996/$Q996/1000000,"")</f>
        <v>169.858001555237</v>
      </c>
      <c r="AF996" s="49" t="n">
        <f aca="false">IF($R996&gt;0,$P996*$I996/$R996/1000000,"")</f>
        <v>265.76742062037</v>
      </c>
      <c r="AG996" s="50" t="n">
        <f aca="false">IF(AND(ISNUMBER($AE996),ISNUMBER($AF996),$AF996&gt;0),$AE996/$AF996,"")</f>
        <v>0.639122738064523</v>
      </c>
      <c r="AH996" s="48" t="n">
        <f aca="false">IF($U996&gt;=5,SUM(INDEX($AD$966:$AD996,32-5):$AD996),"")</f>
        <v>-256765848699</v>
      </c>
      <c r="AI996" s="48" t="n">
        <f aca="false">IF($U996&gt;=STRUCT_S,MAX(INDEX($G$846:$G996,152-STRUCT_S):$G996),"")</f>
        <v>3580</v>
      </c>
      <c r="AJ996" s="48" t="n">
        <f aca="false">IF($U996&gt;=STRUCT_S,MIN(INDEX($H$846:$H996,152-STRUCT_S):$H996),"")</f>
        <v>2957</v>
      </c>
      <c r="AK996" s="48" t="n">
        <f aca="false">IF($U996&gt;=STRUCT_L,MAX(INDEX($G$746:$G996,252-STRUCT_L):$G996),"")</f>
        <v>4086</v>
      </c>
      <c r="AL996" s="48" t="n">
        <f aca="false">IF($U996&gt;=STRUCT_L,MIN(INDEX($H$746:$H996,252-STRUCT_L):$H996),"")</f>
        <v>2957</v>
      </c>
      <c r="AM996" s="46" t="n">
        <f aca="false">IF($A996&lt;&gt;$A997,1,0)</f>
        <v>0</v>
      </c>
      <c r="AN996" s="47" t="str">
        <f aca="false">IF($AM996=1,$A996,"")</f>
        <v/>
      </c>
    </row>
    <row r="997" customFormat="false" ht="15" hidden="false" customHeight="false" outlineLevel="0" collapsed="false">
      <c r="A997" s="43" t="s">
        <v>147</v>
      </c>
      <c r="B997" s="44" t="s">
        <v>149</v>
      </c>
      <c r="C997" s="45" t="n">
        <v>46202</v>
      </c>
      <c r="D997" s="46" t="n">
        <v>20260629</v>
      </c>
      <c r="E997" s="47" t="s">
        <v>500</v>
      </c>
      <c r="F997" s="48" t="n">
        <v>3479</v>
      </c>
      <c r="G997" s="48" t="n">
        <v>3676</v>
      </c>
      <c r="H997" s="48" t="n">
        <v>3368</v>
      </c>
      <c r="I997" s="48" t="n">
        <v>3565</v>
      </c>
      <c r="J997" s="48" t="n">
        <v>3376</v>
      </c>
      <c r="K997" s="48" t="n">
        <v>3476</v>
      </c>
      <c r="L997" s="48" t="n">
        <v>69265705</v>
      </c>
      <c r="M997" s="48" t="n">
        <v>246932238325</v>
      </c>
      <c r="N997" s="48" t="n">
        <v>1782</v>
      </c>
      <c r="O997" s="48" t="n">
        <v>37361289</v>
      </c>
      <c r="P997" s="48" t="n">
        <v>33681920</v>
      </c>
      <c r="Q997" s="48" t="n">
        <v>849</v>
      </c>
      <c r="R997" s="48" t="n">
        <v>665</v>
      </c>
      <c r="S997" s="48" t="n">
        <v>31904416</v>
      </c>
      <c r="T997" s="48" t="n">
        <v>35583785</v>
      </c>
      <c r="U997" s="46" t="n">
        <f aca="false">IF($A997=$A996,$U996+1,1)</f>
        <v>213</v>
      </c>
      <c r="V997" s="48" t="n">
        <f aca="false">IF($U997&gt;=MA_SHORT,AVERAGE(INDEX($I$597:$I997,402-MA_SHORT):$I997),"")</f>
        <v>3224.2</v>
      </c>
      <c r="W997" s="48" t="n">
        <f aca="false">IF($U997&gt;=MA_MED,AVERAGE(INDEX($I$597:$I997,402-MA_MED):$I997),"")</f>
        <v>3301.06</v>
      </c>
      <c r="X997" s="48" t="n">
        <f aca="false">IF($U997&gt;=MA_LONG1,AVERAGE(INDEX($I$597:$I997,402-MA_LONG1):$I997),"")</f>
        <v>3359.62</v>
      </c>
      <c r="Y997" s="48" t="n">
        <f aca="false">IF($U997&gt;=MA_LONG2,AVERAGE(INDEX($I$597:$I997,402-MA_LONG2):$I997),"")</f>
        <v>3140.355</v>
      </c>
      <c r="Z997" s="48" t="n">
        <f aca="false">IF($U997&gt;=MA_SHORT,AVERAGE(INDEX($L$877:$L997,122-MA_SHORT):$L997),"")</f>
        <v>85063179.15</v>
      </c>
      <c r="AA997" s="48" t="n">
        <f aca="false">IF($U997=1,$G997-$H997,MAX($G997-$H997,ABS($G997-$I996),ABS($H997-$I996)))</f>
        <v>308</v>
      </c>
      <c r="AB997" s="48" t="n">
        <f aca="false">IF($U997&gt;=ATR_PER,AVERAGE(INDEX($AA$877:$AA997,122-ATR_PER):$AA997),"")</f>
        <v>151.642857142857</v>
      </c>
      <c r="AC997" s="48" t="n">
        <f aca="false">$O997-$P997</f>
        <v>3679369</v>
      </c>
      <c r="AD997" s="48" t="n">
        <f aca="false">$AC997*$I997</f>
        <v>13116950485</v>
      </c>
      <c r="AE997" s="49" t="n">
        <f aca="false">IF($Q997&gt;0,$O997*$I997/$Q997/1000000,"")</f>
        <v>156.882208816254</v>
      </c>
      <c r="AF997" s="49" t="n">
        <f aca="false">IF($R997&gt;0,$P997*$I997/$R997/1000000,"")</f>
        <v>180.565480902256</v>
      </c>
      <c r="AG997" s="50" t="n">
        <f aca="false">IF(AND(ISNUMBER($AE997),ISNUMBER($AF997),$AF997&gt;0),$AE997/$AF997,"")</f>
        <v>0.868838318555353</v>
      </c>
      <c r="AH997" s="48" t="n">
        <f aca="false">IF($U997&gt;=5,SUM(INDEX($AD$967:$AD997,32-5):$AD997),"")</f>
        <v>-194732967147</v>
      </c>
      <c r="AI997" s="48" t="n">
        <f aca="false">IF($U997&gt;=STRUCT_S,MAX(INDEX($G$847:$G997,152-STRUCT_S):$G997),"")</f>
        <v>3676</v>
      </c>
      <c r="AJ997" s="48" t="n">
        <f aca="false">IF($U997&gt;=STRUCT_S,MIN(INDEX($H$847:$H997,152-STRUCT_S):$H997),"")</f>
        <v>2957</v>
      </c>
      <c r="AK997" s="48" t="n">
        <f aca="false">IF($U997&gt;=STRUCT_L,MAX(INDEX($G$747:$G997,252-STRUCT_L):$G997),"")</f>
        <v>4086</v>
      </c>
      <c r="AL997" s="48" t="n">
        <f aca="false">IF($U997&gt;=STRUCT_L,MIN(INDEX($H$747:$H997,252-STRUCT_L):$H997),"")</f>
        <v>2957</v>
      </c>
      <c r="AM997" s="46" t="n">
        <f aca="false">IF($A997&lt;&gt;$A998,1,0)</f>
        <v>0</v>
      </c>
      <c r="AN997" s="47" t="str">
        <f aca="false">IF($AM997=1,$A997,"")</f>
        <v/>
      </c>
    </row>
    <row r="998" customFormat="false" ht="15" hidden="false" customHeight="false" outlineLevel="0" collapsed="false">
      <c r="A998" s="43" t="s">
        <v>147</v>
      </c>
      <c r="B998" s="44" t="s">
        <v>149</v>
      </c>
      <c r="C998" s="45" t="n">
        <v>46203</v>
      </c>
      <c r="D998" s="46" t="n">
        <v>20260630</v>
      </c>
      <c r="E998" s="47" t="s">
        <v>501</v>
      </c>
      <c r="F998" s="48" t="n">
        <v>3543</v>
      </c>
      <c r="G998" s="48" t="n">
        <v>3637</v>
      </c>
      <c r="H998" s="48" t="n">
        <v>3438</v>
      </c>
      <c r="I998" s="48" t="n">
        <v>3508</v>
      </c>
      <c r="J998" s="48" t="n">
        <v>3482</v>
      </c>
      <c r="K998" s="48" t="n">
        <v>3565</v>
      </c>
      <c r="L998" s="48" t="n">
        <v>62757148</v>
      </c>
      <c r="M998" s="48" t="n">
        <v>220152075184</v>
      </c>
      <c r="N998" s="48" t="n">
        <v>6193</v>
      </c>
      <c r="O998" s="48" t="n">
        <v>18883040</v>
      </c>
      <c r="P998" s="48" t="n">
        <v>46429851</v>
      </c>
      <c r="Q998" s="48" t="n">
        <v>2367</v>
      </c>
      <c r="R998" s="48" t="n">
        <v>4485</v>
      </c>
      <c r="S998" s="48" t="n">
        <v>43874108</v>
      </c>
      <c r="T998" s="48" t="n">
        <v>16327297</v>
      </c>
      <c r="U998" s="46" t="n">
        <f aca="false">IF($A998=$A997,$U997+1,1)</f>
        <v>214</v>
      </c>
      <c r="V998" s="48" t="n">
        <f aca="false">IF($U998&gt;=MA_SHORT,AVERAGE(INDEX($I$598:$I998,402-MA_SHORT):$I998),"")</f>
        <v>3249.25</v>
      </c>
      <c r="W998" s="48" t="n">
        <f aca="false">IF($U998&gt;=MA_MED,AVERAGE(INDEX($I$598:$I998,402-MA_MED):$I998),"")</f>
        <v>3298.94</v>
      </c>
      <c r="X998" s="48" t="n">
        <f aca="false">IF($U998&gt;=MA_LONG1,AVERAGE(INDEX($I$598:$I998,402-MA_LONG1):$I998),"")</f>
        <v>3363.48</v>
      </c>
      <c r="Y998" s="48" t="n">
        <f aca="false">IF($U998&gt;=MA_LONG2,AVERAGE(INDEX($I$598:$I998,402-MA_LONG2):$I998),"")</f>
        <v>3145.9</v>
      </c>
      <c r="Z998" s="48" t="n">
        <f aca="false">IF($U998&gt;=MA_SHORT,AVERAGE(INDEX($L$878:$L998,122-MA_SHORT):$L998),"")</f>
        <v>84602363.35</v>
      </c>
      <c r="AA998" s="48" t="n">
        <f aca="false">IF($U998=1,$G998-$H998,MAX($G998-$H998,ABS($G998-$I997),ABS($H998-$I997)))</f>
        <v>199</v>
      </c>
      <c r="AB998" s="48" t="n">
        <f aca="false">IF($U998&gt;=ATR_PER,AVERAGE(INDEX($AA$878:$AA998,122-ATR_PER):$AA998),"")</f>
        <v>150.5</v>
      </c>
      <c r="AC998" s="48" t="n">
        <f aca="false">$O998-$P998</f>
        <v>-27546811</v>
      </c>
      <c r="AD998" s="48" t="n">
        <f aca="false">$AC998*$I998</f>
        <v>-96634212988</v>
      </c>
      <c r="AE998" s="49" t="n">
        <f aca="false">IF($Q998&gt;0,$O998*$I998/$Q998/1000000,"")</f>
        <v>27.9855109083228</v>
      </c>
      <c r="AF998" s="49" t="n">
        <f aca="false">IF($R998&gt;0,$P998*$I998/$R998/1000000,"")</f>
        <v>36.315700626087</v>
      </c>
      <c r="AG998" s="50" t="n">
        <f aca="false">IF(AND(ISNUMBER($AE998),ISNUMBER($AF998),$AF998&gt;0),$AE998/$AF998,"")</f>
        <v>0.770617403102495</v>
      </c>
      <c r="AH998" s="48" t="n">
        <f aca="false">IF($U998&gt;=5,SUM(INDEX($AD$968:$AD998,32-5):$AD998),"")</f>
        <v>-199362396849</v>
      </c>
      <c r="AI998" s="48" t="n">
        <f aca="false">IF($U998&gt;=STRUCT_S,MAX(INDEX($G$848:$G998,152-STRUCT_S):$G998),"")</f>
        <v>3676</v>
      </c>
      <c r="AJ998" s="48" t="n">
        <f aca="false">IF($U998&gt;=STRUCT_S,MIN(INDEX($H$848:$H998,152-STRUCT_S):$H998),"")</f>
        <v>2957</v>
      </c>
      <c r="AK998" s="48" t="n">
        <f aca="false">IF($U998&gt;=STRUCT_L,MAX(INDEX($G$748:$G998,252-STRUCT_L):$G998),"")</f>
        <v>4086</v>
      </c>
      <c r="AL998" s="48" t="n">
        <f aca="false">IF($U998&gt;=STRUCT_L,MIN(INDEX($H$748:$H998,252-STRUCT_L):$H998),"")</f>
        <v>2957</v>
      </c>
      <c r="AM998" s="46" t="n">
        <f aca="false">IF($A998&lt;&gt;$A999,1,0)</f>
        <v>0</v>
      </c>
      <c r="AN998" s="47" t="str">
        <f aca="false">IF($AM998=1,$A998,"")</f>
        <v/>
      </c>
    </row>
    <row r="999" customFormat="false" ht="15" hidden="false" customHeight="false" outlineLevel="0" collapsed="false">
      <c r="A999" s="43" t="s">
        <v>147</v>
      </c>
      <c r="B999" s="44" t="s">
        <v>149</v>
      </c>
      <c r="C999" s="45" t="n">
        <v>46204</v>
      </c>
      <c r="D999" s="46" t="n">
        <v>20260701</v>
      </c>
      <c r="E999" s="47" t="s">
        <v>502</v>
      </c>
      <c r="F999" s="48" t="n">
        <v>3549</v>
      </c>
      <c r="G999" s="48" t="n">
        <v>3582</v>
      </c>
      <c r="H999" s="48" t="n">
        <v>3430</v>
      </c>
      <c r="I999" s="48" t="n">
        <v>3504</v>
      </c>
      <c r="J999" s="48" t="n">
        <v>3560</v>
      </c>
      <c r="K999" s="48" t="n">
        <v>3508</v>
      </c>
      <c r="L999" s="48" t="n">
        <v>67298784</v>
      </c>
      <c r="M999" s="48" t="n">
        <v>235814939136</v>
      </c>
      <c r="N999" s="48" t="n">
        <v>1972</v>
      </c>
      <c r="O999" s="48" t="n">
        <v>21035972</v>
      </c>
      <c r="P999" s="48" t="n">
        <v>46626606</v>
      </c>
      <c r="Q999" s="48" t="n">
        <v>655</v>
      </c>
      <c r="R999" s="48" t="n">
        <v>1530</v>
      </c>
      <c r="S999" s="48" t="n">
        <v>46262812</v>
      </c>
      <c r="T999" s="48" t="n">
        <v>20672178</v>
      </c>
      <c r="U999" s="46" t="n">
        <f aca="false">IF($A999=$A998,$U998+1,1)</f>
        <v>215</v>
      </c>
      <c r="V999" s="48" t="n">
        <f aca="false">IF($U999&gt;=MA_SHORT,AVERAGE(INDEX($I$599:$I999,402-MA_SHORT):$I999),"")</f>
        <v>3270.8</v>
      </c>
      <c r="W999" s="48" t="n">
        <f aca="false">IF($U999&gt;=MA_MED,AVERAGE(INDEX($I$599:$I999,402-MA_MED):$I999),"")</f>
        <v>3297.86</v>
      </c>
      <c r="X999" s="48" t="n">
        <f aca="false">IF($U999&gt;=MA_LONG1,AVERAGE(INDEX($I$599:$I999,402-MA_LONG1):$I999),"")</f>
        <v>3367.57</v>
      </c>
      <c r="Y999" s="48" t="n">
        <f aca="false">IF($U999&gt;=MA_LONG2,AVERAGE(INDEX($I$599:$I999,402-MA_LONG2):$I999),"")</f>
        <v>3151.525</v>
      </c>
      <c r="Z999" s="48" t="n">
        <f aca="false">IF($U999&gt;=MA_SHORT,AVERAGE(INDEX($L$879:$L999,122-MA_SHORT):$L999),"")</f>
        <v>82979834.05</v>
      </c>
      <c r="AA999" s="48" t="n">
        <f aca="false">IF($U999=1,$G999-$H999,MAX($G999-$H999,ABS($G999-$I998),ABS($H999-$I998)))</f>
        <v>152</v>
      </c>
      <c r="AB999" s="48" t="n">
        <f aca="false">IF($U999&gt;=ATR_PER,AVERAGE(INDEX($AA$879:$AA999,122-ATR_PER):$AA999),"")</f>
        <v>153.714285714286</v>
      </c>
      <c r="AC999" s="48" t="n">
        <f aca="false">$O999-$P999</f>
        <v>-25590634</v>
      </c>
      <c r="AD999" s="48" t="n">
        <f aca="false">$AC999*$I999</f>
        <v>-89669581536</v>
      </c>
      <c r="AE999" s="49" t="n">
        <f aca="false">IF($Q999&gt;0,$O999*$I999/$Q999/1000000,"")</f>
        <v>112.534421203053</v>
      </c>
      <c r="AF999" s="49" t="n">
        <f aca="false">IF($R999&gt;0,$P999*$I999/$R999/1000000,"")</f>
        <v>106.784070211765</v>
      </c>
      <c r="AG999" s="50" t="n">
        <f aca="false">IF(AND(ISNUMBER($AE999),ISNUMBER($AF999),$AF999&gt;0),$AE999/$AF999,"")</f>
        <v>1.0538502698004</v>
      </c>
      <c r="AH999" s="48" t="n">
        <f aca="false">IF($U999&gt;=5,SUM(INDEX($AD$969:$AD999,32-5):$AD999),"")</f>
        <v>-184174270507</v>
      </c>
      <c r="AI999" s="48" t="n">
        <f aca="false">IF($U999&gt;=STRUCT_S,MAX(INDEX($G$849:$G999,152-STRUCT_S):$G999),"")</f>
        <v>3676</v>
      </c>
      <c r="AJ999" s="48" t="n">
        <f aca="false">IF($U999&gt;=STRUCT_S,MIN(INDEX($H$849:$H999,152-STRUCT_S):$H999),"")</f>
        <v>3005</v>
      </c>
      <c r="AK999" s="48" t="n">
        <f aca="false">IF($U999&gt;=STRUCT_L,MAX(INDEX($G$749:$G999,252-STRUCT_L):$G999),"")</f>
        <v>4086</v>
      </c>
      <c r="AL999" s="48" t="n">
        <f aca="false">IF($U999&gt;=STRUCT_L,MIN(INDEX($H$749:$H999,252-STRUCT_L):$H999),"")</f>
        <v>2957</v>
      </c>
      <c r="AM999" s="46" t="n">
        <f aca="false">IF($A999&lt;&gt;$A1000,1,0)</f>
        <v>0</v>
      </c>
      <c r="AN999" s="47" t="str">
        <f aca="false">IF($AM999=1,$A999,"")</f>
        <v/>
      </c>
    </row>
    <row r="1000" customFormat="false" ht="15" hidden="false" customHeight="false" outlineLevel="0" collapsed="false">
      <c r="A1000" s="43" t="s">
        <v>147</v>
      </c>
      <c r="B1000" s="44" t="s">
        <v>149</v>
      </c>
      <c r="C1000" s="45" t="n">
        <v>46207</v>
      </c>
      <c r="D1000" s="46" t="n">
        <v>20260704</v>
      </c>
      <c r="E1000" s="47" t="s">
        <v>503</v>
      </c>
      <c r="F1000" s="48" t="n">
        <v>3532</v>
      </c>
      <c r="G1000" s="48" t="n">
        <v>3549</v>
      </c>
      <c r="H1000" s="48" t="n">
        <v>3407</v>
      </c>
      <c r="I1000" s="48" t="n">
        <v>3452</v>
      </c>
      <c r="J1000" s="48" t="n">
        <v>3479</v>
      </c>
      <c r="K1000" s="48" t="n">
        <v>3504</v>
      </c>
      <c r="L1000" s="48" t="n">
        <v>62362511</v>
      </c>
      <c r="M1000" s="48" t="n">
        <v>215275387972</v>
      </c>
      <c r="N1000" s="48" t="n">
        <v>2339</v>
      </c>
      <c r="O1000" s="48" t="n">
        <v>29949382</v>
      </c>
      <c r="P1000" s="48" t="n">
        <v>36378435</v>
      </c>
      <c r="Q1000" s="48" t="n">
        <v>594</v>
      </c>
      <c r="R1000" s="48" t="n">
        <v>1196</v>
      </c>
      <c r="S1000" s="48" t="n">
        <v>32413129</v>
      </c>
      <c r="T1000" s="48" t="n">
        <v>25984076</v>
      </c>
      <c r="U1000" s="46" t="n">
        <f aca="false">IF($A1000=$A999,$U999+1,1)</f>
        <v>216</v>
      </c>
      <c r="V1000" s="48" t="n">
        <f aca="false">IF($U1000&gt;=MA_SHORT,AVERAGE(INDEX($I$600:$I1000,402-MA_SHORT):$I1000),"")</f>
        <v>3286.95</v>
      </c>
      <c r="W1000" s="48" t="n">
        <f aca="false">IF($U1000&gt;=MA_MED,AVERAGE(INDEX($I$600:$I1000,402-MA_MED):$I1000),"")</f>
        <v>3293.92</v>
      </c>
      <c r="X1000" s="48" t="n">
        <f aca="false">IF($U1000&gt;=MA_LONG1,AVERAGE(INDEX($I$600:$I1000,402-MA_LONG1):$I1000),"")</f>
        <v>3371.34</v>
      </c>
      <c r="Y1000" s="48" t="n">
        <f aca="false">IF($U1000&gt;=MA_LONG2,AVERAGE(INDEX($I$600:$I1000,402-MA_LONG2):$I1000),"")</f>
        <v>3156.355</v>
      </c>
      <c r="Z1000" s="48" t="n">
        <f aca="false">IF($U1000&gt;=MA_SHORT,AVERAGE(INDEX($L$880:$L1000,122-MA_SHORT):$L1000),"")</f>
        <v>82383053</v>
      </c>
      <c r="AA1000" s="48" t="n">
        <f aca="false">IF($U1000=1,$G1000-$H1000,MAX($G1000-$H1000,ABS($G1000-$I999),ABS($H1000-$I999)))</f>
        <v>142</v>
      </c>
      <c r="AB1000" s="48" t="n">
        <f aca="false">IF($U1000&gt;=ATR_PER,AVERAGE(INDEX($AA$880:$AA1000,122-ATR_PER):$AA1000),"")</f>
        <v>157.785714285714</v>
      </c>
      <c r="AC1000" s="48" t="n">
        <f aca="false">$O1000-$P1000</f>
        <v>-6429053</v>
      </c>
      <c r="AD1000" s="48" t="n">
        <f aca="false">$AC1000*$I1000</f>
        <v>-22193090956</v>
      </c>
      <c r="AE1000" s="49" t="n">
        <f aca="false">IF($Q1000&gt;0,$O1000*$I1000/$Q1000/1000000,"")</f>
        <v>174.049270478115</v>
      </c>
      <c r="AF1000" s="49" t="n">
        <f aca="false">IF($R1000&gt;0,$P1000*$I1000/$R1000/1000000,"")</f>
        <v>104.998626772575</v>
      </c>
      <c r="AG1000" s="50" t="n">
        <f aca="false">IF(AND(ISNUMBER($AE1000),ISNUMBER($AF1000),$AF1000&gt;0),$AE1000/$AF1000,"")</f>
        <v>1.65763377891695</v>
      </c>
      <c r="AH1000" s="48" t="n">
        <f aca="false">IF($U1000&gt;=5,SUM(INDEX($AD$970:$AD1000,32-5):$AD1000),"")</f>
        <v>-191800433619</v>
      </c>
      <c r="AI1000" s="48" t="n">
        <f aca="false">IF($U1000&gt;=STRUCT_S,MAX(INDEX($G$850:$G1000,152-STRUCT_S):$G1000),"")</f>
        <v>3676</v>
      </c>
      <c r="AJ1000" s="48" t="n">
        <f aca="false">IF($U1000&gt;=STRUCT_S,MIN(INDEX($H$850:$H1000,152-STRUCT_S):$H1000),"")</f>
        <v>3010</v>
      </c>
      <c r="AK1000" s="48" t="n">
        <f aca="false">IF($U1000&gt;=STRUCT_L,MAX(INDEX($G$750:$G1000,252-STRUCT_L):$G1000),"")</f>
        <v>4086</v>
      </c>
      <c r="AL1000" s="48" t="n">
        <f aca="false">IF($U1000&gt;=STRUCT_L,MIN(INDEX($H$750:$H1000,252-STRUCT_L):$H1000),"")</f>
        <v>2957</v>
      </c>
      <c r="AM1000" s="46" t="n">
        <f aca="false">IF($A1000&lt;&gt;$A1001,1,0)</f>
        <v>0</v>
      </c>
      <c r="AN1000" s="47" t="str">
        <f aca="false">IF($AM1000=1,$A1000,"")</f>
        <v/>
      </c>
    </row>
    <row r="1001" customFormat="false" ht="15" hidden="false" customHeight="false" outlineLevel="0" collapsed="false">
      <c r="A1001" s="43" t="s">
        <v>147</v>
      </c>
      <c r="B1001" s="44" t="s">
        <v>149</v>
      </c>
      <c r="C1001" s="45" t="n">
        <v>46208</v>
      </c>
      <c r="D1001" s="46" t="n">
        <v>20260705</v>
      </c>
      <c r="E1001" s="47" t="s">
        <v>504</v>
      </c>
      <c r="F1001" s="48" t="n">
        <v>3461</v>
      </c>
      <c r="G1001" s="48" t="n">
        <v>3474</v>
      </c>
      <c r="H1001" s="48" t="n">
        <v>3435</v>
      </c>
      <c r="I1001" s="48" t="n">
        <v>3457</v>
      </c>
      <c r="J1001" s="48" t="n">
        <v>3437</v>
      </c>
      <c r="K1001" s="48" t="n">
        <v>3452</v>
      </c>
      <c r="L1001" s="48" t="n">
        <v>178285622</v>
      </c>
      <c r="M1001" s="48" t="n">
        <v>616333395254</v>
      </c>
      <c r="N1001" s="48" t="n">
        <v>4174</v>
      </c>
      <c r="O1001" s="48" t="n">
        <v>78380043</v>
      </c>
      <c r="P1001" s="48" t="n">
        <v>90257250</v>
      </c>
      <c r="Q1001" s="48" t="n">
        <v>2296</v>
      </c>
      <c r="R1001" s="48" t="n">
        <v>1197</v>
      </c>
      <c r="S1001" s="48" t="n">
        <v>99905579</v>
      </c>
      <c r="T1001" s="48" t="n">
        <v>88028372</v>
      </c>
      <c r="U1001" s="46" t="n">
        <f aca="false">IF($A1001=$A1000,$U1000+1,1)</f>
        <v>217</v>
      </c>
      <c r="V1001" s="48" t="n">
        <f aca="false">IF($U1001&gt;=MA_SHORT,AVERAGE(INDEX($I$601:$I1001,402-MA_SHORT):$I1001),"")</f>
        <v>3306.1</v>
      </c>
      <c r="W1001" s="48" t="n">
        <f aca="false">IF($U1001&gt;=MA_MED,AVERAGE(INDEX($I$601:$I1001,402-MA_MED):$I1001),"")</f>
        <v>3291.62</v>
      </c>
      <c r="X1001" s="48" t="n">
        <f aca="false">IF($U1001&gt;=MA_LONG1,AVERAGE(INDEX($I$601:$I1001,402-MA_LONG1):$I1001),"")</f>
        <v>3376.08</v>
      </c>
      <c r="Y1001" s="48" t="n">
        <f aca="false">IF($U1001&gt;=MA_LONG2,AVERAGE(INDEX($I$601:$I1001,402-MA_LONG2):$I1001),"")</f>
        <v>3161.175</v>
      </c>
      <c r="Z1001" s="48" t="n">
        <f aca="false">IF($U1001&gt;=MA_SHORT,AVERAGE(INDEX($L$881:$L1001,122-MA_SHORT):$L1001),"")</f>
        <v>88132183.9</v>
      </c>
      <c r="AA1001" s="48" t="n">
        <f aca="false">IF($U1001=1,$G1001-$H1001,MAX($G1001-$H1001,ABS($G1001-$I1000),ABS($H1001-$I1000)))</f>
        <v>39</v>
      </c>
      <c r="AB1001" s="48" t="n">
        <f aca="false">IF($U1001&gt;=ATR_PER,AVERAGE(INDEX($AA$881:$AA1001,122-ATR_PER):$AA1001),"")</f>
        <v>150.642857142857</v>
      </c>
      <c r="AC1001" s="48" t="n">
        <f aca="false">$O1001-$P1001</f>
        <v>-11877207</v>
      </c>
      <c r="AD1001" s="48" t="n">
        <f aca="false">$AC1001*$I1001</f>
        <v>-41059504599</v>
      </c>
      <c r="AE1001" s="49" t="n">
        <f aca="false">IF($Q1001&gt;0,$O1001*$I1001/$Q1001/1000000,"")</f>
        <v>118.013853942073</v>
      </c>
      <c r="AF1001" s="49" t="n">
        <f aca="false">IF($R1001&gt;0,$P1001*$I1001/$R1001/1000000,"")</f>
        <v>260.667763784461</v>
      </c>
      <c r="AG1001" s="50" t="n">
        <f aca="false">IF(AND(ISNUMBER($AE1001),ISNUMBER($AF1001),$AF1001&gt;0),$AE1001/$AF1001,"")</f>
        <v>0.452736664590622</v>
      </c>
      <c r="AH1001" s="48" t="n">
        <f aca="false">IF($U1001&gt;=5,SUM(INDEX($AD$971:$AD1001,32-5):$AD1001),"")</f>
        <v>-236439439594</v>
      </c>
      <c r="AI1001" s="48" t="n">
        <f aca="false">IF($U1001&gt;=STRUCT_S,MAX(INDEX($G$851:$G1001,152-STRUCT_S):$G1001),"")</f>
        <v>3676</v>
      </c>
      <c r="AJ1001" s="48" t="n">
        <f aca="false">IF($U1001&gt;=STRUCT_S,MIN(INDEX($H$851:$H1001,152-STRUCT_S):$H1001),"")</f>
        <v>3010</v>
      </c>
      <c r="AK1001" s="48" t="n">
        <f aca="false">IF($U1001&gt;=STRUCT_L,MAX(INDEX($G$751:$G1001,252-STRUCT_L):$G1001),"")</f>
        <v>4086</v>
      </c>
      <c r="AL1001" s="48" t="n">
        <f aca="false">IF($U1001&gt;=STRUCT_L,MIN(INDEX($H$751:$H1001,252-STRUCT_L):$H1001),"")</f>
        <v>2957</v>
      </c>
      <c r="AM1001" s="46" t="n">
        <f aca="false">IF($A1001&lt;&gt;$A1002,1,0)</f>
        <v>0</v>
      </c>
      <c r="AN1001" s="47" t="str">
        <f aca="false">IF($AM1001=1,$A1001,"")</f>
        <v/>
      </c>
    </row>
    <row r="1002" customFormat="false" ht="15" hidden="false" customHeight="false" outlineLevel="0" collapsed="false">
      <c r="A1002" s="43" t="s">
        <v>147</v>
      </c>
      <c r="B1002" s="44" t="s">
        <v>149</v>
      </c>
      <c r="C1002" s="45" t="n">
        <v>46209</v>
      </c>
      <c r="D1002" s="46" t="n">
        <v>20260706</v>
      </c>
      <c r="E1002" s="47" t="s">
        <v>505</v>
      </c>
      <c r="F1002" s="48" t="n">
        <v>3510</v>
      </c>
      <c r="G1002" s="48" t="n">
        <v>3544</v>
      </c>
      <c r="H1002" s="48" t="n">
        <v>3404</v>
      </c>
      <c r="I1002" s="48" t="n">
        <v>3490</v>
      </c>
      <c r="J1002" s="48" t="n">
        <v>3470</v>
      </c>
      <c r="K1002" s="48" t="n">
        <v>3457</v>
      </c>
      <c r="L1002" s="48" t="n">
        <v>78871999</v>
      </c>
      <c r="M1002" s="48" t="n">
        <v>275263276510</v>
      </c>
      <c r="N1002" s="48" t="n">
        <v>2610</v>
      </c>
      <c r="O1002" s="48" t="n">
        <v>38793699</v>
      </c>
      <c r="P1002" s="48" t="n">
        <v>42425898</v>
      </c>
      <c r="Q1002" s="48" t="n">
        <v>1395</v>
      </c>
      <c r="R1002" s="48" t="n">
        <v>1081</v>
      </c>
      <c r="S1002" s="48" t="n">
        <v>40078300</v>
      </c>
      <c r="T1002" s="48" t="n">
        <v>36446101</v>
      </c>
      <c r="U1002" s="46" t="n">
        <f aca="false">IF($A1002=$A1001,$U1001+1,1)</f>
        <v>218</v>
      </c>
      <c r="V1002" s="48" t="n">
        <f aca="false">IF($U1002&gt;=MA_SHORT,AVERAGE(INDEX($I$602:$I1002,402-MA_SHORT):$I1002),"")</f>
        <v>3319.9</v>
      </c>
      <c r="W1002" s="48" t="n">
        <f aca="false">IF($U1002&gt;=MA_MED,AVERAGE(INDEX($I$602:$I1002,402-MA_MED):$I1002),"")</f>
        <v>3287.6</v>
      </c>
      <c r="X1002" s="48" t="n">
        <f aca="false">IF($U1002&gt;=MA_LONG1,AVERAGE(INDEX($I$602:$I1002,402-MA_LONG1):$I1002),"")</f>
        <v>3381.36</v>
      </c>
      <c r="Y1002" s="48" t="n">
        <f aca="false">IF($U1002&gt;=MA_LONG2,AVERAGE(INDEX($I$602:$I1002,402-MA_LONG2):$I1002),"")</f>
        <v>3165.69</v>
      </c>
      <c r="Z1002" s="48" t="n">
        <f aca="false">IF($U1002&gt;=MA_SHORT,AVERAGE(INDEX($L$882:$L1002,122-MA_SHORT):$L1002),"")</f>
        <v>88430206.75</v>
      </c>
      <c r="AA1002" s="48" t="n">
        <f aca="false">IF($U1002=1,$G1002-$H1002,MAX($G1002-$H1002,ABS($G1002-$I1001),ABS($H1002-$I1001)))</f>
        <v>140</v>
      </c>
      <c r="AB1002" s="48" t="n">
        <f aca="false">IF($U1002&gt;=ATR_PER,AVERAGE(INDEX($AA$882:$AA1002,122-ATR_PER):$AA1002),"")</f>
        <v>152.857142857143</v>
      </c>
      <c r="AC1002" s="48" t="n">
        <f aca="false">$O1002-$P1002</f>
        <v>-3632199</v>
      </c>
      <c r="AD1002" s="48" t="n">
        <f aca="false">$AC1002*$I1002</f>
        <v>-12676374510</v>
      </c>
      <c r="AE1002" s="49" t="n">
        <f aca="false">IF($Q1002&gt;0,$O1002*$I1002/$Q1002/1000000,"")</f>
        <v>97.0537702580645</v>
      </c>
      <c r="AF1002" s="49" t="n">
        <f aca="false">IF($R1002&gt;0,$P1002*$I1002/$R1002/1000000,"")</f>
        <v>136.971678094357</v>
      </c>
      <c r="AG1002" s="50" t="n">
        <f aca="false">IF(AND(ISNUMBER($AE1002),ISNUMBER($AF1002),$AF1002&gt;0),$AE1002/$AF1002,"")</f>
        <v>0.708568162472289</v>
      </c>
      <c r="AH1002" s="48" t="n">
        <f aca="false">IF($U1002&gt;=5,SUM(INDEX($AD$972:$AD1002,32-5):$AD1002),"")</f>
        <v>-262232764589</v>
      </c>
      <c r="AI1002" s="48" t="n">
        <f aca="false">IF($U1002&gt;=STRUCT_S,MAX(INDEX($G$852:$G1002,152-STRUCT_S):$G1002),"")</f>
        <v>3676</v>
      </c>
      <c r="AJ1002" s="48" t="n">
        <f aca="false">IF($U1002&gt;=STRUCT_S,MIN(INDEX($H$852:$H1002,152-STRUCT_S):$H1002),"")</f>
        <v>3060</v>
      </c>
      <c r="AK1002" s="48" t="n">
        <f aca="false">IF($U1002&gt;=STRUCT_L,MAX(INDEX($G$752:$G1002,252-STRUCT_L):$G1002),"")</f>
        <v>4086</v>
      </c>
      <c r="AL1002" s="48" t="n">
        <f aca="false">IF($U1002&gt;=STRUCT_L,MIN(INDEX($H$752:$H1002,252-STRUCT_L):$H1002),"")</f>
        <v>2957</v>
      </c>
      <c r="AM1002" s="46" t="n">
        <f aca="false">IF($A1002&lt;&gt;$A1003,1,0)</f>
        <v>0</v>
      </c>
      <c r="AN1002" s="47" t="str">
        <f aca="false">IF($AM1002=1,$A1002,"")</f>
        <v/>
      </c>
    </row>
    <row r="1003" customFormat="false" ht="15" hidden="false" customHeight="false" outlineLevel="0" collapsed="false">
      <c r="A1003" s="43" t="s">
        <v>147</v>
      </c>
      <c r="B1003" s="44" t="s">
        <v>149</v>
      </c>
      <c r="C1003" s="45" t="n">
        <v>46210</v>
      </c>
      <c r="D1003" s="46" t="n">
        <v>20260707</v>
      </c>
      <c r="E1003" s="47" t="s">
        <v>506</v>
      </c>
      <c r="F1003" s="48" t="n">
        <v>3480</v>
      </c>
      <c r="G1003" s="48" t="n">
        <v>3556</v>
      </c>
      <c r="H1003" s="48" t="n">
        <v>3306</v>
      </c>
      <c r="I1003" s="48" t="n">
        <v>3370</v>
      </c>
      <c r="J1003" s="48" t="n">
        <v>3447</v>
      </c>
      <c r="K1003" s="48" t="n">
        <v>3490</v>
      </c>
      <c r="L1003" s="48" t="n">
        <v>69077402</v>
      </c>
      <c r="M1003" s="48" t="n">
        <v>232790844740</v>
      </c>
      <c r="N1003" s="48" t="n">
        <v>2118</v>
      </c>
      <c r="O1003" s="48" t="n">
        <v>22803174</v>
      </c>
      <c r="P1003" s="48" t="n">
        <v>49141209</v>
      </c>
      <c r="Q1003" s="48" t="n">
        <v>731</v>
      </c>
      <c r="R1003" s="48" t="n">
        <v>1182</v>
      </c>
      <c r="S1003" s="48" t="n">
        <v>46274228</v>
      </c>
      <c r="T1003" s="48" t="n">
        <v>19936193</v>
      </c>
      <c r="U1003" s="46" t="n">
        <f aca="false">IF($A1003=$A1002,$U1002+1,1)</f>
        <v>219</v>
      </c>
      <c r="V1003" s="48" t="n">
        <f aca="false">IF($U1003&gt;=MA_SHORT,AVERAGE(INDEX($I$603:$I1003,402-MA_SHORT):$I1003),"")</f>
        <v>3326.85</v>
      </c>
      <c r="W1003" s="48" t="n">
        <f aca="false">IF($U1003&gt;=MA_MED,AVERAGE(INDEX($I$603:$I1003,402-MA_MED):$I1003),"")</f>
        <v>3283.24</v>
      </c>
      <c r="X1003" s="48" t="n">
        <f aca="false">IF($U1003&gt;=MA_LONG1,AVERAGE(INDEX($I$603:$I1003,402-MA_LONG1):$I1003),"")</f>
        <v>3385.67</v>
      </c>
      <c r="Y1003" s="48" t="n">
        <f aca="false">IF($U1003&gt;=MA_LONG2,AVERAGE(INDEX($I$603:$I1003,402-MA_LONG2):$I1003),"")</f>
        <v>3169.53</v>
      </c>
      <c r="Z1003" s="48" t="n">
        <f aca="false">IF($U1003&gt;=MA_SHORT,AVERAGE(INDEX($L$883:$L1003,122-MA_SHORT):$L1003),"")</f>
        <v>88930025.95</v>
      </c>
      <c r="AA1003" s="48" t="n">
        <f aca="false">IF($U1003=1,$G1003-$H1003,MAX($G1003-$H1003,ABS($G1003-$I1002),ABS($H1003-$I1002)))</f>
        <v>250</v>
      </c>
      <c r="AB1003" s="48" t="n">
        <f aca="false">IF($U1003&gt;=ATR_PER,AVERAGE(INDEX($AA$883:$AA1003,122-ATR_PER):$AA1003),"")</f>
        <v>160.785714285714</v>
      </c>
      <c r="AC1003" s="48" t="n">
        <f aca="false">$O1003-$P1003</f>
        <v>-26338035</v>
      </c>
      <c r="AD1003" s="48" t="n">
        <f aca="false">$AC1003*$I1003</f>
        <v>-88759177950</v>
      </c>
      <c r="AE1003" s="49" t="n">
        <f aca="false">IF($Q1003&gt;0,$O1003*$I1003/$Q1003/1000000,"")</f>
        <v>105.125439644323</v>
      </c>
      <c r="AF1003" s="49" t="n">
        <f aca="false">IF($R1003&gt;0,$P1003*$I1003/$R1003/1000000,"")</f>
        <v>140.106492664975</v>
      </c>
      <c r="AG1003" s="50" t="n">
        <f aca="false">IF(AND(ISNUMBER($AE1003),ISNUMBER($AF1003),$AF1003&gt;0),$AE1003/$AF1003,"")</f>
        <v>0.750325253631899</v>
      </c>
      <c r="AH1003" s="48" t="n">
        <f aca="false">IF($U1003&gt;=5,SUM(INDEX($AD$973:$AD1003,32-5):$AD1003),"")</f>
        <v>-254357729551</v>
      </c>
      <c r="AI1003" s="48" t="n">
        <f aca="false">IF($U1003&gt;=STRUCT_S,MAX(INDEX($G$853:$G1003,152-STRUCT_S):$G1003),"")</f>
        <v>3676</v>
      </c>
      <c r="AJ1003" s="48" t="n">
        <f aca="false">IF($U1003&gt;=STRUCT_S,MIN(INDEX($H$853:$H1003,152-STRUCT_S):$H1003),"")</f>
        <v>3060</v>
      </c>
      <c r="AK1003" s="48" t="n">
        <f aca="false">IF($U1003&gt;=STRUCT_L,MAX(INDEX($G$753:$G1003,252-STRUCT_L):$G1003),"")</f>
        <v>4086</v>
      </c>
      <c r="AL1003" s="48" t="n">
        <f aca="false">IF($U1003&gt;=STRUCT_L,MIN(INDEX($H$753:$H1003,252-STRUCT_L):$H1003),"")</f>
        <v>2957</v>
      </c>
      <c r="AM1003" s="46" t="n">
        <f aca="false">IF($A1003&lt;&gt;$A1004,1,0)</f>
        <v>0</v>
      </c>
      <c r="AN1003" s="47" t="str">
        <f aca="false">IF($AM1003=1,$A1003,"")</f>
        <v/>
      </c>
    </row>
    <row r="1004" customFormat="false" ht="15" hidden="false" customHeight="false" outlineLevel="0" collapsed="false">
      <c r="A1004" s="43" t="s">
        <v>147</v>
      </c>
      <c r="B1004" s="44" t="s">
        <v>149</v>
      </c>
      <c r="C1004" s="45" t="n">
        <v>46211</v>
      </c>
      <c r="D1004" s="46" t="n">
        <v>20260708</v>
      </c>
      <c r="E1004" s="47" t="s">
        <v>507</v>
      </c>
      <c r="F1004" s="48" t="n">
        <v>3315</v>
      </c>
      <c r="G1004" s="48" t="n">
        <v>3392</v>
      </c>
      <c r="H1004" s="48" t="n">
        <v>3284</v>
      </c>
      <c r="I1004" s="48" t="n">
        <v>3306</v>
      </c>
      <c r="J1004" s="48" t="n">
        <v>3373</v>
      </c>
      <c r="K1004" s="48" t="n">
        <v>3370</v>
      </c>
      <c r="L1004" s="48" t="n">
        <v>63788691</v>
      </c>
      <c r="M1004" s="48" t="n">
        <v>210885412446</v>
      </c>
      <c r="N1004" s="48" t="n">
        <v>4928</v>
      </c>
      <c r="O1004" s="48" t="n">
        <v>20999205</v>
      </c>
      <c r="P1004" s="48" t="n">
        <v>41043934</v>
      </c>
      <c r="Q1004" s="48" t="n">
        <v>1480</v>
      </c>
      <c r="R1004" s="48" t="n">
        <v>3142</v>
      </c>
      <c r="S1004" s="48" t="n">
        <v>42789486</v>
      </c>
      <c r="T1004" s="48" t="n">
        <v>22744757</v>
      </c>
      <c r="U1004" s="46" t="n">
        <f aca="false">IF($A1004=$A1003,$U1003+1,1)</f>
        <v>220</v>
      </c>
      <c r="V1004" s="48" t="n">
        <f aca="false">IF($U1004&gt;=MA_SHORT,AVERAGE(INDEX($I$604:$I1004,402-MA_SHORT):$I1004),"")</f>
        <v>3337.05</v>
      </c>
      <c r="W1004" s="48" t="n">
        <f aca="false">IF($U1004&gt;=MA_MED,AVERAGE(INDEX($I$604:$I1004,402-MA_MED):$I1004),"")</f>
        <v>3278.2</v>
      </c>
      <c r="X1004" s="48" t="n">
        <f aca="false">IF($U1004&gt;=MA_LONG1,AVERAGE(INDEX($I$604:$I1004,402-MA_LONG1):$I1004),"")</f>
        <v>3388.49</v>
      </c>
      <c r="Y1004" s="48" t="n">
        <f aca="false">IF($U1004&gt;=MA_LONG2,AVERAGE(INDEX($I$604:$I1004,402-MA_LONG2):$I1004),"")</f>
        <v>3172.74</v>
      </c>
      <c r="Z1004" s="48" t="n">
        <f aca="false">IF($U1004&gt;=MA_SHORT,AVERAGE(INDEX($L$884:$L1004,122-MA_SHORT):$L1004),"")</f>
        <v>86817408.25</v>
      </c>
      <c r="AA1004" s="48" t="n">
        <f aca="false">IF($U1004=1,$G1004-$H1004,MAX($G1004-$H1004,ABS($G1004-$I1003),ABS($H1004-$I1003)))</f>
        <v>108</v>
      </c>
      <c r="AB1004" s="48" t="n">
        <f aca="false">IF($U1004&gt;=ATR_PER,AVERAGE(INDEX($AA$884:$AA1004,122-ATR_PER):$AA1004),"")</f>
        <v>158.785714285714</v>
      </c>
      <c r="AC1004" s="48" t="n">
        <f aca="false">$O1004-$P1004</f>
        <v>-20044729</v>
      </c>
      <c r="AD1004" s="48" t="n">
        <f aca="false">$AC1004*$I1004</f>
        <v>-66267874074</v>
      </c>
      <c r="AE1004" s="49" t="n">
        <f aca="false">IF($Q1004&gt;0,$O1004*$I1004/$Q1004/1000000,"")</f>
        <v>46.9076836013514</v>
      </c>
      <c r="AF1004" s="49" t="n">
        <f aca="false">IF($R1004&gt;0,$P1004*$I1004/$R1004/1000000,"")</f>
        <v>43.1862653736474</v>
      </c>
      <c r="AG1004" s="50" t="n">
        <f aca="false">IF(AND(ISNUMBER($AE1004),ISNUMBER($AF1004),$AF1004&gt;0),$AE1004/$AF1004,"")</f>
        <v>1.08617133700973</v>
      </c>
      <c r="AH1004" s="48" t="n">
        <f aca="false">IF($U1004&gt;=5,SUM(INDEX($AD$974:$AD1004,32-5):$AD1004),"")</f>
        <v>-230956022089</v>
      </c>
      <c r="AI1004" s="48" t="n">
        <f aca="false">IF($U1004&gt;=STRUCT_S,MAX(INDEX($G$854:$G1004,152-STRUCT_S):$G1004),"")</f>
        <v>3676</v>
      </c>
      <c r="AJ1004" s="48" t="n">
        <f aca="false">IF($U1004&gt;=STRUCT_S,MIN(INDEX($H$854:$H1004,152-STRUCT_S):$H1004),"")</f>
        <v>3070</v>
      </c>
      <c r="AK1004" s="48" t="n">
        <f aca="false">IF($U1004&gt;=STRUCT_L,MAX(INDEX($G$754:$G1004,252-STRUCT_L):$G1004),"")</f>
        <v>4086</v>
      </c>
      <c r="AL1004" s="48" t="n">
        <f aca="false">IF($U1004&gt;=STRUCT_L,MIN(INDEX($H$754:$H1004,252-STRUCT_L):$H1004),"")</f>
        <v>2957</v>
      </c>
      <c r="AM1004" s="46" t="n">
        <f aca="false">IF($A1004&lt;&gt;$A1005,1,0)</f>
        <v>0</v>
      </c>
      <c r="AN1004" s="47" t="str">
        <f aca="false">IF($AM1004=1,$A1004,"")</f>
        <v/>
      </c>
    </row>
    <row r="1005" customFormat="false" ht="15" hidden="false" customHeight="false" outlineLevel="0" collapsed="false">
      <c r="A1005" s="43" t="s">
        <v>147</v>
      </c>
      <c r="B1005" s="44" t="s">
        <v>149</v>
      </c>
      <c r="C1005" s="45" t="n">
        <v>46214</v>
      </c>
      <c r="D1005" s="46" t="n">
        <v>20260711</v>
      </c>
      <c r="E1005" s="47" t="s">
        <v>508</v>
      </c>
      <c r="F1005" s="48" t="n">
        <v>3270</v>
      </c>
      <c r="G1005" s="48" t="n">
        <v>3344</v>
      </c>
      <c r="H1005" s="48" t="n">
        <v>3231</v>
      </c>
      <c r="I1005" s="48" t="n">
        <v>3269</v>
      </c>
      <c r="J1005" s="48" t="n">
        <v>3315</v>
      </c>
      <c r="K1005" s="48" t="n">
        <v>3306</v>
      </c>
      <c r="L1005" s="48" t="n">
        <v>61108982</v>
      </c>
      <c r="M1005" s="48" t="n">
        <v>199765262158</v>
      </c>
      <c r="N1005" s="48" t="n">
        <v>1624</v>
      </c>
      <c r="O1005" s="48" t="n">
        <v>27485598</v>
      </c>
      <c r="P1005" s="48" t="n">
        <v>31635376</v>
      </c>
      <c r="Q1005" s="48" t="n">
        <v>388</v>
      </c>
      <c r="R1005" s="48" t="n">
        <v>919</v>
      </c>
      <c r="S1005" s="48" t="n">
        <v>33623384</v>
      </c>
      <c r="T1005" s="48" t="n">
        <v>29473606</v>
      </c>
      <c r="U1005" s="46" t="n">
        <f aca="false">IF($A1005=$A1004,$U1004+1,1)</f>
        <v>221</v>
      </c>
      <c r="V1005" s="48" t="n">
        <f aca="false">IF($U1005&gt;=MA_SHORT,AVERAGE(INDEX($I$605:$I1005,402-MA_SHORT):$I1005),"")</f>
        <v>3343.3</v>
      </c>
      <c r="W1005" s="48" t="n">
        <f aca="false">IF($U1005&gt;=MA_MED,AVERAGE(INDEX($I$605:$I1005,402-MA_MED):$I1005),"")</f>
        <v>3275.12</v>
      </c>
      <c r="X1005" s="48" t="n">
        <f aca="false">IF($U1005&gt;=MA_LONG1,AVERAGE(INDEX($I$605:$I1005,402-MA_LONG1):$I1005),"")</f>
        <v>3391.64</v>
      </c>
      <c r="Y1005" s="48" t="n">
        <f aca="false">IF($U1005&gt;=MA_LONG2,AVERAGE(INDEX($I$605:$I1005,402-MA_LONG2):$I1005),"")</f>
        <v>3175.87</v>
      </c>
      <c r="Z1005" s="48" t="n">
        <f aca="false">IF($U1005&gt;=MA_SHORT,AVERAGE(INDEX($L$885:$L1005,122-MA_SHORT):$L1005),"")</f>
        <v>86777073.75</v>
      </c>
      <c r="AA1005" s="48" t="n">
        <f aca="false">IF($U1005=1,$G1005-$H1005,MAX($G1005-$H1005,ABS($G1005-$I1004),ABS($H1005-$I1004)))</f>
        <v>113</v>
      </c>
      <c r="AB1005" s="48" t="n">
        <f aca="false">IF($U1005&gt;=ATR_PER,AVERAGE(INDEX($AA$885:$AA1005,122-ATR_PER):$AA1005),"")</f>
        <v>160.5</v>
      </c>
      <c r="AC1005" s="48" t="n">
        <f aca="false">$O1005-$P1005</f>
        <v>-4149778</v>
      </c>
      <c r="AD1005" s="48" t="n">
        <f aca="false">$AC1005*$I1005</f>
        <v>-13565624282</v>
      </c>
      <c r="AE1005" s="49" t="n">
        <f aca="false">IF($Q1005&gt;0,$O1005*$I1005/$Q1005/1000000,"")</f>
        <v>231.57324706701</v>
      </c>
      <c r="AF1005" s="49" t="n">
        <f aca="false">IF($R1005&gt;0,$P1005*$I1005/$R1005/1000000,"")</f>
        <v>112.531060004353</v>
      </c>
      <c r="AG1005" s="50" t="n">
        <f aca="false">IF(AND(ISNUMBER($AE1005),ISNUMBER($AF1005),$AF1005&gt;0),$AE1005/$AF1005,"")</f>
        <v>2.05786071026127</v>
      </c>
      <c r="AH1005" s="48" t="n">
        <f aca="false">IF($U1005&gt;=5,SUM(INDEX($AD$975:$AD1005,32-5):$AD1005),"")</f>
        <v>-222328555415</v>
      </c>
      <c r="AI1005" s="48" t="n">
        <f aca="false">IF($U1005&gt;=STRUCT_S,MAX(INDEX($G$855:$G1005,152-STRUCT_S):$G1005),"")</f>
        <v>3676</v>
      </c>
      <c r="AJ1005" s="48" t="n">
        <f aca="false">IF($U1005&gt;=STRUCT_S,MIN(INDEX($H$855:$H1005,152-STRUCT_S):$H1005),"")</f>
        <v>3080</v>
      </c>
      <c r="AK1005" s="48" t="n">
        <f aca="false">IF($U1005&gt;=STRUCT_L,MAX(INDEX($G$755:$G1005,252-STRUCT_L):$G1005),"")</f>
        <v>4086</v>
      </c>
      <c r="AL1005" s="48" t="n">
        <f aca="false">IF($U1005&gt;=STRUCT_L,MIN(INDEX($H$755:$H1005,252-STRUCT_L):$H1005),"")</f>
        <v>2957</v>
      </c>
      <c r="AM1005" s="46" t="n">
        <f aca="false">IF($A1005&lt;&gt;$A1006,1,0)</f>
        <v>0</v>
      </c>
      <c r="AN1005" s="47" t="str">
        <f aca="false">IF($AM1005=1,$A1005,"")</f>
        <v/>
      </c>
    </row>
    <row r="1006" customFormat="false" ht="15" hidden="false" customHeight="false" outlineLevel="0" collapsed="false">
      <c r="A1006" s="43" t="s">
        <v>147</v>
      </c>
      <c r="B1006" s="44" t="s">
        <v>149</v>
      </c>
      <c r="C1006" s="45" t="n">
        <v>46215</v>
      </c>
      <c r="D1006" s="46" t="n">
        <v>20260712</v>
      </c>
      <c r="E1006" s="47" t="s">
        <v>509</v>
      </c>
      <c r="F1006" s="48" t="n">
        <v>3358</v>
      </c>
      <c r="G1006" s="48" t="n">
        <v>3389</v>
      </c>
      <c r="H1006" s="48" t="n">
        <v>3177</v>
      </c>
      <c r="I1006" s="48" t="n">
        <v>3296</v>
      </c>
      <c r="J1006" s="48" t="n">
        <v>3242</v>
      </c>
      <c r="K1006" s="48" t="n">
        <v>3269</v>
      </c>
      <c r="L1006" s="48" t="n">
        <v>60101474</v>
      </c>
      <c r="M1006" s="48" t="n">
        <v>198094458304</v>
      </c>
      <c r="N1006" s="48" t="n">
        <v>3091</v>
      </c>
      <c r="O1006" s="48" t="n">
        <v>23948211</v>
      </c>
      <c r="P1006" s="48" t="n">
        <v>36650984</v>
      </c>
      <c r="Q1006" s="48" t="n">
        <v>1871</v>
      </c>
      <c r="R1006" s="48" t="n">
        <v>1061</v>
      </c>
      <c r="S1006" s="48" t="n">
        <v>36153263</v>
      </c>
      <c r="T1006" s="48" t="n">
        <v>23450490</v>
      </c>
      <c r="U1006" s="46" t="n">
        <f aca="false">IF($A1006=$A1005,$U1005+1,1)</f>
        <v>222</v>
      </c>
      <c r="V1006" s="48" t="n">
        <f aca="false">IF($U1006&gt;=MA_SHORT,AVERAGE(INDEX($I$606:$I1006,402-MA_SHORT):$I1006),"")</f>
        <v>3350.95</v>
      </c>
      <c r="W1006" s="48" t="n">
        <f aca="false">IF($U1006&gt;=MA_MED,AVERAGE(INDEX($I$606:$I1006,402-MA_MED):$I1006),"")</f>
        <v>3273.16</v>
      </c>
      <c r="X1006" s="48" t="n">
        <f aca="false">IF($U1006&gt;=MA_LONG1,AVERAGE(INDEX($I$606:$I1006,402-MA_LONG1):$I1006),"")</f>
        <v>3395.43</v>
      </c>
      <c r="Y1006" s="48" t="n">
        <f aca="false">IF($U1006&gt;=MA_LONG2,AVERAGE(INDEX($I$606:$I1006,402-MA_LONG2):$I1006),"")</f>
        <v>3179.05</v>
      </c>
      <c r="Z1006" s="48" t="n">
        <f aca="false">IF($U1006&gt;=MA_SHORT,AVERAGE(INDEX($L$886:$L1006,122-MA_SHORT):$L1006),"")</f>
        <v>86913498.9</v>
      </c>
      <c r="AA1006" s="48" t="n">
        <f aca="false">IF($U1006=1,$G1006-$H1006,MAX($G1006-$H1006,ABS($G1006-$I1005),ABS($H1006-$I1005)))</f>
        <v>212</v>
      </c>
      <c r="AB1006" s="48" t="n">
        <f aca="false">IF($U1006&gt;=ATR_PER,AVERAGE(INDEX($AA$886:$AA1006,122-ATR_PER):$AA1006),"")</f>
        <v>173</v>
      </c>
      <c r="AC1006" s="48" t="n">
        <f aca="false">$O1006-$P1006</f>
        <v>-12702773</v>
      </c>
      <c r="AD1006" s="48" t="n">
        <f aca="false">$AC1006*$I1006</f>
        <v>-41868339808</v>
      </c>
      <c r="AE1006" s="49" t="n">
        <f aca="false">IF($Q1006&gt;0,$O1006*$I1006/$Q1006/1000000,"")</f>
        <v>42.1877624029931</v>
      </c>
      <c r="AF1006" s="49" t="n">
        <f aca="false">IF($R1006&gt;0,$P1006*$I1006/$R1006/1000000,"")</f>
        <v>113.85640269934</v>
      </c>
      <c r="AG1006" s="50" t="n">
        <f aca="false">IF(AND(ISNUMBER($AE1006),ISNUMBER($AF1006),$AF1006&gt;0),$AE1006/$AF1006,"")</f>
        <v>0.370534826349625</v>
      </c>
      <c r="AH1006" s="48" t="n">
        <f aca="false">IF($U1006&gt;=5,SUM(INDEX($AD$976:$AD1006,32-5):$AD1006),"")</f>
        <v>-223137390624</v>
      </c>
      <c r="AI1006" s="48" t="n">
        <f aca="false">IF($U1006&gt;=STRUCT_S,MAX(INDEX($G$856:$G1006,152-STRUCT_S):$G1006),"")</f>
        <v>3676</v>
      </c>
      <c r="AJ1006" s="48" t="n">
        <f aca="false">IF($U1006&gt;=STRUCT_S,MIN(INDEX($H$856:$H1006,152-STRUCT_S):$H1006),"")</f>
        <v>3080</v>
      </c>
      <c r="AK1006" s="48" t="n">
        <f aca="false">IF($U1006&gt;=STRUCT_L,MAX(INDEX($G$756:$G1006,252-STRUCT_L):$G1006),"")</f>
        <v>3912</v>
      </c>
      <c r="AL1006" s="48" t="n">
        <f aca="false">IF($U1006&gt;=STRUCT_L,MIN(INDEX($H$756:$H1006,252-STRUCT_L):$H1006),"")</f>
        <v>2957</v>
      </c>
      <c r="AM1006" s="46" t="n">
        <f aca="false">IF($A1006&lt;&gt;$A1007,1,0)</f>
        <v>0</v>
      </c>
      <c r="AN1006" s="47" t="str">
        <f aca="false">IF($AM1006=1,$A1006,"")</f>
        <v/>
      </c>
    </row>
    <row r="1007" customFormat="false" ht="15" hidden="false" customHeight="false" outlineLevel="0" collapsed="false">
      <c r="A1007" s="43" t="s">
        <v>147</v>
      </c>
      <c r="B1007" s="44" t="s">
        <v>149</v>
      </c>
      <c r="C1007" s="45" t="n">
        <v>46216</v>
      </c>
      <c r="D1007" s="46" t="n">
        <v>20260713</v>
      </c>
      <c r="E1007" s="47" t="s">
        <v>510</v>
      </c>
      <c r="F1007" s="48" t="n">
        <v>3137</v>
      </c>
      <c r="G1007" s="48" t="n">
        <v>3370</v>
      </c>
      <c r="H1007" s="48" t="n">
        <v>3101</v>
      </c>
      <c r="I1007" s="48" t="n">
        <v>3173</v>
      </c>
      <c r="J1007" s="48" t="n">
        <v>3325</v>
      </c>
      <c r="K1007" s="48" t="n">
        <v>3296</v>
      </c>
      <c r="L1007" s="48" t="n">
        <v>70085474</v>
      </c>
      <c r="M1007" s="48" t="n">
        <v>222381209002</v>
      </c>
      <c r="N1007" s="48" t="n">
        <v>4827</v>
      </c>
      <c r="O1007" s="48" t="n">
        <v>20399228</v>
      </c>
      <c r="P1007" s="48" t="n">
        <v>44893322</v>
      </c>
      <c r="Q1007" s="48" t="n">
        <v>1279</v>
      </c>
      <c r="R1007" s="48" t="n">
        <v>3271</v>
      </c>
      <c r="S1007" s="48" t="n">
        <v>49686246</v>
      </c>
      <c r="T1007" s="48" t="n">
        <v>25192152</v>
      </c>
      <c r="U1007" s="46" t="n">
        <f aca="false">IF($A1007=$A1006,$U1006+1,1)</f>
        <v>223</v>
      </c>
      <c r="V1007" s="48" t="n">
        <f aca="false">IF($U1007&gt;=MA_SHORT,AVERAGE(INDEX($I$607:$I1007,402-MA_SHORT):$I1007),"")</f>
        <v>3347.95</v>
      </c>
      <c r="W1007" s="48" t="n">
        <f aca="false">IF($U1007&gt;=MA_MED,AVERAGE(INDEX($I$607:$I1007,402-MA_MED):$I1007),"")</f>
        <v>3269.78</v>
      </c>
      <c r="X1007" s="48" t="n">
        <f aca="false">IF($U1007&gt;=MA_LONG1,AVERAGE(INDEX($I$607:$I1007,402-MA_LONG1):$I1007),"")</f>
        <v>3398.11</v>
      </c>
      <c r="Y1007" s="48" t="n">
        <f aca="false">IF($U1007&gt;=MA_LONG2,AVERAGE(INDEX($I$607:$I1007,402-MA_LONG2):$I1007),"")</f>
        <v>3181.415</v>
      </c>
      <c r="Z1007" s="48" t="n">
        <f aca="false">IF($U1007&gt;=MA_SHORT,AVERAGE(INDEX($L$887:$L1007,122-MA_SHORT):$L1007),"")</f>
        <v>87062663.35</v>
      </c>
      <c r="AA1007" s="48" t="n">
        <f aca="false">IF($U1007=1,$G1007-$H1007,MAX($G1007-$H1007,ABS($G1007-$I1006),ABS($H1007-$I1006)))</f>
        <v>269</v>
      </c>
      <c r="AB1007" s="48" t="n">
        <f aca="false">IF($U1007&gt;=ATR_PER,AVERAGE(INDEX($AA$887:$AA1007,122-ATR_PER):$AA1007),"")</f>
        <v>185.357142857143</v>
      </c>
      <c r="AC1007" s="48" t="n">
        <f aca="false">$O1007-$P1007</f>
        <v>-24494094</v>
      </c>
      <c r="AD1007" s="48" t="n">
        <f aca="false">$AC1007*$I1007</f>
        <v>-77719760262</v>
      </c>
      <c r="AE1007" s="49" t="n">
        <f aca="false">IF($Q1007&gt;0,$O1007*$I1007/$Q1007/1000000,"")</f>
        <v>50.6073107458952</v>
      </c>
      <c r="AF1007" s="49" t="n">
        <f aca="false">IF($R1007&gt;0,$P1007*$I1007/$R1007/1000000,"")</f>
        <v>43.5483065441761</v>
      </c>
      <c r="AG1007" s="50" t="n">
        <f aca="false">IF(AND(ISNUMBER($AE1007),ISNUMBER($AF1007),$AF1007&gt;0),$AE1007/$AF1007,"")</f>
        <v>1.16209595187263</v>
      </c>
      <c r="AH1007" s="48" t="n">
        <f aca="false">IF($U1007&gt;=5,SUM(INDEX($AD$977:$AD1007,32-5):$AD1007),"")</f>
        <v>-288180776376</v>
      </c>
      <c r="AI1007" s="48" t="n">
        <f aca="false">IF($U1007&gt;=STRUCT_S,MAX(INDEX($G$857:$G1007,152-STRUCT_S):$G1007),"")</f>
        <v>3676</v>
      </c>
      <c r="AJ1007" s="48" t="n">
        <f aca="false">IF($U1007&gt;=STRUCT_S,MIN(INDEX($H$857:$H1007,152-STRUCT_S):$H1007),"")</f>
        <v>3080</v>
      </c>
      <c r="AK1007" s="48" t="n">
        <f aca="false">IF($U1007&gt;=STRUCT_L,MAX(INDEX($G$757:$G1007,252-STRUCT_L):$G1007),"")</f>
        <v>3837</v>
      </c>
      <c r="AL1007" s="48" t="n">
        <f aca="false">IF($U1007&gt;=STRUCT_L,MIN(INDEX($H$757:$H1007,252-STRUCT_L):$H1007),"")</f>
        <v>2957</v>
      </c>
      <c r="AM1007" s="46" t="n">
        <f aca="false">IF($A1007&lt;&gt;$A1008,1,0)</f>
        <v>0</v>
      </c>
      <c r="AN1007" s="47" t="str">
        <f aca="false">IF($AM1007=1,$A1007,"")</f>
        <v/>
      </c>
    </row>
    <row r="1008" customFormat="false" ht="15" hidden="false" customHeight="false" outlineLevel="0" collapsed="false">
      <c r="A1008" s="43" t="s">
        <v>147</v>
      </c>
      <c r="B1008" s="44" t="s">
        <v>149</v>
      </c>
      <c r="C1008" s="45" t="n">
        <v>46217</v>
      </c>
      <c r="D1008" s="46" t="n">
        <v>20260714</v>
      </c>
      <c r="E1008" s="47" t="s">
        <v>511</v>
      </c>
      <c r="F1008" s="48" t="n">
        <v>3112</v>
      </c>
      <c r="G1008" s="48" t="n">
        <v>3261</v>
      </c>
      <c r="H1008" s="48" t="n">
        <v>3109</v>
      </c>
      <c r="I1008" s="48" t="n">
        <v>3196</v>
      </c>
      <c r="J1008" s="48" t="n">
        <v>3154</v>
      </c>
      <c r="K1008" s="48" t="n">
        <v>3173</v>
      </c>
      <c r="L1008" s="48" t="n">
        <v>68910715</v>
      </c>
      <c r="M1008" s="48" t="n">
        <v>220238645140</v>
      </c>
      <c r="N1008" s="48" t="n">
        <v>6685</v>
      </c>
      <c r="O1008" s="48" t="n">
        <v>32527748</v>
      </c>
      <c r="P1008" s="48" t="n">
        <v>35550608</v>
      </c>
      <c r="Q1008" s="48" t="n">
        <v>3777</v>
      </c>
      <c r="R1008" s="48" t="n">
        <v>1622</v>
      </c>
      <c r="S1008" s="48" t="n">
        <v>36382967</v>
      </c>
      <c r="T1008" s="48" t="n">
        <v>33360107</v>
      </c>
      <c r="U1008" s="46" t="n">
        <f aca="false">IF($A1008=$A1007,$U1007+1,1)</f>
        <v>224</v>
      </c>
      <c r="V1008" s="48" t="n">
        <f aca="false">IF($U1008&gt;=MA_SHORT,AVERAGE(INDEX($I$608:$I1008,402-MA_SHORT):$I1008),"")</f>
        <v>3350.4</v>
      </c>
      <c r="W1008" s="48" t="n">
        <f aca="false">IF($U1008&gt;=MA_MED,AVERAGE(INDEX($I$608:$I1008,402-MA_MED):$I1008),"")</f>
        <v>3265.58</v>
      </c>
      <c r="X1008" s="48" t="n">
        <f aca="false">IF($U1008&gt;=MA_LONG1,AVERAGE(INDEX($I$608:$I1008,402-MA_LONG1):$I1008),"")</f>
        <v>3400.28</v>
      </c>
      <c r="Y1008" s="48" t="n">
        <f aca="false">IF($U1008&gt;=MA_LONG2,AVERAGE(INDEX($I$608:$I1008,402-MA_LONG2):$I1008),"")</f>
        <v>3183.48</v>
      </c>
      <c r="Z1008" s="48" t="n">
        <f aca="false">IF($U1008&gt;=MA_SHORT,AVERAGE(INDEX($L$888:$L1008,122-MA_SHORT):$L1008),"")</f>
        <v>87133541.25</v>
      </c>
      <c r="AA1008" s="48" t="n">
        <f aca="false">IF($U1008=1,$G1008-$H1008,MAX($G1008-$H1008,ABS($G1008-$I1007),ABS($H1008-$I1007)))</f>
        <v>152</v>
      </c>
      <c r="AB1008" s="48" t="n">
        <f aca="false">IF($U1008&gt;=ATR_PER,AVERAGE(INDEX($AA$888:$AA1008,122-ATR_PER):$AA1008),"")</f>
        <v>177.714285714286</v>
      </c>
      <c r="AC1008" s="48" t="n">
        <f aca="false">$O1008-$P1008</f>
        <v>-3022860</v>
      </c>
      <c r="AD1008" s="48" t="n">
        <f aca="false">$AC1008*$I1008</f>
        <v>-9661060560</v>
      </c>
      <c r="AE1008" s="49" t="n">
        <f aca="false">IF($Q1008&gt;0,$O1008*$I1008/$Q1008/1000000,"")</f>
        <v>27.5241415430236</v>
      </c>
      <c r="AF1008" s="49" t="n">
        <f aca="false">IF($R1008&gt;0,$P1008*$I1008/$R1008/1000000,"")</f>
        <v>70.0491634821209</v>
      </c>
      <c r="AG1008" s="50" t="n">
        <f aca="false">IF(AND(ISNUMBER($AE1008),ISNUMBER($AF1008),$AF1008&gt;0),$AE1008/$AF1008,"")</f>
        <v>0.392926056141252</v>
      </c>
      <c r="AH1008" s="48" t="n">
        <f aca="false">IF($U1008&gt;=5,SUM(INDEX($AD$978:$AD1008,32-5):$AD1008),"")</f>
        <v>-209082658986</v>
      </c>
      <c r="AI1008" s="48" t="n">
        <f aca="false">IF($U1008&gt;=STRUCT_S,MAX(INDEX($G$858:$G1008,152-STRUCT_S):$G1008),"")</f>
        <v>3676</v>
      </c>
      <c r="AJ1008" s="48" t="n">
        <f aca="false">IF($U1008&gt;=STRUCT_S,MIN(INDEX($H$858:$H1008,152-STRUCT_S):$H1008),"")</f>
        <v>3080</v>
      </c>
      <c r="AK1008" s="48" t="n">
        <f aca="false">IF($U1008&gt;=STRUCT_L,MAX(INDEX($G$758:$G1008,252-STRUCT_L):$G1008),"")</f>
        <v>3745</v>
      </c>
      <c r="AL1008" s="48" t="n">
        <f aca="false">IF($U1008&gt;=STRUCT_L,MIN(INDEX($H$758:$H1008,252-STRUCT_L):$H1008),"")</f>
        <v>2957</v>
      </c>
      <c r="AM1008" s="46" t="n">
        <f aca="false">IF($A1008&lt;&gt;$A1009,1,0)</f>
        <v>0</v>
      </c>
      <c r="AN1008" s="47" t="str">
        <f aca="false">IF($AM1008=1,$A1008,"")</f>
        <v/>
      </c>
    </row>
    <row r="1009" customFormat="false" ht="15" hidden="false" customHeight="false" outlineLevel="0" collapsed="false">
      <c r="A1009" s="43" t="s">
        <v>147</v>
      </c>
      <c r="B1009" s="44" t="s">
        <v>149</v>
      </c>
      <c r="C1009" s="45" t="n">
        <v>46218</v>
      </c>
      <c r="D1009" s="46" t="n">
        <v>20260715</v>
      </c>
      <c r="E1009" s="47" t="s">
        <v>512</v>
      </c>
      <c r="F1009" s="48" t="n">
        <v>3186</v>
      </c>
      <c r="G1009" s="48" t="n">
        <v>3225</v>
      </c>
      <c r="H1009" s="48" t="n">
        <v>3125</v>
      </c>
      <c r="I1009" s="48" t="n">
        <v>3153</v>
      </c>
      <c r="J1009" s="48" t="n">
        <v>3159</v>
      </c>
      <c r="K1009" s="48" t="n">
        <v>3196</v>
      </c>
      <c r="L1009" s="48" t="n">
        <v>94577945</v>
      </c>
      <c r="M1009" s="48" t="n">
        <v>298204260585</v>
      </c>
      <c r="N1009" s="48" t="n">
        <v>8283</v>
      </c>
      <c r="O1009" s="48" t="n">
        <v>38553737</v>
      </c>
      <c r="P1009" s="48" t="n">
        <v>53531482</v>
      </c>
      <c r="Q1009" s="48" t="n">
        <v>1905</v>
      </c>
      <c r="R1009" s="48" t="n">
        <v>4947</v>
      </c>
      <c r="S1009" s="48" t="n">
        <v>56024208</v>
      </c>
      <c r="T1009" s="48" t="n">
        <v>41046463</v>
      </c>
      <c r="U1009" s="46" t="n">
        <f aca="false">IF($A1009=$A1008,$U1008+1,1)</f>
        <v>225</v>
      </c>
      <c r="V1009" s="48" t="n">
        <f aca="false">IF($U1009&gt;=MA_SHORT,AVERAGE(INDEX($I$609:$I1009,402-MA_SHORT):$I1009),"")</f>
        <v>3350.45</v>
      </c>
      <c r="W1009" s="48" t="n">
        <f aca="false">IF($U1009&gt;=MA_MED,AVERAGE(INDEX($I$609:$I1009,402-MA_MED):$I1009),"")</f>
        <v>3261.1</v>
      </c>
      <c r="X1009" s="48" t="n">
        <f aca="false">IF($U1009&gt;=MA_LONG1,AVERAGE(INDEX($I$609:$I1009,402-MA_LONG1):$I1009),"")</f>
        <v>3400.84</v>
      </c>
      <c r="Y1009" s="48" t="n">
        <f aca="false">IF($U1009&gt;=MA_LONG2,AVERAGE(INDEX($I$609:$I1009,402-MA_LONG2):$I1009),"")</f>
        <v>3184.895</v>
      </c>
      <c r="Z1009" s="48" t="n">
        <f aca="false">IF($U1009&gt;=MA_SHORT,AVERAGE(INDEX($L$889:$L1009,122-MA_SHORT):$L1009),"")</f>
        <v>88971959.65</v>
      </c>
      <c r="AA1009" s="48" t="n">
        <f aca="false">IF($U1009=1,$G1009-$H1009,MAX($G1009-$H1009,ABS($G1009-$I1008),ABS($H1009-$I1008)))</f>
        <v>100</v>
      </c>
      <c r="AB1009" s="48" t="n">
        <f aca="false">IF($U1009&gt;=ATR_PER,AVERAGE(INDEX($AA$889:$AA1009,122-ATR_PER):$AA1009),"")</f>
        <v>177.928571428571</v>
      </c>
      <c r="AC1009" s="48" t="n">
        <f aca="false">$O1009-$P1009</f>
        <v>-14977745</v>
      </c>
      <c r="AD1009" s="48" t="n">
        <f aca="false">$AC1009*$I1009</f>
        <v>-47224829985</v>
      </c>
      <c r="AE1009" s="49" t="n">
        <f aca="false">IF($Q1009&gt;0,$O1009*$I1009/$Q1009/1000000,"")</f>
        <v>63.8109883259843</v>
      </c>
      <c r="AF1009" s="49" t="n">
        <f aca="false">IF($R1009&gt;0,$P1009*$I1009/$R1009/1000000,"")</f>
        <v>34.1186098132201</v>
      </c>
      <c r="AG1009" s="50" t="n">
        <f aca="false">IF(AND(ISNUMBER($AE1009),ISNUMBER($AF1009),$AF1009&gt;0),$AE1009/$AF1009,"")</f>
        <v>1.87026929512407</v>
      </c>
      <c r="AH1009" s="48" t="n">
        <f aca="false">IF($U1009&gt;=5,SUM(INDEX($AD$979:$AD1009,32-5):$AD1009),"")</f>
        <v>-190039614897</v>
      </c>
      <c r="AI1009" s="48" t="n">
        <f aca="false">IF($U1009&gt;=STRUCT_S,MAX(INDEX($G$859:$G1009,152-STRUCT_S):$G1009),"")</f>
        <v>3676</v>
      </c>
      <c r="AJ1009" s="48" t="n">
        <f aca="false">IF($U1009&gt;=STRUCT_S,MIN(INDEX($H$859:$H1009,152-STRUCT_S):$H1009),"")</f>
        <v>3101</v>
      </c>
      <c r="AK1009" s="48" t="n">
        <f aca="false">IF($U1009&gt;=STRUCT_L,MAX(INDEX($G$759:$G1009,252-STRUCT_L):$G1009),"")</f>
        <v>3745</v>
      </c>
      <c r="AL1009" s="48" t="n">
        <f aca="false">IF($U1009&gt;=STRUCT_L,MIN(INDEX($H$759:$H1009,252-STRUCT_L):$H1009),"")</f>
        <v>2957</v>
      </c>
      <c r="AM1009" s="46" t="n">
        <f aca="false">IF($A1009&lt;&gt;$A1010,1,0)</f>
        <v>0</v>
      </c>
      <c r="AN1009" s="47" t="str">
        <f aca="false">IF($AM1009=1,$A1009,"")</f>
        <v/>
      </c>
    </row>
    <row r="1010" customFormat="false" ht="15" hidden="false" customHeight="false" outlineLevel="0" collapsed="false">
      <c r="A1010" s="43" t="s">
        <v>147</v>
      </c>
      <c r="B1010" s="44" t="s">
        <v>149</v>
      </c>
      <c r="C1010" s="45" t="n">
        <v>46221</v>
      </c>
      <c r="D1010" s="46" t="n">
        <v>20260718</v>
      </c>
      <c r="E1010" s="47" t="s">
        <v>513</v>
      </c>
      <c r="F1010" s="48" t="n">
        <v>3091</v>
      </c>
      <c r="G1010" s="48" t="n">
        <v>3354</v>
      </c>
      <c r="H1010" s="48" t="n">
        <v>3005</v>
      </c>
      <c r="I1010" s="48" t="n">
        <v>3203</v>
      </c>
      <c r="J1010" s="48" t="n">
        <v>3136</v>
      </c>
      <c r="K1010" s="48" t="n">
        <v>3153</v>
      </c>
      <c r="L1010" s="48" t="n">
        <v>62712185</v>
      </c>
      <c r="M1010" s="48" t="n">
        <v>200867128555</v>
      </c>
      <c r="N1010" s="48" t="n">
        <v>3570</v>
      </c>
      <c r="O1010" s="48" t="n">
        <v>21265393</v>
      </c>
      <c r="P1010" s="48" t="n">
        <v>39469345</v>
      </c>
      <c r="Q1010" s="48" t="n">
        <v>1705</v>
      </c>
      <c r="R1010" s="48" t="n">
        <v>1105</v>
      </c>
      <c r="S1010" s="48" t="n">
        <v>41446792</v>
      </c>
      <c r="T1010" s="48" t="n">
        <v>23242840</v>
      </c>
      <c r="U1010" s="46" t="n">
        <f aca="false">IF($A1010=$A1009,$U1009+1,1)</f>
        <v>226</v>
      </c>
      <c r="V1010" s="48" t="n">
        <f aca="false">IF($U1010&gt;=MA_SHORT,AVERAGE(INDEX($I$610:$I1010,402-MA_SHORT):$I1010),"")</f>
        <v>3348.25</v>
      </c>
      <c r="W1010" s="48" t="n">
        <f aca="false">IF($U1010&gt;=MA_MED,AVERAGE(INDEX($I$610:$I1010,402-MA_MED):$I1010),"")</f>
        <v>3260.1</v>
      </c>
      <c r="X1010" s="48" t="n">
        <f aca="false">IF($U1010&gt;=MA_LONG1,AVERAGE(INDEX($I$610:$I1010,402-MA_LONG1):$I1010),"")</f>
        <v>3400.82</v>
      </c>
      <c r="Y1010" s="48" t="n">
        <f aca="false">IF($U1010&gt;=MA_LONG2,AVERAGE(INDEX($I$610:$I1010,402-MA_LONG2):$I1010),"")</f>
        <v>3186.545</v>
      </c>
      <c r="Z1010" s="48" t="n">
        <f aca="false">IF($U1010&gt;=MA_SHORT,AVERAGE(INDEX($L$890:$L1010,122-MA_SHORT):$L1010),"")</f>
        <v>87340321.6</v>
      </c>
      <c r="AA1010" s="48" t="n">
        <f aca="false">IF($U1010=1,$G1010-$H1010,MAX($G1010-$H1010,ABS($G1010-$I1009),ABS($H1010-$I1009)))</f>
        <v>349</v>
      </c>
      <c r="AB1010" s="48" t="n">
        <f aca="false">IF($U1010&gt;=ATR_PER,AVERAGE(INDEX($AA$890:$AA1010,122-ATR_PER):$AA1010),"")</f>
        <v>180.928571428571</v>
      </c>
      <c r="AC1010" s="48" t="n">
        <f aca="false">$O1010-$P1010</f>
        <v>-18203952</v>
      </c>
      <c r="AD1010" s="48" t="n">
        <f aca="false">$AC1010*$I1010</f>
        <v>-58307258256</v>
      </c>
      <c r="AE1010" s="49" t="n">
        <f aca="false">IF($Q1010&gt;0,$O1010*$I1010/$Q1010/1000000,"")</f>
        <v>39.9490051489736</v>
      </c>
      <c r="AF1010" s="49" t="n">
        <f aca="false">IF($R1010&gt;0,$P1010*$I1010/$R1010/1000000,"")</f>
        <v>114.40752220362</v>
      </c>
      <c r="AG1010" s="50" t="n">
        <f aca="false">IF(AND(ISNUMBER($AE1010),ISNUMBER($AF1010),$AF1010&gt;0),$AE1010/$AF1010,"")</f>
        <v>0.349181630538884</v>
      </c>
      <c r="AH1010" s="48" t="n">
        <f aca="false">IF($U1010&gt;=5,SUM(INDEX($AD$980:$AD1010,32-5):$AD1010),"")</f>
        <v>-234781248871</v>
      </c>
      <c r="AI1010" s="48" t="n">
        <f aca="false">IF($U1010&gt;=STRUCT_S,MAX(INDEX($G$860:$G1010,152-STRUCT_S):$G1010),"")</f>
        <v>3676</v>
      </c>
      <c r="AJ1010" s="48" t="n">
        <f aca="false">IF($U1010&gt;=STRUCT_S,MIN(INDEX($H$860:$H1010,152-STRUCT_S):$H1010),"")</f>
        <v>3005</v>
      </c>
      <c r="AK1010" s="48" t="n">
        <f aca="false">IF($U1010&gt;=STRUCT_L,MAX(INDEX($G$760:$G1010,252-STRUCT_L):$G1010),"")</f>
        <v>3745</v>
      </c>
      <c r="AL1010" s="48" t="n">
        <f aca="false">IF($U1010&gt;=STRUCT_L,MIN(INDEX($H$760:$H1010,252-STRUCT_L):$H1010),"")</f>
        <v>2957</v>
      </c>
      <c r="AM1010" s="46" t="n">
        <f aca="false">IF($A1010&lt;&gt;$A1011,1,0)</f>
        <v>0</v>
      </c>
      <c r="AN1010" s="47" t="str">
        <f aca="false">IF($AM1010=1,$A1010,"")</f>
        <v/>
      </c>
    </row>
    <row r="1011" customFormat="false" ht="15" hidden="false" customHeight="false" outlineLevel="0" collapsed="false">
      <c r="A1011" s="43" t="s">
        <v>147</v>
      </c>
      <c r="B1011" s="44" t="s">
        <v>149</v>
      </c>
      <c r="C1011" s="45" t="n">
        <v>46222</v>
      </c>
      <c r="D1011" s="46" t="n">
        <v>20260719</v>
      </c>
      <c r="E1011" s="47" t="s">
        <v>514</v>
      </c>
      <c r="F1011" s="48" t="n">
        <v>3222</v>
      </c>
      <c r="G1011" s="48" t="n">
        <v>3314</v>
      </c>
      <c r="H1011" s="48" t="n">
        <v>3160</v>
      </c>
      <c r="I1011" s="48" t="n">
        <v>3271</v>
      </c>
      <c r="J1011" s="48" t="n">
        <v>3222</v>
      </c>
      <c r="K1011" s="48" t="n">
        <v>3203</v>
      </c>
      <c r="L1011" s="48" t="n">
        <v>64557971</v>
      </c>
      <c r="M1011" s="48" t="n">
        <v>211169123141</v>
      </c>
      <c r="N1011" s="48" t="n">
        <v>2021</v>
      </c>
      <c r="O1011" s="48" t="n">
        <v>34419884</v>
      </c>
      <c r="P1011" s="48" t="n">
        <v>31705647</v>
      </c>
      <c r="Q1011" s="48" t="n">
        <v>1336</v>
      </c>
      <c r="R1011" s="48" t="n">
        <v>494</v>
      </c>
      <c r="S1011" s="48" t="n">
        <v>30138087</v>
      </c>
      <c r="T1011" s="48" t="n">
        <v>32852324</v>
      </c>
      <c r="U1011" s="46" t="n">
        <f aca="false">IF($A1011=$A1010,$U1010+1,1)</f>
        <v>227</v>
      </c>
      <c r="V1011" s="48" t="n">
        <f aca="false">IF($U1011&gt;=MA_SHORT,AVERAGE(INDEX($I$611:$I1011,402-MA_SHORT):$I1011),"")</f>
        <v>3347.2</v>
      </c>
      <c r="W1011" s="48" t="n">
        <f aca="false">IF($U1011&gt;=MA_MED,AVERAGE(INDEX($I$611:$I1011,402-MA_MED):$I1011),"")</f>
        <v>3259.28</v>
      </c>
      <c r="X1011" s="48" t="n">
        <f aca="false">IF($U1011&gt;=MA_LONG1,AVERAGE(INDEX($I$611:$I1011,402-MA_LONG1):$I1011),"")</f>
        <v>3400.95</v>
      </c>
      <c r="Y1011" s="48" t="n">
        <f aca="false">IF($U1011&gt;=MA_LONG2,AVERAGE(INDEX($I$611:$I1011,402-MA_LONG2):$I1011),"")</f>
        <v>3188.32</v>
      </c>
      <c r="Z1011" s="48" t="n">
        <f aca="false">IF($U1011&gt;=MA_SHORT,AVERAGE(INDEX($L$891:$L1011,122-MA_SHORT):$L1011),"")</f>
        <v>87466951.35</v>
      </c>
      <c r="AA1011" s="48" t="n">
        <f aca="false">IF($U1011=1,$G1011-$H1011,MAX($G1011-$H1011,ABS($G1011-$I1010),ABS($H1011-$I1010)))</f>
        <v>154</v>
      </c>
      <c r="AB1011" s="48" t="n">
        <f aca="false">IF($U1011&gt;=ATR_PER,AVERAGE(INDEX($AA$891:$AA1011,122-ATR_PER):$AA1011),"")</f>
        <v>169.928571428571</v>
      </c>
      <c r="AC1011" s="48" t="n">
        <f aca="false">$O1011-$P1011</f>
        <v>2714237</v>
      </c>
      <c r="AD1011" s="48" t="n">
        <f aca="false">$AC1011*$I1011</f>
        <v>8878269227</v>
      </c>
      <c r="AE1011" s="49" t="n">
        <f aca="false">IF($Q1011&gt;0,$O1011*$I1011/$Q1011/1000000,"")</f>
        <v>84.2720363502994</v>
      </c>
      <c r="AF1011" s="49" t="n">
        <f aca="false">IF($R1011&gt;0,$P1011*$I1011/$R1011/1000000,"")</f>
        <v>209.937593799595</v>
      </c>
      <c r="AG1011" s="50" t="n">
        <f aca="false">IF(AND(ISNUMBER($AE1011),ISNUMBER($AF1011),$AF1011&gt;0),$AE1011/$AF1011,"")</f>
        <v>0.401414700554989</v>
      </c>
      <c r="AH1011" s="48" t="n">
        <f aca="false">IF($U1011&gt;=5,SUM(INDEX($AD$981:$AD1011,32-5):$AD1011),"")</f>
        <v>-184034639836</v>
      </c>
      <c r="AI1011" s="48" t="n">
        <f aca="false">IF($U1011&gt;=STRUCT_S,MAX(INDEX($G$861:$G1011,152-STRUCT_S):$G1011),"")</f>
        <v>3676</v>
      </c>
      <c r="AJ1011" s="48" t="n">
        <f aca="false">IF($U1011&gt;=STRUCT_S,MIN(INDEX($H$861:$H1011,152-STRUCT_S):$H1011),"")</f>
        <v>3005</v>
      </c>
      <c r="AK1011" s="48" t="n">
        <f aca="false">IF($U1011&gt;=STRUCT_L,MAX(INDEX($G$761:$G1011,252-STRUCT_L):$G1011),"")</f>
        <v>3745</v>
      </c>
      <c r="AL1011" s="48" t="n">
        <f aca="false">IF($U1011&gt;=STRUCT_L,MIN(INDEX($H$761:$H1011,252-STRUCT_L):$H1011),"")</f>
        <v>2957</v>
      </c>
      <c r="AM1011" s="46" t="n">
        <f aca="false">IF($A1011&lt;&gt;$A1012,1,0)</f>
        <v>0</v>
      </c>
      <c r="AN1011" s="47" t="str">
        <f aca="false">IF($AM1011=1,$A1011,"")</f>
        <v/>
      </c>
    </row>
    <row r="1012" customFormat="false" ht="15" hidden="false" customHeight="false" outlineLevel="0" collapsed="false">
      <c r="A1012" s="43" t="s">
        <v>147</v>
      </c>
      <c r="B1012" s="44" t="s">
        <v>149</v>
      </c>
      <c r="C1012" s="45" t="n">
        <v>46223</v>
      </c>
      <c r="D1012" s="46" t="n">
        <v>20260720</v>
      </c>
      <c r="E1012" s="47" t="s">
        <v>515</v>
      </c>
      <c r="F1012" s="48" t="n">
        <v>3301</v>
      </c>
      <c r="G1012" s="48" t="n">
        <v>3315</v>
      </c>
      <c r="H1012" s="48" t="n">
        <v>3092</v>
      </c>
      <c r="I1012" s="48" t="n">
        <v>3134</v>
      </c>
      <c r="J1012" s="48" t="n">
        <v>3236</v>
      </c>
      <c r="K1012" s="48" t="n">
        <v>3271</v>
      </c>
      <c r="L1012" s="48" t="n">
        <v>72661630</v>
      </c>
      <c r="M1012" s="48" t="n">
        <v>227721548420</v>
      </c>
      <c r="N1012" s="48" t="n">
        <v>1878</v>
      </c>
      <c r="O1012" s="48" t="n">
        <v>23846890</v>
      </c>
      <c r="P1012" s="48" t="n">
        <v>48779152</v>
      </c>
      <c r="Q1012" s="48" t="n">
        <v>708</v>
      </c>
      <c r="R1012" s="48" t="n">
        <v>1048</v>
      </c>
      <c r="S1012" s="48" t="n">
        <v>48814740</v>
      </c>
      <c r="T1012" s="48" t="n">
        <v>23882478</v>
      </c>
      <c r="U1012" s="46" t="n">
        <f aca="false">IF($A1012=$A1011,$U1011+1,1)</f>
        <v>228</v>
      </c>
      <c r="V1012" s="48" t="n">
        <f aca="false">IF($U1012&gt;=MA_SHORT,AVERAGE(INDEX($I$612:$I1012,402-MA_SHORT):$I1012),"")</f>
        <v>3339.25</v>
      </c>
      <c r="W1012" s="48" t="n">
        <f aca="false">IF($U1012&gt;=MA_MED,AVERAGE(INDEX($I$612:$I1012,402-MA_MED):$I1012),"")</f>
        <v>3255.86</v>
      </c>
      <c r="X1012" s="48" t="n">
        <f aca="false">IF($U1012&gt;=MA_LONG1,AVERAGE(INDEX($I$612:$I1012,402-MA_LONG1):$I1012),"")</f>
        <v>3398.3</v>
      </c>
      <c r="Y1012" s="48" t="n">
        <f aca="false">IF($U1012&gt;=MA_LONG2,AVERAGE(INDEX($I$612:$I1012,402-MA_LONG2):$I1012),"")</f>
        <v>3188.905</v>
      </c>
      <c r="Z1012" s="48" t="n">
        <f aca="false">IF($U1012&gt;=MA_SHORT,AVERAGE(INDEX($L$892:$L1012,122-MA_SHORT):$L1012),"")</f>
        <v>87710881.45</v>
      </c>
      <c r="AA1012" s="48" t="n">
        <f aca="false">IF($U1012=1,$G1012-$H1012,MAX($G1012-$H1012,ABS($G1012-$I1011),ABS($H1012-$I1011)))</f>
        <v>223</v>
      </c>
      <c r="AB1012" s="48" t="n">
        <f aca="false">IF($U1012&gt;=ATR_PER,AVERAGE(INDEX($AA$892:$AA1012,122-ATR_PER):$AA1012),"")</f>
        <v>171.642857142857</v>
      </c>
      <c r="AC1012" s="48" t="n">
        <f aca="false">$O1012-$P1012</f>
        <v>-24932262</v>
      </c>
      <c r="AD1012" s="48" t="n">
        <f aca="false">$AC1012*$I1012</f>
        <v>-78137709108</v>
      </c>
      <c r="AE1012" s="49" t="n">
        <f aca="false">IF($Q1012&gt;0,$O1012*$I1012/$Q1012/1000000,"")</f>
        <v>105.559538502825</v>
      </c>
      <c r="AF1012" s="49" t="n">
        <f aca="false">IF($R1012&gt;0,$P1012*$I1012/$R1012/1000000,"")</f>
        <v>145.872006076336</v>
      </c>
      <c r="AG1012" s="50" t="n">
        <f aca="false">IF(AND(ISNUMBER($AE1012),ISNUMBER($AF1012),$AF1012&gt;0),$AE1012/$AF1012,"")</f>
        <v>0.723644936010442</v>
      </c>
      <c r="AH1012" s="48" t="n">
        <f aca="false">IF($U1012&gt;=5,SUM(INDEX($AD$982:$AD1012,32-5):$AD1012),"")</f>
        <v>-184452588682</v>
      </c>
      <c r="AI1012" s="48" t="n">
        <f aca="false">IF($U1012&gt;=STRUCT_S,MAX(INDEX($G$862:$G1012,152-STRUCT_S):$G1012),"")</f>
        <v>3676</v>
      </c>
      <c r="AJ1012" s="48" t="n">
        <f aca="false">IF($U1012&gt;=STRUCT_S,MIN(INDEX($H$862:$H1012,152-STRUCT_S):$H1012),"")</f>
        <v>3005</v>
      </c>
      <c r="AK1012" s="48" t="n">
        <f aca="false">IF($U1012&gt;=STRUCT_L,MAX(INDEX($G$762:$G1012,252-STRUCT_L):$G1012),"")</f>
        <v>3745</v>
      </c>
      <c r="AL1012" s="48" t="n">
        <f aca="false">IF($U1012&gt;=STRUCT_L,MIN(INDEX($H$762:$H1012,252-STRUCT_L):$H1012),"")</f>
        <v>2957</v>
      </c>
      <c r="AM1012" s="46" t="n">
        <f aca="false">IF($A1012&lt;&gt;$A1013,1,0)</f>
        <v>0</v>
      </c>
      <c r="AN1012" s="47" t="str">
        <f aca="false">IF($AM1012=1,$A1012,"")</f>
        <v/>
      </c>
    </row>
    <row r="1013" customFormat="false" ht="15" hidden="false" customHeight="false" outlineLevel="0" collapsed="false">
      <c r="A1013" s="43" t="s">
        <v>147</v>
      </c>
      <c r="B1013" s="44" t="s">
        <v>149</v>
      </c>
      <c r="C1013" s="45" t="n">
        <v>46224</v>
      </c>
      <c r="D1013" s="46" t="n">
        <v>20260721</v>
      </c>
      <c r="E1013" s="47" t="s">
        <v>516</v>
      </c>
      <c r="F1013" s="48" t="n">
        <v>3164</v>
      </c>
      <c r="G1013" s="48" t="n">
        <v>3165</v>
      </c>
      <c r="H1013" s="48" t="n">
        <v>3076</v>
      </c>
      <c r="I1013" s="48" t="n">
        <v>3107</v>
      </c>
      <c r="J1013" s="48" t="n">
        <v>3138</v>
      </c>
      <c r="K1013" s="48" t="n">
        <v>3134</v>
      </c>
      <c r="L1013" s="48" t="n">
        <v>60223714</v>
      </c>
      <c r="M1013" s="48" t="n">
        <v>187115079398</v>
      </c>
      <c r="N1013" s="48" t="n">
        <v>3408</v>
      </c>
      <c r="O1013" s="48" t="n">
        <v>21090859</v>
      </c>
      <c r="P1013" s="48" t="n">
        <v>43162477</v>
      </c>
      <c r="Q1013" s="48" t="n">
        <v>980</v>
      </c>
      <c r="R1013" s="48" t="n">
        <v>1718</v>
      </c>
      <c r="S1013" s="48" t="n">
        <v>39132855</v>
      </c>
      <c r="T1013" s="48" t="n">
        <v>17061237</v>
      </c>
      <c r="U1013" s="46" t="n">
        <f aca="false">IF($A1013=$A1012,$U1012+1,1)</f>
        <v>229</v>
      </c>
      <c r="V1013" s="48" t="n">
        <f aca="false">IF($U1013&gt;=MA_SHORT,AVERAGE(INDEX($I$613:$I1013,402-MA_SHORT):$I1013),"")</f>
        <v>3330.75</v>
      </c>
      <c r="W1013" s="48" t="n">
        <f aca="false">IF($U1013&gt;=MA_MED,AVERAGE(INDEX($I$613:$I1013,402-MA_MED):$I1013),"")</f>
        <v>3250.9</v>
      </c>
      <c r="X1013" s="48" t="n">
        <f aca="false">IF($U1013&gt;=MA_LONG1,AVERAGE(INDEX($I$613:$I1013,402-MA_LONG1):$I1013),"")</f>
        <v>3395.84</v>
      </c>
      <c r="Y1013" s="48" t="n">
        <f aca="false">IF($U1013&gt;=MA_LONG2,AVERAGE(INDEX($I$613:$I1013,402-MA_LONG2):$I1013),"")</f>
        <v>3190.095</v>
      </c>
      <c r="Z1013" s="48" t="n">
        <f aca="false">IF($U1013&gt;=MA_SHORT,AVERAGE(INDEX($L$893:$L1013,122-MA_SHORT):$L1013),"")</f>
        <v>85780485.6</v>
      </c>
      <c r="AA1013" s="48" t="n">
        <f aca="false">IF($U1013=1,$G1013-$H1013,MAX($G1013-$H1013,ABS($G1013-$I1012),ABS($H1013-$I1012)))</f>
        <v>89</v>
      </c>
      <c r="AB1013" s="48" t="n">
        <f aca="false">IF($U1013&gt;=ATR_PER,AVERAGE(INDEX($AA$893:$AA1013,122-ATR_PER):$AA1013),"")</f>
        <v>167.142857142857</v>
      </c>
      <c r="AC1013" s="48" t="n">
        <f aca="false">$O1013-$P1013</f>
        <v>-22071618</v>
      </c>
      <c r="AD1013" s="48" t="n">
        <f aca="false">$AC1013*$I1013</f>
        <v>-68576517126</v>
      </c>
      <c r="AE1013" s="49" t="n">
        <f aca="false">IF($Q1013&gt;0,$O1013*$I1013/$Q1013/1000000,"")</f>
        <v>66.8666315438776</v>
      </c>
      <c r="AF1013" s="49" t="n">
        <f aca="false">IF($R1013&gt;0,$P1013*$I1013/$R1013/1000000,"")</f>
        <v>78.0592642834692</v>
      </c>
      <c r="AG1013" s="50" t="n">
        <f aca="false">IF(AND(ISNUMBER($AE1013),ISNUMBER($AF1013),$AF1013&gt;0),$AE1013/$AF1013,"")</f>
        <v>0.856613653198857</v>
      </c>
      <c r="AH1013" s="48" t="n">
        <f aca="false">IF($U1013&gt;=5,SUM(INDEX($AD$983:$AD1013,32-5):$AD1013),"")</f>
        <v>-243368045248</v>
      </c>
      <c r="AI1013" s="48" t="n">
        <f aca="false">IF($U1013&gt;=STRUCT_S,MAX(INDEX($G$863:$G1013,152-STRUCT_S):$G1013),"")</f>
        <v>3676</v>
      </c>
      <c r="AJ1013" s="48" t="n">
        <f aca="false">IF($U1013&gt;=STRUCT_S,MIN(INDEX($H$863:$H1013,152-STRUCT_S):$H1013),"")</f>
        <v>3005</v>
      </c>
      <c r="AK1013" s="48" t="n">
        <f aca="false">IF($U1013&gt;=STRUCT_L,MAX(INDEX($G$763:$G1013,252-STRUCT_L):$G1013),"")</f>
        <v>3676</v>
      </c>
      <c r="AL1013" s="48" t="n">
        <f aca="false">IF($U1013&gt;=STRUCT_L,MIN(INDEX($H$763:$H1013,252-STRUCT_L):$H1013),"")</f>
        <v>2957</v>
      </c>
      <c r="AM1013" s="46" t="n">
        <f aca="false">IF($A1013&lt;&gt;$A1014,1,0)</f>
        <v>0</v>
      </c>
      <c r="AN1013" s="47" t="str">
        <f aca="false">IF($AM1013=1,$A1013,"")</f>
        <v/>
      </c>
    </row>
    <row r="1014" customFormat="false" ht="15" hidden="false" customHeight="false" outlineLevel="0" collapsed="false">
      <c r="A1014" s="43" t="s">
        <v>147</v>
      </c>
      <c r="B1014" s="44" t="s">
        <v>149</v>
      </c>
      <c r="C1014" s="45" t="n">
        <v>46225</v>
      </c>
      <c r="D1014" s="46" t="n">
        <v>20260722</v>
      </c>
      <c r="E1014" s="47" t="s">
        <v>517</v>
      </c>
      <c r="F1014" s="48" t="n">
        <v>3204</v>
      </c>
      <c r="G1014" s="48" t="n">
        <v>3220</v>
      </c>
      <c r="H1014" s="48" t="n">
        <v>3074</v>
      </c>
      <c r="I1014" s="48" t="n">
        <v>3186</v>
      </c>
      <c r="J1014" s="48" t="n">
        <v>3089</v>
      </c>
      <c r="K1014" s="48" t="n">
        <v>3107</v>
      </c>
      <c r="L1014" s="48" t="n">
        <v>65999765</v>
      </c>
      <c r="M1014" s="48" t="n">
        <v>210275251290</v>
      </c>
      <c r="N1014" s="48" t="n">
        <v>3881</v>
      </c>
      <c r="O1014" s="48" t="n">
        <v>32238396</v>
      </c>
      <c r="P1014" s="48" t="n">
        <v>34940938</v>
      </c>
      <c r="Q1014" s="48" t="n">
        <v>2078</v>
      </c>
      <c r="R1014" s="48" t="n">
        <v>1518</v>
      </c>
      <c r="S1014" s="48" t="n">
        <v>33761369</v>
      </c>
      <c r="T1014" s="48" t="n">
        <v>31058827</v>
      </c>
      <c r="U1014" s="46" t="n">
        <f aca="false">IF($A1014=$A1013,$U1013+1,1)</f>
        <v>230</v>
      </c>
      <c r="V1014" s="48" t="n">
        <f aca="false">IF($U1014&gt;=MA_SHORT,AVERAGE(INDEX($I$614:$I1014,402-MA_SHORT):$I1014),"")</f>
        <v>3324.5</v>
      </c>
      <c r="W1014" s="48" t="n">
        <f aca="false">IF($U1014&gt;=MA_MED,AVERAGE(INDEX($I$614:$I1014,402-MA_MED):$I1014),"")</f>
        <v>3245.76</v>
      </c>
      <c r="X1014" s="48" t="n">
        <f aca="false">IF($U1014&gt;=MA_LONG1,AVERAGE(INDEX($I$614:$I1014,402-MA_LONG1):$I1014),"")</f>
        <v>3394.56</v>
      </c>
      <c r="Y1014" s="48" t="n">
        <f aca="false">IF($U1014&gt;=MA_LONG2,AVERAGE(INDEX($I$614:$I1014,402-MA_LONG2):$I1014),"")</f>
        <v>3191.865</v>
      </c>
      <c r="Z1014" s="48" t="n">
        <f aca="false">IF($U1014&gt;=MA_SHORT,AVERAGE(INDEX($L$894:$L1014,122-MA_SHORT):$L1014),"")</f>
        <v>73204974.6</v>
      </c>
      <c r="AA1014" s="48" t="n">
        <f aca="false">IF($U1014=1,$G1014-$H1014,MAX($G1014-$H1014,ABS($G1014-$I1013),ABS($H1014-$I1013)))</f>
        <v>146</v>
      </c>
      <c r="AB1014" s="48" t="n">
        <f aca="false">IF($U1014&gt;=ATR_PER,AVERAGE(INDEX($AA$894:$AA1014,122-ATR_PER):$AA1014),"")</f>
        <v>167.428571428571</v>
      </c>
      <c r="AC1014" s="48" t="n">
        <f aca="false">$O1014-$P1014</f>
        <v>-2702542</v>
      </c>
      <c r="AD1014" s="48" t="n">
        <f aca="false">$AC1014*$I1014</f>
        <v>-8610298812</v>
      </c>
      <c r="AE1014" s="49" t="n">
        <f aca="false">IF($Q1014&gt;0,$O1014*$I1014/$Q1014/1000000,"")</f>
        <v>49.4280700943215</v>
      </c>
      <c r="AF1014" s="49" t="n">
        <f aca="false">IF($R1014&gt;0,$P1014*$I1014/$R1014/1000000,"")</f>
        <v>73.3345378577075</v>
      </c>
      <c r="AG1014" s="50" t="n">
        <f aca="false">IF(AND(ISNUMBER($AE1014),ISNUMBER($AF1014),$AF1014&gt;0),$AE1014/$AF1014,"")</f>
        <v>0.674008066843317</v>
      </c>
      <c r="AH1014" s="48" t="n">
        <f aca="false">IF($U1014&gt;=5,SUM(INDEX($AD$984:$AD1014,32-5):$AD1014),"")</f>
        <v>-204753514075</v>
      </c>
      <c r="AI1014" s="48" t="n">
        <f aca="false">IF($U1014&gt;=STRUCT_S,MAX(INDEX($G$864:$G1014,152-STRUCT_S):$G1014),"")</f>
        <v>3676</v>
      </c>
      <c r="AJ1014" s="48" t="n">
        <f aca="false">IF($U1014&gt;=STRUCT_S,MIN(INDEX($H$864:$H1014,152-STRUCT_S):$H1014),"")</f>
        <v>3005</v>
      </c>
      <c r="AK1014" s="48" t="n">
        <f aca="false">IF($U1014&gt;=STRUCT_L,MAX(INDEX($G$764:$G1014,252-STRUCT_L):$G1014),"")</f>
        <v>3676</v>
      </c>
      <c r="AL1014" s="48" t="n">
        <f aca="false">IF($U1014&gt;=STRUCT_L,MIN(INDEX($H$764:$H1014,252-STRUCT_L):$H1014),"")</f>
        <v>2957</v>
      </c>
      <c r="AM1014" s="46" t="n">
        <f aca="false">IF($A1014&lt;&gt;$A1015,1,0)</f>
        <v>0</v>
      </c>
      <c r="AN1014" s="47" t="str">
        <f aca="false">IF($AM1014=1,$A1014,"")</f>
        <v/>
      </c>
    </row>
    <row r="1015" customFormat="false" ht="15" hidden="false" customHeight="false" outlineLevel="0" collapsed="false">
      <c r="A1015" s="43" t="s">
        <v>147</v>
      </c>
      <c r="B1015" s="44" t="s">
        <v>149</v>
      </c>
      <c r="C1015" s="45" t="n">
        <v>46228</v>
      </c>
      <c r="D1015" s="46" t="n">
        <v>20260725</v>
      </c>
      <c r="E1015" s="47" t="s">
        <v>518</v>
      </c>
      <c r="F1015" s="48" t="n">
        <v>3191</v>
      </c>
      <c r="G1015" s="48" t="n">
        <v>3202</v>
      </c>
      <c r="H1015" s="48" t="n">
        <v>3126</v>
      </c>
      <c r="I1015" s="48" t="n">
        <v>3142</v>
      </c>
      <c r="J1015" s="48" t="n">
        <v>3144</v>
      </c>
      <c r="K1015" s="48" t="n">
        <v>3186</v>
      </c>
      <c r="L1015" s="48" t="n">
        <v>62008703</v>
      </c>
      <c r="M1015" s="48" t="n">
        <v>194831344826</v>
      </c>
      <c r="N1015" s="48" t="n">
        <v>1773</v>
      </c>
      <c r="O1015" s="48" t="n">
        <v>19747949</v>
      </c>
      <c r="P1015" s="48" t="n">
        <v>42545029</v>
      </c>
      <c r="Q1015" s="48" t="n">
        <v>608</v>
      </c>
      <c r="R1015" s="48" t="n">
        <v>1074</v>
      </c>
      <c r="S1015" s="48" t="n">
        <v>42260754</v>
      </c>
      <c r="T1015" s="48" t="n">
        <v>19463674</v>
      </c>
      <c r="U1015" s="46" t="n">
        <f aca="false">IF($A1015=$A1014,$U1014+1,1)</f>
        <v>231</v>
      </c>
      <c r="V1015" s="48" t="n">
        <f aca="false">IF($U1015&gt;=MA_SHORT,AVERAGE(INDEX($I$615:$I1015,402-MA_SHORT):$I1015),"")</f>
        <v>3312.9</v>
      </c>
      <c r="W1015" s="48" t="n">
        <f aca="false">IF($U1015&gt;=MA_MED,AVERAGE(INDEX($I$615:$I1015,402-MA_MED):$I1015),"")</f>
        <v>3239.38</v>
      </c>
      <c r="X1015" s="48" t="n">
        <f aca="false">IF($U1015&gt;=MA_LONG1,AVERAGE(INDEX($I$615:$I1015,402-MA_LONG1):$I1015),"")</f>
        <v>3393.22</v>
      </c>
      <c r="Y1015" s="48" t="n">
        <f aca="false">IF($U1015&gt;=MA_LONG2,AVERAGE(INDEX($I$615:$I1015,402-MA_LONG2):$I1015),"")</f>
        <v>3193.065</v>
      </c>
      <c r="Z1015" s="48" t="n">
        <f aca="false">IF($U1015&gt;=MA_SHORT,AVERAGE(INDEX($L$895:$L1015,122-MA_SHORT):$L1015),"")</f>
        <v>73115350.1</v>
      </c>
      <c r="AA1015" s="48" t="n">
        <f aca="false">IF($U1015=1,$G1015-$H1015,MAX($G1015-$H1015,ABS($G1015-$I1014),ABS($H1015-$I1014)))</f>
        <v>76</v>
      </c>
      <c r="AB1015" s="48" t="n">
        <f aca="false">IF($U1015&gt;=ATR_PER,AVERAGE(INDEX($AA$895:$AA1015,122-ATR_PER):$AA1015),"")</f>
        <v>170.071428571429</v>
      </c>
      <c r="AC1015" s="48" t="n">
        <f aca="false">$O1015-$P1015</f>
        <v>-22797080</v>
      </c>
      <c r="AD1015" s="48" t="n">
        <f aca="false">$AC1015*$I1015</f>
        <v>-71628425360</v>
      </c>
      <c r="AE1015" s="49" t="n">
        <f aca="false">IF($Q1015&gt;0,$O1015*$I1015/$Q1015/1000000,"")</f>
        <v>102.052723286184</v>
      </c>
      <c r="AF1015" s="49" t="n">
        <f aca="false">IF($R1015&gt;0,$P1015*$I1015/$R1015/1000000,"")</f>
        <v>124.465997316574</v>
      </c>
      <c r="AG1015" s="50" t="n">
        <f aca="false">IF(AND(ISNUMBER($AE1015),ISNUMBER($AF1015),$AF1015&gt;0),$AE1015/$AF1015,"")</f>
        <v>0.819924521446751</v>
      </c>
      <c r="AH1015" s="48" t="n">
        <f aca="false">IF($U1015&gt;=5,SUM(INDEX($AD$985:$AD1015,32-5):$AD1015),"")</f>
        <v>-218074681179</v>
      </c>
      <c r="AI1015" s="48" t="n">
        <f aca="false">IF($U1015&gt;=STRUCT_S,MAX(INDEX($G$865:$G1015,152-STRUCT_S):$G1015),"")</f>
        <v>3676</v>
      </c>
      <c r="AJ1015" s="48" t="n">
        <f aca="false">IF($U1015&gt;=STRUCT_S,MIN(INDEX($H$865:$H1015,152-STRUCT_S):$H1015),"")</f>
        <v>3005</v>
      </c>
      <c r="AK1015" s="48" t="n">
        <f aca="false">IF($U1015&gt;=STRUCT_L,MAX(INDEX($G$765:$G1015,252-STRUCT_L):$G1015),"")</f>
        <v>3676</v>
      </c>
      <c r="AL1015" s="48" t="n">
        <f aca="false">IF($U1015&gt;=STRUCT_L,MIN(INDEX($H$765:$H1015,252-STRUCT_L):$H1015),"")</f>
        <v>2957</v>
      </c>
      <c r="AM1015" s="46" t="n">
        <f aca="false">IF($A1015&lt;&gt;$A1016,1,0)</f>
        <v>0</v>
      </c>
      <c r="AN1015" s="47" t="str">
        <f aca="false">IF($AM1015=1,$A1015,"")</f>
        <v/>
      </c>
    </row>
    <row r="1016" customFormat="false" ht="15" hidden="false" customHeight="false" outlineLevel="0" collapsed="false">
      <c r="A1016" s="43" t="s">
        <v>147</v>
      </c>
      <c r="B1016" s="44" t="s">
        <v>149</v>
      </c>
      <c r="C1016" s="45" t="n">
        <v>46229</v>
      </c>
      <c r="D1016" s="46" t="n">
        <v>20260726</v>
      </c>
      <c r="E1016" s="47" t="s">
        <v>519</v>
      </c>
      <c r="F1016" s="48" t="n">
        <v>3233</v>
      </c>
      <c r="G1016" s="48" t="n">
        <v>3265</v>
      </c>
      <c r="H1016" s="48" t="n">
        <v>3080</v>
      </c>
      <c r="I1016" s="48" t="n">
        <v>3202</v>
      </c>
      <c r="J1016" s="48" t="n">
        <v>3206</v>
      </c>
      <c r="K1016" s="48" t="n">
        <v>3142</v>
      </c>
      <c r="L1016" s="48" t="n">
        <v>106968917</v>
      </c>
      <c r="M1016" s="48" t="n">
        <v>342514472234</v>
      </c>
      <c r="N1016" s="48" t="n">
        <v>8790</v>
      </c>
      <c r="O1016" s="48" t="n">
        <v>52999321</v>
      </c>
      <c r="P1016" s="48" t="n">
        <v>52671927</v>
      </c>
      <c r="Q1016" s="48" t="n">
        <v>4536</v>
      </c>
      <c r="R1016" s="48" t="n">
        <v>2533</v>
      </c>
      <c r="S1016" s="48" t="n">
        <v>53969596</v>
      </c>
      <c r="T1016" s="48" t="n">
        <v>54296990</v>
      </c>
      <c r="U1016" s="46" t="n">
        <f aca="false">IF($A1016=$A1015,$U1015+1,1)</f>
        <v>232</v>
      </c>
      <c r="V1016" s="48" t="n">
        <f aca="false">IF($U1016&gt;=MA_SHORT,AVERAGE(INDEX($I$616:$I1016,402-MA_SHORT):$I1016),"")</f>
        <v>3299.2</v>
      </c>
      <c r="W1016" s="48" t="n">
        <f aca="false">IF($U1016&gt;=MA_MED,AVERAGE(INDEX($I$616:$I1016,402-MA_MED):$I1016),"")</f>
        <v>3235.84</v>
      </c>
      <c r="X1016" s="48" t="n">
        <f aca="false">IF($U1016&gt;=MA_LONG1,AVERAGE(INDEX($I$616:$I1016,402-MA_LONG1):$I1016),"")</f>
        <v>3391.36</v>
      </c>
      <c r="Y1016" s="48" t="n">
        <f aca="false">IF($U1016&gt;=MA_LONG2,AVERAGE(INDEX($I$616:$I1016,402-MA_LONG2):$I1016),"")</f>
        <v>3194.52</v>
      </c>
      <c r="Z1016" s="48" t="n">
        <f aca="false">IF($U1016&gt;=MA_SHORT,AVERAGE(INDEX($L$896:$L1016,122-MA_SHORT):$L1016),"")</f>
        <v>75081266.85</v>
      </c>
      <c r="AA1016" s="48" t="n">
        <f aca="false">IF($U1016=1,$G1016-$H1016,MAX($G1016-$H1016,ABS($G1016-$I1015),ABS($H1016-$I1015)))</f>
        <v>185</v>
      </c>
      <c r="AB1016" s="48" t="n">
        <f aca="false">IF($U1016&gt;=ATR_PER,AVERAGE(INDEX($AA$896:$AA1016,122-ATR_PER):$AA1016),"")</f>
        <v>173.285714285714</v>
      </c>
      <c r="AC1016" s="48" t="n">
        <f aca="false">$O1016-$P1016</f>
        <v>327394</v>
      </c>
      <c r="AD1016" s="48" t="n">
        <f aca="false">$AC1016*$I1016</f>
        <v>1048315588</v>
      </c>
      <c r="AE1016" s="49" t="n">
        <f aca="false">IF($Q1016&gt;0,$O1016*$I1016/$Q1016/1000000,"")</f>
        <v>37.4126600180776</v>
      </c>
      <c r="AF1016" s="49" t="n">
        <f aca="false">IF($R1016&gt;0,$P1016*$I1016/$R1016/1000000,"")</f>
        <v>66.5833044824319</v>
      </c>
      <c r="AG1016" s="50" t="n">
        <f aca="false">IF(AND(ISNUMBER($AE1016),ISNUMBER($AF1016),$AF1016&gt;0),$AE1016/$AF1016,"")</f>
        <v>0.561892509074088</v>
      </c>
      <c r="AH1016" s="48" t="n">
        <f aca="false">IF($U1016&gt;=5,SUM(INDEX($AD$986:$AD1016,32-5):$AD1016),"")</f>
        <v>-225904634818</v>
      </c>
      <c r="AI1016" s="48" t="n">
        <f aca="false">IF($U1016&gt;=STRUCT_S,MAX(INDEX($G$866:$G1016,152-STRUCT_S):$G1016),"")</f>
        <v>3676</v>
      </c>
      <c r="AJ1016" s="48" t="n">
        <f aca="false">IF($U1016&gt;=STRUCT_S,MIN(INDEX($H$866:$H1016,152-STRUCT_S):$H1016),"")</f>
        <v>3005</v>
      </c>
      <c r="AK1016" s="48" t="n">
        <f aca="false">IF($U1016&gt;=STRUCT_L,MAX(INDEX($G$766:$G1016,252-STRUCT_L):$G1016),"")</f>
        <v>3676</v>
      </c>
      <c r="AL1016" s="48" t="n">
        <f aca="false">IF($U1016&gt;=STRUCT_L,MIN(INDEX($H$766:$H1016,252-STRUCT_L):$H1016),"")</f>
        <v>2957</v>
      </c>
      <c r="AM1016" s="46" t="n">
        <f aca="false">IF($A1016&lt;&gt;$A1017,1,0)</f>
        <v>0</v>
      </c>
      <c r="AN1016" s="47" t="str">
        <f aca="false">IF($AM1016=1,$A1016,"")</f>
        <v/>
      </c>
    </row>
    <row r="1017" customFormat="false" ht="15" hidden="false" customHeight="false" outlineLevel="0" collapsed="false">
      <c r="A1017" s="43" t="s">
        <v>147</v>
      </c>
      <c r="B1017" s="44" t="s">
        <v>149</v>
      </c>
      <c r="C1017" s="45" t="n">
        <v>46230</v>
      </c>
      <c r="D1017" s="46" t="n">
        <v>20260727</v>
      </c>
      <c r="E1017" s="47" t="s">
        <v>520</v>
      </c>
      <c r="F1017" s="48" t="n">
        <v>3267</v>
      </c>
      <c r="G1017" s="48" t="n">
        <v>3322</v>
      </c>
      <c r="H1017" s="48" t="n">
        <v>3193</v>
      </c>
      <c r="I1017" s="48" t="n">
        <v>3313</v>
      </c>
      <c r="J1017" s="48" t="n">
        <v>3216</v>
      </c>
      <c r="K1017" s="48" t="n">
        <v>3202</v>
      </c>
      <c r="L1017" s="48" t="n">
        <v>69174250</v>
      </c>
      <c r="M1017" s="48" t="n">
        <v>229174290250</v>
      </c>
      <c r="N1017" s="48" t="n">
        <v>1959</v>
      </c>
      <c r="O1017" s="48" t="n">
        <v>36855563</v>
      </c>
      <c r="P1017" s="48" t="n">
        <v>28027431</v>
      </c>
      <c r="Q1017" s="48" t="n">
        <v>937</v>
      </c>
      <c r="R1017" s="48" t="n">
        <v>625</v>
      </c>
      <c r="S1017" s="48" t="n">
        <v>32318687</v>
      </c>
      <c r="T1017" s="48" t="n">
        <v>41146819</v>
      </c>
      <c r="U1017" s="46" t="n">
        <f aca="false">IF($A1017=$A1016,$U1016+1,1)</f>
        <v>233</v>
      </c>
      <c r="V1017" s="48" t="n">
        <f aca="false">IF($U1017&gt;=MA_SHORT,AVERAGE(INDEX($I$617:$I1017,402-MA_SHORT):$I1017),"")</f>
        <v>3286.6</v>
      </c>
      <c r="W1017" s="48" t="n">
        <f aca="false">IF($U1017&gt;=MA_MED,AVERAGE(INDEX($I$617:$I1017,402-MA_MED):$I1017),"")</f>
        <v>3234.92</v>
      </c>
      <c r="X1017" s="48" t="n">
        <f aca="false">IF($U1017&gt;=MA_LONG1,AVERAGE(INDEX($I$617:$I1017,402-MA_LONG1):$I1017),"")</f>
        <v>3391.09</v>
      </c>
      <c r="Y1017" s="48" t="n">
        <f aca="false">IF($U1017&gt;=MA_LONG2,AVERAGE(INDEX($I$617:$I1017,402-MA_LONG2):$I1017),"")</f>
        <v>3196.665</v>
      </c>
      <c r="Z1017" s="48" t="n">
        <f aca="false">IF($U1017&gt;=MA_SHORT,AVERAGE(INDEX($L$897:$L1017,122-MA_SHORT):$L1017),"")</f>
        <v>75076694.1</v>
      </c>
      <c r="AA1017" s="48" t="n">
        <f aca="false">IF($U1017=1,$G1017-$H1017,MAX($G1017-$H1017,ABS($G1017-$I1016),ABS($H1017-$I1016)))</f>
        <v>129</v>
      </c>
      <c r="AB1017" s="48" t="n">
        <f aca="false">IF($U1017&gt;=ATR_PER,AVERAGE(INDEX($AA$897:$AA1017,122-ATR_PER):$AA1017),"")</f>
        <v>164.642857142857</v>
      </c>
      <c r="AC1017" s="48" t="n">
        <f aca="false">$O1017-$P1017</f>
        <v>8828132</v>
      </c>
      <c r="AD1017" s="48" t="n">
        <f aca="false">$AC1017*$I1017</f>
        <v>29247601316</v>
      </c>
      <c r="AE1017" s="49" t="n">
        <f aca="false">IF($Q1017&gt;0,$O1017*$I1017/$Q1017/1000000,"")</f>
        <v>130.312145377802</v>
      </c>
      <c r="AF1017" s="49" t="n">
        <f aca="false">IF($R1017&gt;0,$P1017*$I1017/$R1017/1000000,"")</f>
        <v>148.5678062448</v>
      </c>
      <c r="AG1017" s="50" t="n">
        <f aca="false">IF(AND(ISNUMBER($AE1017),ISNUMBER($AF1017),$AF1017&gt;0),$AE1017/$AF1017,"")</f>
        <v>0.877122363663915</v>
      </c>
      <c r="AH1017" s="48" t="n">
        <f aca="false">IF($U1017&gt;=5,SUM(INDEX($AD$987:$AD1017,32-5):$AD1017),"")</f>
        <v>-118519324394</v>
      </c>
      <c r="AI1017" s="48" t="n">
        <f aca="false">IF($U1017&gt;=STRUCT_S,MAX(INDEX($G$867:$G1017,152-STRUCT_S):$G1017),"")</f>
        <v>3637</v>
      </c>
      <c r="AJ1017" s="48" t="n">
        <f aca="false">IF($U1017&gt;=STRUCT_S,MIN(INDEX($H$867:$H1017,152-STRUCT_S):$H1017),"")</f>
        <v>3005</v>
      </c>
      <c r="AK1017" s="48" t="n">
        <f aca="false">IF($U1017&gt;=STRUCT_L,MAX(INDEX($G$767:$G1017,252-STRUCT_L):$G1017),"")</f>
        <v>3676</v>
      </c>
      <c r="AL1017" s="48" t="n">
        <f aca="false">IF($U1017&gt;=STRUCT_L,MIN(INDEX($H$767:$H1017,252-STRUCT_L):$H1017),"")</f>
        <v>2957</v>
      </c>
      <c r="AM1017" s="46" t="n">
        <f aca="false">IF($A1017&lt;&gt;$A1018,1,0)</f>
        <v>0</v>
      </c>
      <c r="AN1017" s="47" t="str">
        <f aca="false">IF($AM1017=1,$A1017,"")</f>
        <v/>
      </c>
    </row>
    <row r="1018" customFormat="false" ht="15" hidden="false" customHeight="false" outlineLevel="0" collapsed="false">
      <c r="A1018" s="43" t="s">
        <v>147</v>
      </c>
      <c r="B1018" s="44" t="s">
        <v>149</v>
      </c>
      <c r="C1018" s="45" t="n">
        <v>46231</v>
      </c>
      <c r="D1018" s="46" t="n">
        <v>20260728</v>
      </c>
      <c r="E1018" s="47" t="s">
        <v>521</v>
      </c>
      <c r="F1018" s="48" t="n">
        <v>3334</v>
      </c>
      <c r="G1018" s="48" t="n">
        <v>3416</v>
      </c>
      <c r="H1018" s="48" t="n">
        <v>3294</v>
      </c>
      <c r="I1018" s="48" t="n">
        <v>3396</v>
      </c>
      <c r="J1018" s="48" t="n">
        <v>3401</v>
      </c>
      <c r="K1018" s="48" t="n">
        <v>3313</v>
      </c>
      <c r="L1018" s="48" t="n">
        <v>65871391</v>
      </c>
      <c r="M1018" s="48" t="n">
        <v>223699243836</v>
      </c>
      <c r="N1018" s="48" t="n">
        <v>2617</v>
      </c>
      <c r="O1018" s="48" t="n">
        <v>31248901</v>
      </c>
      <c r="P1018" s="48" t="n">
        <v>34314072</v>
      </c>
      <c r="Q1018" s="48" t="n">
        <v>1325</v>
      </c>
      <c r="R1018" s="48" t="n">
        <v>1081</v>
      </c>
      <c r="S1018" s="48" t="n">
        <v>34622490</v>
      </c>
      <c r="T1018" s="48" t="n">
        <v>31557319</v>
      </c>
      <c r="U1018" s="46" t="n">
        <f aca="false">IF($A1018=$A1017,$U1017+1,1)</f>
        <v>234</v>
      </c>
      <c r="V1018" s="48" t="n">
        <f aca="false">IF($U1018&gt;=MA_SHORT,AVERAGE(INDEX($I$618:$I1018,402-MA_SHORT):$I1018),"")</f>
        <v>3281</v>
      </c>
      <c r="W1018" s="48" t="n">
        <f aca="false">IF($U1018&gt;=MA_MED,AVERAGE(INDEX($I$618:$I1018,402-MA_MED):$I1018),"")</f>
        <v>3234.66</v>
      </c>
      <c r="X1018" s="48" t="n">
        <f aca="false">IF($U1018&gt;=MA_LONG1,AVERAGE(INDEX($I$618:$I1018,402-MA_LONG1):$I1018),"")</f>
        <v>3390.82</v>
      </c>
      <c r="Y1018" s="48" t="n">
        <f aca="false">IF($U1018&gt;=MA_LONG2,AVERAGE(INDEX($I$618:$I1018,402-MA_LONG2):$I1018),"")</f>
        <v>3199.305</v>
      </c>
      <c r="Z1018" s="48" t="n">
        <f aca="false">IF($U1018&gt;=MA_SHORT,AVERAGE(INDEX($L$898:$L1018,122-MA_SHORT):$L1018),"")</f>
        <v>75232406.25</v>
      </c>
      <c r="AA1018" s="48" t="n">
        <f aca="false">IF($U1018=1,$G1018-$H1018,MAX($G1018-$H1018,ABS($G1018-$I1017),ABS($H1018-$I1017)))</f>
        <v>122</v>
      </c>
      <c r="AB1018" s="48" t="n">
        <f aca="false">IF($U1018&gt;=ATR_PER,AVERAGE(INDEX($AA$898:$AA1018,122-ATR_PER):$AA1018),"")</f>
        <v>165.642857142857</v>
      </c>
      <c r="AC1018" s="48" t="n">
        <f aca="false">$O1018-$P1018</f>
        <v>-3065171</v>
      </c>
      <c r="AD1018" s="48" t="n">
        <f aca="false">$AC1018*$I1018</f>
        <v>-10409320716</v>
      </c>
      <c r="AE1018" s="49" t="n">
        <f aca="false">IF($Q1018&gt;0,$O1018*$I1018/$Q1018/1000000,"")</f>
        <v>80.0915228649057</v>
      </c>
      <c r="AF1018" s="49" t="n">
        <f aca="false">IF($R1018&gt;0,$P1018*$I1018/$R1018/1000000,"")</f>
        <v>107.798879289547</v>
      </c>
      <c r="AG1018" s="50" t="n">
        <f aca="false">IF(AND(ISNUMBER($AE1018),ISNUMBER($AF1018),$AF1018&gt;0),$AE1018/$AF1018,"")</f>
        <v>0.742971758080904</v>
      </c>
      <c r="AH1018" s="48" t="n">
        <f aca="false">IF($U1018&gt;=5,SUM(INDEX($AD$988:$AD1018,32-5):$AD1018),"")</f>
        <v>-60352127984</v>
      </c>
      <c r="AI1018" s="48" t="n">
        <f aca="false">IF($U1018&gt;=STRUCT_S,MAX(INDEX($G$868:$G1018,152-STRUCT_S):$G1018),"")</f>
        <v>3582</v>
      </c>
      <c r="AJ1018" s="48" t="n">
        <f aca="false">IF($U1018&gt;=STRUCT_S,MIN(INDEX($H$868:$H1018,152-STRUCT_S):$H1018),"")</f>
        <v>3005</v>
      </c>
      <c r="AK1018" s="48" t="n">
        <f aca="false">IF($U1018&gt;=STRUCT_L,MAX(INDEX($G$768:$G1018,252-STRUCT_L):$G1018),"")</f>
        <v>3676</v>
      </c>
      <c r="AL1018" s="48" t="n">
        <f aca="false">IF($U1018&gt;=STRUCT_L,MIN(INDEX($H$768:$H1018,252-STRUCT_L):$H1018),"")</f>
        <v>2957</v>
      </c>
      <c r="AM1018" s="46" t="n">
        <f aca="false">IF($A1018&lt;&gt;$A1019,1,0)</f>
        <v>0</v>
      </c>
      <c r="AN1018" s="47" t="str">
        <f aca="false">IF($AM1018=1,$A1018,"")</f>
        <v/>
      </c>
    </row>
    <row r="1019" customFormat="false" ht="15" hidden="false" customHeight="false" outlineLevel="0" collapsed="false">
      <c r="A1019" s="43" t="s">
        <v>147</v>
      </c>
      <c r="B1019" s="44" t="s">
        <v>149</v>
      </c>
      <c r="C1019" s="45" t="n">
        <v>46232</v>
      </c>
      <c r="D1019" s="46" t="n">
        <v>20260729</v>
      </c>
      <c r="E1019" s="47" t="s">
        <v>522</v>
      </c>
      <c r="F1019" s="48" t="n">
        <v>3490</v>
      </c>
      <c r="G1019" s="48" t="n">
        <v>3494</v>
      </c>
      <c r="H1019" s="48" t="n">
        <v>3286</v>
      </c>
      <c r="I1019" s="48" t="n">
        <v>3383</v>
      </c>
      <c r="J1019" s="48" t="n">
        <v>3405</v>
      </c>
      <c r="K1019" s="48" t="n">
        <v>3396</v>
      </c>
      <c r="L1019" s="48" t="n">
        <v>58578933</v>
      </c>
      <c r="M1019" s="48" t="n">
        <v>198172530339</v>
      </c>
      <c r="N1019" s="48" t="n">
        <v>1375</v>
      </c>
      <c r="O1019" s="48" t="n">
        <v>17987446</v>
      </c>
      <c r="P1019" s="48" t="n">
        <v>41977487</v>
      </c>
      <c r="Q1019" s="48" t="n">
        <v>461</v>
      </c>
      <c r="R1019" s="48" t="n">
        <v>761</v>
      </c>
      <c r="S1019" s="48" t="n">
        <v>40591487</v>
      </c>
      <c r="T1019" s="48" t="n">
        <v>16601446</v>
      </c>
      <c r="U1019" s="46" t="n">
        <f aca="false">IF($A1019=$A1018,$U1018+1,1)</f>
        <v>235</v>
      </c>
      <c r="V1019" s="48" t="n">
        <f aca="false">IF($U1019&gt;=MA_SHORT,AVERAGE(INDEX($I$619:$I1019,402-MA_SHORT):$I1019),"")</f>
        <v>3274.95</v>
      </c>
      <c r="W1019" s="48" t="n">
        <f aca="false">IF($U1019&gt;=MA_MED,AVERAGE(INDEX($I$619:$I1019,402-MA_MED):$I1019),"")</f>
        <v>3235.74</v>
      </c>
      <c r="X1019" s="48" t="n">
        <f aca="false">IF($U1019&gt;=MA_LONG1,AVERAGE(INDEX($I$619:$I1019,402-MA_LONG1):$I1019),"")</f>
        <v>3390.97</v>
      </c>
      <c r="Y1019" s="48" t="n">
        <f aca="false">IF($U1019&gt;=MA_LONG2,AVERAGE(INDEX($I$619:$I1019,402-MA_LONG2):$I1019),"")</f>
        <v>3201.97</v>
      </c>
      <c r="Z1019" s="48" t="n">
        <f aca="false">IF($U1019&gt;=MA_SHORT,AVERAGE(INDEX($L$899:$L1019,122-MA_SHORT):$L1019),"")</f>
        <v>74796413.7</v>
      </c>
      <c r="AA1019" s="48" t="n">
        <f aca="false">IF($U1019=1,$G1019-$H1019,MAX($G1019-$H1019,ABS($G1019-$I1018),ABS($H1019-$I1018)))</f>
        <v>208</v>
      </c>
      <c r="AB1019" s="48" t="n">
        <f aca="false">IF($U1019&gt;=ATR_PER,AVERAGE(INDEX($AA$899:$AA1019,122-ATR_PER):$AA1019),"")</f>
        <v>172.428571428571</v>
      </c>
      <c r="AC1019" s="48" t="n">
        <f aca="false">$O1019-$P1019</f>
        <v>-23990041</v>
      </c>
      <c r="AD1019" s="48" t="n">
        <f aca="false">$AC1019*$I1019</f>
        <v>-81158308703</v>
      </c>
      <c r="AE1019" s="49" t="n">
        <f aca="false">IF($Q1019&gt;0,$O1019*$I1019/$Q1019/1000000,"")</f>
        <v>131.99898008243</v>
      </c>
      <c r="AF1019" s="49" t="n">
        <f aca="false">IF($R1019&gt;0,$P1019*$I1019/$R1019/1000000,"")</f>
        <v>186.609511854139</v>
      </c>
      <c r="AG1019" s="50" t="n">
        <f aca="false">IF(AND(ISNUMBER($AE1019),ISNUMBER($AF1019),$AF1019&gt;0),$AE1019/$AF1019,"")</f>
        <v>0.707353975533705</v>
      </c>
      <c r="AH1019" s="48" t="n">
        <f aca="false">IF($U1019&gt;=5,SUM(INDEX($AD$989:$AD1019,32-5):$AD1019),"")</f>
        <v>-132900137875</v>
      </c>
      <c r="AI1019" s="48" t="n">
        <f aca="false">IF($U1019&gt;=STRUCT_S,MAX(INDEX($G$869:$G1019,152-STRUCT_S):$G1019),"")</f>
        <v>3556</v>
      </c>
      <c r="AJ1019" s="48" t="n">
        <f aca="false">IF($U1019&gt;=STRUCT_S,MIN(INDEX($H$869:$H1019,152-STRUCT_S):$H1019),"")</f>
        <v>3005</v>
      </c>
      <c r="AK1019" s="48" t="n">
        <f aca="false">IF($U1019&gt;=STRUCT_L,MAX(INDEX($G$769:$G1019,252-STRUCT_L):$G1019),"")</f>
        <v>3676</v>
      </c>
      <c r="AL1019" s="48" t="n">
        <f aca="false">IF($U1019&gt;=STRUCT_L,MIN(INDEX($H$769:$H1019,252-STRUCT_L):$H1019),"")</f>
        <v>2957</v>
      </c>
      <c r="AM1019" s="46" t="n">
        <f aca="false">IF($A1019&lt;&gt;$A1020,1,0)</f>
        <v>0</v>
      </c>
      <c r="AN1019" s="47" t="str">
        <f aca="false">IF($AM1019=1,$A1019,"")</f>
        <v/>
      </c>
    </row>
    <row r="1020" customFormat="false" ht="15" hidden="false" customHeight="false" outlineLevel="0" collapsed="false">
      <c r="A1020" s="43" t="s">
        <v>147</v>
      </c>
      <c r="B1020" s="44" t="s">
        <v>149</v>
      </c>
      <c r="C1020" s="45" t="n">
        <v>46235</v>
      </c>
      <c r="D1020" s="46" t="n">
        <v>20260801</v>
      </c>
      <c r="E1020" s="47" t="s">
        <v>523</v>
      </c>
      <c r="F1020" s="48" t="n">
        <v>3455</v>
      </c>
      <c r="G1020" s="48" t="n">
        <v>3490</v>
      </c>
      <c r="H1020" s="48" t="n">
        <v>3371</v>
      </c>
      <c r="I1020" s="48" t="n">
        <v>3477</v>
      </c>
      <c r="J1020" s="48" t="n">
        <v>3374</v>
      </c>
      <c r="K1020" s="48" t="n">
        <v>3383</v>
      </c>
      <c r="L1020" s="48" t="n">
        <v>66810458</v>
      </c>
      <c r="M1020" s="48" t="n">
        <v>232299962466</v>
      </c>
      <c r="N1020" s="48" t="n">
        <v>1553</v>
      </c>
      <c r="O1020" s="48" t="n">
        <v>36229053</v>
      </c>
      <c r="P1020" s="48" t="n">
        <v>28732230</v>
      </c>
      <c r="Q1020" s="48" t="n">
        <v>658</v>
      </c>
      <c r="R1020" s="48" t="n">
        <v>505</v>
      </c>
      <c r="S1020" s="48" t="n">
        <v>30581405</v>
      </c>
      <c r="T1020" s="48" t="n">
        <v>38078228</v>
      </c>
      <c r="U1020" s="46" t="n">
        <f aca="false">IF($A1020=$A1019,$U1019+1,1)</f>
        <v>236</v>
      </c>
      <c r="V1020" s="48" t="n">
        <f aca="false">IF($U1020&gt;=MA_SHORT,AVERAGE(INDEX($I$620:$I1020,402-MA_SHORT):$I1020),"")</f>
        <v>3276.2</v>
      </c>
      <c r="W1020" s="48" t="n">
        <f aca="false">IF($U1020&gt;=MA_MED,AVERAGE(INDEX($I$620:$I1020,402-MA_MED):$I1020),"")</f>
        <v>3240.56</v>
      </c>
      <c r="X1020" s="48" t="n">
        <f aca="false">IF($U1020&gt;=MA_LONG1,AVERAGE(INDEX($I$620:$I1020,402-MA_LONG1):$I1020),"")</f>
        <v>3392.28</v>
      </c>
      <c r="Y1020" s="48" t="n">
        <f aca="false">IF($U1020&gt;=MA_LONG2,AVERAGE(INDEX($I$620:$I1020,402-MA_LONG2):$I1020),"")</f>
        <v>3205.655</v>
      </c>
      <c r="Z1020" s="48" t="n">
        <f aca="false">IF($U1020&gt;=MA_SHORT,AVERAGE(INDEX($L$900:$L1020,122-MA_SHORT):$L1020),"")</f>
        <v>75018811.05</v>
      </c>
      <c r="AA1020" s="48" t="n">
        <f aca="false">IF($U1020=1,$G1020-$H1020,MAX($G1020-$H1020,ABS($G1020-$I1019),ABS($H1020-$I1019)))</f>
        <v>119</v>
      </c>
      <c r="AB1020" s="48" t="n">
        <f aca="false">IF($U1020&gt;=ATR_PER,AVERAGE(INDEX($AA$900:$AA1020,122-ATR_PER):$AA1020),"")</f>
        <v>165.785714285714</v>
      </c>
      <c r="AC1020" s="48" t="n">
        <f aca="false">$O1020-$P1020</f>
        <v>7496823</v>
      </c>
      <c r="AD1020" s="48" t="n">
        <f aca="false">$AC1020*$I1020</f>
        <v>26066453571</v>
      </c>
      <c r="AE1020" s="49" t="n">
        <f aca="false">IF($Q1020&gt;0,$O1020*$I1020/$Q1020/1000000,"")</f>
        <v>191.441363648936</v>
      </c>
      <c r="AF1020" s="49" t="n">
        <f aca="false">IF($R1020&gt;0,$P1020*$I1020/$R1020/1000000,"")</f>
        <v>197.825670712871</v>
      </c>
      <c r="AG1020" s="50" t="n">
        <f aca="false">IF(AND(ISNUMBER($AE1020),ISNUMBER($AF1020),$AF1020&gt;0),$AE1020/$AF1020,"")</f>
        <v>0.967727610673938</v>
      </c>
      <c r="AH1020" s="48" t="n">
        <f aca="false">IF($U1020&gt;=5,SUM(INDEX($AD$990:$AD1020,32-5):$AD1020),"")</f>
        <v>-35205258944</v>
      </c>
      <c r="AI1020" s="48" t="n">
        <f aca="false">IF($U1020&gt;=STRUCT_S,MAX(INDEX($G$870:$G1020,152-STRUCT_S):$G1020),"")</f>
        <v>3556</v>
      </c>
      <c r="AJ1020" s="48" t="n">
        <f aca="false">IF($U1020&gt;=STRUCT_S,MIN(INDEX($H$870:$H1020,152-STRUCT_S):$H1020),"")</f>
        <v>3005</v>
      </c>
      <c r="AK1020" s="48" t="n">
        <f aca="false">IF($U1020&gt;=STRUCT_L,MAX(INDEX($G$770:$G1020,252-STRUCT_L):$G1020),"")</f>
        <v>3676</v>
      </c>
      <c r="AL1020" s="48" t="n">
        <f aca="false">IF($U1020&gt;=STRUCT_L,MIN(INDEX($H$770:$H1020,252-STRUCT_L):$H1020),"")</f>
        <v>2957</v>
      </c>
      <c r="AM1020" s="46" t="n">
        <f aca="false">IF($A1020&lt;&gt;$A1021,1,0)</f>
        <v>0</v>
      </c>
      <c r="AN1020" s="47" t="str">
        <f aca="false">IF($AM1020=1,$A1020,"")</f>
        <v/>
      </c>
    </row>
    <row r="1021" customFormat="false" ht="15" hidden="false" customHeight="false" outlineLevel="0" collapsed="false">
      <c r="A1021" s="43" t="s">
        <v>147</v>
      </c>
      <c r="B1021" s="44" t="s">
        <v>149</v>
      </c>
      <c r="C1021" s="45" t="n">
        <v>46236</v>
      </c>
      <c r="D1021" s="46" t="n">
        <v>20260802</v>
      </c>
      <c r="E1021" s="47" t="s">
        <v>524</v>
      </c>
      <c r="F1021" s="48" t="n">
        <v>3574</v>
      </c>
      <c r="G1021" s="48" t="n">
        <v>3626</v>
      </c>
      <c r="H1021" s="48" t="n">
        <v>3428</v>
      </c>
      <c r="I1021" s="48" t="n">
        <v>3576</v>
      </c>
      <c r="J1021" s="48" t="n">
        <v>3522</v>
      </c>
      <c r="K1021" s="48" t="n">
        <v>3477</v>
      </c>
      <c r="L1021" s="48" t="n">
        <v>67046442</v>
      </c>
      <c r="M1021" s="48" t="n">
        <v>239758076592</v>
      </c>
      <c r="N1021" s="48" t="n">
        <v>1660</v>
      </c>
      <c r="O1021" s="48" t="n">
        <v>37768108</v>
      </c>
      <c r="P1021" s="48" t="n">
        <v>28179637</v>
      </c>
      <c r="Q1021" s="48" t="n">
        <v>977</v>
      </c>
      <c r="R1021" s="48" t="n">
        <v>533</v>
      </c>
      <c r="S1021" s="48" t="n">
        <v>29278334</v>
      </c>
      <c r="T1021" s="48" t="n">
        <v>38866805</v>
      </c>
      <c r="U1021" s="46" t="n">
        <f aca="false">IF($A1021=$A1020,$U1020+1,1)</f>
        <v>237</v>
      </c>
      <c r="V1021" s="48" t="n">
        <f aca="false">IF($U1021&gt;=MA_SHORT,AVERAGE(INDEX($I$621:$I1021,402-MA_SHORT):$I1021),"")</f>
        <v>3282.15</v>
      </c>
      <c r="W1021" s="48" t="n">
        <f aca="false">IF($U1021&gt;=MA_MED,AVERAGE(INDEX($I$621:$I1021,402-MA_MED):$I1021),"")</f>
        <v>3249.92</v>
      </c>
      <c r="X1021" s="48" t="n">
        <f aca="false">IF($U1021&gt;=MA_LONG1,AVERAGE(INDEX($I$621:$I1021,402-MA_LONG1):$I1021),"")</f>
        <v>3394.38</v>
      </c>
      <c r="Y1021" s="48" t="n">
        <f aca="false">IF($U1021&gt;=MA_LONG2,AVERAGE(INDEX($I$621:$I1021,402-MA_LONG2):$I1021),"")</f>
        <v>3209.73</v>
      </c>
      <c r="Z1021" s="48" t="n">
        <f aca="false">IF($U1021&gt;=MA_SHORT,AVERAGE(INDEX($L$901:$L1021,122-MA_SHORT):$L1021),"")</f>
        <v>69456852.05</v>
      </c>
      <c r="AA1021" s="48" t="n">
        <f aca="false">IF($U1021=1,$G1021-$H1021,MAX($G1021-$H1021,ABS($G1021-$I1020),ABS($H1021-$I1020)))</f>
        <v>198</v>
      </c>
      <c r="AB1021" s="48" t="n">
        <f aca="false">IF($U1021&gt;=ATR_PER,AVERAGE(INDEX($AA$901:$AA1021,122-ATR_PER):$AA1021),"")</f>
        <v>160.714285714286</v>
      </c>
      <c r="AC1021" s="48" t="n">
        <f aca="false">$O1021-$P1021</f>
        <v>9588471</v>
      </c>
      <c r="AD1021" s="48" t="n">
        <f aca="false">$AC1021*$I1021</f>
        <v>34288372296</v>
      </c>
      <c r="AE1021" s="49" t="n">
        <f aca="false">IF($Q1021&gt;0,$O1021*$I1021/$Q1021/1000000,"")</f>
        <v>138.238233580348</v>
      </c>
      <c r="AF1021" s="49" t="n">
        <f aca="false">IF($R1021&gt;0,$P1021*$I1021/$R1021/1000000,"")</f>
        <v>189.062630228893</v>
      </c>
      <c r="AG1021" s="50" t="n">
        <f aca="false">IF(AND(ISNUMBER($AE1021),ISNUMBER($AF1021),$AF1021&gt;0),$AE1021/$AF1021,"")</f>
        <v>0.73117693016852</v>
      </c>
      <c r="AH1021" s="48" t="n">
        <f aca="false">IF($U1021&gt;=5,SUM(INDEX($AD$991:$AD1021,32-5):$AD1021),"")</f>
        <v>-1965202236</v>
      </c>
      <c r="AI1021" s="48" t="n">
        <f aca="false">IF($U1021&gt;=STRUCT_S,MAX(INDEX($G$871:$G1021,152-STRUCT_S):$G1021),"")</f>
        <v>3626</v>
      </c>
      <c r="AJ1021" s="48" t="n">
        <f aca="false">IF($U1021&gt;=STRUCT_S,MIN(INDEX($H$871:$H1021,152-STRUCT_S):$H1021),"")</f>
        <v>3005</v>
      </c>
      <c r="AK1021" s="48" t="n">
        <f aca="false">IF($U1021&gt;=STRUCT_L,MAX(INDEX($G$771:$G1021,252-STRUCT_L):$G1021),"")</f>
        <v>3676</v>
      </c>
      <c r="AL1021" s="48" t="n">
        <f aca="false">IF($U1021&gt;=STRUCT_L,MIN(INDEX($H$771:$H1021,252-STRUCT_L):$H1021),"")</f>
        <v>2957</v>
      </c>
      <c r="AM1021" s="46" t="n">
        <f aca="false">IF($A1021&lt;&gt;$A1022,1,0)</f>
        <v>0</v>
      </c>
      <c r="AN1021" s="47" t="str">
        <f aca="false">IF($AM1021=1,$A1021,"")</f>
        <v/>
      </c>
    </row>
    <row r="1022" customFormat="false" ht="15" hidden="false" customHeight="false" outlineLevel="0" collapsed="false">
      <c r="A1022" s="43" t="s">
        <v>147</v>
      </c>
      <c r="B1022" s="44" t="s">
        <v>149</v>
      </c>
      <c r="C1022" s="45" t="n">
        <v>46237</v>
      </c>
      <c r="D1022" s="46" t="n">
        <v>20260803</v>
      </c>
      <c r="E1022" s="47" t="s">
        <v>525</v>
      </c>
      <c r="F1022" s="48" t="n">
        <v>3657</v>
      </c>
      <c r="G1022" s="48" t="n">
        <v>3866</v>
      </c>
      <c r="H1022" s="48" t="n">
        <v>3455</v>
      </c>
      <c r="I1022" s="48" t="n">
        <v>3739</v>
      </c>
      <c r="J1022" s="48" t="n">
        <v>3491</v>
      </c>
      <c r="K1022" s="48" t="n">
        <v>3576</v>
      </c>
      <c r="L1022" s="48" t="n">
        <v>72924732</v>
      </c>
      <c r="M1022" s="48" t="n">
        <v>272665572948</v>
      </c>
      <c r="N1022" s="48" t="n">
        <v>1678</v>
      </c>
      <c r="O1022" s="48" t="n">
        <v>50408954</v>
      </c>
      <c r="P1022" s="48" t="n">
        <v>25562203</v>
      </c>
      <c r="Q1022" s="48" t="n">
        <v>969</v>
      </c>
      <c r="R1022" s="48" t="n">
        <v>462</v>
      </c>
      <c r="S1022" s="48" t="n">
        <v>22515778</v>
      </c>
      <c r="T1022" s="48" t="n">
        <v>47362529</v>
      </c>
      <c r="U1022" s="46" t="n">
        <f aca="false">IF($A1022=$A1021,$U1021+1,1)</f>
        <v>238</v>
      </c>
      <c r="V1022" s="48" t="n">
        <f aca="false">IF($U1022&gt;=MA_SHORT,AVERAGE(INDEX($I$622:$I1022,402-MA_SHORT):$I1022),"")</f>
        <v>3294.6</v>
      </c>
      <c r="W1022" s="48" t="n">
        <f aca="false">IF($U1022&gt;=MA_MED,AVERAGE(INDEX($I$622:$I1022,402-MA_MED):$I1022),"")</f>
        <v>3261.9</v>
      </c>
      <c r="X1022" s="48" t="n">
        <f aca="false">IF($U1022&gt;=MA_LONG1,AVERAGE(INDEX($I$622:$I1022,402-MA_LONG1):$I1022),"")</f>
        <v>3397.55</v>
      </c>
      <c r="Y1022" s="48" t="n">
        <f aca="false">IF($U1022&gt;=MA_LONG2,AVERAGE(INDEX($I$622:$I1022,402-MA_LONG2):$I1022),"")</f>
        <v>3214.115</v>
      </c>
      <c r="Z1022" s="48" t="n">
        <f aca="false">IF($U1022&gt;=MA_SHORT,AVERAGE(INDEX($L$902:$L1022,122-MA_SHORT):$L1022),"")</f>
        <v>69159488.7</v>
      </c>
      <c r="AA1022" s="48" t="n">
        <f aca="false">IF($U1022=1,$G1022-$H1022,MAX($G1022-$H1022,ABS($G1022-$I1021),ABS($H1022-$I1021)))</f>
        <v>411</v>
      </c>
      <c r="AB1022" s="48" t="n">
        <f aca="false">IF($U1022&gt;=ATR_PER,AVERAGE(INDEX($AA$902:$AA1022,122-ATR_PER):$AA1022),"")</f>
        <v>179.214285714286</v>
      </c>
      <c r="AC1022" s="48" t="n">
        <f aca="false">$O1022-$P1022</f>
        <v>24846751</v>
      </c>
      <c r="AD1022" s="48" t="n">
        <f aca="false">$AC1022*$I1022</f>
        <v>92902001989</v>
      </c>
      <c r="AE1022" s="49" t="n">
        <f aca="false">IF($Q1022&gt;0,$O1022*$I1022/$Q1022/1000000,"")</f>
        <v>194.508853463364</v>
      </c>
      <c r="AF1022" s="49" t="n">
        <f aca="false">IF($R1022&gt;0,$P1022*$I1022/$R1022/1000000,"")</f>
        <v>206.876790080087</v>
      </c>
      <c r="AG1022" s="50" t="n">
        <f aca="false">IF(AND(ISNUMBER($AE1022),ISNUMBER($AF1022),$AF1022&gt;0),$AE1022/$AF1022,"")</f>
        <v>0.940215929433484</v>
      </c>
      <c r="AH1022" s="48" t="n">
        <f aca="false">IF($U1022&gt;=5,SUM(INDEX($AD$992:$AD1022,32-5):$AD1022),"")</f>
        <v>61689198437</v>
      </c>
      <c r="AI1022" s="48" t="n">
        <f aca="false">IF($U1022&gt;=STRUCT_S,MAX(INDEX($G$872:$G1022,152-STRUCT_S):$G1022),"")</f>
        <v>3866</v>
      </c>
      <c r="AJ1022" s="48" t="n">
        <f aca="false">IF($U1022&gt;=STRUCT_S,MIN(INDEX($H$872:$H1022,152-STRUCT_S):$H1022),"")</f>
        <v>3005</v>
      </c>
      <c r="AK1022" s="48" t="n">
        <f aca="false">IF($U1022&gt;=STRUCT_L,MAX(INDEX($G$772:$G1022,252-STRUCT_L):$G1022),"")</f>
        <v>3866</v>
      </c>
      <c r="AL1022" s="48" t="n">
        <f aca="false">IF($U1022&gt;=STRUCT_L,MIN(INDEX($H$772:$H1022,252-STRUCT_L):$H1022),"")</f>
        <v>2957</v>
      </c>
      <c r="AM1022" s="46" t="n">
        <f aca="false">IF($A1022&lt;&gt;$A1023,1,0)</f>
        <v>0</v>
      </c>
      <c r="AN1022" s="47" t="str">
        <f aca="false">IF($AM1022=1,$A1022,"")</f>
        <v/>
      </c>
    </row>
    <row r="1023" customFormat="false" ht="15" hidden="false" customHeight="false" outlineLevel="0" collapsed="false">
      <c r="A1023" s="43" t="s">
        <v>147</v>
      </c>
      <c r="B1023" s="44" t="s">
        <v>149</v>
      </c>
      <c r="C1023" s="45" t="n">
        <v>46238</v>
      </c>
      <c r="D1023" s="46" t="n">
        <v>20260804</v>
      </c>
      <c r="E1023" s="47" t="s">
        <v>526</v>
      </c>
      <c r="F1023" s="48" t="n">
        <v>3796</v>
      </c>
      <c r="G1023" s="48" t="n">
        <v>3873</v>
      </c>
      <c r="H1023" s="48" t="n">
        <v>3658</v>
      </c>
      <c r="I1023" s="48" t="n">
        <v>3791</v>
      </c>
      <c r="J1023" s="48" t="n">
        <v>3682</v>
      </c>
      <c r="K1023" s="48" t="n">
        <v>3739</v>
      </c>
      <c r="L1023" s="48" t="n">
        <v>62042045</v>
      </c>
      <c r="M1023" s="48" t="n">
        <v>235201392595</v>
      </c>
      <c r="N1023" s="48" t="n">
        <v>2712</v>
      </c>
      <c r="O1023" s="48" t="n">
        <v>26826947</v>
      </c>
      <c r="P1023" s="48" t="n">
        <v>34268226</v>
      </c>
      <c r="Q1023" s="48" t="n">
        <v>1437</v>
      </c>
      <c r="R1023" s="48" t="n">
        <v>765</v>
      </c>
      <c r="S1023" s="48" t="n">
        <v>35215098</v>
      </c>
      <c r="T1023" s="48" t="n">
        <v>27773819</v>
      </c>
      <c r="U1023" s="46" t="n">
        <f aca="false">IF($A1023=$A1022,$U1022+1,1)</f>
        <v>239</v>
      </c>
      <c r="V1023" s="48" t="n">
        <f aca="false">IF($U1023&gt;=MA_SHORT,AVERAGE(INDEX($I$623:$I1023,402-MA_SHORT):$I1023),"")</f>
        <v>3315.65</v>
      </c>
      <c r="W1023" s="48" t="n">
        <f aca="false">IF($U1023&gt;=MA_MED,AVERAGE(INDEX($I$623:$I1023,402-MA_MED):$I1023),"")</f>
        <v>3277.48</v>
      </c>
      <c r="X1023" s="48" t="n">
        <f aca="false">IF($U1023&gt;=MA_LONG1,AVERAGE(INDEX($I$623:$I1023,402-MA_LONG1):$I1023),"")</f>
        <v>3401.05</v>
      </c>
      <c r="Y1023" s="48" t="n">
        <f aca="false">IF($U1023&gt;=MA_LONG2,AVERAGE(INDEX($I$623:$I1023,402-MA_LONG2):$I1023),"")</f>
        <v>3218.725</v>
      </c>
      <c r="Z1023" s="48" t="n">
        <f aca="false">IF($U1023&gt;=MA_SHORT,AVERAGE(INDEX($L$903:$L1023,122-MA_SHORT):$L1023),"")</f>
        <v>68807720.85</v>
      </c>
      <c r="AA1023" s="48" t="n">
        <f aca="false">IF($U1023=1,$G1023-$H1023,MAX($G1023-$H1023,ABS($G1023-$I1022),ABS($H1023-$I1022)))</f>
        <v>215</v>
      </c>
      <c r="AB1023" s="48" t="n">
        <f aca="false">IF($U1023&gt;=ATR_PER,AVERAGE(INDEX($AA$903:$AA1023,122-ATR_PER):$AA1023),"")</f>
        <v>187.428571428571</v>
      </c>
      <c r="AC1023" s="48" t="n">
        <f aca="false">$O1023-$P1023</f>
        <v>-7441279</v>
      </c>
      <c r="AD1023" s="48" t="n">
        <f aca="false">$AC1023*$I1023</f>
        <v>-28209888689</v>
      </c>
      <c r="AE1023" s="49" t="n">
        <f aca="false">IF($Q1023&gt;0,$O1023*$I1023/$Q1023/1000000,"")</f>
        <v>70.7731079171886</v>
      </c>
      <c r="AF1023" s="49" t="n">
        <f aca="false">IF($R1023&gt;0,$P1023*$I1023/$R1023/1000000,"")</f>
        <v>169.818097733333</v>
      </c>
      <c r="AG1023" s="50" t="n">
        <f aca="false">IF(AND(ISNUMBER($AE1023),ISNUMBER($AF1023),$AF1023&gt;0),$AE1023/$AF1023,"")</f>
        <v>0.416758336489696</v>
      </c>
      <c r="AH1023" s="48" t="n">
        <f aca="false">IF($U1023&gt;=5,SUM(INDEX($AD$993:$AD1023,32-5):$AD1023),"")</f>
        <v>43888630464</v>
      </c>
      <c r="AI1023" s="48" t="n">
        <f aca="false">IF($U1023&gt;=STRUCT_S,MAX(INDEX($G$873:$G1023,152-STRUCT_S):$G1023),"")</f>
        <v>3873</v>
      </c>
      <c r="AJ1023" s="48" t="n">
        <f aca="false">IF($U1023&gt;=STRUCT_S,MIN(INDEX($H$873:$H1023,152-STRUCT_S):$H1023),"")</f>
        <v>3005</v>
      </c>
      <c r="AK1023" s="48" t="n">
        <f aca="false">IF($U1023&gt;=STRUCT_L,MAX(INDEX($G$773:$G1023,252-STRUCT_L):$G1023),"")</f>
        <v>3873</v>
      </c>
      <c r="AL1023" s="48" t="n">
        <f aca="false">IF($U1023&gt;=STRUCT_L,MIN(INDEX($H$773:$H1023,252-STRUCT_L):$H1023),"")</f>
        <v>2957</v>
      </c>
      <c r="AM1023" s="46" t="n">
        <f aca="false">IF($A1023&lt;&gt;$A1024,1,0)</f>
        <v>0</v>
      </c>
      <c r="AN1023" s="47" t="str">
        <f aca="false">IF($AM1023=1,$A1023,"")</f>
        <v/>
      </c>
    </row>
    <row r="1024" customFormat="false" ht="15" hidden="false" customHeight="false" outlineLevel="0" collapsed="false">
      <c r="A1024" s="43" t="s">
        <v>147</v>
      </c>
      <c r="B1024" s="44" t="s">
        <v>149</v>
      </c>
      <c r="C1024" s="45" t="n">
        <v>46239</v>
      </c>
      <c r="D1024" s="46" t="n">
        <v>20260805</v>
      </c>
      <c r="E1024" s="47" t="s">
        <v>527</v>
      </c>
      <c r="F1024" s="48" t="n">
        <v>3683</v>
      </c>
      <c r="G1024" s="48" t="n">
        <v>3871</v>
      </c>
      <c r="H1024" s="48" t="n">
        <v>3674</v>
      </c>
      <c r="I1024" s="48" t="n">
        <v>3754</v>
      </c>
      <c r="J1024" s="48" t="n">
        <v>3814</v>
      </c>
      <c r="K1024" s="48" t="n">
        <v>3791</v>
      </c>
      <c r="L1024" s="48" t="n">
        <v>60617036</v>
      </c>
      <c r="M1024" s="48" t="n">
        <v>227556353144</v>
      </c>
      <c r="N1024" s="48" t="n">
        <v>1852</v>
      </c>
      <c r="O1024" s="48" t="n">
        <v>22163979</v>
      </c>
      <c r="P1024" s="48" t="n">
        <v>34443447</v>
      </c>
      <c r="Q1024" s="48" t="n">
        <v>593</v>
      </c>
      <c r="R1024" s="48" t="n">
        <v>1312</v>
      </c>
      <c r="S1024" s="48" t="n">
        <v>38453057</v>
      </c>
      <c r="T1024" s="48" t="n">
        <v>26173589</v>
      </c>
      <c r="U1024" s="46" t="n">
        <f aca="false">IF($A1024=$A1023,$U1023+1,1)</f>
        <v>240</v>
      </c>
      <c r="V1024" s="48" t="n">
        <f aca="false">IF($U1024&gt;=MA_SHORT,AVERAGE(INDEX($I$624:$I1024,402-MA_SHORT):$I1024),"")</f>
        <v>3338.05</v>
      </c>
      <c r="W1024" s="48" t="n">
        <f aca="false">IF($U1024&gt;=MA_MED,AVERAGE(INDEX($I$624:$I1024,402-MA_MED):$I1024),"")</f>
        <v>3290.02</v>
      </c>
      <c r="X1024" s="48" t="n">
        <f aca="false">IF($U1024&gt;=MA_LONG1,AVERAGE(INDEX($I$624:$I1024,402-MA_LONG1):$I1024),"")</f>
        <v>3403.66</v>
      </c>
      <c r="Y1024" s="48" t="n">
        <f aca="false">IF($U1024&gt;=MA_LONG2,AVERAGE(INDEX($I$624:$I1024,402-MA_LONG2):$I1024),"")</f>
        <v>3223.065</v>
      </c>
      <c r="Z1024" s="48" t="n">
        <f aca="false">IF($U1024&gt;=MA_SHORT,AVERAGE(INDEX($L$904:$L1024,122-MA_SHORT):$L1024),"")</f>
        <v>68649138.1</v>
      </c>
      <c r="AA1024" s="48" t="n">
        <f aca="false">IF($U1024=1,$G1024-$H1024,MAX($G1024-$H1024,ABS($G1024-$I1023),ABS($H1024-$I1023)))</f>
        <v>197</v>
      </c>
      <c r="AB1024" s="48" t="n">
        <f aca="false">IF($U1024&gt;=ATR_PER,AVERAGE(INDEX($AA$904:$AA1024,122-ATR_PER):$AA1024),"")</f>
        <v>176.571428571429</v>
      </c>
      <c r="AC1024" s="48" t="n">
        <f aca="false">$O1024-$P1024</f>
        <v>-12279468</v>
      </c>
      <c r="AD1024" s="48" t="n">
        <f aca="false">$AC1024*$I1024</f>
        <v>-46097122872</v>
      </c>
      <c r="AE1024" s="49" t="n">
        <f aca="false">IF($Q1024&gt;0,$O1024*$I1024/$Q1024/1000000,"")</f>
        <v>140.30957363575</v>
      </c>
      <c r="AF1024" s="49" t="n">
        <f aca="false">IF($R1024&gt;0,$P1024*$I1024/$R1024/1000000,"")</f>
        <v>98.5523628338415</v>
      </c>
      <c r="AG1024" s="50" t="n">
        <f aca="false">IF(AND(ISNUMBER($AE1024),ISNUMBER($AF1024),$AF1024&gt;0),$AE1024/$AF1024,"")</f>
        <v>1.42370583110535</v>
      </c>
      <c r="AH1024" s="48" t="n">
        <f aca="false">IF($U1024&gt;=5,SUM(INDEX($AD$994:$AD1024,32-5):$AD1024),"")</f>
        <v>78949816295</v>
      </c>
      <c r="AI1024" s="48" t="n">
        <f aca="false">IF($U1024&gt;=STRUCT_S,MAX(INDEX($G$874:$G1024,152-STRUCT_S):$G1024),"")</f>
        <v>3873</v>
      </c>
      <c r="AJ1024" s="48" t="n">
        <f aca="false">IF($U1024&gt;=STRUCT_S,MIN(INDEX($H$874:$H1024,152-STRUCT_S):$H1024),"")</f>
        <v>3005</v>
      </c>
      <c r="AK1024" s="48" t="n">
        <f aca="false">IF($U1024&gt;=STRUCT_L,MAX(INDEX($G$774:$G1024,252-STRUCT_L):$G1024),"")</f>
        <v>3873</v>
      </c>
      <c r="AL1024" s="48" t="n">
        <f aca="false">IF($U1024&gt;=STRUCT_L,MIN(INDEX($H$774:$H1024,252-STRUCT_L):$H1024),"")</f>
        <v>2957</v>
      </c>
      <c r="AM1024" s="46" t="n">
        <f aca="false">IF($A1024&lt;&gt;$A1025,1,0)</f>
        <v>0</v>
      </c>
      <c r="AN1024" s="47" t="str">
        <f aca="false">IF($AM1024=1,$A1024,"")</f>
        <v/>
      </c>
    </row>
    <row r="1025" customFormat="false" ht="15" hidden="false" customHeight="false" outlineLevel="0" collapsed="false">
      <c r="A1025" s="43" t="s">
        <v>147</v>
      </c>
      <c r="B1025" s="44" t="s">
        <v>149</v>
      </c>
      <c r="C1025" s="45" t="n">
        <v>46242</v>
      </c>
      <c r="D1025" s="46" t="n">
        <v>20260808</v>
      </c>
      <c r="E1025" s="47" t="s">
        <v>528</v>
      </c>
      <c r="F1025" s="48" t="n">
        <v>3651</v>
      </c>
      <c r="G1025" s="48" t="n">
        <v>3892</v>
      </c>
      <c r="H1025" s="48" t="n">
        <v>3562</v>
      </c>
      <c r="I1025" s="48" t="n">
        <v>3698</v>
      </c>
      <c r="J1025" s="48" t="n">
        <v>3822</v>
      </c>
      <c r="K1025" s="48" t="n">
        <v>3754</v>
      </c>
      <c r="L1025" s="48" t="n">
        <v>63005442</v>
      </c>
      <c r="M1025" s="48" t="n">
        <v>232994124516</v>
      </c>
      <c r="N1025" s="48" t="n">
        <v>2157</v>
      </c>
      <c r="O1025" s="48" t="n">
        <v>23446073</v>
      </c>
      <c r="P1025" s="48" t="n">
        <v>41640320</v>
      </c>
      <c r="Q1025" s="48" t="n">
        <v>656</v>
      </c>
      <c r="R1025" s="48" t="n">
        <v>1190</v>
      </c>
      <c r="S1025" s="48" t="n">
        <v>39559369</v>
      </c>
      <c r="T1025" s="48" t="n">
        <v>21365122</v>
      </c>
      <c r="U1025" s="46" t="n">
        <f aca="false">IF($A1025=$A1024,$U1024+1,1)</f>
        <v>241</v>
      </c>
      <c r="V1025" s="48" t="n">
        <f aca="false">IF($U1025&gt;=MA_SHORT,AVERAGE(INDEX($I$625:$I1025,402-MA_SHORT):$I1025),"")</f>
        <v>3359.5</v>
      </c>
      <c r="W1025" s="48" t="n">
        <f aca="false">IF($U1025&gt;=MA_MED,AVERAGE(INDEX($I$625:$I1025,402-MA_MED):$I1025),"")</f>
        <v>3303.34</v>
      </c>
      <c r="X1025" s="48" t="n">
        <f aca="false">IF($U1025&gt;=MA_LONG1,AVERAGE(INDEX($I$625:$I1025,402-MA_LONG1):$I1025),"")</f>
        <v>3405.21</v>
      </c>
      <c r="Y1025" s="48" t="n">
        <f aca="false">IF($U1025&gt;=MA_LONG2,AVERAGE(INDEX($I$625:$I1025,402-MA_LONG2):$I1025),"")</f>
        <v>3227.165</v>
      </c>
      <c r="Z1025" s="48" t="n">
        <f aca="false">IF($U1025&gt;=MA_SHORT,AVERAGE(INDEX($L$905:$L1025,122-MA_SHORT):$L1025),"")</f>
        <v>68743961.1</v>
      </c>
      <c r="AA1025" s="48" t="n">
        <f aca="false">IF($U1025=1,$G1025-$H1025,MAX($G1025-$H1025,ABS($G1025-$I1024),ABS($H1025-$I1024)))</f>
        <v>330</v>
      </c>
      <c r="AB1025" s="48" t="n">
        <f aca="false">IF($U1025&gt;=ATR_PER,AVERAGE(INDEX($AA$905:$AA1025,122-ATR_PER):$AA1025),"")</f>
        <v>189.142857142857</v>
      </c>
      <c r="AC1025" s="48" t="n">
        <f aca="false">$O1025-$P1025</f>
        <v>-18194247</v>
      </c>
      <c r="AD1025" s="48" t="n">
        <f aca="false">$AC1025*$I1025</f>
        <v>-67282325406</v>
      </c>
      <c r="AE1025" s="49" t="n">
        <f aca="false">IF($Q1025&gt;0,$O1025*$I1025/$Q1025/1000000,"")</f>
        <v>132.170088344512</v>
      </c>
      <c r="AF1025" s="49" t="n">
        <f aca="false">IF($R1025&gt;0,$P1025*$I1025/$R1025/1000000,"")</f>
        <v>129.399918789916</v>
      </c>
      <c r="AG1025" s="50" t="n">
        <f aca="false">IF(AND(ISNUMBER($AE1025),ISNUMBER($AF1025),$AF1025&gt;0),$AE1025/$AF1025,"")</f>
        <v>1.02140781524827</v>
      </c>
      <c r="AH1025" s="48" t="n">
        <f aca="false">IF($U1025&gt;=5,SUM(INDEX($AD$995:$AD1025,32-5):$AD1025),"")</f>
        <v>-14398962682</v>
      </c>
      <c r="AI1025" s="48" t="n">
        <f aca="false">IF($U1025&gt;=STRUCT_S,MAX(INDEX($G$875:$G1025,152-STRUCT_S):$G1025),"")</f>
        <v>3892</v>
      </c>
      <c r="AJ1025" s="48" t="n">
        <f aca="false">IF($U1025&gt;=STRUCT_S,MIN(INDEX($H$875:$H1025,152-STRUCT_S):$H1025),"")</f>
        <v>3005</v>
      </c>
      <c r="AK1025" s="48" t="n">
        <f aca="false">IF($U1025&gt;=STRUCT_L,MAX(INDEX($G$775:$G1025,252-STRUCT_L):$G1025),"")</f>
        <v>3892</v>
      </c>
      <c r="AL1025" s="48" t="n">
        <f aca="false">IF($U1025&gt;=STRUCT_L,MIN(INDEX($H$775:$H1025,252-STRUCT_L):$H1025),"")</f>
        <v>2957</v>
      </c>
      <c r="AM1025" s="46" t="n">
        <f aca="false">IF($A1025&lt;&gt;$A1026,1,0)</f>
        <v>0</v>
      </c>
      <c r="AN1025" s="47" t="str">
        <f aca="false">IF($AM1025=1,$A1025,"")</f>
        <v/>
      </c>
    </row>
    <row r="1026" customFormat="false" ht="15" hidden="false" customHeight="false" outlineLevel="0" collapsed="false">
      <c r="A1026" s="43" t="s">
        <v>147</v>
      </c>
      <c r="B1026" s="44" t="s">
        <v>149</v>
      </c>
      <c r="C1026" s="45" t="n">
        <v>46243</v>
      </c>
      <c r="D1026" s="46" t="n">
        <v>20260809</v>
      </c>
      <c r="E1026" s="47" t="s">
        <v>529</v>
      </c>
      <c r="F1026" s="48" t="n">
        <v>3613</v>
      </c>
      <c r="G1026" s="48" t="n">
        <v>3754</v>
      </c>
      <c r="H1026" s="48" t="n">
        <v>3574</v>
      </c>
      <c r="I1026" s="48" t="n">
        <v>3629</v>
      </c>
      <c r="J1026" s="48" t="n">
        <v>3696</v>
      </c>
      <c r="K1026" s="48" t="n">
        <v>3698</v>
      </c>
      <c r="L1026" s="48" t="n">
        <v>69505835</v>
      </c>
      <c r="M1026" s="48" t="n">
        <v>252236675215</v>
      </c>
      <c r="N1026" s="48" t="n">
        <v>2043</v>
      </c>
      <c r="O1026" s="48" t="n">
        <v>27362552</v>
      </c>
      <c r="P1026" s="48" t="n">
        <v>45116462</v>
      </c>
      <c r="Q1026" s="48" t="n">
        <v>677</v>
      </c>
      <c r="R1026" s="48" t="n">
        <v>1445</v>
      </c>
      <c r="S1026" s="48" t="n">
        <v>42143283</v>
      </c>
      <c r="T1026" s="48" t="n">
        <v>24389373</v>
      </c>
      <c r="U1026" s="46" t="n">
        <f aca="false">IF($A1026=$A1025,$U1025+1,1)</f>
        <v>242</v>
      </c>
      <c r="V1026" s="48" t="n">
        <f aca="false">IF($U1026&gt;=MA_SHORT,AVERAGE(INDEX($I$626:$I1026,402-MA_SHORT):$I1026),"")</f>
        <v>3376.15</v>
      </c>
      <c r="W1026" s="48" t="n">
        <f aca="false">IF($U1026&gt;=MA_MED,AVERAGE(INDEX($I$626:$I1026,402-MA_MED):$I1026),"")</f>
        <v>3315.18</v>
      </c>
      <c r="X1026" s="48" t="n">
        <f aca="false">IF($U1026&gt;=MA_LONG1,AVERAGE(INDEX($I$626:$I1026,402-MA_LONG1):$I1026),"")</f>
        <v>3406.3</v>
      </c>
      <c r="Y1026" s="48" t="n">
        <f aca="false">IF($U1026&gt;=MA_LONG2,AVERAGE(INDEX($I$626:$I1026,402-MA_LONG2):$I1026),"")</f>
        <v>3230.77</v>
      </c>
      <c r="Z1026" s="48" t="n">
        <f aca="false">IF($U1026&gt;=MA_SHORT,AVERAGE(INDEX($L$906:$L1026,122-MA_SHORT):$L1026),"")</f>
        <v>69214179.15</v>
      </c>
      <c r="AA1026" s="48" t="n">
        <f aca="false">IF($U1026=1,$G1026-$H1026,MAX($G1026-$H1026,ABS($G1026-$I1025),ABS($H1026-$I1025)))</f>
        <v>180</v>
      </c>
      <c r="AB1026" s="48" t="n">
        <f aca="false">IF($U1026&gt;=ATR_PER,AVERAGE(INDEX($AA$906:$AA1026,122-ATR_PER):$AA1026),"")</f>
        <v>186.071428571429</v>
      </c>
      <c r="AC1026" s="48" t="n">
        <f aca="false">$O1026-$P1026</f>
        <v>-17753910</v>
      </c>
      <c r="AD1026" s="48" t="n">
        <f aca="false">$AC1026*$I1026</f>
        <v>-64428939390</v>
      </c>
      <c r="AE1026" s="49" t="n">
        <f aca="false">IF($Q1026&gt;0,$O1026*$I1026/$Q1026/1000000,"")</f>
        <v>146.674595580502</v>
      </c>
      <c r="AF1026" s="49" t="n">
        <f aca="false">IF($R1026&gt;0,$P1026*$I1026/$R1026/1000000,"")</f>
        <v>113.306325673356</v>
      </c>
      <c r="AG1026" s="50" t="n">
        <f aca="false">IF(AND(ISNUMBER($AE1026),ISNUMBER($AF1026),$AF1026&gt;0),$AE1026/$AF1026,"")</f>
        <v>1.29449609021248</v>
      </c>
      <c r="AH1026" s="48" t="n">
        <f aca="false">IF($U1026&gt;=5,SUM(INDEX($AD$996:$AD1026,32-5):$AD1026),"")</f>
        <v>-113116274368</v>
      </c>
      <c r="AI1026" s="48" t="n">
        <f aca="false">IF($U1026&gt;=STRUCT_S,MAX(INDEX($G$876:$G1026,152-STRUCT_S):$G1026),"")</f>
        <v>3892</v>
      </c>
      <c r="AJ1026" s="48" t="n">
        <f aca="false">IF($U1026&gt;=STRUCT_S,MIN(INDEX($H$876:$H1026,152-STRUCT_S):$H1026),"")</f>
        <v>3005</v>
      </c>
      <c r="AK1026" s="48" t="n">
        <f aca="false">IF($U1026&gt;=STRUCT_L,MAX(INDEX($G$776:$G1026,252-STRUCT_L):$G1026),"")</f>
        <v>3892</v>
      </c>
      <c r="AL1026" s="48" t="n">
        <f aca="false">IF($U1026&gt;=STRUCT_L,MIN(INDEX($H$776:$H1026,252-STRUCT_L):$H1026),"")</f>
        <v>2957</v>
      </c>
      <c r="AM1026" s="46" t="n">
        <f aca="false">IF($A1026&lt;&gt;$A1027,1,0)</f>
        <v>0</v>
      </c>
      <c r="AN1026" s="47" t="str">
        <f aca="false">IF($AM1026=1,$A1026,"")</f>
        <v/>
      </c>
    </row>
    <row r="1027" customFormat="false" ht="15" hidden="false" customHeight="false" outlineLevel="0" collapsed="false">
      <c r="A1027" s="43" t="s">
        <v>147</v>
      </c>
      <c r="B1027" s="44" t="s">
        <v>149</v>
      </c>
      <c r="C1027" s="45" t="n">
        <v>46244</v>
      </c>
      <c r="D1027" s="46" t="n">
        <v>20260810</v>
      </c>
      <c r="E1027" s="47" t="s">
        <v>530</v>
      </c>
      <c r="F1027" s="48" t="n">
        <v>3698</v>
      </c>
      <c r="G1027" s="48" t="n">
        <v>3740</v>
      </c>
      <c r="H1027" s="48" t="n">
        <v>3553</v>
      </c>
      <c r="I1027" s="48" t="n">
        <v>3664</v>
      </c>
      <c r="J1027" s="48" t="n">
        <v>3559</v>
      </c>
      <c r="K1027" s="48" t="n">
        <v>3629</v>
      </c>
      <c r="L1027" s="48" t="n">
        <v>82957141</v>
      </c>
      <c r="M1027" s="48" t="n">
        <v>303954964624</v>
      </c>
      <c r="N1027" s="48" t="n">
        <v>4810</v>
      </c>
      <c r="O1027" s="48" t="n">
        <v>31388526</v>
      </c>
      <c r="P1027" s="48" t="n">
        <v>49074222</v>
      </c>
      <c r="Q1027" s="48" t="n">
        <v>2392</v>
      </c>
      <c r="R1027" s="48" t="n">
        <v>1707</v>
      </c>
      <c r="S1027" s="48" t="n">
        <v>51568615</v>
      </c>
      <c r="T1027" s="48" t="n">
        <v>33882919</v>
      </c>
      <c r="U1027" s="46" t="n">
        <f aca="false">IF($A1027=$A1026,$U1026+1,1)</f>
        <v>243</v>
      </c>
      <c r="V1027" s="48" t="n">
        <f aca="false">IF($U1027&gt;=MA_SHORT,AVERAGE(INDEX($I$627:$I1027,402-MA_SHORT):$I1027),"")</f>
        <v>3400.7</v>
      </c>
      <c r="W1027" s="48" t="n">
        <f aca="false">IF($U1027&gt;=MA_MED,AVERAGE(INDEX($I$627:$I1027,402-MA_MED):$I1027),"")</f>
        <v>3326.46</v>
      </c>
      <c r="X1027" s="48" t="n">
        <f aca="false">IF($U1027&gt;=MA_LONG1,AVERAGE(INDEX($I$627:$I1027,402-MA_LONG1):$I1027),"")</f>
        <v>3409.02</v>
      </c>
      <c r="Y1027" s="48" t="n">
        <f aca="false">IF($U1027&gt;=MA_LONG2,AVERAGE(INDEX($I$627:$I1027,402-MA_LONG2):$I1027),"")</f>
        <v>3234.465</v>
      </c>
      <c r="Z1027" s="48" t="n">
        <f aca="false">IF($U1027&gt;=MA_SHORT,AVERAGE(INDEX($L$907:$L1027,122-MA_SHORT):$L1027),"")</f>
        <v>69857762.5</v>
      </c>
      <c r="AA1027" s="48" t="n">
        <f aca="false">IF($U1027=1,$G1027-$H1027,MAX($G1027-$H1027,ABS($G1027-$I1026),ABS($H1027-$I1026)))</f>
        <v>187</v>
      </c>
      <c r="AB1027" s="48" t="n">
        <f aca="false">IF($U1027&gt;=ATR_PER,AVERAGE(INDEX($AA$907:$AA1027,122-ATR_PER):$AA1027),"")</f>
        <v>193.071428571429</v>
      </c>
      <c r="AC1027" s="48" t="n">
        <f aca="false">$O1027-$P1027</f>
        <v>-17685696</v>
      </c>
      <c r="AD1027" s="48" t="n">
        <f aca="false">$AC1027*$I1027</f>
        <v>-64800390144</v>
      </c>
      <c r="AE1027" s="49" t="n">
        <f aca="false">IF($Q1027&gt;0,$O1027*$I1027/$Q1027/1000000,"")</f>
        <v>48.0800833043478</v>
      </c>
      <c r="AF1027" s="49" t="n">
        <f aca="false">IF($R1027&gt;0,$P1027*$I1027/$R1027/1000000,"")</f>
        <v>105.335646987698</v>
      </c>
      <c r="AG1027" s="50" t="n">
        <f aca="false">IF(AND(ISNUMBER($AE1027),ISNUMBER($AF1027),$AF1027&gt;0),$AE1027/$AF1027,"")</f>
        <v>0.456446461186716</v>
      </c>
      <c r="AH1027" s="48" t="n">
        <f aca="false">IF($U1027&gt;=5,SUM(INDEX($AD$997:$AD1027,32-5):$AD1027),"")</f>
        <v>-270818666501</v>
      </c>
      <c r="AI1027" s="48" t="n">
        <f aca="false">IF($U1027&gt;=STRUCT_S,MAX(INDEX($G$877:$G1027,152-STRUCT_S):$G1027),"")</f>
        <v>3892</v>
      </c>
      <c r="AJ1027" s="48" t="n">
        <f aca="false">IF($U1027&gt;=STRUCT_S,MIN(INDEX($H$877:$H1027,152-STRUCT_S):$H1027),"")</f>
        <v>3005</v>
      </c>
      <c r="AK1027" s="48" t="n">
        <f aca="false">IF($U1027&gt;=STRUCT_L,MAX(INDEX($G$777:$G1027,252-STRUCT_L):$G1027),"")</f>
        <v>3892</v>
      </c>
      <c r="AL1027" s="48" t="n">
        <f aca="false">IF($U1027&gt;=STRUCT_L,MIN(INDEX($H$777:$H1027,252-STRUCT_L):$H1027),"")</f>
        <v>2957</v>
      </c>
      <c r="AM1027" s="46" t="n">
        <f aca="false">IF($A1027&lt;&gt;$A1028,1,0)</f>
        <v>0</v>
      </c>
      <c r="AN1027" s="47" t="str">
        <f aca="false">IF($AM1027=1,$A1027,"")</f>
        <v/>
      </c>
    </row>
    <row r="1028" customFormat="false" ht="15" hidden="false" customHeight="false" outlineLevel="0" collapsed="false">
      <c r="A1028" s="43" t="s">
        <v>147</v>
      </c>
      <c r="B1028" s="44" t="s">
        <v>149</v>
      </c>
      <c r="C1028" s="45" t="n">
        <v>46245</v>
      </c>
      <c r="D1028" s="46" t="n">
        <v>20260811</v>
      </c>
      <c r="E1028" s="47" t="s">
        <v>531</v>
      </c>
      <c r="F1028" s="48" t="n">
        <v>3687</v>
      </c>
      <c r="G1028" s="48" t="n">
        <v>3701</v>
      </c>
      <c r="H1028" s="48" t="n">
        <v>3628</v>
      </c>
      <c r="I1028" s="48" t="n">
        <v>3665</v>
      </c>
      <c r="J1028" s="48" t="n">
        <v>3629</v>
      </c>
      <c r="K1028" s="48" t="n">
        <v>3664</v>
      </c>
      <c r="L1028" s="48" t="n">
        <v>57357461</v>
      </c>
      <c r="M1028" s="48" t="n">
        <v>210215094565</v>
      </c>
      <c r="N1028" s="48" t="n">
        <v>4694</v>
      </c>
      <c r="O1028" s="48" t="n">
        <v>25874884</v>
      </c>
      <c r="P1028" s="48" t="n">
        <v>33027025</v>
      </c>
      <c r="Q1028" s="48" t="n">
        <v>2911</v>
      </c>
      <c r="R1028" s="48" t="n">
        <v>1507</v>
      </c>
      <c r="S1028" s="48" t="n">
        <v>31482577</v>
      </c>
      <c r="T1028" s="48" t="n">
        <v>24330436</v>
      </c>
      <c r="U1028" s="46" t="n">
        <f aca="false">IF($A1028=$A1027,$U1027+1,1)</f>
        <v>244</v>
      </c>
      <c r="V1028" s="48" t="n">
        <f aca="false">IF($U1028&gt;=MA_SHORT,AVERAGE(INDEX($I$628:$I1028,402-MA_SHORT):$I1028),"")</f>
        <v>3424.15</v>
      </c>
      <c r="W1028" s="48" t="n">
        <f aca="false">IF($U1028&gt;=MA_MED,AVERAGE(INDEX($I$628:$I1028,402-MA_MED):$I1028),"")</f>
        <v>3339.62</v>
      </c>
      <c r="X1028" s="48" t="n">
        <f aca="false">IF($U1028&gt;=MA_LONG1,AVERAGE(INDEX($I$628:$I1028,402-MA_LONG1):$I1028),"")</f>
        <v>3411.22</v>
      </c>
      <c r="Y1028" s="48" t="n">
        <f aca="false">IF($U1028&gt;=MA_LONG2,AVERAGE(INDEX($I$628:$I1028,402-MA_LONG2):$I1028),"")</f>
        <v>3238.435</v>
      </c>
      <c r="Z1028" s="48" t="n">
        <f aca="false">IF($U1028&gt;=MA_SHORT,AVERAGE(INDEX($L$908:$L1028,122-MA_SHORT):$L1028),"")</f>
        <v>69280099.8</v>
      </c>
      <c r="AA1028" s="48" t="n">
        <f aca="false">IF($U1028=1,$G1028-$H1028,MAX($G1028-$H1028,ABS($G1028-$I1027),ABS($H1028-$I1027)))</f>
        <v>73</v>
      </c>
      <c r="AB1028" s="48" t="n">
        <f aca="false">IF($U1028&gt;=ATR_PER,AVERAGE(INDEX($AA$908:$AA1028,122-ATR_PER):$AA1028),"")</f>
        <v>187.857142857143</v>
      </c>
      <c r="AC1028" s="48" t="n">
        <f aca="false">$O1028-$P1028</f>
        <v>-7152141</v>
      </c>
      <c r="AD1028" s="48" t="n">
        <f aca="false">$AC1028*$I1028</f>
        <v>-26212596765</v>
      </c>
      <c r="AE1028" s="49" t="n">
        <f aca="false">IF($Q1028&gt;0,$O1028*$I1028/$Q1028/1000000,"")</f>
        <v>32.5769322775678</v>
      </c>
      <c r="AF1028" s="49" t="n">
        <f aca="false">IF($R1028&gt;0,$P1028*$I1028/$R1028/1000000,"")</f>
        <v>80.3211988221632</v>
      </c>
      <c r="AG1028" s="50" t="n">
        <f aca="false">IF(AND(ISNUMBER($AE1028),ISNUMBER($AF1028),$AF1028&gt;0),$AE1028/$AF1028,"")</f>
        <v>0.405583242721457</v>
      </c>
      <c r="AH1028" s="48" t="n">
        <f aca="false">IF($U1028&gt;=5,SUM(INDEX($AD$998:$AD1028,32-5):$AD1028),"")</f>
        <v>-268821374577</v>
      </c>
      <c r="AI1028" s="48" t="n">
        <f aca="false">IF($U1028&gt;=STRUCT_S,MAX(INDEX($G$878:$G1028,152-STRUCT_S):$G1028),"")</f>
        <v>3892</v>
      </c>
      <c r="AJ1028" s="48" t="n">
        <f aca="false">IF($U1028&gt;=STRUCT_S,MIN(INDEX($H$878:$H1028,152-STRUCT_S):$H1028),"")</f>
        <v>3005</v>
      </c>
      <c r="AK1028" s="48" t="n">
        <f aca="false">IF($U1028&gt;=STRUCT_L,MAX(INDEX($G$778:$G1028,252-STRUCT_L):$G1028),"")</f>
        <v>3892</v>
      </c>
      <c r="AL1028" s="48" t="n">
        <f aca="false">IF($U1028&gt;=STRUCT_L,MIN(INDEX($H$778:$H1028,252-STRUCT_L):$H1028),"")</f>
        <v>2957</v>
      </c>
      <c r="AM1028" s="46" t="n">
        <f aca="false">IF($A1028&lt;&gt;$A1029,1,0)</f>
        <v>0</v>
      </c>
      <c r="AN1028" s="47" t="str">
        <f aca="false">IF($AM1028=1,$A1028,"")</f>
        <v/>
      </c>
    </row>
    <row r="1029" customFormat="false" ht="15" hidden="false" customHeight="false" outlineLevel="0" collapsed="false">
      <c r="A1029" s="43" t="s">
        <v>147</v>
      </c>
      <c r="B1029" s="44" t="s">
        <v>149</v>
      </c>
      <c r="C1029" s="45" t="n">
        <v>46246</v>
      </c>
      <c r="D1029" s="46" t="n">
        <v>20260812</v>
      </c>
      <c r="E1029" s="47" t="s">
        <v>532</v>
      </c>
      <c r="F1029" s="48" t="n">
        <v>3703</v>
      </c>
      <c r="G1029" s="48" t="n">
        <v>3878</v>
      </c>
      <c r="H1029" s="48" t="n">
        <v>3572</v>
      </c>
      <c r="I1029" s="48" t="n">
        <v>3782</v>
      </c>
      <c r="J1029" s="48" t="n">
        <v>3794</v>
      </c>
      <c r="K1029" s="48" t="n">
        <v>3665</v>
      </c>
      <c r="L1029" s="48" t="n">
        <v>68235348</v>
      </c>
      <c r="M1029" s="48" t="n">
        <v>258066086136</v>
      </c>
      <c r="N1029" s="48" t="n">
        <v>1521</v>
      </c>
      <c r="O1029" s="48" t="n">
        <v>37761087</v>
      </c>
      <c r="P1029" s="48" t="n">
        <v>30131499</v>
      </c>
      <c r="Q1029" s="48" t="n">
        <v>997</v>
      </c>
      <c r="R1029" s="48" t="n">
        <v>468</v>
      </c>
      <c r="S1029" s="48" t="n">
        <v>30474261</v>
      </c>
      <c r="T1029" s="48" t="n">
        <v>38103849</v>
      </c>
      <c r="U1029" s="46" t="n">
        <f aca="false">IF($A1029=$A1028,$U1028+1,1)</f>
        <v>245</v>
      </c>
      <c r="V1029" s="48" t="n">
        <f aca="false">IF($U1029&gt;=MA_SHORT,AVERAGE(INDEX($I$629:$I1029,402-MA_SHORT):$I1029),"")</f>
        <v>3455.6</v>
      </c>
      <c r="W1029" s="48" t="n">
        <f aca="false">IF($U1029&gt;=MA_MED,AVERAGE(INDEX($I$629:$I1029,402-MA_MED):$I1029),"")</f>
        <v>3353.8</v>
      </c>
      <c r="X1029" s="48" t="n">
        <f aca="false">IF($U1029&gt;=MA_LONG1,AVERAGE(INDEX($I$629:$I1029,402-MA_LONG1):$I1029),"")</f>
        <v>3414.24</v>
      </c>
      <c r="Y1029" s="48" t="n">
        <f aca="false">IF($U1029&gt;=MA_LONG2,AVERAGE(INDEX($I$629:$I1029,402-MA_LONG2):$I1029),"")</f>
        <v>3242.99</v>
      </c>
      <c r="Z1029" s="48" t="n">
        <f aca="false">IF($U1029&gt;=MA_SHORT,AVERAGE(INDEX($L$909:$L1029,122-MA_SHORT):$L1029),"")</f>
        <v>67962969.95</v>
      </c>
      <c r="AA1029" s="48" t="n">
        <f aca="false">IF($U1029=1,$G1029-$H1029,MAX($G1029-$H1029,ABS($G1029-$I1028),ABS($H1029-$I1028)))</f>
        <v>306</v>
      </c>
      <c r="AB1029" s="48" t="n">
        <f aca="false">IF($U1029&gt;=ATR_PER,AVERAGE(INDEX($AA$909:$AA1029,122-ATR_PER):$AA1029),"")</f>
        <v>204.285714285714</v>
      </c>
      <c r="AC1029" s="48" t="n">
        <f aca="false">$O1029-$P1029</f>
        <v>7629588</v>
      </c>
      <c r="AD1029" s="48" t="n">
        <f aca="false">$AC1029*$I1029</f>
        <v>28855101816</v>
      </c>
      <c r="AE1029" s="49" t="n">
        <f aca="false">IF($Q1029&gt;0,$O1029*$I1029/$Q1029/1000000,"")</f>
        <v>143.24215750652</v>
      </c>
      <c r="AF1029" s="49" t="n">
        <f aca="false">IF($R1029&gt;0,$P1029*$I1029/$R1029/1000000,"")</f>
        <v>243.498566705128</v>
      </c>
      <c r="AG1029" s="50" t="n">
        <f aca="false">IF(AND(ISNUMBER($AE1029),ISNUMBER($AF1029),$AF1029&gt;0),$AE1029/$AF1029,"")</f>
        <v>0.588266943188963</v>
      </c>
      <c r="AH1029" s="48" t="n">
        <f aca="false">IF($U1029&gt;=5,SUM(INDEX($AD$999:$AD1029,32-5):$AD1029),"")</f>
        <v>-193869149889</v>
      </c>
      <c r="AI1029" s="48" t="n">
        <f aca="false">IF($U1029&gt;=STRUCT_S,MAX(INDEX($G$879:$G1029,152-STRUCT_S):$G1029),"")</f>
        <v>3892</v>
      </c>
      <c r="AJ1029" s="48" t="n">
        <f aca="false">IF($U1029&gt;=STRUCT_S,MIN(INDEX($H$879:$H1029,152-STRUCT_S):$H1029),"")</f>
        <v>3005</v>
      </c>
      <c r="AK1029" s="48" t="n">
        <f aca="false">IF($U1029&gt;=STRUCT_L,MAX(INDEX($G$779:$G1029,252-STRUCT_L):$G1029),"")</f>
        <v>3892</v>
      </c>
      <c r="AL1029" s="48" t="n">
        <f aca="false">IF($U1029&gt;=STRUCT_L,MIN(INDEX($H$779:$H1029,252-STRUCT_L):$H1029),"")</f>
        <v>2957</v>
      </c>
      <c r="AM1029" s="46" t="n">
        <f aca="false">IF($A1029&lt;&gt;$A1030,1,0)</f>
        <v>0</v>
      </c>
      <c r="AN1029" s="47" t="str">
        <f aca="false">IF($AM1029=1,$A1029,"")</f>
        <v/>
      </c>
    </row>
    <row r="1030" customFormat="false" ht="15" hidden="false" customHeight="false" outlineLevel="0" collapsed="false">
      <c r="A1030" s="43" t="s">
        <v>147</v>
      </c>
      <c r="B1030" s="44" t="s">
        <v>149</v>
      </c>
      <c r="C1030" s="45" t="n">
        <v>46249</v>
      </c>
      <c r="D1030" s="46" t="n">
        <v>20260815</v>
      </c>
      <c r="E1030" s="47" t="s">
        <v>533</v>
      </c>
      <c r="F1030" s="48" t="n">
        <v>3727</v>
      </c>
      <c r="G1030" s="48" t="n">
        <v>3822</v>
      </c>
      <c r="H1030" s="48" t="n">
        <v>3716</v>
      </c>
      <c r="I1030" s="48" t="n">
        <v>3756</v>
      </c>
      <c r="J1030" s="48" t="n">
        <v>3821</v>
      </c>
      <c r="K1030" s="48" t="n">
        <v>3782</v>
      </c>
      <c r="L1030" s="48" t="n">
        <v>59625703</v>
      </c>
      <c r="M1030" s="48" t="n">
        <v>223954140468</v>
      </c>
      <c r="N1030" s="48" t="n">
        <v>1804</v>
      </c>
      <c r="O1030" s="48" t="n">
        <v>22481132</v>
      </c>
      <c r="P1030" s="48" t="n">
        <v>35687557</v>
      </c>
      <c r="Q1030" s="48" t="n">
        <v>404</v>
      </c>
      <c r="R1030" s="48" t="n">
        <v>872</v>
      </c>
      <c r="S1030" s="48" t="n">
        <v>37144571</v>
      </c>
      <c r="T1030" s="48" t="n">
        <v>23938146</v>
      </c>
      <c r="U1030" s="46" t="n">
        <f aca="false">IF($A1030=$A1029,$U1029+1,1)</f>
        <v>246</v>
      </c>
      <c r="V1030" s="48" t="n">
        <f aca="false">IF($U1030&gt;=MA_SHORT,AVERAGE(INDEX($I$630:$I1030,402-MA_SHORT):$I1030),"")</f>
        <v>3483.25</v>
      </c>
      <c r="W1030" s="48" t="n">
        <f aca="false">IF($U1030&gt;=MA_MED,AVERAGE(INDEX($I$630:$I1030,402-MA_MED):$I1030),"")</f>
        <v>3366.34</v>
      </c>
      <c r="X1030" s="48" t="n">
        <f aca="false">IF($U1030&gt;=MA_LONG1,AVERAGE(INDEX($I$630:$I1030,402-MA_LONG1):$I1030),"")</f>
        <v>3416.7</v>
      </c>
      <c r="Y1030" s="48" t="n">
        <f aca="false">IF($U1030&gt;=MA_LONG2,AVERAGE(INDEX($I$630:$I1030,402-MA_LONG2):$I1030),"")</f>
        <v>3247.505</v>
      </c>
      <c r="Z1030" s="48" t="n">
        <f aca="false">IF($U1030&gt;=MA_SHORT,AVERAGE(INDEX($L$910:$L1030,122-MA_SHORT):$L1030),"")</f>
        <v>67808645.85</v>
      </c>
      <c r="AA1030" s="48" t="n">
        <f aca="false">IF($U1030=1,$G1030-$H1030,MAX($G1030-$H1030,ABS($G1030-$I1029),ABS($H1030-$I1029)))</f>
        <v>106</v>
      </c>
      <c r="AB1030" s="48" t="n">
        <f aca="false">IF($U1030&gt;=ATR_PER,AVERAGE(INDEX($AA$910:$AA1030,122-ATR_PER):$AA1030),"")</f>
        <v>198.642857142857</v>
      </c>
      <c r="AC1030" s="48" t="n">
        <f aca="false">$O1030-$P1030</f>
        <v>-13206425</v>
      </c>
      <c r="AD1030" s="48" t="n">
        <f aca="false">$AC1030*$I1030</f>
        <v>-49603332300</v>
      </c>
      <c r="AE1030" s="49" t="n">
        <f aca="false">IF($Q1030&gt;0,$O1030*$I1030/$Q1030/1000000,"")</f>
        <v>209.007751960396</v>
      </c>
      <c r="AF1030" s="49" t="n">
        <f aca="false">IF($R1030&gt;0,$P1030*$I1030/$R1030/1000000,"")</f>
        <v>153.718422123853</v>
      </c>
      <c r="AG1030" s="50" t="n">
        <f aca="false">IF(AND(ISNUMBER($AE1030),ISNUMBER($AF1030),$AF1030&gt;0),$AE1030/$AF1030,"")</f>
        <v>1.35967926987954</v>
      </c>
      <c r="AH1030" s="48" t="n">
        <f aca="false">IF($U1030&gt;=5,SUM(INDEX($AD$1000:$AD1030,32-5):$AD1030),"")</f>
        <v>-176190156783</v>
      </c>
      <c r="AI1030" s="48" t="n">
        <f aca="false">IF($U1030&gt;=STRUCT_S,MAX(INDEX($G$880:$G1030,152-STRUCT_S):$G1030),"")</f>
        <v>3892</v>
      </c>
      <c r="AJ1030" s="48" t="n">
        <f aca="false">IF($U1030&gt;=STRUCT_S,MIN(INDEX($H$880:$H1030,152-STRUCT_S):$H1030),"")</f>
        <v>3074</v>
      </c>
      <c r="AK1030" s="48" t="n">
        <f aca="false">IF($U1030&gt;=STRUCT_L,MAX(INDEX($G$780:$G1030,252-STRUCT_L):$G1030),"")</f>
        <v>3892</v>
      </c>
      <c r="AL1030" s="48" t="n">
        <f aca="false">IF($U1030&gt;=STRUCT_L,MIN(INDEX($H$780:$H1030,252-STRUCT_L):$H1030),"")</f>
        <v>2957</v>
      </c>
      <c r="AM1030" s="46" t="n">
        <f aca="false">IF($A1030&lt;&gt;$A1031,1,0)</f>
        <v>0</v>
      </c>
      <c r="AN1030" s="47" t="str">
        <f aca="false">IF($AM1030=1,$A1030,"")</f>
        <v/>
      </c>
    </row>
    <row r="1031" customFormat="false" ht="15" hidden="false" customHeight="false" outlineLevel="0" collapsed="false">
      <c r="A1031" s="43" t="s">
        <v>147</v>
      </c>
      <c r="B1031" s="44" t="s">
        <v>149</v>
      </c>
      <c r="C1031" s="45" t="n">
        <v>46250</v>
      </c>
      <c r="D1031" s="46" t="n">
        <v>20260816</v>
      </c>
      <c r="E1031" s="47" t="s">
        <v>534</v>
      </c>
      <c r="F1031" s="48" t="n">
        <v>3806</v>
      </c>
      <c r="G1031" s="48" t="n">
        <v>3816</v>
      </c>
      <c r="H1031" s="48" t="n">
        <v>3716</v>
      </c>
      <c r="I1031" s="48" t="n">
        <v>3776</v>
      </c>
      <c r="J1031" s="48" t="n">
        <v>3716</v>
      </c>
      <c r="K1031" s="48" t="n">
        <v>3756</v>
      </c>
      <c r="L1031" s="48" t="n">
        <v>59093200</v>
      </c>
      <c r="M1031" s="48" t="n">
        <v>223135923200</v>
      </c>
      <c r="N1031" s="48" t="n">
        <v>2234</v>
      </c>
      <c r="O1031" s="48" t="n">
        <v>24797465</v>
      </c>
      <c r="P1031" s="48" t="n">
        <v>30426147</v>
      </c>
      <c r="Q1031" s="48" t="n">
        <v>933</v>
      </c>
      <c r="R1031" s="48" t="n">
        <v>602</v>
      </c>
      <c r="S1031" s="48" t="n">
        <v>34295735</v>
      </c>
      <c r="T1031" s="48" t="n">
        <v>28667053</v>
      </c>
      <c r="U1031" s="46" t="n">
        <f aca="false">IF($A1031=$A1030,$U1030+1,1)</f>
        <v>247</v>
      </c>
      <c r="V1031" s="48" t="n">
        <f aca="false">IF($U1031&gt;=MA_SHORT,AVERAGE(INDEX($I$631:$I1031,402-MA_SHORT):$I1031),"")</f>
        <v>3508.5</v>
      </c>
      <c r="W1031" s="48" t="n">
        <f aca="false">IF($U1031&gt;=MA_MED,AVERAGE(INDEX($I$631:$I1031,402-MA_MED):$I1031),"")</f>
        <v>3380.38</v>
      </c>
      <c r="X1031" s="48" t="n">
        <f aca="false">IF($U1031&gt;=MA_LONG1,AVERAGE(INDEX($I$631:$I1031,402-MA_LONG1):$I1031),"")</f>
        <v>3418.79</v>
      </c>
      <c r="Y1031" s="48" t="n">
        <f aca="false">IF($U1031&gt;=MA_LONG2,AVERAGE(INDEX($I$631:$I1031,402-MA_LONG2):$I1031),"")</f>
        <v>3251.84</v>
      </c>
      <c r="Z1031" s="48" t="n">
        <f aca="false">IF($U1031&gt;=MA_SHORT,AVERAGE(INDEX($L$911:$L1031,122-MA_SHORT):$L1031),"")</f>
        <v>67535407.3</v>
      </c>
      <c r="AA1031" s="48" t="n">
        <f aca="false">IF($U1031=1,$G1031-$H1031,MAX($G1031-$H1031,ABS($G1031-$I1030),ABS($H1031-$I1030)))</f>
        <v>100</v>
      </c>
      <c r="AB1031" s="48" t="n">
        <f aca="false">IF($U1031&gt;=ATR_PER,AVERAGE(INDEX($AA$911:$AA1031,122-ATR_PER):$AA1031),"")</f>
        <v>196.571428571429</v>
      </c>
      <c r="AC1031" s="48" t="n">
        <f aca="false">$O1031-$P1031</f>
        <v>-5628682</v>
      </c>
      <c r="AD1031" s="48" t="n">
        <f aca="false">$AC1031*$I1031</f>
        <v>-21253903232</v>
      </c>
      <c r="AE1031" s="49" t="n">
        <f aca="false">IF($Q1031&gt;0,$O1031*$I1031/$Q1031/1000000,"")</f>
        <v>100.359301007503</v>
      </c>
      <c r="AF1031" s="49" t="n">
        <f aca="false">IF($R1031&gt;0,$P1031*$I1031/$R1031/1000000,"")</f>
        <v>190.845732677741</v>
      </c>
      <c r="AG1031" s="50" t="n">
        <f aca="false">IF(AND(ISNUMBER($AE1031),ISNUMBER($AF1031),$AF1031&gt;0),$AE1031/$AF1031,"")</f>
        <v>0.525866099280133</v>
      </c>
      <c r="AH1031" s="48" t="n">
        <f aca="false">IF($U1031&gt;=5,SUM(INDEX($AD$1001:$AD1031,32-5):$AD1031),"")</f>
        <v>-133015120625</v>
      </c>
      <c r="AI1031" s="48" t="n">
        <f aca="false">IF($U1031&gt;=STRUCT_S,MAX(INDEX($G$881:$G1031,152-STRUCT_S):$G1031),"")</f>
        <v>3892</v>
      </c>
      <c r="AJ1031" s="48" t="n">
        <f aca="false">IF($U1031&gt;=STRUCT_S,MIN(INDEX($H$881:$H1031,152-STRUCT_S):$H1031),"")</f>
        <v>3074</v>
      </c>
      <c r="AK1031" s="48" t="n">
        <f aca="false">IF($U1031&gt;=STRUCT_L,MAX(INDEX($G$781:$G1031,252-STRUCT_L):$G1031),"")</f>
        <v>3892</v>
      </c>
      <c r="AL1031" s="48" t="n">
        <f aca="false">IF($U1031&gt;=STRUCT_L,MIN(INDEX($H$781:$H1031,252-STRUCT_L):$H1031),"")</f>
        <v>2957</v>
      </c>
      <c r="AM1031" s="46" t="n">
        <f aca="false">IF($A1031&lt;&gt;$A1032,1,0)</f>
        <v>0</v>
      </c>
      <c r="AN1031" s="47" t="str">
        <f aca="false">IF($AM1031=1,$A1031,"")</f>
        <v/>
      </c>
    </row>
    <row r="1032" customFormat="false" ht="15" hidden="false" customHeight="false" outlineLevel="0" collapsed="false">
      <c r="A1032" s="43" t="s">
        <v>147</v>
      </c>
      <c r="B1032" s="44" t="s">
        <v>149</v>
      </c>
      <c r="C1032" s="45" t="n">
        <v>46251</v>
      </c>
      <c r="D1032" s="46" t="n">
        <v>20260817</v>
      </c>
      <c r="E1032" s="47" t="s">
        <v>535</v>
      </c>
      <c r="F1032" s="48" t="n">
        <v>3743</v>
      </c>
      <c r="G1032" s="48" t="n">
        <v>3892</v>
      </c>
      <c r="H1032" s="48" t="n">
        <v>3713</v>
      </c>
      <c r="I1032" s="48" t="n">
        <v>3828</v>
      </c>
      <c r="J1032" s="48" t="n">
        <v>3731</v>
      </c>
      <c r="K1032" s="48" t="n">
        <v>3776</v>
      </c>
      <c r="L1032" s="48" t="n">
        <v>61995223</v>
      </c>
      <c r="M1032" s="48" t="n">
        <v>237317713644</v>
      </c>
      <c r="N1032" s="48" t="n">
        <v>2272</v>
      </c>
      <c r="O1032" s="48" t="n">
        <v>24806271</v>
      </c>
      <c r="P1032" s="48" t="n">
        <v>37599645</v>
      </c>
      <c r="Q1032" s="48" t="n">
        <v>1353</v>
      </c>
      <c r="R1032" s="48" t="n">
        <v>760</v>
      </c>
      <c r="S1032" s="48" t="n">
        <v>37188952</v>
      </c>
      <c r="T1032" s="48" t="n">
        <v>24395578</v>
      </c>
      <c r="U1032" s="46" t="n">
        <f aca="false">IF($A1032=$A1031,$U1031+1,1)</f>
        <v>248</v>
      </c>
      <c r="V1032" s="48" t="n">
        <f aca="false">IF($U1032&gt;=MA_SHORT,AVERAGE(INDEX($I$632:$I1032,402-MA_SHORT):$I1032),"")</f>
        <v>3543.2</v>
      </c>
      <c r="W1032" s="48" t="n">
        <f aca="false">IF($U1032&gt;=MA_MED,AVERAGE(INDEX($I$632:$I1032,402-MA_MED):$I1032),"")</f>
        <v>3392.66</v>
      </c>
      <c r="X1032" s="48" t="n">
        <f aca="false">IF($U1032&gt;=MA_LONG1,AVERAGE(INDEX($I$632:$I1032,402-MA_LONG1):$I1032),"")</f>
        <v>3423.15</v>
      </c>
      <c r="Y1032" s="48" t="n">
        <f aca="false">IF($U1032&gt;=MA_LONG2,AVERAGE(INDEX($I$632:$I1032,402-MA_LONG2):$I1032),"")</f>
        <v>3256.825</v>
      </c>
      <c r="Z1032" s="48" t="n">
        <f aca="false">IF($U1032&gt;=MA_SHORT,AVERAGE(INDEX($L$912:$L1032,122-MA_SHORT):$L1032),"")</f>
        <v>67002086.95</v>
      </c>
      <c r="AA1032" s="48" t="n">
        <f aca="false">IF($U1032=1,$G1032-$H1032,MAX($G1032-$H1032,ABS($G1032-$I1031),ABS($H1032-$I1031)))</f>
        <v>179</v>
      </c>
      <c r="AB1032" s="48" t="n">
        <f aca="false">IF($U1032&gt;=ATR_PER,AVERAGE(INDEX($AA$912:$AA1032,122-ATR_PER):$AA1032),"")</f>
        <v>200.642857142857</v>
      </c>
      <c r="AC1032" s="48" t="n">
        <f aca="false">$O1032-$P1032</f>
        <v>-12793374</v>
      </c>
      <c r="AD1032" s="48" t="n">
        <f aca="false">$AC1032*$I1032</f>
        <v>-48973035672</v>
      </c>
      <c r="AE1032" s="49" t="n">
        <f aca="false">IF($Q1032&gt;0,$O1032*$I1032/$Q1032/1000000,"")</f>
        <v>70.183596</v>
      </c>
      <c r="AF1032" s="49" t="n">
        <f aca="false">IF($R1032&gt;0,$P1032*$I1032/$R1032/1000000,"")</f>
        <v>189.383475078947</v>
      </c>
      <c r="AG1032" s="50" t="n">
        <f aca="false">IF(AND(ISNUMBER($AE1032),ISNUMBER($AF1032),$AF1032&gt;0),$AE1032/$AF1032,"")</f>
        <v>0.370589862556609</v>
      </c>
      <c r="AH1032" s="48" t="n">
        <f aca="false">IF($U1032&gt;=5,SUM(INDEX($AD$1002:$AD1032,32-5):$AD1032),"")</f>
        <v>-117187766153</v>
      </c>
      <c r="AI1032" s="48" t="n">
        <f aca="false">IF($U1032&gt;=STRUCT_S,MAX(INDEX($G$882:$G1032,152-STRUCT_S):$G1032),"")</f>
        <v>3892</v>
      </c>
      <c r="AJ1032" s="48" t="n">
        <f aca="false">IF($U1032&gt;=STRUCT_S,MIN(INDEX($H$882:$H1032,152-STRUCT_S):$H1032),"")</f>
        <v>3074</v>
      </c>
      <c r="AK1032" s="48" t="n">
        <f aca="false">IF($U1032&gt;=STRUCT_L,MAX(INDEX($G$782:$G1032,252-STRUCT_L):$G1032),"")</f>
        <v>3892</v>
      </c>
      <c r="AL1032" s="48" t="n">
        <f aca="false">IF($U1032&gt;=STRUCT_L,MIN(INDEX($H$782:$H1032,252-STRUCT_L):$H1032),"")</f>
        <v>2957</v>
      </c>
      <c r="AM1032" s="46" t="n">
        <f aca="false">IF($A1032&lt;&gt;$A1033,1,0)</f>
        <v>0</v>
      </c>
      <c r="AN1032" s="47" t="str">
        <f aca="false">IF($AM1032=1,$A1032,"")</f>
        <v/>
      </c>
    </row>
    <row r="1033" customFormat="false" ht="15" hidden="false" customHeight="false" outlineLevel="0" collapsed="false">
      <c r="A1033" s="43" t="s">
        <v>147</v>
      </c>
      <c r="B1033" s="44" t="s">
        <v>149</v>
      </c>
      <c r="C1033" s="45" t="n">
        <v>46252</v>
      </c>
      <c r="D1033" s="46" t="n">
        <v>20260818</v>
      </c>
      <c r="E1033" s="47" t="s">
        <v>536</v>
      </c>
      <c r="F1033" s="48" t="n">
        <v>3825</v>
      </c>
      <c r="G1033" s="48" t="n">
        <v>3854</v>
      </c>
      <c r="H1033" s="48" t="n">
        <v>3773</v>
      </c>
      <c r="I1033" s="48" t="n">
        <v>3799</v>
      </c>
      <c r="J1033" s="48" t="n">
        <v>3852</v>
      </c>
      <c r="K1033" s="48" t="n">
        <v>3828</v>
      </c>
      <c r="L1033" s="48" t="n">
        <v>59866584</v>
      </c>
      <c r="M1033" s="48" t="n">
        <v>227433152616</v>
      </c>
      <c r="N1033" s="48" t="n">
        <v>3081</v>
      </c>
      <c r="O1033" s="48" t="n">
        <v>28909964</v>
      </c>
      <c r="P1033" s="48" t="n">
        <v>30634968</v>
      </c>
      <c r="Q1033" s="48" t="n">
        <v>764</v>
      </c>
      <c r="R1033" s="48" t="n">
        <v>1917</v>
      </c>
      <c r="S1033" s="48" t="n">
        <v>30956620</v>
      </c>
      <c r="T1033" s="48" t="n">
        <v>29231616</v>
      </c>
      <c r="U1033" s="46" t="n">
        <f aca="false">IF($A1033=$A1032,$U1032+1,1)</f>
        <v>249</v>
      </c>
      <c r="V1033" s="48" t="n">
        <f aca="false">IF($U1033&gt;=MA_SHORT,AVERAGE(INDEX($I$633:$I1033,402-MA_SHORT):$I1033),"")</f>
        <v>3577.8</v>
      </c>
      <c r="W1033" s="48" t="n">
        <f aca="false">IF($U1033&gt;=MA_MED,AVERAGE(INDEX($I$633:$I1033,402-MA_MED):$I1033),"")</f>
        <v>3404.02</v>
      </c>
      <c r="X1033" s="48" t="n">
        <f aca="false">IF($U1033&gt;=MA_LONG1,AVERAGE(INDEX($I$633:$I1033,402-MA_LONG1):$I1033),"")</f>
        <v>3425.56</v>
      </c>
      <c r="Y1033" s="48" t="n">
        <f aca="false">IF($U1033&gt;=MA_LONG2,AVERAGE(INDEX($I$633:$I1033,402-MA_LONG2):$I1033),"")</f>
        <v>3262.355</v>
      </c>
      <c r="Z1033" s="48" t="n">
        <f aca="false">IF($U1033&gt;=MA_SHORT,AVERAGE(INDEX($L$913:$L1033,122-MA_SHORT):$L1033),"")</f>
        <v>66984230.45</v>
      </c>
      <c r="AA1033" s="48" t="n">
        <f aca="false">IF($U1033=1,$G1033-$H1033,MAX($G1033-$H1033,ABS($G1033-$I1032),ABS($H1033-$I1032)))</f>
        <v>81</v>
      </c>
      <c r="AB1033" s="48" t="n">
        <f aca="false">IF($U1033&gt;=ATR_PER,AVERAGE(INDEX($AA$913:$AA1033,122-ATR_PER):$AA1033),"")</f>
        <v>191.571428571429</v>
      </c>
      <c r="AC1033" s="48" t="n">
        <f aca="false">$O1033-$P1033</f>
        <v>-1725004</v>
      </c>
      <c r="AD1033" s="48" t="n">
        <f aca="false">$AC1033*$I1033</f>
        <v>-6553290196</v>
      </c>
      <c r="AE1033" s="49" t="n">
        <f aca="false">IF($Q1033&gt;0,$O1033*$I1033/$Q1033/1000000,"")</f>
        <v>143.75517439267</v>
      </c>
      <c r="AF1033" s="49" t="n">
        <f aca="false">IF($R1033&gt;0,$P1033*$I1033/$R1033/1000000,"")</f>
        <v>60.7106121189358</v>
      </c>
      <c r="AG1033" s="50" t="n">
        <f aca="false">IF(AND(ISNUMBER($AE1033),ISNUMBER($AF1033),$AF1033&gt;0),$AE1033/$AF1033,"")</f>
        <v>2.36787555544729</v>
      </c>
      <c r="AH1033" s="48" t="n">
        <f aca="false">IF($U1033&gt;=5,SUM(INDEX($AD$1003:$AD1033,32-5):$AD1033),"")</f>
        <v>-97528459584</v>
      </c>
      <c r="AI1033" s="48" t="n">
        <f aca="false">IF($U1033&gt;=STRUCT_S,MAX(INDEX($G$883:$G1033,152-STRUCT_S):$G1033),"")</f>
        <v>3892</v>
      </c>
      <c r="AJ1033" s="48" t="n">
        <f aca="false">IF($U1033&gt;=STRUCT_S,MIN(INDEX($H$883:$H1033,152-STRUCT_S):$H1033),"")</f>
        <v>3074</v>
      </c>
      <c r="AK1033" s="48" t="n">
        <f aca="false">IF($U1033&gt;=STRUCT_L,MAX(INDEX($G$783:$G1033,252-STRUCT_L):$G1033),"")</f>
        <v>3892</v>
      </c>
      <c r="AL1033" s="48" t="n">
        <f aca="false">IF($U1033&gt;=STRUCT_L,MIN(INDEX($H$783:$H1033,252-STRUCT_L):$H1033),"")</f>
        <v>2957</v>
      </c>
      <c r="AM1033" s="46" t="n">
        <f aca="false">IF($A1033&lt;&gt;$A1034,1,0)</f>
        <v>0</v>
      </c>
      <c r="AN1033" s="47" t="str">
        <f aca="false">IF($AM1033=1,$A1033,"")</f>
        <v/>
      </c>
    </row>
    <row r="1034" customFormat="false" ht="15" hidden="false" customHeight="false" outlineLevel="0" collapsed="false">
      <c r="A1034" s="43" t="s">
        <v>147</v>
      </c>
      <c r="B1034" s="44" t="s">
        <v>149</v>
      </c>
      <c r="C1034" s="45" t="n">
        <v>46253</v>
      </c>
      <c r="D1034" s="46" t="n">
        <v>20260819</v>
      </c>
      <c r="E1034" s="47" t="s">
        <v>537</v>
      </c>
      <c r="F1034" s="48" t="n">
        <v>3674</v>
      </c>
      <c r="G1034" s="48" t="n">
        <v>3820</v>
      </c>
      <c r="H1034" s="48" t="n">
        <v>3666</v>
      </c>
      <c r="I1034" s="48" t="n">
        <v>3686</v>
      </c>
      <c r="J1034" s="48" t="n">
        <v>3690</v>
      </c>
      <c r="K1034" s="48" t="n">
        <v>3799</v>
      </c>
      <c r="L1034" s="48" t="n">
        <v>67483426</v>
      </c>
      <c r="M1034" s="48" t="n">
        <v>248743908236</v>
      </c>
      <c r="N1034" s="48" t="n">
        <v>3326</v>
      </c>
      <c r="O1034" s="48" t="n">
        <v>13936439</v>
      </c>
      <c r="P1034" s="48" t="n">
        <v>52895841</v>
      </c>
      <c r="Q1034" s="48" t="n">
        <v>1236</v>
      </c>
      <c r="R1034" s="48" t="n">
        <v>1477</v>
      </c>
      <c r="S1034" s="48" t="n">
        <v>53546987</v>
      </c>
      <c r="T1034" s="48" t="n">
        <v>14587585</v>
      </c>
      <c r="U1034" s="46" t="n">
        <f aca="false">IF($A1034=$A1033,$U1033+1,1)</f>
        <v>250</v>
      </c>
      <c r="V1034" s="48" t="n">
        <f aca="false">IF($U1034&gt;=MA_SHORT,AVERAGE(INDEX($I$634:$I1034,402-MA_SHORT):$I1034),"")</f>
        <v>3602.8</v>
      </c>
      <c r="W1034" s="48" t="n">
        <f aca="false">IF($U1034&gt;=MA_MED,AVERAGE(INDEX($I$634:$I1034,402-MA_MED):$I1034),"")</f>
        <v>3415.7</v>
      </c>
      <c r="X1034" s="48" t="n">
        <f aca="false">IF($U1034&gt;=MA_LONG1,AVERAGE(INDEX($I$634:$I1034,402-MA_LONG1):$I1034),"")</f>
        <v>3426.54</v>
      </c>
      <c r="Y1034" s="48" t="n">
        <f aca="false">IF($U1034&gt;=MA_LONG2,AVERAGE(INDEX($I$634:$I1034,402-MA_LONG2):$I1034),"")</f>
        <v>3267.095</v>
      </c>
      <c r="Z1034" s="48" t="n">
        <f aca="false">IF($U1034&gt;=MA_SHORT,AVERAGE(INDEX($L$914:$L1034,122-MA_SHORT):$L1034),"")</f>
        <v>67058413.5</v>
      </c>
      <c r="AA1034" s="48" t="n">
        <f aca="false">IF($U1034=1,$G1034-$H1034,MAX($G1034-$H1034,ABS($G1034-$I1033),ABS($H1034-$I1033)))</f>
        <v>154</v>
      </c>
      <c r="AB1034" s="48" t="n">
        <f aca="false">IF($U1034&gt;=ATR_PER,AVERAGE(INDEX($AA$914:$AA1034,122-ATR_PER):$AA1034),"")</f>
        <v>194.071428571429</v>
      </c>
      <c r="AC1034" s="48" t="n">
        <f aca="false">$O1034-$P1034</f>
        <v>-38959402</v>
      </c>
      <c r="AD1034" s="48" t="n">
        <f aca="false">$AC1034*$I1034</f>
        <v>-143604355772</v>
      </c>
      <c r="AE1034" s="49" t="n">
        <f aca="false">IF($Q1034&gt;0,$O1034*$I1034/$Q1034/1000000,"")</f>
        <v>41.5612574061489</v>
      </c>
      <c r="AF1034" s="49" t="n">
        <f aca="false">IF($R1034&gt;0,$P1034*$I1034/$R1034/1000000,"")</f>
        <v>132.006817823968</v>
      </c>
      <c r="AG1034" s="50" t="n">
        <f aca="false">IF(AND(ISNUMBER($AE1034),ISNUMBER($AF1034),$AF1034&gt;0),$AE1034/$AF1034,"")</f>
        <v>0.31484174901914</v>
      </c>
      <c r="AH1034" s="48" t="n">
        <f aca="false">IF($U1034&gt;=5,SUM(INDEX($AD$1004:$AD1034,32-5):$AD1034),"")</f>
        <v>-269987917172</v>
      </c>
      <c r="AI1034" s="48" t="n">
        <f aca="false">IF($U1034&gt;=STRUCT_S,MAX(INDEX($G$884:$G1034,152-STRUCT_S):$G1034),"")</f>
        <v>3892</v>
      </c>
      <c r="AJ1034" s="48" t="n">
        <f aca="false">IF($U1034&gt;=STRUCT_S,MIN(INDEX($H$884:$H1034,152-STRUCT_S):$H1034),"")</f>
        <v>3080</v>
      </c>
      <c r="AK1034" s="48" t="n">
        <f aca="false">IF($U1034&gt;=STRUCT_L,MAX(INDEX($G$784:$G1034,252-STRUCT_L):$G1034),"")</f>
        <v>3892</v>
      </c>
      <c r="AL1034" s="48" t="n">
        <f aca="false">IF($U1034&gt;=STRUCT_L,MIN(INDEX($H$784:$H1034,252-STRUCT_L):$H1034),"")</f>
        <v>2957</v>
      </c>
      <c r="AM1034" s="46" t="n">
        <f aca="false">IF($A1034&lt;&gt;$A1035,1,0)</f>
        <v>0</v>
      </c>
      <c r="AN1034" s="47" t="str">
        <f aca="false">IF($AM1034=1,$A1034,"")</f>
        <v/>
      </c>
    </row>
    <row r="1035" customFormat="false" ht="15" hidden="false" customHeight="false" outlineLevel="0" collapsed="false">
      <c r="A1035" s="43" t="s">
        <v>147</v>
      </c>
      <c r="B1035" s="44" t="s">
        <v>149</v>
      </c>
      <c r="C1035" s="45" t="n">
        <v>46256</v>
      </c>
      <c r="D1035" s="46" t="n">
        <v>20260822</v>
      </c>
      <c r="E1035" s="47" t="s">
        <v>538</v>
      </c>
      <c r="F1035" s="48" t="n">
        <v>3621</v>
      </c>
      <c r="G1035" s="48" t="n">
        <v>3745</v>
      </c>
      <c r="H1035" s="48" t="n">
        <v>3495</v>
      </c>
      <c r="I1035" s="48" t="n">
        <v>3552</v>
      </c>
      <c r="J1035" s="48" t="n">
        <v>3569</v>
      </c>
      <c r="K1035" s="48" t="n">
        <v>3686</v>
      </c>
      <c r="L1035" s="48" t="n">
        <v>69754195</v>
      </c>
      <c r="M1035" s="48" t="n">
        <v>247766900640</v>
      </c>
      <c r="N1035" s="48" t="n">
        <v>1919</v>
      </c>
      <c r="O1035" s="48" t="n">
        <v>18396603</v>
      </c>
      <c r="P1035" s="48" t="n">
        <v>50387225</v>
      </c>
      <c r="Q1035" s="48" t="n">
        <v>555</v>
      </c>
      <c r="R1035" s="48" t="n">
        <v>928</v>
      </c>
      <c r="S1035" s="48" t="n">
        <v>51357592</v>
      </c>
      <c r="T1035" s="48" t="n">
        <v>19366970</v>
      </c>
      <c r="U1035" s="46" t="n">
        <f aca="false">IF($A1035=$A1034,$U1034+1,1)</f>
        <v>251</v>
      </c>
      <c r="V1035" s="48" t="n">
        <f aca="false">IF($U1035&gt;=MA_SHORT,AVERAGE(INDEX($I$635:$I1035,402-MA_SHORT):$I1035),"")</f>
        <v>3623.3</v>
      </c>
      <c r="W1035" s="48" t="n">
        <f aca="false">IF($U1035&gt;=MA_MED,AVERAGE(INDEX($I$635:$I1035,402-MA_MED):$I1035),"")</f>
        <v>3423.86</v>
      </c>
      <c r="X1035" s="48" t="n">
        <f aca="false">IF($U1035&gt;=MA_LONG1,AVERAGE(INDEX($I$635:$I1035,402-MA_LONG1):$I1035),"")</f>
        <v>3425.42</v>
      </c>
      <c r="Y1035" s="48" t="n">
        <f aca="false">IF($U1035&gt;=MA_LONG2,AVERAGE(INDEX($I$635:$I1035,402-MA_LONG2):$I1035),"")</f>
        <v>3270.545</v>
      </c>
      <c r="Z1035" s="48" t="n">
        <f aca="false">IF($U1035&gt;=MA_SHORT,AVERAGE(INDEX($L$915:$L1035,122-MA_SHORT):$L1035),"")</f>
        <v>67445688.1</v>
      </c>
      <c r="AA1035" s="48" t="n">
        <f aca="false">IF($U1035=1,$G1035-$H1035,MAX($G1035-$H1035,ABS($G1035-$I1034),ABS($H1035-$I1034)))</f>
        <v>250</v>
      </c>
      <c r="AB1035" s="48" t="n">
        <f aca="false">IF($U1035&gt;=ATR_PER,AVERAGE(INDEX($AA$915:$AA1035,122-ATR_PER):$AA1035),"")</f>
        <v>197.785714285714</v>
      </c>
      <c r="AC1035" s="48" t="n">
        <f aca="false">$O1035-$P1035</f>
        <v>-31990622</v>
      </c>
      <c r="AD1035" s="48" t="n">
        <f aca="false">$AC1035*$I1035</f>
        <v>-113630689344</v>
      </c>
      <c r="AE1035" s="49" t="n">
        <f aca="false">IF($Q1035&gt;0,$O1035*$I1035/$Q1035/1000000,"")</f>
        <v>117.7382592</v>
      </c>
      <c r="AF1035" s="49" t="n">
        <f aca="false">IF($R1035&gt;0,$P1035*$I1035/$R1035/1000000,"")</f>
        <v>192.861447413793</v>
      </c>
      <c r="AG1035" s="50" t="n">
        <f aca="false">IF(AND(ISNUMBER($AE1035),ISNUMBER($AF1035),$AF1035&gt;0),$AE1035/$AF1035,"")</f>
        <v>0.610481051443045</v>
      </c>
      <c r="AH1035" s="48" t="n">
        <f aca="false">IF($U1035&gt;=5,SUM(INDEX($AD$1005:$AD1035,32-5):$AD1035),"")</f>
        <v>-334015274216</v>
      </c>
      <c r="AI1035" s="48" t="n">
        <f aca="false">IF($U1035&gt;=STRUCT_S,MAX(INDEX($G$885:$G1035,152-STRUCT_S):$G1035),"")</f>
        <v>3892</v>
      </c>
      <c r="AJ1035" s="48" t="n">
        <f aca="false">IF($U1035&gt;=STRUCT_S,MIN(INDEX($H$885:$H1035,152-STRUCT_S):$H1035),"")</f>
        <v>3080</v>
      </c>
      <c r="AK1035" s="48" t="n">
        <f aca="false">IF($U1035&gt;=STRUCT_L,MAX(INDEX($G$785:$G1035,252-STRUCT_L):$G1035),"")</f>
        <v>3892</v>
      </c>
      <c r="AL1035" s="48" t="n">
        <f aca="false">IF($U1035&gt;=STRUCT_L,MIN(INDEX($H$785:$H1035,252-STRUCT_L):$H1035),"")</f>
        <v>2957</v>
      </c>
      <c r="AM1035" s="46" t="n">
        <f aca="false">IF($A1035&lt;&gt;$A1036,1,0)</f>
        <v>0</v>
      </c>
      <c r="AN1035" s="47" t="str">
        <f aca="false">IF($AM1035=1,$A1035,"")</f>
        <v/>
      </c>
    </row>
    <row r="1036" customFormat="false" ht="15" hidden="false" customHeight="false" outlineLevel="0" collapsed="false">
      <c r="A1036" s="43" t="s">
        <v>147</v>
      </c>
      <c r="B1036" s="44" t="s">
        <v>149</v>
      </c>
      <c r="C1036" s="45" t="n">
        <v>46257</v>
      </c>
      <c r="D1036" s="46" t="n">
        <v>20260823</v>
      </c>
      <c r="E1036" s="47" t="s">
        <v>539</v>
      </c>
      <c r="F1036" s="48" t="n">
        <v>3568</v>
      </c>
      <c r="G1036" s="48" t="n">
        <v>3766</v>
      </c>
      <c r="H1036" s="48" t="n">
        <v>3515</v>
      </c>
      <c r="I1036" s="48" t="n">
        <v>3727</v>
      </c>
      <c r="J1036" s="48" t="n">
        <v>3548</v>
      </c>
      <c r="K1036" s="48" t="n">
        <v>3552</v>
      </c>
      <c r="L1036" s="48" t="n">
        <v>74191300</v>
      </c>
      <c r="M1036" s="48" t="n">
        <v>276510975100</v>
      </c>
      <c r="N1036" s="48" t="n">
        <v>1792</v>
      </c>
      <c r="O1036" s="48" t="n">
        <v>43732417</v>
      </c>
      <c r="P1036" s="48" t="n">
        <v>31485826</v>
      </c>
      <c r="Q1036" s="48" t="n">
        <v>1098</v>
      </c>
      <c r="R1036" s="48" t="n">
        <v>685</v>
      </c>
      <c r="S1036" s="48" t="n">
        <v>30458883</v>
      </c>
      <c r="T1036" s="48" t="n">
        <v>42705474</v>
      </c>
      <c r="U1036" s="46" t="n">
        <f aca="false">IF($A1036=$A1035,$U1035+1,1)</f>
        <v>252</v>
      </c>
      <c r="V1036" s="48" t="n">
        <f aca="false">IF($U1036&gt;=MA_SHORT,AVERAGE(INDEX($I$636:$I1036,402-MA_SHORT):$I1036),"")</f>
        <v>3649.55</v>
      </c>
      <c r="W1036" s="48" t="n">
        <f aca="false">IF($U1036&gt;=MA_MED,AVERAGE(INDEX($I$636:$I1036,402-MA_MED):$I1036),"")</f>
        <v>3435.54</v>
      </c>
      <c r="X1036" s="48" t="n">
        <f aca="false">IF($U1036&gt;=MA_LONG1,AVERAGE(INDEX($I$636:$I1036,402-MA_LONG1):$I1036),"")</f>
        <v>3426.09</v>
      </c>
      <c r="Y1036" s="48" t="n">
        <f aca="false">IF($U1036&gt;=MA_LONG2,AVERAGE(INDEX($I$636:$I1036,402-MA_LONG2):$I1036),"")</f>
        <v>3275.015</v>
      </c>
      <c r="Z1036" s="48" t="n">
        <f aca="false">IF($U1036&gt;=MA_SHORT,AVERAGE(INDEX($L$916:$L1036,122-MA_SHORT):$L1036),"")</f>
        <v>65806807.25</v>
      </c>
      <c r="AA1036" s="48" t="n">
        <f aca="false">IF($U1036=1,$G1036-$H1036,MAX($G1036-$H1036,ABS($G1036-$I1035),ABS($H1036-$I1035)))</f>
        <v>251</v>
      </c>
      <c r="AB1036" s="48" t="n">
        <f aca="false">IF($U1036&gt;=ATR_PER,AVERAGE(INDEX($AA$916:$AA1036,122-ATR_PER):$AA1036),"")</f>
        <v>186.357142857143</v>
      </c>
      <c r="AC1036" s="48" t="n">
        <f aca="false">$O1036-$P1036</f>
        <v>12246591</v>
      </c>
      <c r="AD1036" s="48" t="n">
        <f aca="false">$AC1036*$I1036</f>
        <v>45643044657</v>
      </c>
      <c r="AE1036" s="49" t="n">
        <f aca="false">IF($Q1036&gt;0,$O1036*$I1036/$Q1036/1000000,"")</f>
        <v>148.44327701184</v>
      </c>
      <c r="AF1036" s="49" t="n">
        <f aca="false">IF($R1036&gt;0,$P1036*$I1036/$R1036/1000000,"")</f>
        <v>171.310472265693</v>
      </c>
      <c r="AG1036" s="50" t="n">
        <f aca="false">IF(AND(ISNUMBER($AE1036),ISNUMBER($AF1036),$AF1036&gt;0),$AE1036/$AF1036,"")</f>
        <v>0.866516069032908</v>
      </c>
      <c r="AH1036" s="48" t="n">
        <f aca="false">IF($U1036&gt;=5,SUM(INDEX($AD$1006:$AD1036,32-5):$AD1036),"")</f>
        <v>-267118326327</v>
      </c>
      <c r="AI1036" s="48" t="n">
        <f aca="false">IF($U1036&gt;=STRUCT_S,MAX(INDEX($G$886:$G1036,152-STRUCT_S):$G1036),"")</f>
        <v>3892</v>
      </c>
      <c r="AJ1036" s="48" t="n">
        <f aca="false">IF($U1036&gt;=STRUCT_S,MIN(INDEX($H$886:$H1036,152-STRUCT_S):$H1036),"")</f>
        <v>3193</v>
      </c>
      <c r="AK1036" s="48" t="n">
        <f aca="false">IF($U1036&gt;=STRUCT_L,MAX(INDEX($G$786:$G1036,252-STRUCT_L):$G1036),"")</f>
        <v>3892</v>
      </c>
      <c r="AL1036" s="48" t="n">
        <f aca="false">IF($U1036&gt;=STRUCT_L,MIN(INDEX($H$786:$H1036,252-STRUCT_L):$H1036),"")</f>
        <v>2957</v>
      </c>
      <c r="AM1036" s="46" t="n">
        <f aca="false">IF($A1036&lt;&gt;$A1037,1,0)</f>
        <v>0</v>
      </c>
      <c r="AN1036" s="47" t="str">
        <f aca="false">IF($AM1036=1,$A1036,"")</f>
        <v/>
      </c>
    </row>
    <row r="1037" customFormat="false" ht="15" hidden="false" customHeight="false" outlineLevel="0" collapsed="false">
      <c r="A1037" s="43" t="s">
        <v>147</v>
      </c>
      <c r="B1037" s="44" t="s">
        <v>149</v>
      </c>
      <c r="C1037" s="45" t="n">
        <v>46258</v>
      </c>
      <c r="D1037" s="46" t="n">
        <v>20260824</v>
      </c>
      <c r="E1037" s="47" t="s">
        <v>540</v>
      </c>
      <c r="F1037" s="48" t="n">
        <v>3800</v>
      </c>
      <c r="G1037" s="48" t="n">
        <v>3885</v>
      </c>
      <c r="H1037" s="48" t="n">
        <v>3715</v>
      </c>
      <c r="I1037" s="48" t="n">
        <v>3873</v>
      </c>
      <c r="J1037" s="48" t="n">
        <v>3794</v>
      </c>
      <c r="K1037" s="48" t="n">
        <v>3727</v>
      </c>
      <c r="L1037" s="48" t="n">
        <v>88838924</v>
      </c>
      <c r="M1037" s="48" t="n">
        <v>344073152652</v>
      </c>
      <c r="N1037" s="48" t="n">
        <v>2473</v>
      </c>
      <c r="O1037" s="48" t="n">
        <v>47197182</v>
      </c>
      <c r="P1037" s="48" t="n">
        <v>39000229</v>
      </c>
      <c r="Q1037" s="48" t="n">
        <v>1421</v>
      </c>
      <c r="R1037" s="48" t="n">
        <v>635</v>
      </c>
      <c r="S1037" s="48" t="n">
        <v>41641742</v>
      </c>
      <c r="T1037" s="48" t="n">
        <v>49838695</v>
      </c>
      <c r="U1037" s="46" t="n">
        <f aca="false">IF($A1037=$A1036,$U1036+1,1)</f>
        <v>253</v>
      </c>
      <c r="V1037" s="48" t="n">
        <f aca="false">IF($U1037&gt;=MA_SHORT,AVERAGE(INDEX($I$637:$I1037,402-MA_SHORT):$I1037),"")</f>
        <v>3677.55</v>
      </c>
      <c r="W1037" s="48" t="n">
        <f aca="false">IF($U1037&gt;=MA_MED,AVERAGE(INDEX($I$637:$I1037,402-MA_MED):$I1037),"")</f>
        <v>3448.34</v>
      </c>
      <c r="X1037" s="48" t="n">
        <f aca="false">IF($U1037&gt;=MA_LONG1,AVERAGE(INDEX($I$637:$I1037,402-MA_LONG1):$I1037),"")</f>
        <v>3428.53</v>
      </c>
      <c r="Y1037" s="48" t="n">
        <f aca="false">IF($U1037&gt;=MA_LONG2,AVERAGE(INDEX($I$637:$I1037,402-MA_LONG2):$I1037),"")</f>
        <v>3280.265</v>
      </c>
      <c r="Z1037" s="48" t="n">
        <f aca="false">IF($U1037&gt;=MA_SHORT,AVERAGE(INDEX($L$917:$L1037,122-MA_SHORT):$L1037),"")</f>
        <v>66790040.95</v>
      </c>
      <c r="AA1037" s="48" t="n">
        <f aca="false">IF($U1037=1,$G1037-$H1037,MAX($G1037-$H1037,ABS($G1037-$I1036),ABS($H1037-$I1036)))</f>
        <v>170</v>
      </c>
      <c r="AB1037" s="48" t="n">
        <f aca="false">IF($U1037&gt;=ATR_PER,AVERAGE(INDEX($AA$917:$AA1037,122-ATR_PER):$AA1037),"")</f>
        <v>183.142857142857</v>
      </c>
      <c r="AC1037" s="48" t="n">
        <f aca="false">$O1037-$P1037</f>
        <v>8196953</v>
      </c>
      <c r="AD1037" s="48" t="n">
        <f aca="false">$AC1037*$I1037</f>
        <v>31746798969</v>
      </c>
      <c r="AE1037" s="49" t="n">
        <f aca="false">IF($Q1037&gt;0,$O1037*$I1037/$Q1037/1000000,"")</f>
        <v>128.638061847994</v>
      </c>
      <c r="AF1037" s="49" t="n">
        <f aca="false">IF($R1037&gt;0,$P1037*$I1037/$R1037/1000000,"")</f>
        <v>237.870688058268</v>
      </c>
      <c r="AG1037" s="50" t="n">
        <f aca="false">IF(AND(ISNUMBER($AE1037),ISNUMBER($AF1037),$AF1037&gt;0),$AE1037/$AF1037,"")</f>
        <v>0.540789884193229</v>
      </c>
      <c r="AH1037" s="48" t="n">
        <f aca="false">IF($U1037&gt;=5,SUM(INDEX($AD$1007:$AD1037,32-5):$AD1037),"")</f>
        <v>-186398491686</v>
      </c>
      <c r="AI1037" s="48" t="n">
        <f aca="false">IF($U1037&gt;=STRUCT_S,MAX(INDEX($G$887:$G1037,152-STRUCT_S):$G1037),"")</f>
        <v>3892</v>
      </c>
      <c r="AJ1037" s="48" t="n">
        <f aca="false">IF($U1037&gt;=STRUCT_S,MIN(INDEX($H$887:$H1037,152-STRUCT_S):$H1037),"")</f>
        <v>3286</v>
      </c>
      <c r="AK1037" s="48" t="n">
        <f aca="false">IF($U1037&gt;=STRUCT_L,MAX(INDEX($G$787:$G1037,252-STRUCT_L):$G1037),"")</f>
        <v>3892</v>
      </c>
      <c r="AL1037" s="48" t="n">
        <f aca="false">IF($U1037&gt;=STRUCT_L,MIN(INDEX($H$787:$H1037,252-STRUCT_L):$H1037),"")</f>
        <v>2957</v>
      </c>
      <c r="AM1037" s="46" t="n">
        <f aca="false">IF($A1037&lt;&gt;$A1038,1,0)</f>
        <v>0</v>
      </c>
      <c r="AN1037" s="47" t="str">
        <f aca="false">IF($AM1037=1,$A1037,"")</f>
        <v/>
      </c>
    </row>
    <row r="1038" customFormat="false" ht="15" hidden="false" customHeight="false" outlineLevel="0" collapsed="false">
      <c r="A1038" s="43" t="s">
        <v>147</v>
      </c>
      <c r="B1038" s="44" t="s">
        <v>149</v>
      </c>
      <c r="C1038" s="45" t="n">
        <v>46259</v>
      </c>
      <c r="D1038" s="46" t="n">
        <v>20260825</v>
      </c>
      <c r="E1038" s="47" t="s">
        <v>541</v>
      </c>
      <c r="F1038" s="48" t="n">
        <v>3831</v>
      </c>
      <c r="G1038" s="48" t="n">
        <v>3884</v>
      </c>
      <c r="H1038" s="48" t="n">
        <v>3729</v>
      </c>
      <c r="I1038" s="48" t="n">
        <v>3740</v>
      </c>
      <c r="J1038" s="48" t="n">
        <v>3866</v>
      </c>
      <c r="K1038" s="48" t="n">
        <v>3873</v>
      </c>
      <c r="L1038" s="48" t="n">
        <v>79071549</v>
      </c>
      <c r="M1038" s="48" t="n">
        <v>295727593260</v>
      </c>
      <c r="N1038" s="48" t="n">
        <v>2990</v>
      </c>
      <c r="O1038" s="48" t="n">
        <v>22646659</v>
      </c>
      <c r="P1038" s="48" t="n">
        <v>54168434</v>
      </c>
      <c r="Q1038" s="48" t="n">
        <v>869</v>
      </c>
      <c r="R1038" s="48" t="n">
        <v>2242</v>
      </c>
      <c r="S1038" s="48" t="n">
        <v>56424890</v>
      </c>
      <c r="T1038" s="48" t="n">
        <v>24903115</v>
      </c>
      <c r="U1038" s="46" t="n">
        <f aca="false">IF($A1038=$A1037,$U1037+1,1)</f>
        <v>254</v>
      </c>
      <c r="V1038" s="48" t="n">
        <f aca="false">IF($U1038&gt;=MA_SHORT,AVERAGE(INDEX($I$638:$I1038,402-MA_SHORT):$I1038),"")</f>
        <v>3694.75</v>
      </c>
      <c r="W1038" s="48" t="n">
        <f aca="false">IF($U1038&gt;=MA_MED,AVERAGE(INDEX($I$638:$I1038,402-MA_MED):$I1038),"")</f>
        <v>3460.2</v>
      </c>
      <c r="X1038" s="48" t="n">
        <f aca="false">IF($U1038&gt;=MA_LONG1,AVERAGE(INDEX($I$638:$I1038,402-MA_LONG1):$I1038),"")</f>
        <v>3429.37</v>
      </c>
      <c r="Y1038" s="48" t="n">
        <f aca="false">IF($U1038&gt;=MA_LONG2,AVERAGE(INDEX($I$638:$I1038,402-MA_LONG2):$I1038),"")</f>
        <v>3284.56</v>
      </c>
      <c r="Z1038" s="48" t="n">
        <f aca="false">IF($U1038&gt;=MA_SHORT,AVERAGE(INDEX($L$918:$L1038,122-MA_SHORT):$L1038),"")</f>
        <v>67450048.85</v>
      </c>
      <c r="AA1038" s="48" t="n">
        <f aca="false">IF($U1038=1,$G1038-$H1038,MAX($G1038-$H1038,ABS($G1038-$I1037),ABS($H1038-$I1037)))</f>
        <v>155</v>
      </c>
      <c r="AB1038" s="48" t="n">
        <f aca="false">IF($U1038&gt;=ATR_PER,AVERAGE(INDEX($AA$918:$AA1038,122-ATR_PER):$AA1038),"")</f>
        <v>180.142857142857</v>
      </c>
      <c r="AC1038" s="48" t="n">
        <f aca="false">$O1038-$P1038</f>
        <v>-31521775</v>
      </c>
      <c r="AD1038" s="48" t="n">
        <f aca="false">$AC1038*$I1038</f>
        <v>-117891438500</v>
      </c>
      <c r="AE1038" s="49" t="n">
        <f aca="false">IF($Q1038&gt;0,$O1038*$I1038/$Q1038/1000000,"")</f>
        <v>97.4666336708861</v>
      </c>
      <c r="AF1038" s="49" t="n">
        <f aca="false">IF($R1038&gt;0,$P1038*$I1038/$R1038/1000000,"")</f>
        <v>90.3612592149866</v>
      </c>
      <c r="AG1038" s="50" t="n">
        <f aca="false">IF(AND(ISNUMBER($AE1038),ISNUMBER($AF1038),$AF1038&gt;0),$AE1038/$AF1038,"")</f>
        <v>1.0786329729978</v>
      </c>
      <c r="AH1038" s="48" t="n">
        <f aca="false">IF($U1038&gt;=5,SUM(INDEX($AD$1008:$AD1038,32-5):$AD1038),"")</f>
        <v>-297736639990</v>
      </c>
      <c r="AI1038" s="48" t="n">
        <f aca="false">IF($U1038&gt;=STRUCT_S,MAX(INDEX($G$888:$G1038,152-STRUCT_S):$G1038),"")</f>
        <v>3892</v>
      </c>
      <c r="AJ1038" s="48" t="n">
        <f aca="false">IF($U1038&gt;=STRUCT_S,MIN(INDEX($H$888:$H1038,152-STRUCT_S):$H1038),"")</f>
        <v>3286</v>
      </c>
      <c r="AK1038" s="48" t="n">
        <f aca="false">IF($U1038&gt;=STRUCT_L,MAX(INDEX($G$788:$G1038,252-STRUCT_L):$G1038),"")</f>
        <v>3892</v>
      </c>
      <c r="AL1038" s="48" t="n">
        <f aca="false">IF($U1038&gt;=STRUCT_L,MIN(INDEX($H$788:$H1038,252-STRUCT_L):$H1038),"")</f>
        <v>2957</v>
      </c>
      <c r="AM1038" s="46" t="n">
        <f aca="false">IF($A1038&lt;&gt;$A1039,1,0)</f>
        <v>0</v>
      </c>
      <c r="AN1038" s="47" t="str">
        <f aca="false">IF($AM1038=1,$A1038,"")</f>
        <v/>
      </c>
    </row>
    <row r="1039" customFormat="false" ht="15" hidden="false" customHeight="false" outlineLevel="0" collapsed="false">
      <c r="A1039" s="43" t="s">
        <v>147</v>
      </c>
      <c r="B1039" s="44" t="s">
        <v>149</v>
      </c>
      <c r="C1039" s="45" t="n">
        <v>46260</v>
      </c>
      <c r="D1039" s="46" t="n">
        <v>20260826</v>
      </c>
      <c r="E1039" s="47" t="s">
        <v>542</v>
      </c>
      <c r="F1039" s="48" t="n">
        <v>3866</v>
      </c>
      <c r="G1039" s="48" t="n">
        <v>3925</v>
      </c>
      <c r="H1039" s="48" t="n">
        <v>3731</v>
      </c>
      <c r="I1039" s="48" t="n">
        <v>3915</v>
      </c>
      <c r="J1039" s="48" t="n">
        <v>3853</v>
      </c>
      <c r="K1039" s="48" t="n">
        <v>3740</v>
      </c>
      <c r="L1039" s="48" t="n">
        <v>109962294</v>
      </c>
      <c r="M1039" s="48" t="n">
        <v>430502381010</v>
      </c>
      <c r="N1039" s="48" t="n">
        <v>10279</v>
      </c>
      <c r="O1039" s="48" t="n">
        <v>70152443</v>
      </c>
      <c r="P1039" s="48" t="n">
        <v>36203189</v>
      </c>
      <c r="Q1039" s="48" t="n">
        <v>4021</v>
      </c>
      <c r="R1039" s="48" t="n">
        <v>3393</v>
      </c>
      <c r="S1039" s="48" t="n">
        <v>39809851</v>
      </c>
      <c r="T1039" s="48" t="n">
        <v>73759105</v>
      </c>
      <c r="U1039" s="46" t="n">
        <f aca="false">IF($A1039=$A1038,$U1038+1,1)</f>
        <v>255</v>
      </c>
      <c r="V1039" s="48" t="n">
        <f aca="false">IF($U1039&gt;=MA_SHORT,AVERAGE(INDEX($I$639:$I1039,402-MA_SHORT):$I1039),"")</f>
        <v>3721.35</v>
      </c>
      <c r="W1039" s="48" t="n">
        <f aca="false">IF($U1039&gt;=MA_MED,AVERAGE(INDEX($I$639:$I1039,402-MA_MED):$I1039),"")</f>
        <v>3475.46</v>
      </c>
      <c r="X1039" s="48" t="n">
        <f aca="false">IF($U1039&gt;=MA_LONG1,AVERAGE(INDEX($I$639:$I1039,402-MA_LONG1):$I1039),"")</f>
        <v>3431.63</v>
      </c>
      <c r="Y1039" s="48" t="n">
        <f aca="false">IF($U1039&gt;=MA_LONG2,AVERAGE(INDEX($I$639:$I1039,402-MA_LONG2):$I1039),"")</f>
        <v>3289.715</v>
      </c>
      <c r="Z1039" s="48" t="n">
        <f aca="false">IF($U1039&gt;=MA_SHORT,AVERAGE(INDEX($L$919:$L1039,122-MA_SHORT):$L1039),"")</f>
        <v>70019216.9</v>
      </c>
      <c r="AA1039" s="48" t="n">
        <f aca="false">IF($U1039=1,$G1039-$H1039,MAX($G1039-$H1039,ABS($G1039-$I1038),ABS($H1039-$I1038)))</f>
        <v>194</v>
      </c>
      <c r="AB1039" s="48" t="n">
        <f aca="false">IF($U1039&gt;=ATR_PER,AVERAGE(INDEX($AA$919:$AA1039,122-ATR_PER):$AA1039),"")</f>
        <v>170.428571428571</v>
      </c>
      <c r="AC1039" s="48" t="n">
        <f aca="false">$O1039-$P1039</f>
        <v>33949254</v>
      </c>
      <c r="AD1039" s="48" t="n">
        <f aca="false">$AC1039*$I1039</f>
        <v>132911329410</v>
      </c>
      <c r="AE1039" s="49" t="n">
        <f aca="false">IF($Q1039&gt;0,$O1039*$I1039/$Q1039/1000000,"")</f>
        <v>68.3031122469535</v>
      </c>
      <c r="AF1039" s="49" t="n">
        <f aca="false">IF($R1039&gt;0,$P1039*$I1039/$R1039/1000000,"")</f>
        <v>41.7729103846154</v>
      </c>
      <c r="AG1039" s="50" t="n">
        <f aca="false">IF(AND(ISNUMBER($AE1039),ISNUMBER($AF1039),$AF1039&gt;0),$AE1039/$AF1039,"")</f>
        <v>1.63510542162533</v>
      </c>
      <c r="AH1039" s="48" t="n">
        <f aca="false">IF($U1039&gt;=5,SUM(INDEX($AD$1009:$AD1039,32-5):$AD1039),"")</f>
        <v>-21220954808</v>
      </c>
      <c r="AI1039" s="48" t="n">
        <f aca="false">IF($U1039&gt;=STRUCT_S,MAX(INDEX($G$889:$G1039,152-STRUCT_S):$G1039),"")</f>
        <v>3925</v>
      </c>
      <c r="AJ1039" s="48" t="n">
        <f aca="false">IF($U1039&gt;=STRUCT_S,MIN(INDEX($H$889:$H1039,152-STRUCT_S):$H1039),"")</f>
        <v>3371</v>
      </c>
      <c r="AK1039" s="48" t="n">
        <f aca="false">IF($U1039&gt;=STRUCT_L,MAX(INDEX($G$789:$G1039,252-STRUCT_L):$G1039),"")</f>
        <v>3925</v>
      </c>
      <c r="AL1039" s="48" t="n">
        <f aca="false">IF($U1039&gt;=STRUCT_L,MIN(INDEX($H$789:$H1039,252-STRUCT_L):$H1039),"")</f>
        <v>3005</v>
      </c>
      <c r="AM1039" s="46" t="n">
        <f aca="false">IF($A1039&lt;&gt;$A1040,1,0)</f>
        <v>0</v>
      </c>
      <c r="AN1039" s="47" t="str">
        <f aca="false">IF($AM1039=1,$A1039,"")</f>
        <v/>
      </c>
    </row>
    <row r="1040" customFormat="false" ht="15" hidden="false" customHeight="false" outlineLevel="0" collapsed="false">
      <c r="A1040" s="43" t="s">
        <v>147</v>
      </c>
      <c r="B1040" s="44" t="s">
        <v>149</v>
      </c>
      <c r="C1040" s="45" t="n">
        <v>46263</v>
      </c>
      <c r="D1040" s="46" t="n">
        <v>20260829</v>
      </c>
      <c r="E1040" s="47" t="s">
        <v>543</v>
      </c>
      <c r="F1040" s="48" t="n">
        <v>3859</v>
      </c>
      <c r="G1040" s="48" t="n">
        <v>3965</v>
      </c>
      <c r="H1040" s="48" t="n">
        <v>3739</v>
      </c>
      <c r="I1040" s="48" t="n">
        <v>3787</v>
      </c>
      <c r="J1040" s="48" t="n">
        <v>3821</v>
      </c>
      <c r="K1040" s="48" t="n">
        <v>3915</v>
      </c>
      <c r="L1040" s="48" t="n">
        <v>68497026</v>
      </c>
      <c r="M1040" s="48" t="n">
        <v>259398237462</v>
      </c>
      <c r="N1040" s="48" t="n">
        <v>1965</v>
      </c>
      <c r="O1040" s="48" t="n">
        <v>21916925</v>
      </c>
      <c r="P1040" s="48" t="n">
        <v>42996045</v>
      </c>
      <c r="Q1040" s="48" t="n">
        <v>597</v>
      </c>
      <c r="R1040" s="48" t="n">
        <v>1277</v>
      </c>
      <c r="S1040" s="48" t="n">
        <v>46580101</v>
      </c>
      <c r="T1040" s="48" t="n">
        <v>25500981</v>
      </c>
      <c r="U1040" s="46" t="n">
        <f aca="false">IF($A1040=$A1039,$U1039+1,1)</f>
        <v>256</v>
      </c>
      <c r="V1040" s="48" t="n">
        <f aca="false">IF($U1040&gt;=MA_SHORT,AVERAGE(INDEX($I$640:$I1040,402-MA_SHORT):$I1040),"")</f>
        <v>3736.85</v>
      </c>
      <c r="W1040" s="48" t="n">
        <f aca="false">IF($U1040&gt;=MA_MED,AVERAGE(INDEX($I$640:$I1040,402-MA_MED):$I1040),"")</f>
        <v>3486.26</v>
      </c>
      <c r="X1040" s="48" t="n">
        <f aca="false">IF($U1040&gt;=MA_LONG1,AVERAGE(INDEX($I$640:$I1040,402-MA_LONG1):$I1040),"")</f>
        <v>3431.69</v>
      </c>
      <c r="Y1040" s="48" t="n">
        <f aca="false">IF($U1040&gt;=MA_LONG2,AVERAGE(INDEX($I$640:$I1040,402-MA_LONG2):$I1040),"")</f>
        <v>3294.53</v>
      </c>
      <c r="Z1040" s="48" t="n">
        <f aca="false">IF($U1040&gt;=MA_SHORT,AVERAGE(INDEX($L$920:$L1040,122-MA_SHORT):$L1040),"")</f>
        <v>70103545.3</v>
      </c>
      <c r="AA1040" s="48" t="n">
        <f aca="false">IF($U1040=1,$G1040-$H1040,MAX($G1040-$H1040,ABS($G1040-$I1039),ABS($H1040-$I1039)))</f>
        <v>226</v>
      </c>
      <c r="AB1040" s="48" t="n">
        <f aca="false">IF($U1040&gt;=ATR_PER,AVERAGE(INDEX($AA$920:$AA1040,122-ATR_PER):$AA1040),"")</f>
        <v>173.714285714286</v>
      </c>
      <c r="AC1040" s="48" t="n">
        <f aca="false">$O1040-$P1040</f>
        <v>-21079120</v>
      </c>
      <c r="AD1040" s="48" t="n">
        <f aca="false">$AC1040*$I1040</f>
        <v>-79826627440</v>
      </c>
      <c r="AE1040" s="49" t="n">
        <f aca="false">IF($Q1040&gt;0,$O1040*$I1040/$Q1040/1000000,"")</f>
        <v>139.027462269682</v>
      </c>
      <c r="AF1040" s="49" t="n">
        <f aca="false">IF($R1040&gt;0,$P1040*$I1040/$R1040/1000000,"")</f>
        <v>127.506673778387</v>
      </c>
      <c r="AG1040" s="50" t="n">
        <f aca="false">IF(AND(ISNUMBER($AE1040),ISNUMBER($AF1040),$AF1040&gt;0),$AE1040/$AF1040,"")</f>
        <v>1.09035439596925</v>
      </c>
      <c r="AH1040" s="48" t="n">
        <f aca="false">IF($U1040&gt;=5,SUM(INDEX($AD$1010:$AD1040,32-5):$AD1040),"")</f>
        <v>12583107096</v>
      </c>
      <c r="AI1040" s="48" t="n">
        <f aca="false">IF($U1040&gt;=STRUCT_S,MAX(INDEX($G$890:$G1040,152-STRUCT_S):$G1040),"")</f>
        <v>3965</v>
      </c>
      <c r="AJ1040" s="48" t="n">
        <f aca="false">IF($U1040&gt;=STRUCT_S,MIN(INDEX($H$890:$H1040,152-STRUCT_S):$H1040),"")</f>
        <v>3428</v>
      </c>
      <c r="AK1040" s="48" t="n">
        <f aca="false">IF($U1040&gt;=STRUCT_L,MAX(INDEX($G$790:$G1040,252-STRUCT_L):$G1040),"")</f>
        <v>3965</v>
      </c>
      <c r="AL1040" s="48" t="n">
        <f aca="false">IF($U1040&gt;=STRUCT_L,MIN(INDEX($H$790:$H1040,252-STRUCT_L):$H1040),"")</f>
        <v>3005</v>
      </c>
      <c r="AM1040" s="46" t="n">
        <f aca="false">IF($A1040&lt;&gt;$A1041,1,0)</f>
        <v>0</v>
      </c>
      <c r="AN1040" s="47" t="str">
        <f aca="false">IF($AM1040=1,$A1040,"")</f>
        <v/>
      </c>
    </row>
    <row r="1041" customFormat="false" ht="15" hidden="false" customHeight="false" outlineLevel="0" collapsed="false">
      <c r="A1041" s="43" t="s">
        <v>147</v>
      </c>
      <c r="B1041" s="44" t="s">
        <v>149</v>
      </c>
      <c r="C1041" s="45" t="n">
        <v>46264</v>
      </c>
      <c r="D1041" s="46" t="n">
        <v>20260830</v>
      </c>
      <c r="E1041" s="47" t="s">
        <v>544</v>
      </c>
      <c r="F1041" s="48" t="n">
        <v>3860</v>
      </c>
      <c r="G1041" s="48" t="n">
        <v>3885</v>
      </c>
      <c r="H1041" s="48" t="n">
        <v>3635</v>
      </c>
      <c r="I1041" s="48" t="n">
        <v>3732</v>
      </c>
      <c r="J1041" s="48" t="n">
        <v>3646</v>
      </c>
      <c r="K1041" s="48" t="n">
        <v>3787</v>
      </c>
      <c r="L1041" s="48" t="n">
        <v>68379219</v>
      </c>
      <c r="M1041" s="48" t="n">
        <v>255191245308</v>
      </c>
      <c r="N1041" s="48" t="n">
        <v>2239</v>
      </c>
      <c r="O1041" s="48" t="n">
        <v>23598152</v>
      </c>
      <c r="P1041" s="48" t="n">
        <v>48886782</v>
      </c>
      <c r="Q1041" s="48" t="n">
        <v>522</v>
      </c>
      <c r="R1041" s="48" t="n">
        <v>959</v>
      </c>
      <c r="S1041" s="48" t="n">
        <v>44781067</v>
      </c>
      <c r="T1041" s="48" t="n">
        <v>19492437</v>
      </c>
      <c r="U1041" s="46" t="n">
        <f aca="false">IF($A1041=$A1040,$U1040+1,1)</f>
        <v>257</v>
      </c>
      <c r="V1041" s="48" t="n">
        <f aca="false">IF($U1041&gt;=MA_SHORT,AVERAGE(INDEX($I$641:$I1041,402-MA_SHORT):$I1041),"")</f>
        <v>3744.65</v>
      </c>
      <c r="W1041" s="48" t="n">
        <f aca="false">IF($U1041&gt;=MA_MED,AVERAGE(INDEX($I$641:$I1041,402-MA_MED):$I1041),"")</f>
        <v>3495.06</v>
      </c>
      <c r="X1041" s="48" t="n">
        <f aca="false">IF($U1041&gt;=MA_LONG1,AVERAGE(INDEX($I$641:$I1041,402-MA_LONG1):$I1041),"")</f>
        <v>3430.24</v>
      </c>
      <c r="Y1041" s="48" t="n">
        <f aca="false">IF($U1041&gt;=MA_LONG2,AVERAGE(INDEX($I$641:$I1041,402-MA_LONG2):$I1041),"")</f>
        <v>3298.625</v>
      </c>
      <c r="Z1041" s="48" t="n">
        <f aca="false">IF($U1041&gt;=MA_SHORT,AVERAGE(INDEX($L$921:$L1041,122-MA_SHORT):$L1041),"")</f>
        <v>70170184.15</v>
      </c>
      <c r="AA1041" s="48" t="n">
        <f aca="false">IF($U1041=1,$G1041-$H1041,MAX($G1041-$H1041,ABS($G1041-$I1040),ABS($H1041-$I1040)))</f>
        <v>250</v>
      </c>
      <c r="AB1041" s="48" t="n">
        <f aca="false">IF($U1041&gt;=ATR_PER,AVERAGE(INDEX($AA$921:$AA1041,122-ATR_PER):$AA1041),"")</f>
        <v>178.214285714286</v>
      </c>
      <c r="AC1041" s="48" t="n">
        <f aca="false">$O1041-$P1041</f>
        <v>-25288630</v>
      </c>
      <c r="AD1041" s="48" t="n">
        <f aca="false">$AC1041*$I1041</f>
        <v>-94377167160</v>
      </c>
      <c r="AE1041" s="49" t="n">
        <f aca="false">IF($Q1041&gt;0,$O1041*$I1041/$Q1041/1000000,"")</f>
        <v>168.713224643678</v>
      </c>
      <c r="AF1041" s="49" t="n">
        <f aca="false">IF($R1041&gt;0,$P1041*$I1041/$R1041/1000000,"")</f>
        <v>190.245537459854</v>
      </c>
      <c r="AG1041" s="50" t="n">
        <f aca="false">IF(AND(ISNUMBER($AE1041),ISNUMBER($AF1041),$AF1041&gt;0),$AE1041/$AF1041,"")</f>
        <v>0.886818302790836</v>
      </c>
      <c r="AH1041" s="48" t="n">
        <f aca="false">IF($U1041&gt;=5,SUM(INDEX($AD$1011:$AD1041,32-5):$AD1041),"")</f>
        <v>-127437104721</v>
      </c>
      <c r="AI1041" s="48" t="n">
        <f aca="false">IF($U1041&gt;=STRUCT_S,MAX(INDEX($G$891:$G1041,152-STRUCT_S):$G1041),"")</f>
        <v>3965</v>
      </c>
      <c r="AJ1041" s="48" t="n">
        <f aca="false">IF($U1041&gt;=STRUCT_S,MIN(INDEX($H$891:$H1041,152-STRUCT_S):$H1041),"")</f>
        <v>3455</v>
      </c>
      <c r="AK1041" s="48" t="n">
        <f aca="false">IF($U1041&gt;=STRUCT_L,MAX(INDEX($G$791:$G1041,252-STRUCT_L):$G1041),"")</f>
        <v>3965</v>
      </c>
      <c r="AL1041" s="48" t="n">
        <f aca="false">IF($U1041&gt;=STRUCT_L,MIN(INDEX($H$791:$H1041,252-STRUCT_L):$H1041),"")</f>
        <v>3005</v>
      </c>
      <c r="AM1041" s="46" t="n">
        <f aca="false">IF($A1041&lt;&gt;$A1042,1,0)</f>
        <v>0</v>
      </c>
      <c r="AN1041" s="47" t="str">
        <f aca="false">IF($AM1041=1,$A1041,"")</f>
        <v/>
      </c>
    </row>
    <row r="1042" customFormat="false" ht="15" hidden="false" customHeight="false" outlineLevel="0" collapsed="false">
      <c r="A1042" s="43" t="s">
        <v>147</v>
      </c>
      <c r="B1042" s="44" t="s">
        <v>149</v>
      </c>
      <c r="C1042" s="45" t="n">
        <v>46265</v>
      </c>
      <c r="D1042" s="46" t="n">
        <v>20260831</v>
      </c>
      <c r="E1042" s="47" t="s">
        <v>545</v>
      </c>
      <c r="F1042" s="48" t="n">
        <v>3840</v>
      </c>
      <c r="G1042" s="48" t="n">
        <v>3930</v>
      </c>
      <c r="H1042" s="48" t="n">
        <v>3703</v>
      </c>
      <c r="I1042" s="48" t="n">
        <v>3899</v>
      </c>
      <c r="J1042" s="48" t="n">
        <v>3820</v>
      </c>
      <c r="K1042" s="48" t="n">
        <v>3732</v>
      </c>
      <c r="L1042" s="48" t="n">
        <v>72638345</v>
      </c>
      <c r="M1042" s="48" t="n">
        <v>283216907155</v>
      </c>
      <c r="N1042" s="48" t="n">
        <v>2644</v>
      </c>
      <c r="O1042" s="48" t="n">
        <v>42575784</v>
      </c>
      <c r="P1042" s="48" t="n">
        <v>27561559</v>
      </c>
      <c r="Q1042" s="48" t="n">
        <v>1117</v>
      </c>
      <c r="R1042" s="48" t="n">
        <v>775</v>
      </c>
      <c r="S1042" s="48" t="n">
        <v>30062561</v>
      </c>
      <c r="T1042" s="48" t="n">
        <v>45076786</v>
      </c>
      <c r="U1042" s="46" t="n">
        <f aca="false">IF($A1042=$A1041,$U1041+1,1)</f>
        <v>258</v>
      </c>
      <c r="V1042" s="48" t="n">
        <f aca="false">IF($U1042&gt;=MA_SHORT,AVERAGE(INDEX($I$642:$I1042,402-MA_SHORT):$I1042),"")</f>
        <v>3752.65</v>
      </c>
      <c r="W1042" s="48" t="n">
        <f aca="false">IF($U1042&gt;=MA_MED,AVERAGE(INDEX($I$642:$I1042,402-MA_MED):$I1042),"")</f>
        <v>3507.18</v>
      </c>
      <c r="X1042" s="48" t="n">
        <f aca="false">IF($U1042&gt;=MA_LONG1,AVERAGE(INDEX($I$642:$I1042,402-MA_LONG1):$I1042),"")</f>
        <v>3429.98</v>
      </c>
      <c r="Y1042" s="48" t="n">
        <f aca="false">IF($U1042&gt;=MA_LONG2,AVERAGE(INDEX($I$642:$I1042,402-MA_LONG2):$I1042),"")</f>
        <v>3303.575</v>
      </c>
      <c r="Z1042" s="48" t="n">
        <f aca="false">IF($U1042&gt;=MA_SHORT,AVERAGE(INDEX($L$922:$L1042,122-MA_SHORT):$L1042),"")</f>
        <v>70155864.8</v>
      </c>
      <c r="AA1042" s="48" t="n">
        <f aca="false">IF($U1042=1,$G1042-$H1042,MAX($G1042-$H1042,ABS($G1042-$I1041),ABS($H1042-$I1041)))</f>
        <v>227</v>
      </c>
      <c r="AB1042" s="48" t="n">
        <f aca="false">IF($U1042&gt;=ATR_PER,AVERAGE(INDEX($AA$922:$AA1042,122-ATR_PER):$AA1042),"")</f>
        <v>189.214285714286</v>
      </c>
      <c r="AC1042" s="48" t="n">
        <f aca="false">$O1042-$P1042</f>
        <v>15014225</v>
      </c>
      <c r="AD1042" s="48" t="n">
        <f aca="false">$AC1042*$I1042</f>
        <v>58540463275</v>
      </c>
      <c r="AE1042" s="49" t="n">
        <f aca="false">IF($Q1042&gt;0,$O1042*$I1042/$Q1042/1000000,"")</f>
        <v>148.615024007162</v>
      </c>
      <c r="AF1042" s="49" t="n">
        <f aca="false">IF($R1042&gt;0,$P1042*$I1042/$R1042/1000000,"")</f>
        <v>138.661314246452</v>
      </c>
      <c r="AG1042" s="50" t="n">
        <f aca="false">IF(AND(ISNUMBER($AE1042),ISNUMBER($AF1042),$AF1042&gt;0),$AE1042/$AF1042,"")</f>
        <v>1.07178433159099</v>
      </c>
      <c r="AH1042" s="48" t="n">
        <f aca="false">IF($U1042&gt;=5,SUM(INDEX($AD$1012:$AD1042,32-5):$AD1042),"")</f>
        <v>-100643440415</v>
      </c>
      <c r="AI1042" s="48" t="n">
        <f aca="false">IF($U1042&gt;=STRUCT_S,MAX(INDEX($G$892:$G1042,152-STRUCT_S):$G1042),"")</f>
        <v>3965</v>
      </c>
      <c r="AJ1042" s="48" t="n">
        <f aca="false">IF($U1042&gt;=STRUCT_S,MIN(INDEX($H$892:$H1042,152-STRUCT_S):$H1042),"")</f>
        <v>3495</v>
      </c>
      <c r="AK1042" s="48" t="n">
        <f aca="false">IF($U1042&gt;=STRUCT_L,MAX(INDEX($G$792:$G1042,252-STRUCT_L):$G1042),"")</f>
        <v>3965</v>
      </c>
      <c r="AL1042" s="48" t="n">
        <f aca="false">IF($U1042&gt;=STRUCT_L,MIN(INDEX($H$792:$H1042,252-STRUCT_L):$H1042),"")</f>
        <v>3005</v>
      </c>
      <c r="AM1042" s="46" t="n">
        <f aca="false">IF($A1042&lt;&gt;$A1043,1,0)</f>
        <v>0</v>
      </c>
      <c r="AN1042" s="47" t="str">
        <f aca="false">IF($AM1042=1,$A1042,"")</f>
        <v/>
      </c>
    </row>
    <row r="1043" customFormat="false" ht="15" hidden="false" customHeight="false" outlineLevel="0" collapsed="false">
      <c r="A1043" s="43" t="s">
        <v>147</v>
      </c>
      <c r="B1043" s="44" t="s">
        <v>149</v>
      </c>
      <c r="C1043" s="45" t="n">
        <v>46266</v>
      </c>
      <c r="D1043" s="46" t="n">
        <v>20260901</v>
      </c>
      <c r="E1043" s="47" t="s">
        <v>546</v>
      </c>
      <c r="F1043" s="48" t="n">
        <v>3867</v>
      </c>
      <c r="G1043" s="48" t="n">
        <v>4003</v>
      </c>
      <c r="H1043" s="48" t="n">
        <v>3866</v>
      </c>
      <c r="I1043" s="48" t="n">
        <v>3969</v>
      </c>
      <c r="J1043" s="48" t="n">
        <v>3964</v>
      </c>
      <c r="K1043" s="48" t="n">
        <v>3899</v>
      </c>
      <c r="L1043" s="48" t="n">
        <v>63432130</v>
      </c>
      <c r="M1043" s="48" t="n">
        <v>251762123970</v>
      </c>
      <c r="N1043" s="48" t="n">
        <v>1470</v>
      </c>
      <c r="O1043" s="48" t="n">
        <v>32578869</v>
      </c>
      <c r="P1043" s="48" t="n">
        <v>29403905</v>
      </c>
      <c r="Q1043" s="48" t="n">
        <v>647</v>
      </c>
      <c r="R1043" s="48" t="n">
        <v>612</v>
      </c>
      <c r="S1043" s="48" t="n">
        <v>30853261</v>
      </c>
      <c r="T1043" s="48" t="n">
        <v>34028225</v>
      </c>
      <c r="U1043" s="46" t="n">
        <f aca="false">IF($A1043=$A1042,$U1042+1,1)</f>
        <v>259</v>
      </c>
      <c r="V1043" s="48" t="n">
        <f aca="false">IF($U1043&gt;=MA_SHORT,AVERAGE(INDEX($I$643:$I1043,402-MA_SHORT):$I1043),"")</f>
        <v>3761.55</v>
      </c>
      <c r="W1043" s="48" t="n">
        <f aca="false">IF($U1043&gt;=MA_MED,AVERAGE(INDEX($I$643:$I1043,402-MA_MED):$I1043),"")</f>
        <v>3521.02</v>
      </c>
      <c r="X1043" s="48" t="n">
        <f aca="false">IF($U1043&gt;=MA_LONG1,AVERAGE(INDEX($I$643:$I1043,402-MA_LONG1):$I1043),"")</f>
        <v>3430.29</v>
      </c>
      <c r="Y1043" s="48" t="n">
        <f aca="false">IF($U1043&gt;=MA_LONG2,AVERAGE(INDEX($I$643:$I1043,402-MA_LONG2):$I1043),"")</f>
        <v>3308.7</v>
      </c>
      <c r="Z1043" s="48" t="n">
        <f aca="false">IF($U1043&gt;=MA_SHORT,AVERAGE(INDEX($L$923:$L1043,122-MA_SHORT):$L1043),"")</f>
        <v>70225369.05</v>
      </c>
      <c r="AA1043" s="48" t="n">
        <f aca="false">IF($U1043=1,$G1043-$H1043,MAX($G1043-$H1043,ABS($G1043-$I1042),ABS($H1043-$I1042)))</f>
        <v>137</v>
      </c>
      <c r="AB1043" s="48" t="n">
        <f aca="false">IF($U1043&gt;=ATR_PER,AVERAGE(INDEX($AA$923:$AA1043,122-ATR_PER):$AA1043),"")</f>
        <v>177.142857142857</v>
      </c>
      <c r="AC1043" s="48" t="n">
        <f aca="false">$O1043-$P1043</f>
        <v>3174964</v>
      </c>
      <c r="AD1043" s="48" t="n">
        <f aca="false">$AC1043*$I1043</f>
        <v>12601432116</v>
      </c>
      <c r="AE1043" s="49" t="n">
        <f aca="false">IF($Q1043&gt;0,$O1043*$I1043/$Q1043/1000000,"")</f>
        <v>199.853989275116</v>
      </c>
      <c r="AF1043" s="49" t="n">
        <f aca="false">IF($R1043&gt;0,$P1043*$I1043/$R1043/1000000,"")</f>
        <v>190.692972132353</v>
      </c>
      <c r="AG1043" s="50" t="n">
        <f aca="false">IF(AND(ISNUMBER($AE1043),ISNUMBER($AF1043),$AF1043&gt;0),$AE1043/$AF1043,"")</f>
        <v>1.04804066474146</v>
      </c>
      <c r="AH1043" s="48" t="n">
        <f aca="false">IF($U1043&gt;=5,SUM(INDEX($AD$1013:$AD1043,32-5):$AD1043),"")</f>
        <v>29849430201</v>
      </c>
      <c r="AI1043" s="48" t="n">
        <f aca="false">IF($U1043&gt;=STRUCT_S,MAX(INDEX($G$893:$G1043,152-STRUCT_S):$G1043),"")</f>
        <v>4003</v>
      </c>
      <c r="AJ1043" s="48" t="n">
        <f aca="false">IF($U1043&gt;=STRUCT_S,MIN(INDEX($H$893:$H1043,152-STRUCT_S):$H1043),"")</f>
        <v>3495</v>
      </c>
      <c r="AK1043" s="48" t="n">
        <f aca="false">IF($U1043&gt;=STRUCT_L,MAX(INDEX($G$793:$G1043,252-STRUCT_L):$G1043),"")</f>
        <v>4003</v>
      </c>
      <c r="AL1043" s="48" t="n">
        <f aca="false">IF($U1043&gt;=STRUCT_L,MIN(INDEX($H$793:$H1043,252-STRUCT_L):$H1043),"")</f>
        <v>3005</v>
      </c>
      <c r="AM1043" s="46" t="n">
        <f aca="false">IF($A1043&lt;&gt;$A1044,1,0)</f>
        <v>0</v>
      </c>
      <c r="AN1043" s="47" t="str">
        <f aca="false">IF($AM1043=1,$A1043,"")</f>
        <v/>
      </c>
    </row>
    <row r="1044" customFormat="false" ht="15" hidden="false" customHeight="false" outlineLevel="0" collapsed="false">
      <c r="A1044" s="43" t="s">
        <v>147</v>
      </c>
      <c r="B1044" s="44" t="s">
        <v>149</v>
      </c>
      <c r="C1044" s="45" t="n">
        <v>46267</v>
      </c>
      <c r="D1044" s="46" t="n">
        <v>20260902</v>
      </c>
      <c r="E1044" s="47" t="s">
        <v>547</v>
      </c>
      <c r="F1044" s="48" t="n">
        <v>3928</v>
      </c>
      <c r="G1044" s="48" t="n">
        <v>4054</v>
      </c>
      <c r="H1044" s="48" t="n">
        <v>3748</v>
      </c>
      <c r="I1044" s="48" t="n">
        <v>3830</v>
      </c>
      <c r="J1044" s="48" t="n">
        <v>3785</v>
      </c>
      <c r="K1044" s="48" t="n">
        <v>3969</v>
      </c>
      <c r="L1044" s="48" t="n">
        <v>69296422</v>
      </c>
      <c r="M1044" s="48" t="n">
        <v>265405296260</v>
      </c>
      <c r="N1044" s="48" t="n">
        <v>3524</v>
      </c>
      <c r="O1044" s="48" t="n">
        <v>15886813</v>
      </c>
      <c r="P1044" s="48" t="n">
        <v>51829886</v>
      </c>
      <c r="Q1044" s="48" t="n">
        <v>1053</v>
      </c>
      <c r="R1044" s="48" t="n">
        <v>2364</v>
      </c>
      <c r="S1044" s="48" t="n">
        <v>53409609</v>
      </c>
      <c r="T1044" s="48" t="n">
        <v>17466536</v>
      </c>
      <c r="U1044" s="46" t="n">
        <f aca="false">IF($A1044=$A1043,$U1043+1,1)</f>
        <v>260</v>
      </c>
      <c r="V1044" s="48" t="n">
        <f aca="false">IF($U1044&gt;=MA_SHORT,AVERAGE(INDEX($I$644:$I1044,402-MA_SHORT):$I1044),"")</f>
        <v>3765.35</v>
      </c>
      <c r="W1044" s="48" t="n">
        <f aca="false">IF($U1044&gt;=MA_MED,AVERAGE(INDEX($I$644:$I1044,402-MA_MED):$I1044),"")</f>
        <v>3531.4</v>
      </c>
      <c r="X1044" s="48" t="n">
        <f aca="false">IF($U1044&gt;=MA_LONG1,AVERAGE(INDEX($I$644:$I1044,402-MA_LONG1):$I1044),"")</f>
        <v>3429.21</v>
      </c>
      <c r="Y1044" s="48" t="n">
        <f aca="false">IF($U1044&gt;=MA_LONG2,AVERAGE(INDEX($I$644:$I1044,402-MA_LONG2):$I1044),"")</f>
        <v>3313.22</v>
      </c>
      <c r="Z1044" s="48" t="n">
        <f aca="false">IF($U1044&gt;=MA_SHORT,AVERAGE(INDEX($L$924:$L1044,122-MA_SHORT):$L1044),"")</f>
        <v>70659338.35</v>
      </c>
      <c r="AA1044" s="48" t="n">
        <f aca="false">IF($U1044=1,$G1044-$H1044,MAX($G1044-$H1044,ABS($G1044-$I1043),ABS($H1044-$I1043)))</f>
        <v>306</v>
      </c>
      <c r="AB1044" s="48" t="n">
        <f aca="false">IF($U1044&gt;=ATR_PER,AVERAGE(INDEX($AA$924:$AA1044,122-ATR_PER):$AA1044),"")</f>
        <v>191.428571428571</v>
      </c>
      <c r="AC1044" s="48" t="n">
        <f aca="false">$O1044-$P1044</f>
        <v>-35943073</v>
      </c>
      <c r="AD1044" s="48" t="n">
        <f aca="false">$AC1044*$I1044</f>
        <v>-137661969590</v>
      </c>
      <c r="AE1044" s="49" t="n">
        <f aca="false">IF($Q1044&gt;0,$O1044*$I1044/$Q1044/1000000,"")</f>
        <v>57.7839447198481</v>
      </c>
      <c r="AF1044" s="49" t="n">
        <f aca="false">IF($R1044&gt;0,$P1044*$I1044/$R1044/1000000,"")</f>
        <v>83.9714312098139</v>
      </c>
      <c r="AG1044" s="50" t="n">
        <f aca="false">IF(AND(ISNUMBER($AE1044),ISNUMBER($AF1044),$AF1044&gt;0),$AE1044/$AF1044,"")</f>
        <v>0.688138142786529</v>
      </c>
      <c r="AH1044" s="48" t="n">
        <f aca="false">IF($U1044&gt;=5,SUM(INDEX($AD$1014:$AD1044,32-5):$AD1044),"")</f>
        <v>-240723868799</v>
      </c>
      <c r="AI1044" s="48" t="n">
        <f aca="false">IF($U1044&gt;=STRUCT_S,MAX(INDEX($G$894:$G1044,152-STRUCT_S):$G1044),"")</f>
        <v>4054</v>
      </c>
      <c r="AJ1044" s="48" t="n">
        <f aca="false">IF($U1044&gt;=STRUCT_S,MIN(INDEX($H$894:$H1044,152-STRUCT_S):$H1044),"")</f>
        <v>3495</v>
      </c>
      <c r="AK1044" s="48" t="n">
        <f aca="false">IF($U1044&gt;=STRUCT_L,MAX(INDEX($G$794:$G1044,252-STRUCT_L):$G1044),"")</f>
        <v>4054</v>
      </c>
      <c r="AL1044" s="48" t="n">
        <f aca="false">IF($U1044&gt;=STRUCT_L,MIN(INDEX($H$794:$H1044,252-STRUCT_L):$H1044),"")</f>
        <v>3005</v>
      </c>
      <c r="AM1044" s="46" t="n">
        <f aca="false">IF($A1044&lt;&gt;$A1045,1,0)</f>
        <v>1</v>
      </c>
      <c r="AN1044" s="47" t="str">
        <f aca="false">IF($AM1044=1,$A1044,"")</f>
        <v>خودرو</v>
      </c>
    </row>
    <row r="1045" customFormat="false" ht="15" hidden="false" customHeight="false" outlineLevel="0" collapsed="false">
      <c r="A1045" s="43" t="s">
        <v>152</v>
      </c>
      <c r="B1045" s="44" t="s">
        <v>154</v>
      </c>
      <c r="C1045" s="45" t="n">
        <v>45906</v>
      </c>
      <c r="D1045" s="46" t="n">
        <v>20250906</v>
      </c>
      <c r="E1045" s="47" t="s">
        <v>288</v>
      </c>
      <c r="F1045" s="48" t="n">
        <v>4946</v>
      </c>
      <c r="G1045" s="48" t="n">
        <v>5039</v>
      </c>
      <c r="H1045" s="48" t="n">
        <v>4936</v>
      </c>
      <c r="I1045" s="48" t="n">
        <v>4984</v>
      </c>
      <c r="J1045" s="48" t="n">
        <v>5004</v>
      </c>
      <c r="K1045" s="48" t="n">
        <v>4990</v>
      </c>
      <c r="L1045" s="48" t="n">
        <v>78254803</v>
      </c>
      <c r="M1045" s="48" t="n">
        <v>390021938152</v>
      </c>
      <c r="N1045" s="48" t="n">
        <v>4968</v>
      </c>
      <c r="O1045" s="48" t="n">
        <v>37598266</v>
      </c>
      <c r="P1045" s="48" t="n">
        <v>39409320</v>
      </c>
      <c r="Q1045" s="48" t="n">
        <v>1835</v>
      </c>
      <c r="R1045" s="48" t="n">
        <v>2370</v>
      </c>
      <c r="S1045" s="48" t="n">
        <v>40656537</v>
      </c>
      <c r="T1045" s="48" t="n">
        <v>38845483</v>
      </c>
      <c r="U1045" s="46" t="n">
        <f aca="false">IF($A1045=$A1044,$U1044+1,1)</f>
        <v>1</v>
      </c>
      <c r="V1045" s="48" t="str">
        <f aca="false">IF($U1045&gt;=MA_SHORT,AVERAGE(INDEX($I$645:$I1045,402-MA_SHORT):$I1045),"")</f>
        <v/>
      </c>
      <c r="W1045" s="48" t="str">
        <f aca="false">IF($U1045&gt;=MA_MED,AVERAGE(INDEX($I$645:$I1045,402-MA_MED):$I1045),"")</f>
        <v/>
      </c>
      <c r="X1045" s="48" t="str">
        <f aca="false">IF($U1045&gt;=MA_LONG1,AVERAGE(INDEX($I$645:$I1045,402-MA_LONG1):$I1045),"")</f>
        <v/>
      </c>
      <c r="Y1045" s="48" t="str">
        <f aca="false">IF($U1045&gt;=MA_LONG2,AVERAGE(INDEX($I$645:$I1045,402-MA_LONG2):$I1045),"")</f>
        <v/>
      </c>
      <c r="Z1045" s="48" t="str">
        <f aca="false">IF($U1045&gt;=MA_SHORT,AVERAGE(INDEX($L$925:$L1045,122-MA_SHORT):$L1045),"")</f>
        <v/>
      </c>
      <c r="AA1045" s="48" t="n">
        <f aca="false">IF($U1045=1,$G1045-$H1045,MAX($G1045-$H1045,ABS($G1045-$I1044),ABS($H1045-$I1044)))</f>
        <v>103</v>
      </c>
      <c r="AB1045" s="48" t="str">
        <f aca="false">IF($U1045&gt;=ATR_PER,AVERAGE(INDEX($AA$925:$AA1045,122-ATR_PER):$AA1045),"")</f>
        <v/>
      </c>
      <c r="AC1045" s="48" t="n">
        <f aca="false">$O1045-$P1045</f>
        <v>-1811054</v>
      </c>
      <c r="AD1045" s="48" t="n">
        <f aca="false">$AC1045*$I1045</f>
        <v>-9026293136</v>
      </c>
      <c r="AE1045" s="49" t="n">
        <f aca="false">IF($Q1045&gt;0,$O1045*$I1045/$Q1045/1000000,"")</f>
        <v>102.119758988556</v>
      </c>
      <c r="AF1045" s="49" t="n">
        <f aca="false">IF($R1045&gt;0,$P1045*$I1045/$R1045/1000000,"")</f>
        <v>82.875970835443</v>
      </c>
      <c r="AG1045" s="50" t="n">
        <f aca="false">IF(AND(ISNUMBER($AE1045),ISNUMBER($AF1045),$AF1045&gt;0),$AE1045/$AF1045,"")</f>
        <v>1.23219985188859</v>
      </c>
      <c r="AH1045" s="48" t="str">
        <f aca="false">IF($U1045&gt;=5,SUM(INDEX($AD$1015:$AD1045,32-5):$AD1045),"")</f>
        <v/>
      </c>
      <c r="AI1045" s="48" t="str">
        <f aca="false">IF($U1045&gt;=STRUCT_S,MAX(INDEX($G$895:$G1045,152-STRUCT_S):$G1045),"")</f>
        <v/>
      </c>
      <c r="AJ1045" s="48" t="str">
        <f aca="false">IF($U1045&gt;=STRUCT_S,MIN(INDEX($H$895:$H1045,152-STRUCT_S):$H1045),"")</f>
        <v/>
      </c>
      <c r="AK1045" s="48" t="str">
        <f aca="false">IF($U1045&gt;=STRUCT_L,MAX(INDEX($G$795:$G1045,252-STRUCT_L):$G1045),"")</f>
        <v/>
      </c>
      <c r="AL1045" s="48" t="str">
        <f aca="false">IF($U1045&gt;=STRUCT_L,MIN(INDEX($H$795:$H1045,252-STRUCT_L):$H1045),"")</f>
        <v/>
      </c>
      <c r="AM1045" s="46" t="n">
        <f aca="false">IF($A1045&lt;&gt;$A1046,1,0)</f>
        <v>0</v>
      </c>
      <c r="AN1045" s="47" t="str">
        <f aca="false">IF($AM1045=1,$A1045,"")</f>
        <v/>
      </c>
    </row>
    <row r="1046" customFormat="false" ht="15" hidden="false" customHeight="false" outlineLevel="0" collapsed="false">
      <c r="A1046" s="43" t="s">
        <v>152</v>
      </c>
      <c r="B1046" s="44" t="s">
        <v>154</v>
      </c>
      <c r="C1046" s="45" t="n">
        <v>45907</v>
      </c>
      <c r="D1046" s="46" t="n">
        <v>20250907</v>
      </c>
      <c r="E1046" s="47" t="s">
        <v>289</v>
      </c>
      <c r="F1046" s="48" t="n">
        <v>4951</v>
      </c>
      <c r="G1046" s="48" t="n">
        <v>5085</v>
      </c>
      <c r="H1046" s="48" t="n">
        <v>4724</v>
      </c>
      <c r="I1046" s="48" t="n">
        <v>4822</v>
      </c>
      <c r="J1046" s="48" t="n">
        <v>4917</v>
      </c>
      <c r="K1046" s="48" t="n">
        <v>4984</v>
      </c>
      <c r="L1046" s="48" t="n">
        <v>101550036</v>
      </c>
      <c r="M1046" s="48" t="n">
        <v>489674273592</v>
      </c>
      <c r="N1046" s="48" t="n">
        <v>2931</v>
      </c>
      <c r="O1046" s="48" t="n">
        <v>24514637</v>
      </c>
      <c r="P1046" s="48" t="n">
        <v>77810986</v>
      </c>
      <c r="Q1046" s="48" t="n">
        <v>859</v>
      </c>
      <c r="R1046" s="48" t="n">
        <v>1616</v>
      </c>
      <c r="S1046" s="48" t="n">
        <v>77035399</v>
      </c>
      <c r="T1046" s="48" t="n">
        <v>23739050</v>
      </c>
      <c r="U1046" s="46" t="n">
        <f aca="false">IF($A1046=$A1045,$U1045+1,1)</f>
        <v>2</v>
      </c>
      <c r="V1046" s="48" t="str">
        <f aca="false">IF($U1046&gt;=MA_SHORT,AVERAGE(INDEX($I$646:$I1046,402-MA_SHORT):$I1046),"")</f>
        <v/>
      </c>
      <c r="W1046" s="48" t="str">
        <f aca="false">IF($U1046&gt;=MA_MED,AVERAGE(INDEX($I$646:$I1046,402-MA_MED):$I1046),"")</f>
        <v/>
      </c>
      <c r="X1046" s="48" t="str">
        <f aca="false">IF($U1046&gt;=MA_LONG1,AVERAGE(INDEX($I$646:$I1046,402-MA_LONG1):$I1046),"")</f>
        <v/>
      </c>
      <c r="Y1046" s="48" t="str">
        <f aca="false">IF($U1046&gt;=MA_LONG2,AVERAGE(INDEX($I$646:$I1046,402-MA_LONG2):$I1046),"")</f>
        <v/>
      </c>
      <c r="Z1046" s="48" t="str">
        <f aca="false">IF($U1046&gt;=MA_SHORT,AVERAGE(INDEX($L$926:$L1046,122-MA_SHORT):$L1046),"")</f>
        <v/>
      </c>
      <c r="AA1046" s="48" t="n">
        <f aca="false">IF($U1046=1,$G1046-$H1046,MAX($G1046-$H1046,ABS($G1046-$I1045),ABS($H1046-$I1045)))</f>
        <v>361</v>
      </c>
      <c r="AB1046" s="48" t="str">
        <f aca="false">IF($U1046&gt;=ATR_PER,AVERAGE(INDEX($AA$926:$AA1046,122-ATR_PER):$AA1046),"")</f>
        <v/>
      </c>
      <c r="AC1046" s="48" t="n">
        <f aca="false">$O1046-$P1046</f>
        <v>-53296349</v>
      </c>
      <c r="AD1046" s="48" t="n">
        <f aca="false">$AC1046*$I1046</f>
        <v>-256994994878</v>
      </c>
      <c r="AE1046" s="49" t="n">
        <f aca="false">IF($Q1046&gt;0,$O1046*$I1046/$Q1046/1000000,"")</f>
        <v>137.613014684517</v>
      </c>
      <c r="AF1046" s="49" t="n">
        <f aca="false">IF($R1046&gt;0,$P1046*$I1046/$R1046/1000000,"")</f>
        <v>232.181048571782</v>
      </c>
      <c r="AG1046" s="50" t="n">
        <f aca="false">IF(AND(ISNUMBER($AE1046),ISNUMBER($AF1046),$AF1046&gt;0),$AE1046/$AF1046,"")</f>
        <v>0.592697016104533</v>
      </c>
      <c r="AH1046" s="48" t="str">
        <f aca="false">IF($U1046&gt;=5,SUM(INDEX($AD$1016:$AD1046,32-5):$AD1046),"")</f>
        <v/>
      </c>
      <c r="AI1046" s="48" t="str">
        <f aca="false">IF($U1046&gt;=STRUCT_S,MAX(INDEX($G$896:$G1046,152-STRUCT_S):$G1046),"")</f>
        <v/>
      </c>
      <c r="AJ1046" s="48" t="str">
        <f aca="false">IF($U1046&gt;=STRUCT_S,MIN(INDEX($H$896:$H1046,152-STRUCT_S):$H1046),"")</f>
        <v/>
      </c>
      <c r="AK1046" s="48" t="str">
        <f aca="false">IF($U1046&gt;=STRUCT_L,MAX(INDEX($G$796:$G1046,252-STRUCT_L):$G1046),"")</f>
        <v/>
      </c>
      <c r="AL1046" s="48" t="str">
        <f aca="false">IF($U1046&gt;=STRUCT_L,MIN(INDEX($H$796:$H1046,252-STRUCT_L):$H1046),"")</f>
        <v/>
      </c>
      <c r="AM1046" s="46" t="n">
        <f aca="false">IF($A1046&lt;&gt;$A1047,1,0)</f>
        <v>0</v>
      </c>
      <c r="AN1046" s="47" t="str">
        <f aca="false">IF($AM1046=1,$A1046,"")</f>
        <v/>
      </c>
    </row>
    <row r="1047" customFormat="false" ht="15" hidden="false" customHeight="false" outlineLevel="0" collapsed="false">
      <c r="A1047" s="43" t="s">
        <v>152</v>
      </c>
      <c r="B1047" s="44" t="s">
        <v>154</v>
      </c>
      <c r="C1047" s="45" t="n">
        <v>45908</v>
      </c>
      <c r="D1047" s="46" t="n">
        <v>20250908</v>
      </c>
      <c r="E1047" s="47" t="s">
        <v>290</v>
      </c>
      <c r="F1047" s="48" t="n">
        <v>4842</v>
      </c>
      <c r="G1047" s="48" t="n">
        <v>4885</v>
      </c>
      <c r="H1047" s="48" t="n">
        <v>4685</v>
      </c>
      <c r="I1047" s="48" t="n">
        <v>4747</v>
      </c>
      <c r="J1047" s="48" t="n">
        <v>4720</v>
      </c>
      <c r="K1047" s="48" t="n">
        <v>4822</v>
      </c>
      <c r="L1047" s="48" t="n">
        <v>84905932</v>
      </c>
      <c r="M1047" s="48" t="n">
        <v>403048459204</v>
      </c>
      <c r="N1047" s="48" t="n">
        <v>7441</v>
      </c>
      <c r="O1047" s="48" t="n">
        <v>25564957</v>
      </c>
      <c r="P1047" s="48" t="n">
        <v>61793768</v>
      </c>
      <c r="Q1047" s="48" t="n">
        <v>2218</v>
      </c>
      <c r="R1047" s="48" t="n">
        <v>4660</v>
      </c>
      <c r="S1047" s="48" t="n">
        <v>59340975</v>
      </c>
      <c r="T1047" s="48" t="n">
        <v>23112164</v>
      </c>
      <c r="U1047" s="46" t="n">
        <f aca="false">IF($A1047=$A1046,$U1046+1,1)</f>
        <v>3</v>
      </c>
      <c r="V1047" s="48" t="str">
        <f aca="false">IF($U1047&gt;=MA_SHORT,AVERAGE(INDEX($I$647:$I1047,402-MA_SHORT):$I1047),"")</f>
        <v/>
      </c>
      <c r="W1047" s="48" t="str">
        <f aca="false">IF($U1047&gt;=MA_MED,AVERAGE(INDEX($I$647:$I1047,402-MA_MED):$I1047),"")</f>
        <v/>
      </c>
      <c r="X1047" s="48" t="str">
        <f aca="false">IF($U1047&gt;=MA_LONG1,AVERAGE(INDEX($I$647:$I1047,402-MA_LONG1):$I1047),"")</f>
        <v/>
      </c>
      <c r="Y1047" s="48" t="str">
        <f aca="false">IF($U1047&gt;=MA_LONG2,AVERAGE(INDEX($I$647:$I1047,402-MA_LONG2):$I1047),"")</f>
        <v/>
      </c>
      <c r="Z1047" s="48" t="str">
        <f aca="false">IF($U1047&gt;=MA_SHORT,AVERAGE(INDEX($L$927:$L1047,122-MA_SHORT):$L1047),"")</f>
        <v/>
      </c>
      <c r="AA1047" s="48" t="n">
        <f aca="false">IF($U1047=1,$G1047-$H1047,MAX($G1047-$H1047,ABS($G1047-$I1046),ABS($H1047-$I1046)))</f>
        <v>200</v>
      </c>
      <c r="AB1047" s="48" t="str">
        <f aca="false">IF($U1047&gt;=ATR_PER,AVERAGE(INDEX($AA$927:$AA1047,122-ATR_PER):$AA1047),"")</f>
        <v/>
      </c>
      <c r="AC1047" s="48" t="n">
        <f aca="false">$O1047-$P1047</f>
        <v>-36228811</v>
      </c>
      <c r="AD1047" s="48" t="n">
        <f aca="false">$AC1047*$I1047</f>
        <v>-171978165817</v>
      </c>
      <c r="AE1047" s="49" t="n">
        <f aca="false">IF($Q1047&gt;0,$O1047*$I1047/$Q1047/1000000,"")</f>
        <v>54.7145405225428</v>
      </c>
      <c r="AF1047" s="49" t="n">
        <f aca="false">IF($R1047&gt;0,$P1047*$I1047/$R1047/1000000,"")</f>
        <v>62.9474284755365</v>
      </c>
      <c r="AG1047" s="50" t="n">
        <f aca="false">IF(AND(ISNUMBER($AE1047),ISNUMBER($AF1047),$AF1047&gt;0),$AE1047/$AF1047,"")</f>
        <v>0.869210098770068</v>
      </c>
      <c r="AH1047" s="48" t="str">
        <f aca="false">IF($U1047&gt;=5,SUM(INDEX($AD$1017:$AD1047,32-5):$AD1047),"")</f>
        <v/>
      </c>
      <c r="AI1047" s="48" t="str">
        <f aca="false">IF($U1047&gt;=STRUCT_S,MAX(INDEX($G$897:$G1047,152-STRUCT_S):$G1047),"")</f>
        <v/>
      </c>
      <c r="AJ1047" s="48" t="str">
        <f aca="false">IF($U1047&gt;=STRUCT_S,MIN(INDEX($H$897:$H1047,152-STRUCT_S):$H1047),"")</f>
        <v/>
      </c>
      <c r="AK1047" s="48" t="str">
        <f aca="false">IF($U1047&gt;=STRUCT_L,MAX(INDEX($G$797:$G1047,252-STRUCT_L):$G1047),"")</f>
        <v/>
      </c>
      <c r="AL1047" s="48" t="str">
        <f aca="false">IF($U1047&gt;=STRUCT_L,MIN(INDEX($H$797:$H1047,252-STRUCT_L):$H1047),"")</f>
        <v/>
      </c>
      <c r="AM1047" s="46" t="n">
        <f aca="false">IF($A1047&lt;&gt;$A1048,1,0)</f>
        <v>0</v>
      </c>
      <c r="AN1047" s="47" t="str">
        <f aca="false">IF($AM1047=1,$A1047,"")</f>
        <v/>
      </c>
    </row>
    <row r="1048" customFormat="false" ht="15" hidden="false" customHeight="false" outlineLevel="0" collapsed="false">
      <c r="A1048" s="43" t="s">
        <v>152</v>
      </c>
      <c r="B1048" s="44" t="s">
        <v>154</v>
      </c>
      <c r="C1048" s="45" t="n">
        <v>45909</v>
      </c>
      <c r="D1048" s="46" t="n">
        <v>20250909</v>
      </c>
      <c r="E1048" s="47" t="s">
        <v>291</v>
      </c>
      <c r="F1048" s="48" t="n">
        <v>4631</v>
      </c>
      <c r="G1048" s="48" t="n">
        <v>4762</v>
      </c>
      <c r="H1048" s="48" t="n">
        <v>4504</v>
      </c>
      <c r="I1048" s="48" t="n">
        <v>4518</v>
      </c>
      <c r="J1048" s="48" t="n">
        <v>4707</v>
      </c>
      <c r="K1048" s="48" t="n">
        <v>4747</v>
      </c>
      <c r="L1048" s="48" t="n">
        <v>100136634</v>
      </c>
      <c r="M1048" s="48" t="n">
        <v>452417312412</v>
      </c>
      <c r="N1048" s="48" t="n">
        <v>2403</v>
      </c>
      <c r="O1048" s="48" t="n">
        <v>20027326</v>
      </c>
      <c r="P1048" s="48" t="n">
        <v>78491068</v>
      </c>
      <c r="Q1048" s="48" t="n">
        <v>1061</v>
      </c>
      <c r="R1048" s="48" t="n">
        <v>1045</v>
      </c>
      <c r="S1048" s="48" t="n">
        <v>80109308</v>
      </c>
      <c r="T1048" s="48" t="n">
        <v>21645566</v>
      </c>
      <c r="U1048" s="46" t="n">
        <f aca="false">IF($A1048=$A1047,$U1047+1,1)</f>
        <v>4</v>
      </c>
      <c r="V1048" s="48" t="str">
        <f aca="false">IF($U1048&gt;=MA_SHORT,AVERAGE(INDEX($I$648:$I1048,402-MA_SHORT):$I1048),"")</f>
        <v/>
      </c>
      <c r="W1048" s="48" t="str">
        <f aca="false">IF($U1048&gt;=MA_MED,AVERAGE(INDEX($I$648:$I1048,402-MA_MED):$I1048),"")</f>
        <v/>
      </c>
      <c r="X1048" s="48" t="str">
        <f aca="false">IF($U1048&gt;=MA_LONG1,AVERAGE(INDEX($I$648:$I1048,402-MA_LONG1):$I1048),"")</f>
        <v/>
      </c>
      <c r="Y1048" s="48" t="str">
        <f aca="false">IF($U1048&gt;=MA_LONG2,AVERAGE(INDEX($I$648:$I1048,402-MA_LONG2):$I1048),"")</f>
        <v/>
      </c>
      <c r="Z1048" s="48" t="str">
        <f aca="false">IF($U1048&gt;=MA_SHORT,AVERAGE(INDEX($L$928:$L1048,122-MA_SHORT):$L1048),"")</f>
        <v/>
      </c>
      <c r="AA1048" s="48" t="n">
        <f aca="false">IF($U1048=1,$G1048-$H1048,MAX($G1048-$H1048,ABS($G1048-$I1047),ABS($H1048-$I1047)))</f>
        <v>258</v>
      </c>
      <c r="AB1048" s="48" t="str">
        <f aca="false">IF($U1048&gt;=ATR_PER,AVERAGE(INDEX($AA$928:$AA1048,122-ATR_PER):$AA1048),"")</f>
        <v/>
      </c>
      <c r="AC1048" s="48" t="n">
        <f aca="false">$O1048-$P1048</f>
        <v>-58463742</v>
      </c>
      <c r="AD1048" s="48" t="n">
        <f aca="false">$AC1048*$I1048</f>
        <v>-264139186356</v>
      </c>
      <c r="AE1048" s="49" t="n">
        <f aca="false">IF($Q1048&gt;0,$O1048*$I1048/$Q1048/1000000,"")</f>
        <v>85.2812995928369</v>
      </c>
      <c r="AF1048" s="49" t="n">
        <f aca="false">IF($R1048&gt;0,$P1048*$I1048/$R1048/1000000,"")</f>
        <v>339.351813611483</v>
      </c>
      <c r="AG1048" s="50" t="n">
        <f aca="false">IF(AND(ISNUMBER($AE1048),ISNUMBER($AF1048),$AF1048&gt;0),$AE1048/$AF1048,"")</f>
        <v>0.251306450038525</v>
      </c>
      <c r="AH1048" s="48" t="str">
        <f aca="false">IF($U1048&gt;=5,SUM(INDEX($AD$1018:$AD1048,32-5):$AD1048),"")</f>
        <v/>
      </c>
      <c r="AI1048" s="48" t="str">
        <f aca="false">IF($U1048&gt;=STRUCT_S,MAX(INDEX($G$898:$G1048,152-STRUCT_S):$G1048),"")</f>
        <v/>
      </c>
      <c r="AJ1048" s="48" t="str">
        <f aca="false">IF($U1048&gt;=STRUCT_S,MIN(INDEX($H$898:$H1048,152-STRUCT_S):$H1048),"")</f>
        <v/>
      </c>
      <c r="AK1048" s="48" t="str">
        <f aca="false">IF($U1048&gt;=STRUCT_L,MAX(INDEX($G$798:$G1048,252-STRUCT_L):$G1048),"")</f>
        <v/>
      </c>
      <c r="AL1048" s="48" t="str">
        <f aca="false">IF($U1048&gt;=STRUCT_L,MIN(INDEX($H$798:$H1048,252-STRUCT_L):$H1048),"")</f>
        <v/>
      </c>
      <c r="AM1048" s="46" t="n">
        <f aca="false">IF($A1048&lt;&gt;$A1049,1,0)</f>
        <v>0</v>
      </c>
      <c r="AN1048" s="47" t="str">
        <f aca="false">IF($AM1048=1,$A1048,"")</f>
        <v/>
      </c>
    </row>
    <row r="1049" customFormat="false" ht="15" hidden="false" customHeight="false" outlineLevel="0" collapsed="false">
      <c r="A1049" s="43" t="s">
        <v>152</v>
      </c>
      <c r="B1049" s="44" t="s">
        <v>154</v>
      </c>
      <c r="C1049" s="45" t="n">
        <v>45910</v>
      </c>
      <c r="D1049" s="46" t="n">
        <v>20250910</v>
      </c>
      <c r="E1049" s="47" t="s">
        <v>292</v>
      </c>
      <c r="F1049" s="48" t="n">
        <v>4454</v>
      </c>
      <c r="G1049" s="48" t="n">
        <v>4588</v>
      </c>
      <c r="H1049" s="48" t="n">
        <v>4345</v>
      </c>
      <c r="I1049" s="48" t="n">
        <v>4414</v>
      </c>
      <c r="J1049" s="48" t="n">
        <v>4419</v>
      </c>
      <c r="K1049" s="48" t="n">
        <v>4518</v>
      </c>
      <c r="L1049" s="48" t="n">
        <v>88384414</v>
      </c>
      <c r="M1049" s="48" t="n">
        <v>390128803396</v>
      </c>
      <c r="N1049" s="48" t="n">
        <v>2771</v>
      </c>
      <c r="O1049" s="48" t="n">
        <v>30257063</v>
      </c>
      <c r="P1049" s="48" t="n">
        <v>57443207</v>
      </c>
      <c r="Q1049" s="48" t="n">
        <v>785</v>
      </c>
      <c r="R1049" s="48" t="n">
        <v>1033</v>
      </c>
      <c r="S1049" s="48" t="n">
        <v>58127351</v>
      </c>
      <c r="T1049" s="48" t="n">
        <v>30941207</v>
      </c>
      <c r="U1049" s="46" t="n">
        <f aca="false">IF($A1049=$A1048,$U1048+1,1)</f>
        <v>5</v>
      </c>
      <c r="V1049" s="48" t="str">
        <f aca="false">IF($U1049&gt;=MA_SHORT,AVERAGE(INDEX($I$649:$I1049,402-MA_SHORT):$I1049),"")</f>
        <v/>
      </c>
      <c r="W1049" s="48" t="str">
        <f aca="false">IF($U1049&gt;=MA_MED,AVERAGE(INDEX($I$649:$I1049,402-MA_MED):$I1049),"")</f>
        <v/>
      </c>
      <c r="X1049" s="48" t="str">
        <f aca="false">IF($U1049&gt;=MA_LONG1,AVERAGE(INDEX($I$649:$I1049,402-MA_LONG1):$I1049),"")</f>
        <v/>
      </c>
      <c r="Y1049" s="48" t="str">
        <f aca="false">IF($U1049&gt;=MA_LONG2,AVERAGE(INDEX($I$649:$I1049,402-MA_LONG2):$I1049),"")</f>
        <v/>
      </c>
      <c r="Z1049" s="48" t="str">
        <f aca="false">IF($U1049&gt;=MA_SHORT,AVERAGE(INDEX($L$929:$L1049,122-MA_SHORT):$L1049),"")</f>
        <v/>
      </c>
      <c r="AA1049" s="48" t="n">
        <f aca="false">IF($U1049=1,$G1049-$H1049,MAX($G1049-$H1049,ABS($G1049-$I1048),ABS($H1049-$I1048)))</f>
        <v>243</v>
      </c>
      <c r="AB1049" s="48" t="str">
        <f aca="false">IF($U1049&gt;=ATR_PER,AVERAGE(INDEX($AA$929:$AA1049,122-ATR_PER):$AA1049),"")</f>
        <v/>
      </c>
      <c r="AC1049" s="48" t="n">
        <f aca="false">$O1049-$P1049</f>
        <v>-27186144</v>
      </c>
      <c r="AD1049" s="48" t="n">
        <f aca="false">$AC1049*$I1049</f>
        <v>-119999639616</v>
      </c>
      <c r="AE1049" s="49" t="n">
        <f aca="false">IF($Q1049&gt;0,$O1049*$I1049/$Q1049/1000000,"")</f>
        <v>170.133345327389</v>
      </c>
      <c r="AF1049" s="49" t="n">
        <f aca="false">IF($R1049&gt;0,$P1049*$I1049/$R1049/1000000,"")</f>
        <v>245.454323037754</v>
      </c>
      <c r="AG1049" s="50" t="n">
        <f aca="false">IF(AND(ISNUMBER($AE1049),ISNUMBER($AF1049),$AF1049&gt;0),$AE1049/$AF1049,"")</f>
        <v>0.693136479414216</v>
      </c>
      <c r="AH1049" s="48" t="n">
        <f aca="false">IF($U1049&gt;=5,SUM(INDEX($AD$1019:$AD1049,32-5):$AD1049),"")</f>
        <v>-822138279803</v>
      </c>
      <c r="AI1049" s="48" t="str">
        <f aca="false">IF($U1049&gt;=STRUCT_S,MAX(INDEX($G$899:$G1049,152-STRUCT_S):$G1049),"")</f>
        <v/>
      </c>
      <c r="AJ1049" s="48" t="str">
        <f aca="false">IF($U1049&gt;=STRUCT_S,MIN(INDEX($H$899:$H1049,152-STRUCT_S):$H1049),"")</f>
        <v/>
      </c>
      <c r="AK1049" s="48" t="str">
        <f aca="false">IF($U1049&gt;=STRUCT_L,MAX(INDEX($G$799:$G1049,252-STRUCT_L):$G1049),"")</f>
        <v/>
      </c>
      <c r="AL1049" s="48" t="str">
        <f aca="false">IF($U1049&gt;=STRUCT_L,MIN(INDEX($H$799:$H1049,252-STRUCT_L):$H1049),"")</f>
        <v/>
      </c>
      <c r="AM1049" s="46" t="n">
        <f aca="false">IF($A1049&lt;&gt;$A1050,1,0)</f>
        <v>0</v>
      </c>
      <c r="AN1049" s="47" t="str">
        <f aca="false">IF($AM1049=1,$A1049,"")</f>
        <v/>
      </c>
    </row>
    <row r="1050" customFormat="false" ht="15" hidden="false" customHeight="false" outlineLevel="0" collapsed="false">
      <c r="A1050" s="43" t="s">
        <v>152</v>
      </c>
      <c r="B1050" s="44" t="s">
        <v>154</v>
      </c>
      <c r="C1050" s="45" t="n">
        <v>45913</v>
      </c>
      <c r="D1050" s="46" t="n">
        <v>20250913</v>
      </c>
      <c r="E1050" s="47" t="s">
        <v>293</v>
      </c>
      <c r="F1050" s="48" t="n">
        <v>4440</v>
      </c>
      <c r="G1050" s="48" t="n">
        <v>4463</v>
      </c>
      <c r="H1050" s="48" t="n">
        <v>4395</v>
      </c>
      <c r="I1050" s="48" t="n">
        <v>4443</v>
      </c>
      <c r="J1050" s="48" t="n">
        <v>4397</v>
      </c>
      <c r="K1050" s="48" t="n">
        <v>4414</v>
      </c>
      <c r="L1050" s="48" t="n">
        <v>80719957</v>
      </c>
      <c r="M1050" s="48" t="n">
        <v>358638768951</v>
      </c>
      <c r="N1050" s="48" t="n">
        <v>2994</v>
      </c>
      <c r="O1050" s="48" t="n">
        <v>45713363</v>
      </c>
      <c r="P1050" s="48" t="n">
        <v>40076917</v>
      </c>
      <c r="Q1050" s="48" t="n">
        <v>1180</v>
      </c>
      <c r="R1050" s="48" t="n">
        <v>1311</v>
      </c>
      <c r="S1050" s="48" t="n">
        <v>35006594</v>
      </c>
      <c r="T1050" s="48" t="n">
        <v>40643040</v>
      </c>
      <c r="U1050" s="46" t="n">
        <f aca="false">IF($A1050=$A1049,$U1049+1,1)</f>
        <v>6</v>
      </c>
      <c r="V1050" s="48" t="str">
        <f aca="false">IF($U1050&gt;=MA_SHORT,AVERAGE(INDEX($I$650:$I1050,402-MA_SHORT):$I1050),"")</f>
        <v/>
      </c>
      <c r="W1050" s="48" t="str">
        <f aca="false">IF($U1050&gt;=MA_MED,AVERAGE(INDEX($I$650:$I1050,402-MA_MED):$I1050),"")</f>
        <v/>
      </c>
      <c r="X1050" s="48" t="str">
        <f aca="false">IF($U1050&gt;=MA_LONG1,AVERAGE(INDEX($I$650:$I1050,402-MA_LONG1):$I1050),"")</f>
        <v/>
      </c>
      <c r="Y1050" s="48" t="str">
        <f aca="false">IF($U1050&gt;=MA_LONG2,AVERAGE(INDEX($I$650:$I1050,402-MA_LONG2):$I1050),"")</f>
        <v/>
      </c>
      <c r="Z1050" s="48" t="str">
        <f aca="false">IF($U1050&gt;=MA_SHORT,AVERAGE(INDEX($L$930:$L1050,122-MA_SHORT):$L1050),"")</f>
        <v/>
      </c>
      <c r="AA1050" s="48" t="n">
        <f aca="false">IF($U1050=1,$G1050-$H1050,MAX($G1050-$H1050,ABS($G1050-$I1049),ABS($H1050-$I1049)))</f>
        <v>68</v>
      </c>
      <c r="AB1050" s="48" t="str">
        <f aca="false">IF($U1050&gt;=ATR_PER,AVERAGE(INDEX($AA$930:$AA1050,122-ATR_PER):$AA1050),"")</f>
        <v/>
      </c>
      <c r="AC1050" s="48" t="n">
        <f aca="false">$O1050-$P1050</f>
        <v>5636446</v>
      </c>
      <c r="AD1050" s="48" t="n">
        <f aca="false">$AC1050*$I1050</f>
        <v>25042729578</v>
      </c>
      <c r="AE1050" s="49" t="n">
        <f aca="false">IF($Q1050&gt;0,$O1050*$I1050/$Q1050/1000000,"")</f>
        <v>172.122433736441</v>
      </c>
      <c r="AF1050" s="49" t="n">
        <f aca="false">IF($R1050&gt;0,$P1050*$I1050/$R1050/1000000,"")</f>
        <v>135.821313677346</v>
      </c>
      <c r="AG1050" s="50" t="n">
        <f aca="false">IF(AND(ISNUMBER($AE1050),ISNUMBER($AF1050),$AF1050&gt;0),$AE1050/$AF1050,"")</f>
        <v>1.26727115999873</v>
      </c>
      <c r="AH1050" s="48" t="n">
        <f aca="false">IF($U1050&gt;=5,SUM(INDEX($AD$1020:$AD1050,32-5):$AD1050),"")</f>
        <v>-788069257089</v>
      </c>
      <c r="AI1050" s="48" t="str">
        <f aca="false">IF($U1050&gt;=STRUCT_S,MAX(INDEX($G$900:$G1050,152-STRUCT_S):$G1050),"")</f>
        <v/>
      </c>
      <c r="AJ1050" s="48" t="str">
        <f aca="false">IF($U1050&gt;=STRUCT_S,MIN(INDEX($H$900:$H1050,152-STRUCT_S):$H1050),"")</f>
        <v/>
      </c>
      <c r="AK1050" s="48" t="str">
        <f aca="false">IF($U1050&gt;=STRUCT_L,MAX(INDEX($G$800:$G1050,252-STRUCT_L):$G1050),"")</f>
        <v/>
      </c>
      <c r="AL1050" s="48" t="str">
        <f aca="false">IF($U1050&gt;=STRUCT_L,MIN(INDEX($H$800:$H1050,252-STRUCT_L):$H1050),"")</f>
        <v/>
      </c>
      <c r="AM1050" s="46" t="n">
        <f aca="false">IF($A1050&lt;&gt;$A1051,1,0)</f>
        <v>0</v>
      </c>
      <c r="AN1050" s="47" t="str">
        <f aca="false">IF($AM1050=1,$A1050,"")</f>
        <v/>
      </c>
    </row>
    <row r="1051" customFormat="false" ht="15" hidden="false" customHeight="false" outlineLevel="0" collapsed="false">
      <c r="A1051" s="43" t="s">
        <v>152</v>
      </c>
      <c r="B1051" s="44" t="s">
        <v>154</v>
      </c>
      <c r="C1051" s="45" t="n">
        <v>45914</v>
      </c>
      <c r="D1051" s="46" t="n">
        <v>20250914</v>
      </c>
      <c r="E1051" s="47" t="s">
        <v>294</v>
      </c>
      <c r="F1051" s="48" t="n">
        <v>4455</v>
      </c>
      <c r="G1051" s="48" t="n">
        <v>4572</v>
      </c>
      <c r="H1051" s="48" t="n">
        <v>4432</v>
      </c>
      <c r="I1051" s="48" t="n">
        <v>4561</v>
      </c>
      <c r="J1051" s="48" t="n">
        <v>4546</v>
      </c>
      <c r="K1051" s="48" t="n">
        <v>4443</v>
      </c>
      <c r="L1051" s="48" t="n">
        <v>104587029</v>
      </c>
      <c r="M1051" s="48" t="n">
        <v>477021439269</v>
      </c>
      <c r="N1051" s="48" t="n">
        <v>8225</v>
      </c>
      <c r="O1051" s="48" t="n">
        <v>65054275</v>
      </c>
      <c r="P1051" s="48" t="n">
        <v>40889825</v>
      </c>
      <c r="Q1051" s="48" t="n">
        <v>3260</v>
      </c>
      <c r="R1051" s="48" t="n">
        <v>2899</v>
      </c>
      <c r="S1051" s="48" t="n">
        <v>39532754</v>
      </c>
      <c r="T1051" s="48" t="n">
        <v>63697204</v>
      </c>
      <c r="U1051" s="46" t="n">
        <f aca="false">IF($A1051=$A1050,$U1050+1,1)</f>
        <v>7</v>
      </c>
      <c r="V1051" s="48" t="str">
        <f aca="false">IF($U1051&gt;=MA_SHORT,AVERAGE(INDEX($I$651:$I1051,402-MA_SHORT):$I1051),"")</f>
        <v/>
      </c>
      <c r="W1051" s="48" t="str">
        <f aca="false">IF($U1051&gt;=MA_MED,AVERAGE(INDEX($I$651:$I1051,402-MA_MED):$I1051),"")</f>
        <v/>
      </c>
      <c r="X1051" s="48" t="str">
        <f aca="false">IF($U1051&gt;=MA_LONG1,AVERAGE(INDEX($I$651:$I1051,402-MA_LONG1):$I1051),"")</f>
        <v/>
      </c>
      <c r="Y1051" s="48" t="str">
        <f aca="false">IF($U1051&gt;=MA_LONG2,AVERAGE(INDEX($I$651:$I1051,402-MA_LONG2):$I1051),"")</f>
        <v/>
      </c>
      <c r="Z1051" s="48" t="str">
        <f aca="false">IF($U1051&gt;=MA_SHORT,AVERAGE(INDEX($L$931:$L1051,122-MA_SHORT):$L1051),"")</f>
        <v/>
      </c>
      <c r="AA1051" s="48" t="n">
        <f aca="false">IF($U1051=1,$G1051-$H1051,MAX($G1051-$H1051,ABS($G1051-$I1050),ABS($H1051-$I1050)))</f>
        <v>140</v>
      </c>
      <c r="AB1051" s="48" t="str">
        <f aca="false">IF($U1051&gt;=ATR_PER,AVERAGE(INDEX($AA$931:$AA1051,122-ATR_PER):$AA1051),"")</f>
        <v/>
      </c>
      <c r="AC1051" s="48" t="n">
        <f aca="false">$O1051-$P1051</f>
        <v>24164450</v>
      </c>
      <c r="AD1051" s="48" t="n">
        <f aca="false">$AC1051*$I1051</f>
        <v>110214056450</v>
      </c>
      <c r="AE1051" s="49" t="n">
        <f aca="false">IF($Q1051&gt;0,$O1051*$I1051/$Q1051/1000000,"")</f>
        <v>91.0161191027607</v>
      </c>
      <c r="AF1051" s="49" t="n">
        <f aca="false">IF($R1051&gt;0,$P1051*$I1051/$R1051/1000000,"")</f>
        <v>64.3320082183512</v>
      </c>
      <c r="AG1051" s="50" t="n">
        <f aca="false">IF(AND(ISNUMBER($AE1051),ISNUMBER($AF1051),$AF1051&gt;0),$AE1051/$AF1051,"")</f>
        <v>1.41478746930828</v>
      </c>
      <c r="AH1051" s="48" t="n">
        <f aca="false">IF($U1051&gt;=5,SUM(INDEX($AD$1021:$AD1051,32-5):$AD1051),"")</f>
        <v>-420860205761</v>
      </c>
      <c r="AI1051" s="48" t="str">
        <f aca="false">IF($U1051&gt;=STRUCT_S,MAX(INDEX($G$901:$G1051,152-STRUCT_S):$G1051),"")</f>
        <v/>
      </c>
      <c r="AJ1051" s="48" t="str">
        <f aca="false">IF($U1051&gt;=STRUCT_S,MIN(INDEX($H$901:$H1051,152-STRUCT_S):$H1051),"")</f>
        <v/>
      </c>
      <c r="AK1051" s="48" t="str">
        <f aca="false">IF($U1051&gt;=STRUCT_L,MAX(INDEX($G$801:$G1051,252-STRUCT_L):$G1051),"")</f>
        <v/>
      </c>
      <c r="AL1051" s="48" t="str">
        <f aca="false">IF($U1051&gt;=STRUCT_L,MIN(INDEX($H$801:$H1051,252-STRUCT_L):$H1051),"")</f>
        <v/>
      </c>
      <c r="AM1051" s="46" t="n">
        <f aca="false">IF($A1051&lt;&gt;$A1052,1,0)</f>
        <v>0</v>
      </c>
      <c r="AN1051" s="47" t="str">
        <f aca="false">IF($AM1051=1,$A1051,"")</f>
        <v/>
      </c>
    </row>
    <row r="1052" customFormat="false" ht="15" hidden="false" customHeight="false" outlineLevel="0" collapsed="false">
      <c r="A1052" s="43" t="s">
        <v>152</v>
      </c>
      <c r="B1052" s="44" t="s">
        <v>154</v>
      </c>
      <c r="C1052" s="45" t="n">
        <v>45915</v>
      </c>
      <c r="D1052" s="46" t="n">
        <v>20250915</v>
      </c>
      <c r="E1052" s="47" t="s">
        <v>295</v>
      </c>
      <c r="F1052" s="48" t="n">
        <v>4555</v>
      </c>
      <c r="G1052" s="48" t="n">
        <v>4638</v>
      </c>
      <c r="H1052" s="48" t="n">
        <v>4539</v>
      </c>
      <c r="I1052" s="48" t="n">
        <v>4616</v>
      </c>
      <c r="J1052" s="48" t="n">
        <v>4556</v>
      </c>
      <c r="K1052" s="48" t="n">
        <v>4561</v>
      </c>
      <c r="L1052" s="48" t="n">
        <v>86586933</v>
      </c>
      <c r="M1052" s="48" t="n">
        <v>399685282728</v>
      </c>
      <c r="N1052" s="48" t="n">
        <v>3623</v>
      </c>
      <c r="O1052" s="48" t="n">
        <v>42575289</v>
      </c>
      <c r="P1052" s="48" t="n">
        <v>39598966</v>
      </c>
      <c r="Q1052" s="48" t="n">
        <v>1978</v>
      </c>
      <c r="R1052" s="48" t="n">
        <v>1023</v>
      </c>
      <c r="S1052" s="48" t="n">
        <v>44011644</v>
      </c>
      <c r="T1052" s="48" t="n">
        <v>46987967</v>
      </c>
      <c r="U1052" s="46" t="n">
        <f aca="false">IF($A1052=$A1051,$U1051+1,1)</f>
        <v>8</v>
      </c>
      <c r="V1052" s="48" t="str">
        <f aca="false">IF($U1052&gt;=MA_SHORT,AVERAGE(INDEX($I$652:$I1052,402-MA_SHORT):$I1052),"")</f>
        <v/>
      </c>
      <c r="W1052" s="48" t="str">
        <f aca="false">IF($U1052&gt;=MA_MED,AVERAGE(INDEX($I$652:$I1052,402-MA_MED):$I1052),"")</f>
        <v/>
      </c>
      <c r="X1052" s="48" t="str">
        <f aca="false">IF($U1052&gt;=MA_LONG1,AVERAGE(INDEX($I$652:$I1052,402-MA_LONG1):$I1052),"")</f>
        <v/>
      </c>
      <c r="Y1052" s="48" t="str">
        <f aca="false">IF($U1052&gt;=MA_LONG2,AVERAGE(INDEX($I$652:$I1052,402-MA_LONG2):$I1052),"")</f>
        <v/>
      </c>
      <c r="Z1052" s="48" t="str">
        <f aca="false">IF($U1052&gt;=MA_SHORT,AVERAGE(INDEX($L$932:$L1052,122-MA_SHORT):$L1052),"")</f>
        <v/>
      </c>
      <c r="AA1052" s="48" t="n">
        <f aca="false">IF($U1052=1,$G1052-$H1052,MAX($G1052-$H1052,ABS($G1052-$I1051),ABS($H1052-$I1051)))</f>
        <v>99</v>
      </c>
      <c r="AB1052" s="48" t="str">
        <f aca="false">IF($U1052&gt;=ATR_PER,AVERAGE(INDEX($AA$932:$AA1052,122-ATR_PER):$AA1052),"")</f>
        <v/>
      </c>
      <c r="AC1052" s="48" t="n">
        <f aca="false">$O1052-$P1052</f>
        <v>2976323</v>
      </c>
      <c r="AD1052" s="48" t="n">
        <f aca="false">$AC1052*$I1052</f>
        <v>13738706968</v>
      </c>
      <c r="AE1052" s="49" t="n">
        <f aca="false">IF($Q1052&gt;0,$O1052*$I1052/$Q1052/1000000,"")</f>
        <v>99.3566906086957</v>
      </c>
      <c r="AF1052" s="49" t="n">
        <f aca="false">IF($R1052&gt;0,$P1052*$I1052/$R1052/1000000,"")</f>
        <v>178.679205333333</v>
      </c>
      <c r="AG1052" s="50" t="n">
        <f aca="false">IF(AND(ISNUMBER($AE1052),ISNUMBER($AF1052),$AF1052&gt;0),$AE1052/$AF1052,"")</f>
        <v>0.556061856349438</v>
      </c>
      <c r="AH1052" s="48" t="n">
        <f aca="false">IF($U1052&gt;=5,SUM(INDEX($AD$1022:$AD1052,32-5):$AD1052),"")</f>
        <v>-235143332976</v>
      </c>
      <c r="AI1052" s="48" t="str">
        <f aca="false">IF($U1052&gt;=STRUCT_S,MAX(INDEX($G$902:$G1052,152-STRUCT_S):$G1052),"")</f>
        <v/>
      </c>
      <c r="AJ1052" s="48" t="str">
        <f aca="false">IF($U1052&gt;=STRUCT_S,MIN(INDEX($H$902:$H1052,152-STRUCT_S):$H1052),"")</f>
        <v/>
      </c>
      <c r="AK1052" s="48" t="str">
        <f aca="false">IF($U1052&gt;=STRUCT_L,MAX(INDEX($G$802:$G1052,252-STRUCT_L):$G1052),"")</f>
        <v/>
      </c>
      <c r="AL1052" s="48" t="str">
        <f aca="false">IF($U1052&gt;=STRUCT_L,MIN(INDEX($H$802:$H1052,252-STRUCT_L):$H1052),"")</f>
        <v/>
      </c>
      <c r="AM1052" s="46" t="n">
        <f aca="false">IF($A1052&lt;&gt;$A1053,1,0)</f>
        <v>0</v>
      </c>
      <c r="AN1052" s="47" t="str">
        <f aca="false">IF($AM1052=1,$A1052,"")</f>
        <v/>
      </c>
    </row>
    <row r="1053" customFormat="false" ht="15" hidden="false" customHeight="false" outlineLevel="0" collapsed="false">
      <c r="A1053" s="43" t="s">
        <v>152</v>
      </c>
      <c r="B1053" s="44" t="s">
        <v>154</v>
      </c>
      <c r="C1053" s="45" t="n">
        <v>45916</v>
      </c>
      <c r="D1053" s="46" t="n">
        <v>20250916</v>
      </c>
      <c r="E1053" s="47" t="s">
        <v>296</v>
      </c>
      <c r="F1053" s="48" t="n">
        <v>4647</v>
      </c>
      <c r="G1053" s="48" t="n">
        <v>4674</v>
      </c>
      <c r="H1053" s="48" t="n">
        <v>4604</v>
      </c>
      <c r="I1053" s="48" t="n">
        <v>4662</v>
      </c>
      <c r="J1053" s="48" t="n">
        <v>4652</v>
      </c>
      <c r="K1053" s="48" t="n">
        <v>4616</v>
      </c>
      <c r="L1053" s="48" t="n">
        <v>84495322</v>
      </c>
      <c r="M1053" s="48" t="n">
        <v>393917191164</v>
      </c>
      <c r="N1053" s="48" t="n">
        <v>4174</v>
      </c>
      <c r="O1053" s="48" t="n">
        <v>41983604</v>
      </c>
      <c r="P1053" s="48" t="n">
        <v>40062062</v>
      </c>
      <c r="Q1053" s="48" t="n">
        <v>2020</v>
      </c>
      <c r="R1053" s="48" t="n">
        <v>1500</v>
      </c>
      <c r="S1053" s="48" t="n">
        <v>42511718</v>
      </c>
      <c r="T1053" s="48" t="n">
        <v>44433260</v>
      </c>
      <c r="U1053" s="46" t="n">
        <f aca="false">IF($A1053=$A1052,$U1052+1,1)</f>
        <v>9</v>
      </c>
      <c r="V1053" s="48" t="str">
        <f aca="false">IF($U1053&gt;=MA_SHORT,AVERAGE(INDEX($I$653:$I1053,402-MA_SHORT):$I1053),"")</f>
        <v/>
      </c>
      <c r="W1053" s="48" t="str">
        <f aca="false">IF($U1053&gt;=MA_MED,AVERAGE(INDEX($I$653:$I1053,402-MA_MED):$I1053),"")</f>
        <v/>
      </c>
      <c r="X1053" s="48" t="str">
        <f aca="false">IF($U1053&gt;=MA_LONG1,AVERAGE(INDEX($I$653:$I1053,402-MA_LONG1):$I1053),"")</f>
        <v/>
      </c>
      <c r="Y1053" s="48" t="str">
        <f aca="false">IF($U1053&gt;=MA_LONG2,AVERAGE(INDEX($I$653:$I1053,402-MA_LONG2):$I1053),"")</f>
        <v/>
      </c>
      <c r="Z1053" s="48" t="str">
        <f aca="false">IF($U1053&gt;=MA_SHORT,AVERAGE(INDEX($L$933:$L1053,122-MA_SHORT):$L1053),"")</f>
        <v/>
      </c>
      <c r="AA1053" s="48" t="n">
        <f aca="false">IF($U1053=1,$G1053-$H1053,MAX($G1053-$H1053,ABS($G1053-$I1052),ABS($H1053-$I1052)))</f>
        <v>70</v>
      </c>
      <c r="AB1053" s="48" t="str">
        <f aca="false">IF($U1053&gt;=ATR_PER,AVERAGE(INDEX($AA$933:$AA1053,122-ATR_PER):$AA1053),"")</f>
        <v/>
      </c>
      <c r="AC1053" s="48" t="n">
        <f aca="false">$O1053-$P1053</f>
        <v>1921542</v>
      </c>
      <c r="AD1053" s="48" t="n">
        <f aca="false">$AC1053*$I1053</f>
        <v>8958228804</v>
      </c>
      <c r="AE1053" s="49" t="n">
        <f aca="false">IF($Q1053&gt;0,$O1053*$I1053/$Q1053/1000000,"")</f>
        <v>96.8948325980198</v>
      </c>
      <c r="AF1053" s="49" t="n">
        <f aca="false">IF($R1053&gt;0,$P1053*$I1053/$R1053/1000000,"")</f>
        <v>124.512888696</v>
      </c>
      <c r="AG1053" s="50" t="n">
        <f aca="false">IF(AND(ISNUMBER($AE1053),ISNUMBER($AF1053),$AF1053&gt;0),$AE1053/$AF1053,"")</f>
        <v>0.778191186573383</v>
      </c>
      <c r="AH1053" s="48" t="n">
        <f aca="false">IF($U1053&gt;=5,SUM(INDEX($AD$1023:$AD1053,32-5):$AD1053),"")</f>
        <v>37954082184</v>
      </c>
      <c r="AI1053" s="48" t="str">
        <f aca="false">IF($U1053&gt;=STRUCT_S,MAX(INDEX($G$903:$G1053,152-STRUCT_S):$G1053),"")</f>
        <v/>
      </c>
      <c r="AJ1053" s="48" t="str">
        <f aca="false">IF($U1053&gt;=STRUCT_S,MIN(INDEX($H$903:$H1053,152-STRUCT_S):$H1053),"")</f>
        <v/>
      </c>
      <c r="AK1053" s="48" t="str">
        <f aca="false">IF($U1053&gt;=STRUCT_L,MAX(INDEX($G$803:$G1053,252-STRUCT_L):$G1053),"")</f>
        <v/>
      </c>
      <c r="AL1053" s="48" t="str">
        <f aca="false">IF($U1053&gt;=STRUCT_L,MIN(INDEX($H$803:$H1053,252-STRUCT_L):$H1053),"")</f>
        <v/>
      </c>
      <c r="AM1053" s="46" t="n">
        <f aca="false">IF($A1053&lt;&gt;$A1054,1,0)</f>
        <v>0</v>
      </c>
      <c r="AN1053" s="47" t="str">
        <f aca="false">IF($AM1053=1,$A1053,"")</f>
        <v/>
      </c>
    </row>
    <row r="1054" customFormat="false" ht="15" hidden="false" customHeight="false" outlineLevel="0" collapsed="false">
      <c r="A1054" s="43" t="s">
        <v>152</v>
      </c>
      <c r="B1054" s="44" t="s">
        <v>154</v>
      </c>
      <c r="C1054" s="45" t="n">
        <v>45917</v>
      </c>
      <c r="D1054" s="46" t="n">
        <v>20250917</v>
      </c>
      <c r="E1054" s="47" t="s">
        <v>297</v>
      </c>
      <c r="F1054" s="48" t="n">
        <v>4675</v>
      </c>
      <c r="G1054" s="48" t="n">
        <v>4777</v>
      </c>
      <c r="H1054" s="48" t="n">
        <v>4644</v>
      </c>
      <c r="I1054" s="48" t="n">
        <v>4758</v>
      </c>
      <c r="J1054" s="48" t="n">
        <v>4689</v>
      </c>
      <c r="K1054" s="48" t="n">
        <v>4662</v>
      </c>
      <c r="L1054" s="48" t="n">
        <v>113658994</v>
      </c>
      <c r="M1054" s="48" t="n">
        <v>540789493452</v>
      </c>
      <c r="N1054" s="48" t="n">
        <v>4641</v>
      </c>
      <c r="O1054" s="48" t="n">
        <v>68916707</v>
      </c>
      <c r="P1054" s="48" t="n">
        <v>41411697</v>
      </c>
      <c r="Q1054" s="48" t="n">
        <v>2850</v>
      </c>
      <c r="R1054" s="48" t="n">
        <v>1243</v>
      </c>
      <c r="S1054" s="48" t="n">
        <v>44742287</v>
      </c>
      <c r="T1054" s="48" t="n">
        <v>72247297</v>
      </c>
      <c r="U1054" s="46" t="n">
        <f aca="false">IF($A1054=$A1053,$U1053+1,1)</f>
        <v>10</v>
      </c>
      <c r="V1054" s="48" t="str">
        <f aca="false">IF($U1054&gt;=MA_SHORT,AVERAGE(INDEX($I$654:$I1054,402-MA_SHORT):$I1054),"")</f>
        <v/>
      </c>
      <c r="W1054" s="48" t="str">
        <f aca="false">IF($U1054&gt;=MA_MED,AVERAGE(INDEX($I$654:$I1054,402-MA_MED):$I1054),"")</f>
        <v/>
      </c>
      <c r="X1054" s="48" t="str">
        <f aca="false">IF($U1054&gt;=MA_LONG1,AVERAGE(INDEX($I$654:$I1054,402-MA_LONG1):$I1054),"")</f>
        <v/>
      </c>
      <c r="Y1054" s="48" t="str">
        <f aca="false">IF($U1054&gt;=MA_LONG2,AVERAGE(INDEX($I$654:$I1054,402-MA_LONG2):$I1054),"")</f>
        <v/>
      </c>
      <c r="Z1054" s="48" t="str">
        <f aca="false">IF($U1054&gt;=MA_SHORT,AVERAGE(INDEX($L$934:$L1054,122-MA_SHORT):$L1054),"")</f>
        <v/>
      </c>
      <c r="AA1054" s="48" t="n">
        <f aca="false">IF($U1054=1,$G1054-$H1054,MAX($G1054-$H1054,ABS($G1054-$I1053),ABS($H1054-$I1053)))</f>
        <v>133</v>
      </c>
      <c r="AB1054" s="48" t="str">
        <f aca="false">IF($U1054&gt;=ATR_PER,AVERAGE(INDEX($AA$934:$AA1054,122-ATR_PER):$AA1054),"")</f>
        <v/>
      </c>
      <c r="AC1054" s="48" t="n">
        <f aca="false">$O1054-$P1054</f>
        <v>27505010</v>
      </c>
      <c r="AD1054" s="48" t="n">
        <f aca="false">$AC1054*$I1054</f>
        <v>130868837580</v>
      </c>
      <c r="AE1054" s="49" t="n">
        <f aca="false">IF($Q1054&gt;0,$O1054*$I1054/$Q1054/1000000,"")</f>
        <v>115.054628738947</v>
      </c>
      <c r="AF1054" s="49" t="n">
        <f aca="false">IF($R1054&gt;0,$P1054*$I1054/$R1054/1000000,"")</f>
        <v>158.517179666935</v>
      </c>
      <c r="AG1054" s="50" t="n">
        <f aca="false">IF(AND(ISNUMBER($AE1054),ISNUMBER($AF1054),$AF1054&gt;0),$AE1054/$AF1054,"")</f>
        <v>0.725818040547353</v>
      </c>
      <c r="AH1054" s="48" t="n">
        <f aca="false">IF($U1054&gt;=5,SUM(INDEX($AD$1024:$AD1054,32-5):$AD1054),"")</f>
        <v>288822559380</v>
      </c>
      <c r="AI1054" s="48" t="str">
        <f aca="false">IF($U1054&gt;=STRUCT_S,MAX(INDEX($G$904:$G1054,152-STRUCT_S):$G1054),"")</f>
        <v/>
      </c>
      <c r="AJ1054" s="48" t="str">
        <f aca="false">IF($U1054&gt;=STRUCT_S,MIN(INDEX($H$904:$H1054,152-STRUCT_S):$H1054),"")</f>
        <v/>
      </c>
      <c r="AK1054" s="48" t="str">
        <f aca="false">IF($U1054&gt;=STRUCT_L,MAX(INDEX($G$804:$G1054,252-STRUCT_L):$G1054),"")</f>
        <v/>
      </c>
      <c r="AL1054" s="48" t="str">
        <f aca="false">IF($U1054&gt;=STRUCT_L,MIN(INDEX($H$804:$H1054,252-STRUCT_L):$H1054),"")</f>
        <v/>
      </c>
      <c r="AM1054" s="46" t="n">
        <f aca="false">IF($A1054&lt;&gt;$A1055,1,0)</f>
        <v>0</v>
      </c>
      <c r="AN1054" s="47" t="str">
        <f aca="false">IF($AM1054=1,$A1054,"")</f>
        <v/>
      </c>
    </row>
    <row r="1055" customFormat="false" ht="15" hidden="false" customHeight="false" outlineLevel="0" collapsed="false">
      <c r="A1055" s="43" t="s">
        <v>152</v>
      </c>
      <c r="B1055" s="44" t="s">
        <v>154</v>
      </c>
      <c r="C1055" s="45" t="n">
        <v>45920</v>
      </c>
      <c r="D1055" s="46" t="n">
        <v>20250920</v>
      </c>
      <c r="E1055" s="47" t="s">
        <v>298</v>
      </c>
      <c r="F1055" s="48" t="n">
        <v>4777</v>
      </c>
      <c r="G1055" s="48" t="n">
        <v>4780</v>
      </c>
      <c r="H1055" s="48" t="n">
        <v>4713</v>
      </c>
      <c r="I1055" s="48" t="n">
        <v>4735</v>
      </c>
      <c r="J1055" s="48" t="n">
        <v>4749</v>
      </c>
      <c r="K1055" s="48" t="n">
        <v>4758</v>
      </c>
      <c r="L1055" s="48" t="n">
        <v>79911045</v>
      </c>
      <c r="M1055" s="48" t="n">
        <v>378378798075</v>
      </c>
      <c r="N1055" s="48" t="n">
        <v>1935</v>
      </c>
      <c r="O1055" s="48" t="n">
        <v>27388664</v>
      </c>
      <c r="P1055" s="48" t="n">
        <v>53359300</v>
      </c>
      <c r="Q1055" s="48" t="n">
        <v>787</v>
      </c>
      <c r="R1055" s="48" t="n">
        <v>930</v>
      </c>
      <c r="S1055" s="48" t="n">
        <v>52522381</v>
      </c>
      <c r="T1055" s="48" t="n">
        <v>26551745</v>
      </c>
      <c r="U1055" s="46" t="n">
        <f aca="false">IF($A1055=$A1054,$U1054+1,1)</f>
        <v>11</v>
      </c>
      <c r="V1055" s="48" t="str">
        <f aca="false">IF($U1055&gt;=MA_SHORT,AVERAGE(INDEX($I$655:$I1055,402-MA_SHORT):$I1055),"")</f>
        <v/>
      </c>
      <c r="W1055" s="48" t="str">
        <f aca="false">IF($U1055&gt;=MA_MED,AVERAGE(INDEX($I$655:$I1055,402-MA_MED):$I1055),"")</f>
        <v/>
      </c>
      <c r="X1055" s="48" t="str">
        <f aca="false">IF($U1055&gt;=MA_LONG1,AVERAGE(INDEX($I$655:$I1055,402-MA_LONG1):$I1055),"")</f>
        <v/>
      </c>
      <c r="Y1055" s="48" t="str">
        <f aca="false">IF($U1055&gt;=MA_LONG2,AVERAGE(INDEX($I$655:$I1055,402-MA_LONG2):$I1055),"")</f>
        <v/>
      </c>
      <c r="Z1055" s="48" t="str">
        <f aca="false">IF($U1055&gt;=MA_SHORT,AVERAGE(INDEX($L$935:$L1055,122-MA_SHORT):$L1055),"")</f>
        <v/>
      </c>
      <c r="AA1055" s="48" t="n">
        <f aca="false">IF($U1055=1,$G1055-$H1055,MAX($G1055-$H1055,ABS($G1055-$I1054),ABS($H1055-$I1054)))</f>
        <v>67</v>
      </c>
      <c r="AB1055" s="48" t="str">
        <f aca="false">IF($U1055&gt;=ATR_PER,AVERAGE(INDEX($AA$935:$AA1055,122-ATR_PER):$AA1055),"")</f>
        <v/>
      </c>
      <c r="AC1055" s="48" t="n">
        <f aca="false">$O1055-$P1055</f>
        <v>-25970636</v>
      </c>
      <c r="AD1055" s="48" t="n">
        <f aca="false">$AC1055*$I1055</f>
        <v>-122970961460</v>
      </c>
      <c r="AE1055" s="49" t="n">
        <f aca="false">IF($Q1055&gt;0,$O1055*$I1055/$Q1055/1000000,"")</f>
        <v>164.784401575604</v>
      </c>
      <c r="AF1055" s="49" t="n">
        <f aca="false">IF($R1055&gt;0,$P1055*$I1055/$R1055/1000000,"")</f>
        <v>271.673425268817</v>
      </c>
      <c r="AG1055" s="50" t="n">
        <f aca="false">IF(AND(ISNUMBER($AE1055),ISNUMBER($AF1055),$AF1055&gt;0),$AE1055/$AF1055,"")</f>
        <v>0.606553259350088</v>
      </c>
      <c r="AH1055" s="48" t="n">
        <f aca="false">IF($U1055&gt;=5,SUM(INDEX($AD$1025:$AD1055,32-5):$AD1055),"")</f>
        <v>140808868342</v>
      </c>
      <c r="AI1055" s="48" t="str">
        <f aca="false">IF($U1055&gt;=STRUCT_S,MAX(INDEX($G$905:$G1055,152-STRUCT_S):$G1055),"")</f>
        <v/>
      </c>
      <c r="AJ1055" s="48" t="str">
        <f aca="false">IF($U1055&gt;=STRUCT_S,MIN(INDEX($H$905:$H1055,152-STRUCT_S):$H1055),"")</f>
        <v/>
      </c>
      <c r="AK1055" s="48" t="str">
        <f aca="false">IF($U1055&gt;=STRUCT_L,MAX(INDEX($G$805:$G1055,252-STRUCT_L):$G1055),"")</f>
        <v/>
      </c>
      <c r="AL1055" s="48" t="str">
        <f aca="false">IF($U1055&gt;=STRUCT_L,MIN(INDEX($H$805:$H1055,252-STRUCT_L):$H1055),"")</f>
        <v/>
      </c>
      <c r="AM1055" s="46" t="n">
        <f aca="false">IF($A1055&lt;&gt;$A1056,1,0)</f>
        <v>0</v>
      </c>
      <c r="AN1055" s="47" t="str">
        <f aca="false">IF($AM1055=1,$A1055,"")</f>
        <v/>
      </c>
    </row>
    <row r="1056" customFormat="false" ht="15" hidden="false" customHeight="false" outlineLevel="0" collapsed="false">
      <c r="A1056" s="43" t="s">
        <v>152</v>
      </c>
      <c r="B1056" s="44" t="s">
        <v>154</v>
      </c>
      <c r="C1056" s="45" t="n">
        <v>45921</v>
      </c>
      <c r="D1056" s="46" t="n">
        <v>20250921</v>
      </c>
      <c r="E1056" s="47" t="s">
        <v>299</v>
      </c>
      <c r="F1056" s="48" t="n">
        <v>4739</v>
      </c>
      <c r="G1056" s="48" t="n">
        <v>4913</v>
      </c>
      <c r="H1056" s="48" t="n">
        <v>4676</v>
      </c>
      <c r="I1056" s="48" t="n">
        <v>4853</v>
      </c>
      <c r="J1056" s="48" t="n">
        <v>4725</v>
      </c>
      <c r="K1056" s="48" t="n">
        <v>4735</v>
      </c>
      <c r="L1056" s="48" t="n">
        <v>89270546</v>
      </c>
      <c r="M1056" s="48" t="n">
        <v>433229959738</v>
      </c>
      <c r="N1056" s="48" t="n">
        <v>3918</v>
      </c>
      <c r="O1056" s="48" t="n">
        <v>47717375</v>
      </c>
      <c r="P1056" s="48" t="n">
        <v>38627471</v>
      </c>
      <c r="Q1056" s="48" t="n">
        <v>1757</v>
      </c>
      <c r="R1056" s="48" t="n">
        <v>1057</v>
      </c>
      <c r="S1056" s="48" t="n">
        <v>41553171</v>
      </c>
      <c r="T1056" s="48" t="n">
        <v>50643075</v>
      </c>
      <c r="U1056" s="46" t="n">
        <f aca="false">IF($A1056=$A1055,$U1055+1,1)</f>
        <v>12</v>
      </c>
      <c r="V1056" s="48" t="str">
        <f aca="false">IF($U1056&gt;=MA_SHORT,AVERAGE(INDEX($I$656:$I1056,402-MA_SHORT):$I1056),"")</f>
        <v/>
      </c>
      <c r="W1056" s="48" t="str">
        <f aca="false">IF($U1056&gt;=MA_MED,AVERAGE(INDEX($I$656:$I1056,402-MA_MED):$I1056),"")</f>
        <v/>
      </c>
      <c r="X1056" s="48" t="str">
        <f aca="false">IF($U1056&gt;=MA_LONG1,AVERAGE(INDEX($I$656:$I1056,402-MA_LONG1):$I1056),"")</f>
        <v/>
      </c>
      <c r="Y1056" s="48" t="str">
        <f aca="false">IF($U1056&gt;=MA_LONG2,AVERAGE(INDEX($I$656:$I1056,402-MA_LONG2):$I1056),"")</f>
        <v/>
      </c>
      <c r="Z1056" s="48" t="str">
        <f aca="false">IF($U1056&gt;=MA_SHORT,AVERAGE(INDEX($L$936:$L1056,122-MA_SHORT):$L1056),"")</f>
        <v/>
      </c>
      <c r="AA1056" s="48" t="n">
        <f aca="false">IF($U1056=1,$G1056-$H1056,MAX($G1056-$H1056,ABS($G1056-$I1055),ABS($H1056-$I1055)))</f>
        <v>237</v>
      </c>
      <c r="AB1056" s="48" t="str">
        <f aca="false">IF($U1056&gt;=ATR_PER,AVERAGE(INDEX($AA$936:$AA1056,122-ATR_PER):$AA1056),"")</f>
        <v/>
      </c>
      <c r="AC1056" s="48" t="n">
        <f aca="false">$O1056-$P1056</f>
        <v>9089904</v>
      </c>
      <c r="AD1056" s="48" t="n">
        <f aca="false">$AC1056*$I1056</f>
        <v>44113304112</v>
      </c>
      <c r="AE1056" s="49" t="n">
        <f aca="false">IF($Q1056&gt;0,$O1056*$I1056/$Q1056/1000000,"")</f>
        <v>131.799898050655</v>
      </c>
      <c r="AF1056" s="49" t="n">
        <f aca="false">IF($R1056&gt;0,$P1056*$I1056/$R1056/1000000,"")</f>
        <v>177.350157770104</v>
      </c>
      <c r="AG1056" s="50" t="n">
        <f aca="false">IF(AND(ISNUMBER($AE1056),ISNUMBER($AF1056),$AF1056&gt;0),$AE1056/$AF1056,"")</f>
        <v>0.743162000574617</v>
      </c>
      <c r="AH1056" s="48" t="n">
        <f aca="false">IF($U1056&gt;=5,SUM(INDEX($AD$1026:$AD1056,32-5):$AD1056),"")</f>
        <v>74708116004</v>
      </c>
      <c r="AI1056" s="48" t="str">
        <f aca="false">IF($U1056&gt;=STRUCT_S,MAX(INDEX($G$906:$G1056,152-STRUCT_S):$G1056),"")</f>
        <v/>
      </c>
      <c r="AJ1056" s="48" t="str">
        <f aca="false">IF($U1056&gt;=STRUCT_S,MIN(INDEX($H$906:$H1056,152-STRUCT_S):$H1056),"")</f>
        <v/>
      </c>
      <c r="AK1056" s="48" t="str">
        <f aca="false">IF($U1056&gt;=STRUCT_L,MAX(INDEX($G$806:$G1056,252-STRUCT_L):$G1056),"")</f>
        <v/>
      </c>
      <c r="AL1056" s="48" t="str">
        <f aca="false">IF($U1056&gt;=STRUCT_L,MIN(INDEX($H$806:$H1056,252-STRUCT_L):$H1056),"")</f>
        <v/>
      </c>
      <c r="AM1056" s="46" t="n">
        <f aca="false">IF($A1056&lt;&gt;$A1057,1,0)</f>
        <v>0</v>
      </c>
      <c r="AN1056" s="47" t="str">
        <f aca="false">IF($AM1056=1,$A1056,"")</f>
        <v/>
      </c>
    </row>
    <row r="1057" customFormat="false" ht="15" hidden="false" customHeight="false" outlineLevel="0" collapsed="false">
      <c r="A1057" s="43" t="s">
        <v>152</v>
      </c>
      <c r="B1057" s="44" t="s">
        <v>154</v>
      </c>
      <c r="C1057" s="45" t="n">
        <v>45922</v>
      </c>
      <c r="D1057" s="46" t="n">
        <v>20250922</v>
      </c>
      <c r="E1057" s="47" t="s">
        <v>300</v>
      </c>
      <c r="F1057" s="48" t="n">
        <v>4837</v>
      </c>
      <c r="G1057" s="48" t="n">
        <v>4990</v>
      </c>
      <c r="H1057" s="48" t="n">
        <v>4778</v>
      </c>
      <c r="I1057" s="48" t="n">
        <v>4914</v>
      </c>
      <c r="J1057" s="48" t="n">
        <v>4977</v>
      </c>
      <c r="K1057" s="48" t="n">
        <v>4853</v>
      </c>
      <c r="L1057" s="48" t="n">
        <v>122778949</v>
      </c>
      <c r="M1057" s="48" t="n">
        <v>603335755386</v>
      </c>
      <c r="N1057" s="48" t="n">
        <v>8802</v>
      </c>
      <c r="O1057" s="48" t="n">
        <v>56659719</v>
      </c>
      <c r="P1057" s="48" t="n">
        <v>66722531</v>
      </c>
      <c r="Q1057" s="48" t="n">
        <v>4516</v>
      </c>
      <c r="R1057" s="48" t="n">
        <v>3688</v>
      </c>
      <c r="S1057" s="48" t="n">
        <v>66119230</v>
      </c>
      <c r="T1057" s="48" t="n">
        <v>56056418</v>
      </c>
      <c r="U1057" s="46" t="n">
        <f aca="false">IF($A1057=$A1056,$U1056+1,1)</f>
        <v>13</v>
      </c>
      <c r="V1057" s="48" t="str">
        <f aca="false">IF($U1057&gt;=MA_SHORT,AVERAGE(INDEX($I$657:$I1057,402-MA_SHORT):$I1057),"")</f>
        <v/>
      </c>
      <c r="W1057" s="48" t="str">
        <f aca="false">IF($U1057&gt;=MA_MED,AVERAGE(INDEX($I$657:$I1057,402-MA_MED):$I1057),"")</f>
        <v/>
      </c>
      <c r="X1057" s="48" t="str">
        <f aca="false">IF($U1057&gt;=MA_LONG1,AVERAGE(INDEX($I$657:$I1057,402-MA_LONG1):$I1057),"")</f>
        <v/>
      </c>
      <c r="Y1057" s="48" t="str">
        <f aca="false">IF($U1057&gt;=MA_LONG2,AVERAGE(INDEX($I$657:$I1057,402-MA_LONG2):$I1057),"")</f>
        <v/>
      </c>
      <c r="Z1057" s="48" t="str">
        <f aca="false">IF($U1057&gt;=MA_SHORT,AVERAGE(INDEX($L$937:$L1057,122-MA_SHORT):$L1057),"")</f>
        <v/>
      </c>
      <c r="AA1057" s="48" t="n">
        <f aca="false">IF($U1057=1,$G1057-$H1057,MAX($G1057-$H1057,ABS($G1057-$I1056),ABS($H1057-$I1056)))</f>
        <v>212</v>
      </c>
      <c r="AB1057" s="48" t="str">
        <f aca="false">IF($U1057&gt;=ATR_PER,AVERAGE(INDEX($AA$937:$AA1057,122-ATR_PER):$AA1057),"")</f>
        <v/>
      </c>
      <c r="AC1057" s="48" t="n">
        <f aca="false">$O1057-$P1057</f>
        <v>-10062812</v>
      </c>
      <c r="AD1057" s="48" t="n">
        <f aca="false">$AC1057*$I1057</f>
        <v>-49448658168</v>
      </c>
      <c r="AE1057" s="49" t="n">
        <f aca="false">IF($Q1057&gt;0,$O1057*$I1057/$Q1057/1000000,"")</f>
        <v>61.6532017639504</v>
      </c>
      <c r="AF1057" s="49" t="n">
        <f aca="false">IF($R1057&gt;0,$P1057*$I1057/$R1057/1000000,"")</f>
        <v>88.9030686914317</v>
      </c>
      <c r="AG1057" s="50" t="n">
        <f aca="false">IF(AND(ISNUMBER($AE1057),ISNUMBER($AF1057),$AF1057&gt;0),$AE1057/$AF1057,"")</f>
        <v>0.693487892728864</v>
      </c>
      <c r="AH1057" s="48" t="n">
        <f aca="false">IF($U1057&gt;=5,SUM(INDEX($AD$1027:$AD1057,32-5):$AD1057),"")</f>
        <v>11520750868</v>
      </c>
      <c r="AI1057" s="48" t="str">
        <f aca="false">IF($U1057&gt;=STRUCT_S,MAX(INDEX($G$907:$G1057,152-STRUCT_S):$G1057),"")</f>
        <v/>
      </c>
      <c r="AJ1057" s="48" t="str">
        <f aca="false">IF($U1057&gt;=STRUCT_S,MIN(INDEX($H$907:$H1057,152-STRUCT_S):$H1057),"")</f>
        <v/>
      </c>
      <c r="AK1057" s="48" t="str">
        <f aca="false">IF($U1057&gt;=STRUCT_L,MAX(INDEX($G$807:$G1057,252-STRUCT_L):$G1057),"")</f>
        <v/>
      </c>
      <c r="AL1057" s="48" t="str">
        <f aca="false">IF($U1057&gt;=STRUCT_L,MIN(INDEX($H$807:$H1057,252-STRUCT_L):$H1057),"")</f>
        <v/>
      </c>
      <c r="AM1057" s="46" t="n">
        <f aca="false">IF($A1057&lt;&gt;$A1058,1,0)</f>
        <v>0</v>
      </c>
      <c r="AN1057" s="47" t="str">
        <f aca="false">IF($AM1057=1,$A1057,"")</f>
        <v/>
      </c>
    </row>
    <row r="1058" customFormat="false" ht="15" hidden="false" customHeight="false" outlineLevel="0" collapsed="false">
      <c r="A1058" s="43" t="s">
        <v>152</v>
      </c>
      <c r="B1058" s="44" t="s">
        <v>154</v>
      </c>
      <c r="C1058" s="45" t="n">
        <v>45923</v>
      </c>
      <c r="D1058" s="46" t="n">
        <v>20250923</v>
      </c>
      <c r="E1058" s="47" t="s">
        <v>301</v>
      </c>
      <c r="F1058" s="48" t="n">
        <v>4890</v>
      </c>
      <c r="G1058" s="48" t="n">
        <v>5044</v>
      </c>
      <c r="H1058" s="48" t="n">
        <v>4836</v>
      </c>
      <c r="I1058" s="48" t="n">
        <v>4965</v>
      </c>
      <c r="J1058" s="48" t="n">
        <v>4875</v>
      </c>
      <c r="K1058" s="48" t="n">
        <v>4914</v>
      </c>
      <c r="L1058" s="48" t="n">
        <v>82494537</v>
      </c>
      <c r="M1058" s="48" t="n">
        <v>409585376205</v>
      </c>
      <c r="N1058" s="48" t="n">
        <v>3476</v>
      </c>
      <c r="O1058" s="48" t="n">
        <v>45689198</v>
      </c>
      <c r="P1058" s="48" t="n">
        <v>35794334</v>
      </c>
      <c r="Q1058" s="48" t="n">
        <v>1388</v>
      </c>
      <c r="R1058" s="48" t="n">
        <v>942</v>
      </c>
      <c r="S1058" s="48" t="n">
        <v>36805339</v>
      </c>
      <c r="T1058" s="48" t="n">
        <v>46700203</v>
      </c>
      <c r="U1058" s="46" t="n">
        <f aca="false">IF($A1058=$A1057,$U1057+1,1)</f>
        <v>14</v>
      </c>
      <c r="V1058" s="48" t="str">
        <f aca="false">IF($U1058&gt;=MA_SHORT,AVERAGE(INDEX($I$658:$I1058,402-MA_SHORT):$I1058),"")</f>
        <v/>
      </c>
      <c r="W1058" s="48" t="str">
        <f aca="false">IF($U1058&gt;=MA_MED,AVERAGE(INDEX($I$658:$I1058,402-MA_MED):$I1058),"")</f>
        <v/>
      </c>
      <c r="X1058" s="48" t="str">
        <f aca="false">IF($U1058&gt;=MA_LONG1,AVERAGE(INDEX($I$658:$I1058,402-MA_LONG1):$I1058),"")</f>
        <v/>
      </c>
      <c r="Y1058" s="48" t="str">
        <f aca="false">IF($U1058&gt;=MA_LONG2,AVERAGE(INDEX($I$658:$I1058,402-MA_LONG2):$I1058),"")</f>
        <v/>
      </c>
      <c r="Z1058" s="48" t="str">
        <f aca="false">IF($U1058&gt;=MA_SHORT,AVERAGE(INDEX($L$938:$L1058,122-MA_SHORT):$L1058),"")</f>
        <v/>
      </c>
      <c r="AA1058" s="48" t="n">
        <f aca="false">IF($U1058=1,$G1058-$H1058,MAX($G1058-$H1058,ABS($G1058-$I1057),ABS($H1058-$I1057)))</f>
        <v>208</v>
      </c>
      <c r="AB1058" s="48" t="n">
        <f aca="false">IF($U1058&gt;=ATR_PER,AVERAGE(INDEX($AA$938:$AA1058,122-ATR_PER):$AA1058),"")</f>
        <v>171.357142857143</v>
      </c>
      <c r="AC1058" s="48" t="n">
        <f aca="false">$O1058-$P1058</f>
        <v>9894864</v>
      </c>
      <c r="AD1058" s="48" t="n">
        <f aca="false">$AC1058*$I1058</f>
        <v>49127999760</v>
      </c>
      <c r="AE1058" s="49" t="n">
        <f aca="false">IF($Q1058&gt;0,$O1058*$I1058/$Q1058/1000000,"")</f>
        <v>163.434342989914</v>
      </c>
      <c r="AF1058" s="49" t="n">
        <f aca="false">IF($R1058&gt;0,$P1058*$I1058/$R1058/1000000,"")</f>
        <v>188.661219012739</v>
      </c>
      <c r="AG1058" s="50" t="n">
        <f aca="false">IF(AND(ISNUMBER($AE1058),ISNUMBER($AF1058),$AF1058&gt;0),$AE1058/$AF1058,"")</f>
        <v>0.86628478202973</v>
      </c>
      <c r="AH1058" s="48" t="n">
        <f aca="false">IF($U1058&gt;=5,SUM(INDEX($AD$1028:$AD1058,32-5):$AD1058),"")</f>
        <v>51690521824</v>
      </c>
      <c r="AI1058" s="48" t="str">
        <f aca="false">IF($U1058&gt;=STRUCT_S,MAX(INDEX($G$908:$G1058,152-STRUCT_S):$G1058),"")</f>
        <v/>
      </c>
      <c r="AJ1058" s="48" t="str">
        <f aca="false">IF($U1058&gt;=STRUCT_S,MIN(INDEX($H$908:$H1058,152-STRUCT_S):$H1058),"")</f>
        <v/>
      </c>
      <c r="AK1058" s="48" t="str">
        <f aca="false">IF($U1058&gt;=STRUCT_L,MAX(INDEX($G$808:$G1058,252-STRUCT_L):$G1058),"")</f>
        <v/>
      </c>
      <c r="AL1058" s="48" t="str">
        <f aca="false">IF($U1058&gt;=STRUCT_L,MIN(INDEX($H$808:$H1058,252-STRUCT_L):$H1058),"")</f>
        <v/>
      </c>
      <c r="AM1058" s="46" t="n">
        <f aca="false">IF($A1058&lt;&gt;$A1059,1,0)</f>
        <v>0</v>
      </c>
      <c r="AN1058" s="47" t="str">
        <f aca="false">IF($AM1058=1,$A1058,"")</f>
        <v/>
      </c>
    </row>
    <row r="1059" customFormat="false" ht="15" hidden="false" customHeight="false" outlineLevel="0" collapsed="false">
      <c r="A1059" s="43" t="s">
        <v>152</v>
      </c>
      <c r="B1059" s="44" t="s">
        <v>154</v>
      </c>
      <c r="C1059" s="45" t="n">
        <v>45924</v>
      </c>
      <c r="D1059" s="46" t="n">
        <v>20250924</v>
      </c>
      <c r="E1059" s="47" t="s">
        <v>302</v>
      </c>
      <c r="F1059" s="48" t="n">
        <v>4957</v>
      </c>
      <c r="G1059" s="48" t="n">
        <v>5029</v>
      </c>
      <c r="H1059" s="48" t="n">
        <v>4883</v>
      </c>
      <c r="I1059" s="48" t="n">
        <v>4947</v>
      </c>
      <c r="J1059" s="48" t="n">
        <v>5026</v>
      </c>
      <c r="K1059" s="48" t="n">
        <v>4965</v>
      </c>
      <c r="L1059" s="48" t="n">
        <v>79347902</v>
      </c>
      <c r="M1059" s="48" t="n">
        <v>392534071194</v>
      </c>
      <c r="N1059" s="48" t="n">
        <v>2182</v>
      </c>
      <c r="O1059" s="48" t="n">
        <v>34580847</v>
      </c>
      <c r="P1059" s="48" t="n">
        <v>44009161</v>
      </c>
      <c r="Q1059" s="48" t="n">
        <v>906</v>
      </c>
      <c r="R1059" s="48" t="n">
        <v>808</v>
      </c>
      <c r="S1059" s="48" t="n">
        <v>44767055</v>
      </c>
      <c r="T1059" s="48" t="n">
        <v>35338741</v>
      </c>
      <c r="U1059" s="46" t="n">
        <f aca="false">IF($A1059=$A1058,$U1058+1,1)</f>
        <v>15</v>
      </c>
      <c r="V1059" s="48" t="str">
        <f aca="false">IF($U1059&gt;=MA_SHORT,AVERAGE(INDEX($I$659:$I1059,402-MA_SHORT):$I1059),"")</f>
        <v/>
      </c>
      <c r="W1059" s="48" t="str">
        <f aca="false">IF($U1059&gt;=MA_MED,AVERAGE(INDEX($I$659:$I1059,402-MA_MED):$I1059),"")</f>
        <v/>
      </c>
      <c r="X1059" s="48" t="str">
        <f aca="false">IF($U1059&gt;=MA_LONG1,AVERAGE(INDEX($I$659:$I1059,402-MA_LONG1):$I1059),"")</f>
        <v/>
      </c>
      <c r="Y1059" s="48" t="str">
        <f aca="false">IF($U1059&gt;=MA_LONG2,AVERAGE(INDEX($I$659:$I1059,402-MA_LONG2):$I1059),"")</f>
        <v/>
      </c>
      <c r="Z1059" s="48" t="str">
        <f aca="false">IF($U1059&gt;=MA_SHORT,AVERAGE(INDEX($L$939:$L1059,122-MA_SHORT):$L1059),"")</f>
        <v/>
      </c>
      <c r="AA1059" s="48" t="n">
        <f aca="false">IF($U1059=1,$G1059-$H1059,MAX($G1059-$H1059,ABS($G1059-$I1058),ABS($H1059-$I1058)))</f>
        <v>146</v>
      </c>
      <c r="AB1059" s="48" t="n">
        <f aca="false">IF($U1059&gt;=ATR_PER,AVERAGE(INDEX($AA$939:$AA1059,122-ATR_PER):$AA1059),"")</f>
        <v>174.428571428571</v>
      </c>
      <c r="AC1059" s="48" t="n">
        <f aca="false">$O1059-$P1059</f>
        <v>-9428314</v>
      </c>
      <c r="AD1059" s="48" t="n">
        <f aca="false">$AC1059*$I1059</f>
        <v>-46641869358</v>
      </c>
      <c r="AE1059" s="49" t="n">
        <f aca="false">IF($Q1059&gt;0,$O1059*$I1059/$Q1059/1000000,"")</f>
        <v>188.820585109272</v>
      </c>
      <c r="AF1059" s="49" t="n">
        <f aca="false">IF($R1059&gt;0,$P1059*$I1059/$R1059/1000000,"")</f>
        <v>269.447177558168</v>
      </c>
      <c r="AG1059" s="50" t="n">
        <f aca="false">IF(AND(ISNUMBER($AE1059),ISNUMBER($AF1059),$AF1059&gt;0),$AE1059/$AF1059,"")</f>
        <v>0.700770320997365</v>
      </c>
      <c r="AH1059" s="48" t="n">
        <f aca="false">IF($U1059&gt;=5,SUM(INDEX($AD$1029:$AD1059,32-5):$AD1059),"")</f>
        <v>-125820185114</v>
      </c>
      <c r="AI1059" s="48" t="str">
        <f aca="false">IF($U1059&gt;=STRUCT_S,MAX(INDEX($G$909:$G1059,152-STRUCT_S):$G1059),"")</f>
        <v/>
      </c>
      <c r="AJ1059" s="48" t="str">
        <f aca="false">IF($U1059&gt;=STRUCT_S,MIN(INDEX($H$909:$H1059,152-STRUCT_S):$H1059),"")</f>
        <v/>
      </c>
      <c r="AK1059" s="48" t="str">
        <f aca="false">IF($U1059&gt;=STRUCT_L,MAX(INDEX($G$809:$G1059,252-STRUCT_L):$G1059),"")</f>
        <v/>
      </c>
      <c r="AL1059" s="48" t="str">
        <f aca="false">IF($U1059&gt;=STRUCT_L,MIN(INDEX($H$809:$H1059,252-STRUCT_L):$H1059),"")</f>
        <v/>
      </c>
      <c r="AM1059" s="46" t="n">
        <f aca="false">IF($A1059&lt;&gt;$A1060,1,0)</f>
        <v>0</v>
      </c>
      <c r="AN1059" s="47" t="str">
        <f aca="false">IF($AM1059=1,$A1059,"")</f>
        <v/>
      </c>
    </row>
    <row r="1060" customFormat="false" ht="15" hidden="false" customHeight="false" outlineLevel="0" collapsed="false">
      <c r="A1060" s="43" t="s">
        <v>152</v>
      </c>
      <c r="B1060" s="44" t="s">
        <v>154</v>
      </c>
      <c r="C1060" s="45" t="n">
        <v>45927</v>
      </c>
      <c r="D1060" s="46" t="n">
        <v>20250927</v>
      </c>
      <c r="E1060" s="47" t="s">
        <v>303</v>
      </c>
      <c r="F1060" s="48" t="n">
        <v>4971</v>
      </c>
      <c r="G1060" s="48" t="n">
        <v>5014</v>
      </c>
      <c r="H1060" s="48" t="n">
        <v>4897</v>
      </c>
      <c r="I1060" s="48" t="n">
        <v>4964</v>
      </c>
      <c r="J1060" s="48" t="n">
        <v>4991</v>
      </c>
      <c r="K1060" s="48" t="n">
        <v>4947</v>
      </c>
      <c r="L1060" s="48" t="n">
        <v>108929677</v>
      </c>
      <c r="M1060" s="48" t="n">
        <v>540726916628</v>
      </c>
      <c r="N1060" s="48" t="n">
        <v>3942</v>
      </c>
      <c r="O1060" s="48" t="n">
        <v>46236367</v>
      </c>
      <c r="P1060" s="48" t="n">
        <v>52646047</v>
      </c>
      <c r="Q1060" s="48" t="n">
        <v>2066</v>
      </c>
      <c r="R1060" s="48" t="n">
        <v>1707</v>
      </c>
      <c r="S1060" s="48" t="n">
        <v>62693310</v>
      </c>
      <c r="T1060" s="48" t="n">
        <v>56283630</v>
      </c>
      <c r="U1060" s="46" t="n">
        <f aca="false">IF($A1060=$A1059,$U1059+1,1)</f>
        <v>16</v>
      </c>
      <c r="V1060" s="48" t="str">
        <f aca="false">IF($U1060&gt;=MA_SHORT,AVERAGE(INDEX($I$660:$I1060,402-MA_SHORT):$I1060),"")</f>
        <v/>
      </c>
      <c r="W1060" s="48" t="str">
        <f aca="false">IF($U1060&gt;=MA_MED,AVERAGE(INDEX($I$660:$I1060,402-MA_MED):$I1060),"")</f>
        <v/>
      </c>
      <c r="X1060" s="48" t="str">
        <f aca="false">IF($U1060&gt;=MA_LONG1,AVERAGE(INDEX($I$660:$I1060,402-MA_LONG1):$I1060),"")</f>
        <v/>
      </c>
      <c r="Y1060" s="48" t="str">
        <f aca="false">IF($U1060&gt;=MA_LONG2,AVERAGE(INDEX($I$660:$I1060,402-MA_LONG2):$I1060),"")</f>
        <v/>
      </c>
      <c r="Z1060" s="48" t="str">
        <f aca="false">IF($U1060&gt;=MA_SHORT,AVERAGE(INDEX($L$940:$L1060,122-MA_SHORT):$L1060),"")</f>
        <v/>
      </c>
      <c r="AA1060" s="48" t="n">
        <f aca="false">IF($U1060=1,$G1060-$H1060,MAX($G1060-$H1060,ABS($G1060-$I1059),ABS($H1060-$I1059)))</f>
        <v>117</v>
      </c>
      <c r="AB1060" s="48" t="n">
        <f aca="false">IF($U1060&gt;=ATR_PER,AVERAGE(INDEX($AA$940:$AA1060,122-ATR_PER):$AA1060),"")</f>
        <v>157</v>
      </c>
      <c r="AC1060" s="48" t="n">
        <f aca="false">$O1060-$P1060</f>
        <v>-6409680</v>
      </c>
      <c r="AD1060" s="48" t="n">
        <f aca="false">$AC1060*$I1060</f>
        <v>-31817651520</v>
      </c>
      <c r="AE1060" s="49" t="n">
        <f aca="false">IF($Q1060&gt;0,$O1060*$I1060/$Q1060/1000000,"")</f>
        <v>111.092606867377</v>
      </c>
      <c r="AF1060" s="49" t="n">
        <f aca="false">IF($R1060&gt;0,$P1060*$I1060/$R1060/1000000,"")</f>
        <v>153.096061691857</v>
      </c>
      <c r="AG1060" s="50" t="n">
        <f aca="false">IF(AND(ISNUMBER($AE1060),ISNUMBER($AF1060),$AF1060&gt;0),$AE1060/$AF1060,"")</f>
        <v>0.72563987368256</v>
      </c>
      <c r="AH1060" s="48" t="n">
        <f aca="false">IF($U1060&gt;=5,SUM(INDEX($AD$1030:$AD1060,32-5):$AD1060),"")</f>
        <v>-34666875174</v>
      </c>
      <c r="AI1060" s="48" t="str">
        <f aca="false">IF($U1060&gt;=STRUCT_S,MAX(INDEX($G$910:$G1060,152-STRUCT_S):$G1060),"")</f>
        <v/>
      </c>
      <c r="AJ1060" s="48" t="str">
        <f aca="false">IF($U1060&gt;=STRUCT_S,MIN(INDEX($H$910:$H1060,152-STRUCT_S):$H1060),"")</f>
        <v/>
      </c>
      <c r="AK1060" s="48" t="str">
        <f aca="false">IF($U1060&gt;=STRUCT_L,MAX(INDEX($G$810:$G1060,252-STRUCT_L):$G1060),"")</f>
        <v/>
      </c>
      <c r="AL1060" s="48" t="str">
        <f aca="false">IF($U1060&gt;=STRUCT_L,MIN(INDEX($H$810:$H1060,252-STRUCT_L):$H1060),"")</f>
        <v/>
      </c>
      <c r="AM1060" s="46" t="n">
        <f aca="false">IF($A1060&lt;&gt;$A1061,1,0)</f>
        <v>0</v>
      </c>
      <c r="AN1060" s="47" t="str">
        <f aca="false">IF($AM1060=1,$A1060,"")</f>
        <v/>
      </c>
    </row>
    <row r="1061" customFormat="false" ht="15" hidden="false" customHeight="false" outlineLevel="0" collapsed="false">
      <c r="A1061" s="43" t="s">
        <v>152</v>
      </c>
      <c r="B1061" s="44" t="s">
        <v>154</v>
      </c>
      <c r="C1061" s="45" t="n">
        <v>45928</v>
      </c>
      <c r="D1061" s="46" t="n">
        <v>20250928</v>
      </c>
      <c r="E1061" s="47" t="s">
        <v>304</v>
      </c>
      <c r="F1061" s="48" t="n">
        <v>5035</v>
      </c>
      <c r="G1061" s="48" t="n">
        <v>5103</v>
      </c>
      <c r="H1061" s="48" t="n">
        <v>4920</v>
      </c>
      <c r="I1061" s="48" t="n">
        <v>5059</v>
      </c>
      <c r="J1061" s="48" t="n">
        <v>4992</v>
      </c>
      <c r="K1061" s="48" t="n">
        <v>4964</v>
      </c>
      <c r="L1061" s="48" t="n">
        <v>143962229</v>
      </c>
      <c r="M1061" s="48" t="n">
        <v>728304916511</v>
      </c>
      <c r="N1061" s="48" t="n">
        <v>4119</v>
      </c>
      <c r="O1061" s="48" t="n">
        <v>73480371</v>
      </c>
      <c r="P1061" s="48" t="n">
        <v>65525149</v>
      </c>
      <c r="Q1061" s="48" t="n">
        <v>2275</v>
      </c>
      <c r="R1061" s="48" t="n">
        <v>1186</v>
      </c>
      <c r="S1061" s="48" t="n">
        <v>70481858</v>
      </c>
      <c r="T1061" s="48" t="n">
        <v>78437080</v>
      </c>
      <c r="U1061" s="46" t="n">
        <f aca="false">IF($A1061=$A1060,$U1060+1,1)</f>
        <v>17</v>
      </c>
      <c r="V1061" s="48" t="str">
        <f aca="false">IF($U1061&gt;=MA_SHORT,AVERAGE(INDEX($I$661:$I1061,402-MA_SHORT):$I1061),"")</f>
        <v/>
      </c>
      <c r="W1061" s="48" t="str">
        <f aca="false">IF($U1061&gt;=MA_MED,AVERAGE(INDEX($I$661:$I1061,402-MA_MED):$I1061),"")</f>
        <v/>
      </c>
      <c r="X1061" s="48" t="str">
        <f aca="false">IF($U1061&gt;=MA_LONG1,AVERAGE(INDEX($I$661:$I1061,402-MA_LONG1):$I1061),"")</f>
        <v/>
      </c>
      <c r="Y1061" s="48" t="str">
        <f aca="false">IF($U1061&gt;=MA_LONG2,AVERAGE(INDEX($I$661:$I1061,402-MA_LONG2):$I1061),"")</f>
        <v/>
      </c>
      <c r="Z1061" s="48" t="str">
        <f aca="false">IF($U1061&gt;=MA_SHORT,AVERAGE(INDEX($L$941:$L1061,122-MA_SHORT):$L1061),"")</f>
        <v/>
      </c>
      <c r="AA1061" s="48" t="n">
        <f aca="false">IF($U1061=1,$G1061-$H1061,MAX($G1061-$H1061,ABS($G1061-$I1060),ABS($H1061-$I1060)))</f>
        <v>183</v>
      </c>
      <c r="AB1061" s="48" t="n">
        <f aca="false">IF($U1061&gt;=ATR_PER,AVERAGE(INDEX($AA$941:$AA1061,122-ATR_PER):$AA1061),"")</f>
        <v>155.785714285714</v>
      </c>
      <c r="AC1061" s="48" t="n">
        <f aca="false">$O1061-$P1061</f>
        <v>7955222</v>
      </c>
      <c r="AD1061" s="48" t="n">
        <f aca="false">$AC1061*$I1061</f>
        <v>40245468098</v>
      </c>
      <c r="AE1061" s="49" t="n">
        <f aca="false">IF($Q1061&gt;0,$O1061*$I1061/$Q1061/1000000,"")</f>
        <v>163.400965665495</v>
      </c>
      <c r="AF1061" s="49" t="n">
        <f aca="false">IF($R1061&gt;0,$P1061*$I1061/$R1061/1000000,"")</f>
        <v>279.503987176223</v>
      </c>
      <c r="AG1061" s="50" t="n">
        <f aca="false">IF(AND(ISNUMBER($AE1061),ISNUMBER($AF1061),$AF1061&gt;0),$AE1061/$AF1061,"")</f>
        <v>0.584610499894132</v>
      </c>
      <c r="AH1061" s="48" t="n">
        <f aca="false">IF($U1061&gt;=5,SUM(INDEX($AD$1031:$AD1061,32-5):$AD1061),"")</f>
        <v>-38534711188</v>
      </c>
      <c r="AI1061" s="48" t="str">
        <f aca="false">IF($U1061&gt;=STRUCT_S,MAX(INDEX($G$911:$G1061,152-STRUCT_S):$G1061),"")</f>
        <v/>
      </c>
      <c r="AJ1061" s="48" t="str">
        <f aca="false">IF($U1061&gt;=STRUCT_S,MIN(INDEX($H$911:$H1061,152-STRUCT_S):$H1061),"")</f>
        <v/>
      </c>
      <c r="AK1061" s="48" t="str">
        <f aca="false">IF($U1061&gt;=STRUCT_L,MAX(INDEX($G$811:$G1061,252-STRUCT_L):$G1061),"")</f>
        <v/>
      </c>
      <c r="AL1061" s="48" t="str">
        <f aca="false">IF($U1061&gt;=STRUCT_L,MIN(INDEX($H$811:$H1061,252-STRUCT_L):$H1061),"")</f>
        <v/>
      </c>
      <c r="AM1061" s="46" t="n">
        <f aca="false">IF($A1061&lt;&gt;$A1062,1,0)</f>
        <v>0</v>
      </c>
      <c r="AN1061" s="47" t="str">
        <f aca="false">IF($AM1061=1,$A1061,"")</f>
        <v/>
      </c>
    </row>
    <row r="1062" customFormat="false" ht="15" hidden="false" customHeight="false" outlineLevel="0" collapsed="false">
      <c r="A1062" s="43" t="s">
        <v>152</v>
      </c>
      <c r="B1062" s="44" t="s">
        <v>154</v>
      </c>
      <c r="C1062" s="45" t="n">
        <v>45929</v>
      </c>
      <c r="D1062" s="46" t="n">
        <v>20250929</v>
      </c>
      <c r="E1062" s="47" t="s">
        <v>305</v>
      </c>
      <c r="F1062" s="48" t="n">
        <v>5093</v>
      </c>
      <c r="G1062" s="48" t="n">
        <v>5104</v>
      </c>
      <c r="H1062" s="48" t="n">
        <v>5018</v>
      </c>
      <c r="I1062" s="48" t="n">
        <v>5063</v>
      </c>
      <c r="J1062" s="48" t="n">
        <v>5099</v>
      </c>
      <c r="K1062" s="48" t="n">
        <v>5059</v>
      </c>
      <c r="L1062" s="48" t="n">
        <v>78027065</v>
      </c>
      <c r="M1062" s="48" t="n">
        <v>395051030095</v>
      </c>
      <c r="N1062" s="48" t="n">
        <v>8566</v>
      </c>
      <c r="O1062" s="48" t="n">
        <v>35963838</v>
      </c>
      <c r="P1062" s="48" t="n">
        <v>41606438</v>
      </c>
      <c r="Q1062" s="48" t="n">
        <v>5197</v>
      </c>
      <c r="R1062" s="48" t="n">
        <v>2342</v>
      </c>
      <c r="S1062" s="48" t="n">
        <v>42063227</v>
      </c>
      <c r="T1062" s="48" t="n">
        <v>36420627</v>
      </c>
      <c r="U1062" s="46" t="n">
        <f aca="false">IF($A1062=$A1061,$U1061+1,1)</f>
        <v>18</v>
      </c>
      <c r="V1062" s="48" t="str">
        <f aca="false">IF($U1062&gt;=MA_SHORT,AVERAGE(INDEX($I$662:$I1062,402-MA_SHORT):$I1062),"")</f>
        <v/>
      </c>
      <c r="W1062" s="48" t="str">
        <f aca="false">IF($U1062&gt;=MA_MED,AVERAGE(INDEX($I$662:$I1062,402-MA_MED):$I1062),"")</f>
        <v/>
      </c>
      <c r="X1062" s="48" t="str">
        <f aca="false">IF($U1062&gt;=MA_LONG1,AVERAGE(INDEX($I$662:$I1062,402-MA_LONG1):$I1062),"")</f>
        <v/>
      </c>
      <c r="Y1062" s="48" t="str">
        <f aca="false">IF($U1062&gt;=MA_LONG2,AVERAGE(INDEX($I$662:$I1062,402-MA_LONG2):$I1062),"")</f>
        <v/>
      </c>
      <c r="Z1062" s="48" t="str">
        <f aca="false">IF($U1062&gt;=MA_SHORT,AVERAGE(INDEX($L$942:$L1062,122-MA_SHORT):$L1062),"")</f>
        <v/>
      </c>
      <c r="AA1062" s="48" t="n">
        <f aca="false">IF($U1062=1,$G1062-$H1062,MAX($G1062-$H1062,ABS($G1062-$I1061),ABS($H1062-$I1061)))</f>
        <v>86</v>
      </c>
      <c r="AB1062" s="48" t="n">
        <f aca="false">IF($U1062&gt;=ATR_PER,AVERAGE(INDEX($AA$942:$AA1062,122-ATR_PER):$AA1062),"")</f>
        <v>143.5</v>
      </c>
      <c r="AC1062" s="48" t="n">
        <f aca="false">$O1062-$P1062</f>
        <v>-5642600</v>
      </c>
      <c r="AD1062" s="48" t="n">
        <f aca="false">$AC1062*$I1062</f>
        <v>-28568483800</v>
      </c>
      <c r="AE1062" s="49" t="n">
        <f aca="false">IF($Q1062&gt;0,$O1062*$I1062/$Q1062/1000000,"")</f>
        <v>35.0365425811045</v>
      </c>
      <c r="AF1062" s="49" t="n">
        <f aca="false">IF($R1062&gt;0,$P1062*$I1062/$R1062/1000000,"")</f>
        <v>89.9459417566183</v>
      </c>
      <c r="AG1062" s="50" t="n">
        <f aca="false">IF(AND(ISNUMBER($AE1062),ISNUMBER($AF1062),$AF1062&gt;0),$AE1062/$AF1062,"")</f>
        <v>0.389528886983125</v>
      </c>
      <c r="AH1062" s="48" t="n">
        <f aca="false">IF($U1062&gt;=5,SUM(INDEX($AD$1032:$AD1062,32-5):$AD1062),"")</f>
        <v>-17654536820</v>
      </c>
      <c r="AI1062" s="48" t="str">
        <f aca="false">IF($U1062&gt;=STRUCT_S,MAX(INDEX($G$912:$G1062,152-STRUCT_S):$G1062),"")</f>
        <v/>
      </c>
      <c r="AJ1062" s="48" t="str">
        <f aca="false">IF($U1062&gt;=STRUCT_S,MIN(INDEX($H$912:$H1062,152-STRUCT_S):$H1062),"")</f>
        <v/>
      </c>
      <c r="AK1062" s="48" t="str">
        <f aca="false">IF($U1062&gt;=STRUCT_L,MAX(INDEX($G$812:$G1062,252-STRUCT_L):$G1062),"")</f>
        <v/>
      </c>
      <c r="AL1062" s="48" t="str">
        <f aca="false">IF($U1062&gt;=STRUCT_L,MIN(INDEX($H$812:$H1062,252-STRUCT_L):$H1062),"")</f>
        <v/>
      </c>
      <c r="AM1062" s="46" t="n">
        <f aca="false">IF($A1062&lt;&gt;$A1063,1,0)</f>
        <v>0</v>
      </c>
      <c r="AN1062" s="47" t="str">
        <f aca="false">IF($AM1062=1,$A1062,"")</f>
        <v/>
      </c>
    </row>
    <row r="1063" customFormat="false" ht="15" hidden="false" customHeight="false" outlineLevel="0" collapsed="false">
      <c r="A1063" s="43" t="s">
        <v>152</v>
      </c>
      <c r="B1063" s="44" t="s">
        <v>154</v>
      </c>
      <c r="C1063" s="45" t="n">
        <v>45930</v>
      </c>
      <c r="D1063" s="46" t="n">
        <v>20250930</v>
      </c>
      <c r="E1063" s="47" t="s">
        <v>306</v>
      </c>
      <c r="F1063" s="48" t="n">
        <v>5055</v>
      </c>
      <c r="G1063" s="48" t="n">
        <v>5164</v>
      </c>
      <c r="H1063" s="48" t="n">
        <v>5010</v>
      </c>
      <c r="I1063" s="48" t="n">
        <v>5111</v>
      </c>
      <c r="J1063" s="48" t="n">
        <v>5040</v>
      </c>
      <c r="K1063" s="48" t="n">
        <v>5063</v>
      </c>
      <c r="L1063" s="48" t="n">
        <v>82076128</v>
      </c>
      <c r="M1063" s="48" t="n">
        <v>419491090208</v>
      </c>
      <c r="N1063" s="48" t="n">
        <v>8445</v>
      </c>
      <c r="O1063" s="48" t="n">
        <v>44342506</v>
      </c>
      <c r="P1063" s="48" t="n">
        <v>42807240</v>
      </c>
      <c r="Q1063" s="48" t="n">
        <v>5139</v>
      </c>
      <c r="R1063" s="48" t="n">
        <v>3925</v>
      </c>
      <c r="S1063" s="48" t="n">
        <v>37733622</v>
      </c>
      <c r="T1063" s="48" t="n">
        <v>39268888</v>
      </c>
      <c r="U1063" s="46" t="n">
        <f aca="false">IF($A1063=$A1062,$U1062+1,1)</f>
        <v>19</v>
      </c>
      <c r="V1063" s="48" t="str">
        <f aca="false">IF($U1063&gt;=MA_SHORT,AVERAGE(INDEX($I$663:$I1063,402-MA_SHORT):$I1063),"")</f>
        <v/>
      </c>
      <c r="W1063" s="48" t="str">
        <f aca="false">IF($U1063&gt;=MA_MED,AVERAGE(INDEX($I$663:$I1063,402-MA_MED):$I1063),"")</f>
        <v/>
      </c>
      <c r="X1063" s="48" t="str">
        <f aca="false">IF($U1063&gt;=MA_LONG1,AVERAGE(INDEX($I$663:$I1063,402-MA_LONG1):$I1063),"")</f>
        <v/>
      </c>
      <c r="Y1063" s="48" t="str">
        <f aca="false">IF($U1063&gt;=MA_LONG2,AVERAGE(INDEX($I$663:$I1063,402-MA_LONG2):$I1063),"")</f>
        <v/>
      </c>
      <c r="Z1063" s="48" t="str">
        <f aca="false">IF($U1063&gt;=MA_SHORT,AVERAGE(INDEX($L$943:$L1063,122-MA_SHORT):$L1063),"")</f>
        <v/>
      </c>
      <c r="AA1063" s="48" t="n">
        <f aca="false">IF($U1063=1,$G1063-$H1063,MAX($G1063-$H1063,ABS($G1063-$I1062),ABS($H1063-$I1062)))</f>
        <v>154</v>
      </c>
      <c r="AB1063" s="48" t="n">
        <f aca="false">IF($U1063&gt;=ATR_PER,AVERAGE(INDEX($AA$943:$AA1063,122-ATR_PER):$AA1063),"")</f>
        <v>137.142857142857</v>
      </c>
      <c r="AC1063" s="48" t="n">
        <f aca="false">$O1063-$P1063</f>
        <v>1535266</v>
      </c>
      <c r="AD1063" s="48" t="n">
        <f aca="false">$AC1063*$I1063</f>
        <v>7846744526</v>
      </c>
      <c r="AE1063" s="49" t="n">
        <f aca="false">IF($Q1063&gt;0,$O1063*$I1063/$Q1063/1000000,"")</f>
        <v>44.1009044884219</v>
      </c>
      <c r="AF1063" s="49" t="n">
        <f aca="false">IF($R1063&gt;0,$P1063*$I1063/$R1063/1000000,"")</f>
        <v>55.7421155770701</v>
      </c>
      <c r="AG1063" s="50" t="n">
        <f aca="false">IF(AND(ISNUMBER($AE1063),ISNUMBER($AF1063),$AF1063&gt;0),$AE1063/$AF1063,"")</f>
        <v>0.791159503579428</v>
      </c>
      <c r="AH1063" s="48" t="n">
        <f aca="false">IF($U1063&gt;=5,SUM(INDEX($AD$1033:$AD1063,32-5):$AD1063),"")</f>
        <v>-58935792054</v>
      </c>
      <c r="AI1063" s="48" t="str">
        <f aca="false">IF($U1063&gt;=STRUCT_S,MAX(INDEX($G$913:$G1063,152-STRUCT_S):$G1063),"")</f>
        <v/>
      </c>
      <c r="AJ1063" s="48" t="str">
        <f aca="false">IF($U1063&gt;=STRUCT_S,MIN(INDEX($H$913:$H1063,152-STRUCT_S):$H1063),"")</f>
        <v/>
      </c>
      <c r="AK1063" s="48" t="str">
        <f aca="false">IF($U1063&gt;=STRUCT_L,MAX(INDEX($G$813:$G1063,252-STRUCT_L):$G1063),"")</f>
        <v/>
      </c>
      <c r="AL1063" s="48" t="str">
        <f aca="false">IF($U1063&gt;=STRUCT_L,MIN(INDEX($H$813:$H1063,252-STRUCT_L):$H1063),"")</f>
        <v/>
      </c>
      <c r="AM1063" s="46" t="n">
        <f aca="false">IF($A1063&lt;&gt;$A1064,1,0)</f>
        <v>0</v>
      </c>
      <c r="AN1063" s="47" t="str">
        <f aca="false">IF($AM1063=1,$A1063,"")</f>
        <v/>
      </c>
    </row>
    <row r="1064" customFormat="false" ht="15" hidden="false" customHeight="false" outlineLevel="0" collapsed="false">
      <c r="A1064" s="43" t="s">
        <v>152</v>
      </c>
      <c r="B1064" s="44" t="s">
        <v>154</v>
      </c>
      <c r="C1064" s="45" t="n">
        <v>45931</v>
      </c>
      <c r="D1064" s="46" t="n">
        <v>20251001</v>
      </c>
      <c r="E1064" s="47" t="s">
        <v>307</v>
      </c>
      <c r="F1064" s="48" t="n">
        <v>5174</v>
      </c>
      <c r="G1064" s="48" t="n">
        <v>5251</v>
      </c>
      <c r="H1064" s="48" t="n">
        <v>5071</v>
      </c>
      <c r="I1064" s="48" t="n">
        <v>5210</v>
      </c>
      <c r="J1064" s="48" t="n">
        <v>5156</v>
      </c>
      <c r="K1064" s="48" t="n">
        <v>5111</v>
      </c>
      <c r="L1064" s="48" t="n">
        <v>103633803</v>
      </c>
      <c r="M1064" s="48" t="n">
        <v>539932113630</v>
      </c>
      <c r="N1064" s="48" t="n">
        <v>10118</v>
      </c>
      <c r="O1064" s="48" t="n">
        <v>53638166</v>
      </c>
      <c r="P1064" s="48" t="n">
        <v>52019410</v>
      </c>
      <c r="Q1064" s="48" t="n">
        <v>4551</v>
      </c>
      <c r="R1064" s="48" t="n">
        <v>3993</v>
      </c>
      <c r="S1064" s="48" t="n">
        <v>49995637</v>
      </c>
      <c r="T1064" s="48" t="n">
        <v>51614393</v>
      </c>
      <c r="U1064" s="46" t="n">
        <f aca="false">IF($A1064=$A1063,$U1063+1,1)</f>
        <v>20</v>
      </c>
      <c r="V1064" s="48" t="n">
        <f aca="false">IF($U1064&gt;=MA_SHORT,AVERAGE(INDEX($I$664:$I1064,402-MA_SHORT):$I1064),"")</f>
        <v>4817.3</v>
      </c>
      <c r="W1064" s="48" t="str">
        <f aca="false">IF($U1064&gt;=MA_MED,AVERAGE(INDEX($I$664:$I1064,402-MA_MED):$I1064),"")</f>
        <v/>
      </c>
      <c r="X1064" s="48" t="str">
        <f aca="false">IF($U1064&gt;=MA_LONG1,AVERAGE(INDEX($I$664:$I1064,402-MA_LONG1):$I1064),"")</f>
        <v/>
      </c>
      <c r="Y1064" s="48" t="str">
        <f aca="false">IF($U1064&gt;=MA_LONG2,AVERAGE(INDEX($I$664:$I1064,402-MA_LONG2):$I1064),"")</f>
        <v/>
      </c>
      <c r="Z1064" s="48" t="n">
        <f aca="false">IF($U1064&gt;=MA_SHORT,AVERAGE(INDEX($L$944:$L1064,122-MA_SHORT):$L1064),"")</f>
        <v>94685596.75</v>
      </c>
      <c r="AA1064" s="48" t="n">
        <f aca="false">IF($U1064=1,$G1064-$H1064,MAX($G1064-$H1064,ABS($G1064-$I1063),ABS($H1064-$I1063)))</f>
        <v>180</v>
      </c>
      <c r="AB1064" s="48" t="n">
        <f aca="false">IF($U1064&gt;=ATR_PER,AVERAGE(INDEX($AA$944:$AA1064,122-ATR_PER):$AA1064),"")</f>
        <v>145.142857142857</v>
      </c>
      <c r="AC1064" s="48" t="n">
        <f aca="false">$O1064-$P1064</f>
        <v>1618756</v>
      </c>
      <c r="AD1064" s="48" t="n">
        <f aca="false">$AC1064*$I1064</f>
        <v>8433718760</v>
      </c>
      <c r="AE1064" s="49" t="n">
        <f aca="false">IF($Q1064&gt;0,$O1064*$I1064/$Q1064/1000000,"")</f>
        <v>61.4051515842672</v>
      </c>
      <c r="AF1064" s="49" t="n">
        <f aca="false">IF($R1064&gt;0,$P1064*$I1064/$R1064/1000000,"")</f>
        <v>67.874061131981</v>
      </c>
      <c r="AG1064" s="50" t="n">
        <f aca="false">IF(AND(ISNUMBER($AE1064),ISNUMBER($AF1064),$AF1064&gt;0),$AE1064/$AF1064,"")</f>
        <v>0.904692463662444</v>
      </c>
      <c r="AH1064" s="48" t="n">
        <f aca="false">IF($U1064&gt;=5,SUM(INDEX($AD$1034:$AD1064,32-5):$AD1064),"")</f>
        <v>-3860203936</v>
      </c>
      <c r="AI1064" s="48" t="n">
        <f aca="false">IF($U1064&gt;=STRUCT_S,MAX(INDEX($G$914:$G1064,152-STRUCT_S):$G1064),"")</f>
        <v>5251</v>
      </c>
      <c r="AJ1064" s="48" t="n">
        <f aca="false">IF($U1064&gt;=STRUCT_S,MIN(INDEX($H$914:$H1064,152-STRUCT_S):$H1064),"")</f>
        <v>4345</v>
      </c>
      <c r="AK1064" s="48" t="str">
        <f aca="false">IF($U1064&gt;=STRUCT_L,MAX(INDEX($G$814:$G1064,252-STRUCT_L):$G1064),"")</f>
        <v/>
      </c>
      <c r="AL1064" s="48" t="str">
        <f aca="false">IF($U1064&gt;=STRUCT_L,MIN(INDEX($H$814:$H1064,252-STRUCT_L):$H1064),"")</f>
        <v/>
      </c>
      <c r="AM1064" s="46" t="n">
        <f aca="false">IF($A1064&lt;&gt;$A1065,1,0)</f>
        <v>0</v>
      </c>
      <c r="AN1064" s="47" t="str">
        <f aca="false">IF($AM1064=1,$A1064,"")</f>
        <v/>
      </c>
    </row>
    <row r="1065" customFormat="false" ht="15" hidden="false" customHeight="false" outlineLevel="0" collapsed="false">
      <c r="A1065" s="43" t="s">
        <v>152</v>
      </c>
      <c r="B1065" s="44" t="s">
        <v>154</v>
      </c>
      <c r="C1065" s="45" t="n">
        <v>45934</v>
      </c>
      <c r="D1065" s="46" t="n">
        <v>20251004</v>
      </c>
      <c r="E1065" s="47" t="s">
        <v>308</v>
      </c>
      <c r="F1065" s="48" t="n">
        <v>5183</v>
      </c>
      <c r="G1065" s="48" t="n">
        <v>5459</v>
      </c>
      <c r="H1065" s="48" t="n">
        <v>5153</v>
      </c>
      <c r="I1065" s="48" t="n">
        <v>5400</v>
      </c>
      <c r="J1065" s="48" t="n">
        <v>5385</v>
      </c>
      <c r="K1065" s="48" t="n">
        <v>5210</v>
      </c>
      <c r="L1065" s="48" t="n">
        <v>94651138</v>
      </c>
      <c r="M1065" s="48" t="n">
        <v>511116145200</v>
      </c>
      <c r="N1065" s="48" t="n">
        <v>2443</v>
      </c>
      <c r="O1065" s="48" t="n">
        <v>57847369</v>
      </c>
      <c r="P1065" s="48" t="n">
        <v>36702565</v>
      </c>
      <c r="Q1065" s="48" t="n">
        <v>1077</v>
      </c>
      <c r="R1065" s="48" t="n">
        <v>758</v>
      </c>
      <c r="S1065" s="48" t="n">
        <v>36803769</v>
      </c>
      <c r="T1065" s="48" t="n">
        <v>57948573</v>
      </c>
      <c r="U1065" s="46" t="n">
        <f aca="false">IF($A1065=$A1064,$U1064+1,1)</f>
        <v>21</v>
      </c>
      <c r="V1065" s="48" t="n">
        <f aca="false">IF($U1065&gt;=MA_SHORT,AVERAGE(INDEX($I$665:$I1065,402-MA_SHORT):$I1065),"")</f>
        <v>4838.1</v>
      </c>
      <c r="W1065" s="48" t="str">
        <f aca="false">IF($U1065&gt;=MA_MED,AVERAGE(INDEX($I$665:$I1065,402-MA_MED):$I1065),"")</f>
        <v/>
      </c>
      <c r="X1065" s="48" t="str">
        <f aca="false">IF($U1065&gt;=MA_LONG1,AVERAGE(INDEX($I$665:$I1065,402-MA_LONG1):$I1065),"")</f>
        <v/>
      </c>
      <c r="Y1065" s="48" t="str">
        <f aca="false">IF($U1065&gt;=MA_LONG2,AVERAGE(INDEX($I$665:$I1065,402-MA_LONG2):$I1065),"")</f>
        <v/>
      </c>
      <c r="Z1065" s="48" t="n">
        <f aca="false">IF($U1065&gt;=MA_SHORT,AVERAGE(INDEX($L$945:$L1065,122-MA_SHORT):$L1065),"")</f>
        <v>95505413.5</v>
      </c>
      <c r="AA1065" s="48" t="n">
        <f aca="false">IF($U1065=1,$G1065-$H1065,MAX($G1065-$H1065,ABS($G1065-$I1064),ABS($H1065-$I1064)))</f>
        <v>306</v>
      </c>
      <c r="AB1065" s="48" t="n">
        <f aca="false">IF($U1065&gt;=ATR_PER,AVERAGE(INDEX($AA$945:$AA1065,122-ATR_PER):$AA1065),"")</f>
        <v>157</v>
      </c>
      <c r="AC1065" s="48" t="n">
        <f aca="false">$O1065-$P1065</f>
        <v>21144804</v>
      </c>
      <c r="AD1065" s="48" t="n">
        <f aca="false">$AC1065*$I1065</f>
        <v>114181941600</v>
      </c>
      <c r="AE1065" s="49" t="n">
        <f aca="false">IF($Q1065&gt;0,$O1065*$I1065/$Q1065/1000000,"")</f>
        <v>290.042518662953</v>
      </c>
      <c r="AF1065" s="49" t="n">
        <f aca="false">IF($R1065&gt;0,$P1065*$I1065/$R1065/1000000,"")</f>
        <v>261.469460422164</v>
      </c>
      <c r="AG1065" s="50" t="n">
        <f aca="false">IF(AND(ISNUMBER($AE1065),ISNUMBER($AF1065),$AF1065&gt;0),$AE1065/$AF1065,"")</f>
        <v>1.10927875934213</v>
      </c>
      <c r="AH1065" s="48" t="n">
        <f aca="false">IF($U1065&gt;=5,SUM(INDEX($AD$1035:$AD1065,32-5):$AD1065),"")</f>
        <v>142139389184</v>
      </c>
      <c r="AI1065" s="48" t="n">
        <f aca="false">IF($U1065&gt;=STRUCT_S,MAX(INDEX($G$915:$G1065,152-STRUCT_S):$G1065),"")</f>
        <v>5459</v>
      </c>
      <c r="AJ1065" s="48" t="n">
        <f aca="false">IF($U1065&gt;=STRUCT_S,MIN(INDEX($H$915:$H1065,152-STRUCT_S):$H1065),"")</f>
        <v>4345</v>
      </c>
      <c r="AK1065" s="48" t="str">
        <f aca="false">IF($U1065&gt;=STRUCT_L,MAX(INDEX($G$815:$G1065,252-STRUCT_L):$G1065),"")</f>
        <v/>
      </c>
      <c r="AL1065" s="48" t="str">
        <f aca="false">IF($U1065&gt;=STRUCT_L,MIN(INDEX($H$815:$H1065,252-STRUCT_L):$H1065),"")</f>
        <v/>
      </c>
      <c r="AM1065" s="46" t="n">
        <f aca="false">IF($A1065&lt;&gt;$A1066,1,0)</f>
        <v>0</v>
      </c>
      <c r="AN1065" s="47" t="str">
        <f aca="false">IF($AM1065=1,$A1065,"")</f>
        <v/>
      </c>
    </row>
    <row r="1066" customFormat="false" ht="15" hidden="false" customHeight="false" outlineLevel="0" collapsed="false">
      <c r="A1066" s="43" t="s">
        <v>152</v>
      </c>
      <c r="B1066" s="44" t="s">
        <v>154</v>
      </c>
      <c r="C1066" s="45" t="n">
        <v>45935</v>
      </c>
      <c r="D1066" s="46" t="n">
        <v>20251005</v>
      </c>
      <c r="E1066" s="47" t="s">
        <v>309</v>
      </c>
      <c r="F1066" s="48" t="n">
        <v>5382</v>
      </c>
      <c r="G1066" s="48" t="n">
        <v>5504</v>
      </c>
      <c r="H1066" s="48" t="n">
        <v>5227</v>
      </c>
      <c r="I1066" s="48" t="n">
        <v>5329</v>
      </c>
      <c r="J1066" s="48" t="n">
        <v>5228</v>
      </c>
      <c r="K1066" s="48" t="n">
        <v>5400</v>
      </c>
      <c r="L1066" s="48" t="n">
        <v>83785055</v>
      </c>
      <c r="M1066" s="48" t="n">
        <v>446490558095</v>
      </c>
      <c r="N1066" s="48" t="n">
        <v>1984</v>
      </c>
      <c r="O1066" s="48" t="n">
        <v>32184872</v>
      </c>
      <c r="P1066" s="48" t="n">
        <v>47262444</v>
      </c>
      <c r="Q1066" s="48" t="n">
        <v>791</v>
      </c>
      <c r="R1066" s="48" t="n">
        <v>1148</v>
      </c>
      <c r="S1066" s="48" t="n">
        <v>51600183</v>
      </c>
      <c r="T1066" s="48" t="n">
        <v>36522611</v>
      </c>
      <c r="U1066" s="46" t="n">
        <f aca="false">IF($A1066=$A1065,$U1065+1,1)</f>
        <v>22</v>
      </c>
      <c r="V1066" s="48" t="n">
        <f aca="false">IF($U1066&gt;=MA_SHORT,AVERAGE(INDEX($I$666:$I1066,402-MA_SHORT):$I1066),"")</f>
        <v>4863.45</v>
      </c>
      <c r="W1066" s="48" t="str">
        <f aca="false">IF($U1066&gt;=MA_MED,AVERAGE(INDEX($I$666:$I1066,402-MA_MED):$I1066),"")</f>
        <v/>
      </c>
      <c r="X1066" s="48" t="str">
        <f aca="false">IF($U1066&gt;=MA_LONG1,AVERAGE(INDEX($I$666:$I1066,402-MA_LONG1):$I1066),"")</f>
        <v/>
      </c>
      <c r="Y1066" s="48" t="str">
        <f aca="false">IF($U1066&gt;=MA_LONG2,AVERAGE(INDEX($I$666:$I1066,402-MA_LONG2):$I1066),"")</f>
        <v/>
      </c>
      <c r="Z1066" s="48" t="n">
        <f aca="false">IF($U1066&gt;=MA_SHORT,AVERAGE(INDEX($L$946:$L1066,122-MA_SHORT):$L1066),"")</f>
        <v>94617164.45</v>
      </c>
      <c r="AA1066" s="48" t="n">
        <f aca="false">IF($U1066=1,$G1066-$H1066,MAX($G1066-$H1066,ABS($G1066-$I1065),ABS($H1066-$I1065)))</f>
        <v>277</v>
      </c>
      <c r="AB1066" s="48" t="n">
        <f aca="false">IF($U1066&gt;=ATR_PER,AVERAGE(INDEX($AA$946:$AA1066,122-ATR_PER):$AA1066),"")</f>
        <v>169.714285714286</v>
      </c>
      <c r="AC1066" s="48" t="n">
        <f aca="false">$O1066-$P1066</f>
        <v>-15077572</v>
      </c>
      <c r="AD1066" s="48" t="n">
        <f aca="false">$AC1066*$I1066</f>
        <v>-80348381188</v>
      </c>
      <c r="AE1066" s="49" t="n">
        <f aca="false">IF($Q1066&gt;0,$O1066*$I1066/$Q1066/1000000,"")</f>
        <v>216.830825395702</v>
      </c>
      <c r="AF1066" s="49" t="n">
        <f aca="false">IF($R1066&gt;0,$P1066*$I1066/$R1066/1000000,"")</f>
        <v>219.391606337979</v>
      </c>
      <c r="AG1066" s="50" t="n">
        <f aca="false">IF(AND(ISNUMBER($AE1066),ISNUMBER($AF1066),$AF1066&gt;0),$AE1066/$AF1066,"")</f>
        <v>0.988327808045981</v>
      </c>
      <c r="AH1066" s="48" t="n">
        <f aca="false">IF($U1066&gt;=5,SUM(INDEX($AD$1036:$AD1066,32-5):$AD1066),"")</f>
        <v>21545539898</v>
      </c>
      <c r="AI1066" s="48" t="n">
        <f aca="false">IF($U1066&gt;=STRUCT_S,MAX(INDEX($G$916:$G1066,152-STRUCT_S):$G1066),"")</f>
        <v>5504</v>
      </c>
      <c r="AJ1066" s="48" t="n">
        <f aca="false">IF($U1066&gt;=STRUCT_S,MIN(INDEX($H$916:$H1066,152-STRUCT_S):$H1066),"")</f>
        <v>4345</v>
      </c>
      <c r="AK1066" s="48" t="str">
        <f aca="false">IF($U1066&gt;=STRUCT_L,MAX(INDEX($G$816:$G1066,252-STRUCT_L):$G1066),"")</f>
        <v/>
      </c>
      <c r="AL1066" s="48" t="str">
        <f aca="false">IF($U1066&gt;=STRUCT_L,MIN(INDEX($H$816:$H1066,252-STRUCT_L):$H1066),"")</f>
        <v/>
      </c>
      <c r="AM1066" s="46" t="n">
        <f aca="false">IF($A1066&lt;&gt;$A1067,1,0)</f>
        <v>0</v>
      </c>
      <c r="AN1066" s="47" t="str">
        <f aca="false">IF($AM1066=1,$A1066,"")</f>
        <v/>
      </c>
    </row>
    <row r="1067" customFormat="false" ht="15" hidden="false" customHeight="false" outlineLevel="0" collapsed="false">
      <c r="A1067" s="43" t="s">
        <v>152</v>
      </c>
      <c r="B1067" s="44" t="s">
        <v>154</v>
      </c>
      <c r="C1067" s="45" t="n">
        <v>45936</v>
      </c>
      <c r="D1067" s="46" t="n">
        <v>20251006</v>
      </c>
      <c r="E1067" s="47" t="s">
        <v>310</v>
      </c>
      <c r="F1067" s="48" t="n">
        <v>5317</v>
      </c>
      <c r="G1067" s="48" t="n">
        <v>5367</v>
      </c>
      <c r="H1067" s="48" t="n">
        <v>5144</v>
      </c>
      <c r="I1067" s="48" t="n">
        <v>5181</v>
      </c>
      <c r="J1067" s="48" t="n">
        <v>5180</v>
      </c>
      <c r="K1067" s="48" t="n">
        <v>5329</v>
      </c>
      <c r="L1067" s="48" t="n">
        <v>90599330</v>
      </c>
      <c r="M1067" s="48" t="n">
        <v>469395128730</v>
      </c>
      <c r="N1067" s="48" t="n">
        <v>2599</v>
      </c>
      <c r="O1067" s="48" t="n">
        <v>23507549</v>
      </c>
      <c r="P1067" s="48" t="n">
        <v>70167342</v>
      </c>
      <c r="Q1067" s="48" t="n">
        <v>1009</v>
      </c>
      <c r="R1067" s="48" t="n">
        <v>1411</v>
      </c>
      <c r="S1067" s="48" t="n">
        <v>67091781</v>
      </c>
      <c r="T1067" s="48" t="n">
        <v>20431988</v>
      </c>
      <c r="U1067" s="46" t="n">
        <f aca="false">IF($A1067=$A1066,$U1066+1,1)</f>
        <v>23</v>
      </c>
      <c r="V1067" s="48" t="n">
        <f aca="false">IF($U1067&gt;=MA_SHORT,AVERAGE(INDEX($I$667:$I1067,402-MA_SHORT):$I1067),"")</f>
        <v>4885.15</v>
      </c>
      <c r="W1067" s="48" t="str">
        <f aca="false">IF($U1067&gt;=MA_MED,AVERAGE(INDEX($I$667:$I1067,402-MA_MED):$I1067),"")</f>
        <v/>
      </c>
      <c r="X1067" s="48" t="str">
        <f aca="false">IF($U1067&gt;=MA_LONG1,AVERAGE(INDEX($I$667:$I1067,402-MA_LONG1):$I1067),"")</f>
        <v/>
      </c>
      <c r="Y1067" s="48" t="str">
        <f aca="false">IF($U1067&gt;=MA_LONG2,AVERAGE(INDEX($I$667:$I1067,402-MA_LONG2):$I1067),"")</f>
        <v/>
      </c>
      <c r="Z1067" s="48" t="n">
        <f aca="false">IF($U1067&gt;=MA_SHORT,AVERAGE(INDEX($L$947:$L1067,122-MA_SHORT):$L1067),"")</f>
        <v>94901834.35</v>
      </c>
      <c r="AA1067" s="48" t="n">
        <f aca="false">IF($U1067=1,$G1067-$H1067,MAX($G1067-$H1067,ABS($G1067-$I1066),ABS($H1067-$I1066)))</f>
        <v>223</v>
      </c>
      <c r="AB1067" s="48" t="n">
        <f aca="false">IF($U1067&gt;=ATR_PER,AVERAGE(INDEX($AA$947:$AA1067,122-ATR_PER):$AA1067),"")</f>
        <v>180.642857142857</v>
      </c>
      <c r="AC1067" s="48" t="n">
        <f aca="false">$O1067-$P1067</f>
        <v>-46659793</v>
      </c>
      <c r="AD1067" s="48" t="n">
        <f aca="false">$AC1067*$I1067</f>
        <v>-241744387533</v>
      </c>
      <c r="AE1067" s="49" t="n">
        <f aca="false">IF($Q1067&gt;0,$O1067*$I1067/$Q1067/1000000,"")</f>
        <v>120.70625507334</v>
      </c>
      <c r="AF1067" s="49" t="n">
        <f aca="false">IF($R1067&gt;0,$P1067*$I1067/$R1067/1000000,"")</f>
        <v>257.644931893692</v>
      </c>
      <c r="AG1067" s="50" t="n">
        <f aca="false">IF(AND(ISNUMBER($AE1067),ISNUMBER($AF1067),$AF1067&gt;0),$AE1067/$AF1067,"")</f>
        <v>0.468498464868484</v>
      </c>
      <c r="AH1067" s="48" t="n">
        <f aca="false">IF($U1067&gt;=5,SUM(INDEX($AD$1037:$AD1067,32-5):$AD1067),"")</f>
        <v>-191630363835</v>
      </c>
      <c r="AI1067" s="48" t="n">
        <f aca="false">IF($U1067&gt;=STRUCT_S,MAX(INDEX($G$917:$G1067,152-STRUCT_S):$G1067),"")</f>
        <v>5504</v>
      </c>
      <c r="AJ1067" s="48" t="n">
        <f aca="false">IF($U1067&gt;=STRUCT_S,MIN(INDEX($H$917:$H1067,152-STRUCT_S):$H1067),"")</f>
        <v>4345</v>
      </c>
      <c r="AK1067" s="48" t="str">
        <f aca="false">IF($U1067&gt;=STRUCT_L,MAX(INDEX($G$817:$G1067,252-STRUCT_L):$G1067),"")</f>
        <v/>
      </c>
      <c r="AL1067" s="48" t="str">
        <f aca="false">IF($U1067&gt;=STRUCT_L,MIN(INDEX($H$817:$H1067,252-STRUCT_L):$H1067),"")</f>
        <v/>
      </c>
      <c r="AM1067" s="46" t="n">
        <f aca="false">IF($A1067&lt;&gt;$A1068,1,0)</f>
        <v>0</v>
      </c>
      <c r="AN1067" s="47" t="str">
        <f aca="false">IF($AM1067=1,$A1067,"")</f>
        <v/>
      </c>
    </row>
    <row r="1068" customFormat="false" ht="15" hidden="false" customHeight="false" outlineLevel="0" collapsed="false">
      <c r="A1068" s="43" t="s">
        <v>152</v>
      </c>
      <c r="B1068" s="44" t="s">
        <v>154</v>
      </c>
      <c r="C1068" s="45" t="n">
        <v>45937</v>
      </c>
      <c r="D1068" s="46" t="n">
        <v>20251007</v>
      </c>
      <c r="E1068" s="47" t="s">
        <v>311</v>
      </c>
      <c r="F1068" s="48" t="n">
        <v>5206</v>
      </c>
      <c r="G1068" s="48" t="n">
        <v>5216</v>
      </c>
      <c r="H1068" s="48" t="n">
        <v>5034</v>
      </c>
      <c r="I1068" s="48" t="n">
        <v>5068</v>
      </c>
      <c r="J1068" s="48" t="n">
        <v>5059</v>
      </c>
      <c r="K1068" s="48" t="n">
        <v>5181</v>
      </c>
      <c r="L1068" s="48" t="n">
        <v>117418862</v>
      </c>
      <c r="M1068" s="48" t="n">
        <v>595078792616</v>
      </c>
      <c r="N1068" s="48" t="n">
        <v>12164</v>
      </c>
      <c r="O1068" s="48" t="n">
        <v>38482932</v>
      </c>
      <c r="P1068" s="48" t="n">
        <v>82016272</v>
      </c>
      <c r="Q1068" s="48" t="n">
        <v>4653</v>
      </c>
      <c r="R1068" s="48" t="n">
        <v>4774</v>
      </c>
      <c r="S1068" s="48" t="n">
        <v>78935930</v>
      </c>
      <c r="T1068" s="48" t="n">
        <v>35402590</v>
      </c>
      <c r="U1068" s="46" t="n">
        <f aca="false">IF($A1068=$A1067,$U1067+1,1)</f>
        <v>24</v>
      </c>
      <c r="V1068" s="48" t="n">
        <f aca="false">IF($U1068&gt;=MA_SHORT,AVERAGE(INDEX($I$668:$I1068,402-MA_SHORT):$I1068),"")</f>
        <v>4912.65</v>
      </c>
      <c r="W1068" s="48" t="str">
        <f aca="false">IF($U1068&gt;=MA_MED,AVERAGE(INDEX($I$668:$I1068,402-MA_MED):$I1068),"")</f>
        <v/>
      </c>
      <c r="X1068" s="48" t="str">
        <f aca="false">IF($U1068&gt;=MA_LONG1,AVERAGE(INDEX($I$668:$I1068,402-MA_LONG1):$I1068),"")</f>
        <v/>
      </c>
      <c r="Y1068" s="48" t="str">
        <f aca="false">IF($U1068&gt;=MA_LONG2,AVERAGE(INDEX($I$668:$I1068,402-MA_LONG2):$I1068),"")</f>
        <v/>
      </c>
      <c r="Z1068" s="48" t="n">
        <f aca="false">IF($U1068&gt;=MA_SHORT,AVERAGE(INDEX($L$948:$L1068,122-MA_SHORT):$L1068),"")</f>
        <v>95765945.75</v>
      </c>
      <c r="AA1068" s="48" t="n">
        <f aca="false">IF($U1068=1,$G1068-$H1068,MAX($G1068-$H1068,ABS($G1068-$I1067),ABS($H1068-$I1067)))</f>
        <v>182</v>
      </c>
      <c r="AB1068" s="48" t="n">
        <f aca="false">IF($U1068&gt;=ATR_PER,AVERAGE(INDEX($AA$948:$AA1068,122-ATR_PER):$AA1068),"")</f>
        <v>184.142857142857</v>
      </c>
      <c r="AC1068" s="48" t="n">
        <f aca="false">$O1068-$P1068</f>
        <v>-43533340</v>
      </c>
      <c r="AD1068" s="48" t="n">
        <f aca="false">$AC1068*$I1068</f>
        <v>-220626967120</v>
      </c>
      <c r="AE1068" s="49" t="n">
        <f aca="false">IF($Q1068&gt;0,$O1068*$I1068/$Q1068/1000000,"")</f>
        <v>41.915215855577</v>
      </c>
      <c r="AF1068" s="49" t="n">
        <f aca="false">IF($R1068&gt;0,$P1068*$I1068/$R1068/1000000,"")</f>
        <v>87.0671274604106</v>
      </c>
      <c r="AG1068" s="50" t="n">
        <f aca="false">IF(AND(ISNUMBER($AE1068),ISNUMBER($AF1068),$AF1068&gt;0),$AE1068/$AF1068,"")</f>
        <v>0.48141264192546</v>
      </c>
      <c r="AH1068" s="48" t="n">
        <f aca="false">IF($U1068&gt;=5,SUM(INDEX($AD$1038:$AD1068,32-5):$AD1068),"")</f>
        <v>-420104075481</v>
      </c>
      <c r="AI1068" s="48" t="n">
        <f aca="false">IF($U1068&gt;=STRUCT_S,MAX(INDEX($G$918:$G1068,152-STRUCT_S):$G1068),"")</f>
        <v>5504</v>
      </c>
      <c r="AJ1068" s="48" t="n">
        <f aca="false">IF($U1068&gt;=STRUCT_S,MIN(INDEX($H$918:$H1068,152-STRUCT_S):$H1068),"")</f>
        <v>4345</v>
      </c>
      <c r="AK1068" s="48" t="str">
        <f aca="false">IF($U1068&gt;=STRUCT_L,MAX(INDEX($G$818:$G1068,252-STRUCT_L):$G1068),"")</f>
        <v/>
      </c>
      <c r="AL1068" s="48" t="str">
        <f aca="false">IF($U1068&gt;=STRUCT_L,MIN(INDEX($H$818:$H1068,252-STRUCT_L):$H1068),"")</f>
        <v/>
      </c>
      <c r="AM1068" s="46" t="n">
        <f aca="false">IF($A1068&lt;&gt;$A1069,1,0)</f>
        <v>0</v>
      </c>
      <c r="AN1068" s="47" t="str">
        <f aca="false">IF($AM1068=1,$A1068,"")</f>
        <v/>
      </c>
    </row>
    <row r="1069" customFormat="false" ht="15" hidden="false" customHeight="false" outlineLevel="0" collapsed="false">
      <c r="A1069" s="43" t="s">
        <v>152</v>
      </c>
      <c r="B1069" s="44" t="s">
        <v>154</v>
      </c>
      <c r="C1069" s="45" t="n">
        <v>45938</v>
      </c>
      <c r="D1069" s="46" t="n">
        <v>20251008</v>
      </c>
      <c r="E1069" s="47" t="s">
        <v>312</v>
      </c>
      <c r="F1069" s="48" t="n">
        <v>5042</v>
      </c>
      <c r="G1069" s="48" t="n">
        <v>5212</v>
      </c>
      <c r="H1069" s="48" t="n">
        <v>5032</v>
      </c>
      <c r="I1069" s="48" t="n">
        <v>5175</v>
      </c>
      <c r="J1069" s="48" t="n">
        <v>5099</v>
      </c>
      <c r="K1069" s="48" t="n">
        <v>5068</v>
      </c>
      <c r="L1069" s="48" t="n">
        <v>123166294</v>
      </c>
      <c r="M1069" s="48" t="n">
        <v>637385571450</v>
      </c>
      <c r="N1069" s="48" t="n">
        <v>6289</v>
      </c>
      <c r="O1069" s="48" t="n">
        <v>69508860</v>
      </c>
      <c r="P1069" s="48" t="n">
        <v>52641216</v>
      </c>
      <c r="Q1069" s="48" t="n">
        <v>3253</v>
      </c>
      <c r="R1069" s="48" t="n">
        <v>2895</v>
      </c>
      <c r="S1069" s="48" t="n">
        <v>53657434</v>
      </c>
      <c r="T1069" s="48" t="n">
        <v>70525078</v>
      </c>
      <c r="U1069" s="46" t="n">
        <f aca="false">IF($A1069=$A1068,$U1068+1,1)</f>
        <v>25</v>
      </c>
      <c r="V1069" s="48" t="n">
        <f aca="false">IF($U1069&gt;=MA_SHORT,AVERAGE(INDEX($I$669:$I1069,402-MA_SHORT):$I1069),"")</f>
        <v>4950.7</v>
      </c>
      <c r="W1069" s="48" t="str">
        <f aca="false">IF($U1069&gt;=MA_MED,AVERAGE(INDEX($I$669:$I1069,402-MA_MED):$I1069),"")</f>
        <v/>
      </c>
      <c r="X1069" s="48" t="str">
        <f aca="false">IF($U1069&gt;=MA_LONG1,AVERAGE(INDEX($I$669:$I1069,402-MA_LONG1):$I1069),"")</f>
        <v/>
      </c>
      <c r="Y1069" s="48" t="str">
        <f aca="false">IF($U1069&gt;=MA_LONG2,AVERAGE(INDEX($I$669:$I1069,402-MA_LONG2):$I1069),"")</f>
        <v/>
      </c>
      <c r="Z1069" s="48" t="n">
        <f aca="false">IF($U1069&gt;=MA_SHORT,AVERAGE(INDEX($L$949:$L1069,122-MA_SHORT):$L1069),"")</f>
        <v>97505039.75</v>
      </c>
      <c r="AA1069" s="48" t="n">
        <f aca="false">IF($U1069=1,$G1069-$H1069,MAX($G1069-$H1069,ABS($G1069-$I1068),ABS($H1069-$I1068)))</f>
        <v>180</v>
      </c>
      <c r="AB1069" s="48" t="n">
        <f aca="false">IF($U1069&gt;=ATR_PER,AVERAGE(INDEX($AA$949:$AA1069,122-ATR_PER):$AA1069),"")</f>
        <v>192.214285714286</v>
      </c>
      <c r="AC1069" s="48" t="n">
        <f aca="false">$O1069-$P1069</f>
        <v>16867644</v>
      </c>
      <c r="AD1069" s="48" t="n">
        <f aca="false">$AC1069*$I1069</f>
        <v>87290057700</v>
      </c>
      <c r="AE1069" s="49" t="n">
        <f aca="false">IF($Q1069&gt;0,$O1069*$I1069/$Q1069/1000000,"")</f>
        <v>110.577420996004</v>
      </c>
      <c r="AF1069" s="49" t="n">
        <f aca="false">IF($R1069&gt;0,$P1069*$I1069/$R1069/1000000,"")</f>
        <v>94.0995830051813</v>
      </c>
      <c r="AG1069" s="50" t="n">
        <f aca="false">IF(AND(ISNUMBER($AE1069),ISNUMBER($AF1069),$AF1069&gt;0),$AE1069/$AF1069,"")</f>
        <v>1.17511063773699</v>
      </c>
      <c r="AH1069" s="48" t="n">
        <f aca="false">IF($U1069&gt;=5,SUM(INDEX($AD$1039:$AD1069,32-5):$AD1069),"")</f>
        <v>-341247736541</v>
      </c>
      <c r="AI1069" s="48" t="n">
        <f aca="false">IF($U1069&gt;=STRUCT_S,MAX(INDEX($G$919:$G1069,152-STRUCT_S):$G1069),"")</f>
        <v>5504</v>
      </c>
      <c r="AJ1069" s="48" t="n">
        <f aca="false">IF($U1069&gt;=STRUCT_S,MIN(INDEX($H$919:$H1069,152-STRUCT_S):$H1069),"")</f>
        <v>4395</v>
      </c>
      <c r="AK1069" s="48" t="str">
        <f aca="false">IF($U1069&gt;=STRUCT_L,MAX(INDEX($G$819:$G1069,252-STRUCT_L):$G1069),"")</f>
        <v/>
      </c>
      <c r="AL1069" s="48" t="str">
        <f aca="false">IF($U1069&gt;=STRUCT_L,MIN(INDEX($H$819:$H1069,252-STRUCT_L):$H1069),"")</f>
        <v/>
      </c>
      <c r="AM1069" s="46" t="n">
        <f aca="false">IF($A1069&lt;&gt;$A1070,1,0)</f>
        <v>0</v>
      </c>
      <c r="AN1069" s="47" t="str">
        <f aca="false">IF($AM1069=1,$A1069,"")</f>
        <v/>
      </c>
    </row>
    <row r="1070" customFormat="false" ht="15" hidden="false" customHeight="false" outlineLevel="0" collapsed="false">
      <c r="A1070" s="43" t="s">
        <v>152</v>
      </c>
      <c r="B1070" s="44" t="s">
        <v>154</v>
      </c>
      <c r="C1070" s="45" t="n">
        <v>45941</v>
      </c>
      <c r="D1070" s="46" t="n">
        <v>20251011</v>
      </c>
      <c r="E1070" s="47" t="s">
        <v>313</v>
      </c>
      <c r="F1070" s="48" t="n">
        <v>5258</v>
      </c>
      <c r="G1070" s="48" t="n">
        <v>5281</v>
      </c>
      <c r="H1070" s="48" t="n">
        <v>4987</v>
      </c>
      <c r="I1070" s="48" t="n">
        <v>5092</v>
      </c>
      <c r="J1070" s="48" t="n">
        <v>5100</v>
      </c>
      <c r="K1070" s="48" t="n">
        <v>5175</v>
      </c>
      <c r="L1070" s="48" t="n">
        <v>85131889</v>
      </c>
      <c r="M1070" s="48" t="n">
        <v>433491578788</v>
      </c>
      <c r="N1070" s="48" t="n">
        <v>7502</v>
      </c>
      <c r="O1070" s="48" t="n">
        <v>36429282</v>
      </c>
      <c r="P1070" s="48" t="n">
        <v>49275298</v>
      </c>
      <c r="Q1070" s="48" t="n">
        <v>3198</v>
      </c>
      <c r="R1070" s="48" t="n">
        <v>3971</v>
      </c>
      <c r="S1070" s="48" t="n">
        <v>48702607</v>
      </c>
      <c r="T1070" s="48" t="n">
        <v>35856591</v>
      </c>
      <c r="U1070" s="46" t="n">
        <f aca="false">IF($A1070=$A1069,$U1069+1,1)</f>
        <v>26</v>
      </c>
      <c r="V1070" s="48" t="n">
        <f aca="false">IF($U1070&gt;=MA_SHORT,AVERAGE(INDEX($I$670:$I1070,402-MA_SHORT):$I1070),"")</f>
        <v>4983.15</v>
      </c>
      <c r="W1070" s="48" t="str">
        <f aca="false">IF($U1070&gt;=MA_MED,AVERAGE(INDEX($I$670:$I1070,402-MA_MED):$I1070),"")</f>
        <v/>
      </c>
      <c r="X1070" s="48" t="str">
        <f aca="false">IF($U1070&gt;=MA_LONG1,AVERAGE(INDEX($I$670:$I1070,402-MA_LONG1):$I1070),"")</f>
        <v/>
      </c>
      <c r="Y1070" s="48" t="str">
        <f aca="false">IF($U1070&gt;=MA_LONG2,AVERAGE(INDEX($I$670:$I1070,402-MA_LONG2):$I1070),"")</f>
        <v/>
      </c>
      <c r="Z1070" s="48" t="n">
        <f aca="false">IF($U1070&gt;=MA_SHORT,AVERAGE(INDEX($L$950:$L1070,122-MA_SHORT):$L1070),"")</f>
        <v>97725636.35</v>
      </c>
      <c r="AA1070" s="48" t="n">
        <f aca="false">IF($U1070=1,$G1070-$H1070,MAX($G1070-$H1070,ABS($G1070-$I1069),ABS($H1070-$I1069)))</f>
        <v>294</v>
      </c>
      <c r="AB1070" s="48" t="n">
        <f aca="false">IF($U1070&gt;=ATR_PER,AVERAGE(INDEX($AA$950:$AA1070,122-ATR_PER):$AA1070),"")</f>
        <v>196.285714285714</v>
      </c>
      <c r="AC1070" s="48" t="n">
        <f aca="false">$O1070-$P1070</f>
        <v>-12846016</v>
      </c>
      <c r="AD1070" s="48" t="n">
        <f aca="false">$AC1070*$I1070</f>
        <v>-65411913472</v>
      </c>
      <c r="AE1070" s="49" t="n">
        <f aca="false">IF($Q1070&gt;0,$O1070*$I1070/$Q1070/1000000,"")</f>
        <v>58.0043476998124</v>
      </c>
      <c r="AF1070" s="49" t="n">
        <f aca="false">IF($R1070&gt;0,$P1070*$I1070/$R1070/1000000,"")</f>
        <v>63.1855495885168</v>
      </c>
      <c r="AG1070" s="50" t="n">
        <f aca="false">IF(AND(ISNUMBER($AE1070),ISNUMBER($AF1070),$AF1070&gt;0),$AE1070/$AF1070,"")</f>
        <v>0.918000208553286</v>
      </c>
      <c r="AH1070" s="48" t="n">
        <f aca="false">IF($U1070&gt;=5,SUM(INDEX($AD$1040:$AD1070,32-5):$AD1070),"")</f>
        <v>-520841591613</v>
      </c>
      <c r="AI1070" s="48" t="n">
        <f aca="false">IF($U1070&gt;=STRUCT_S,MAX(INDEX($G$920:$G1070,152-STRUCT_S):$G1070),"")</f>
        <v>5504</v>
      </c>
      <c r="AJ1070" s="48" t="n">
        <f aca="false">IF($U1070&gt;=STRUCT_S,MIN(INDEX($H$920:$H1070,152-STRUCT_S):$H1070),"")</f>
        <v>4432</v>
      </c>
      <c r="AK1070" s="48" t="str">
        <f aca="false">IF($U1070&gt;=STRUCT_L,MAX(INDEX($G$820:$G1070,252-STRUCT_L):$G1070),"")</f>
        <v/>
      </c>
      <c r="AL1070" s="48" t="str">
        <f aca="false">IF($U1070&gt;=STRUCT_L,MIN(INDEX($H$820:$H1070,252-STRUCT_L):$H1070),"")</f>
        <v/>
      </c>
      <c r="AM1070" s="46" t="n">
        <f aca="false">IF($A1070&lt;&gt;$A1071,1,0)</f>
        <v>0</v>
      </c>
      <c r="AN1070" s="47" t="str">
        <f aca="false">IF($AM1070=1,$A1070,"")</f>
        <v/>
      </c>
    </row>
    <row r="1071" customFormat="false" ht="15" hidden="false" customHeight="false" outlineLevel="0" collapsed="false">
      <c r="A1071" s="43" t="s">
        <v>152</v>
      </c>
      <c r="B1071" s="44" t="s">
        <v>154</v>
      </c>
      <c r="C1071" s="45" t="n">
        <v>45942</v>
      </c>
      <c r="D1071" s="46" t="n">
        <v>20251012</v>
      </c>
      <c r="E1071" s="47" t="s">
        <v>314</v>
      </c>
      <c r="F1071" s="48" t="n">
        <v>5133</v>
      </c>
      <c r="G1071" s="48" t="n">
        <v>5172</v>
      </c>
      <c r="H1071" s="48" t="n">
        <v>4963</v>
      </c>
      <c r="I1071" s="48" t="n">
        <v>5042</v>
      </c>
      <c r="J1071" s="48" t="n">
        <v>5041</v>
      </c>
      <c r="K1071" s="48" t="n">
        <v>5092</v>
      </c>
      <c r="L1071" s="48" t="n">
        <v>82233983</v>
      </c>
      <c r="M1071" s="48" t="n">
        <v>414623742286</v>
      </c>
      <c r="N1071" s="48" t="n">
        <v>3421</v>
      </c>
      <c r="O1071" s="48" t="n">
        <v>31953715</v>
      </c>
      <c r="P1071" s="48" t="n">
        <v>49610748</v>
      </c>
      <c r="Q1071" s="48" t="n">
        <v>960</v>
      </c>
      <c r="R1071" s="48" t="n">
        <v>1527</v>
      </c>
      <c r="S1071" s="48" t="n">
        <v>50280268</v>
      </c>
      <c r="T1071" s="48" t="n">
        <v>32623235</v>
      </c>
      <c r="U1071" s="46" t="n">
        <f aca="false">IF($A1071=$A1070,$U1070+1,1)</f>
        <v>27</v>
      </c>
      <c r="V1071" s="48" t="n">
        <f aca="false">IF($U1071&gt;=MA_SHORT,AVERAGE(INDEX($I$671:$I1071,402-MA_SHORT):$I1071),"")</f>
        <v>5007.2</v>
      </c>
      <c r="W1071" s="48" t="str">
        <f aca="false">IF($U1071&gt;=MA_MED,AVERAGE(INDEX($I$671:$I1071,402-MA_MED):$I1071),"")</f>
        <v/>
      </c>
      <c r="X1071" s="48" t="str">
        <f aca="false">IF($U1071&gt;=MA_LONG1,AVERAGE(INDEX($I$671:$I1071,402-MA_LONG1):$I1071),"")</f>
        <v/>
      </c>
      <c r="Y1071" s="48" t="str">
        <f aca="false">IF($U1071&gt;=MA_LONG2,AVERAGE(INDEX($I$671:$I1071,402-MA_LONG2):$I1071),"")</f>
        <v/>
      </c>
      <c r="Z1071" s="48" t="n">
        <f aca="false">IF($U1071&gt;=MA_SHORT,AVERAGE(INDEX($L$951:$L1071,122-MA_SHORT):$L1071),"")</f>
        <v>96607984.05</v>
      </c>
      <c r="AA1071" s="48" t="n">
        <f aca="false">IF($U1071=1,$G1071-$H1071,MAX($G1071-$H1071,ABS($G1071-$I1070),ABS($H1071-$I1070)))</f>
        <v>209</v>
      </c>
      <c r="AB1071" s="48" t="n">
        <f aca="false">IF($U1071&gt;=ATR_PER,AVERAGE(INDEX($AA$951:$AA1071,122-ATR_PER):$AA1071),"")</f>
        <v>196.071428571429</v>
      </c>
      <c r="AC1071" s="48" t="n">
        <f aca="false">$O1071-$P1071</f>
        <v>-17657033</v>
      </c>
      <c r="AD1071" s="48" t="n">
        <f aca="false">$AC1071*$I1071</f>
        <v>-89026760386</v>
      </c>
      <c r="AE1071" s="49" t="n">
        <f aca="false">IF($Q1071&gt;0,$O1071*$I1071/$Q1071/1000000,"")</f>
        <v>167.823573989583</v>
      </c>
      <c r="AF1071" s="49" t="n">
        <f aca="false">IF($R1071&gt;0,$P1071*$I1071/$R1071/1000000,"")</f>
        <v>163.809686585462</v>
      </c>
      <c r="AG1071" s="50" t="n">
        <f aca="false">IF(AND(ISNUMBER($AE1071),ISNUMBER($AF1071),$AF1071&gt;0),$AE1071/$AF1071,"")</f>
        <v>1.02450335806013</v>
      </c>
      <c r="AH1071" s="48" t="n">
        <f aca="false">IF($U1071&gt;=5,SUM(INDEX($AD$1041:$AD1071,32-5):$AD1071),"")</f>
        <v>-529519970811</v>
      </c>
      <c r="AI1071" s="48" t="n">
        <f aca="false">IF($U1071&gt;=STRUCT_S,MAX(INDEX($G$921:$G1071,152-STRUCT_S):$G1071),"")</f>
        <v>5504</v>
      </c>
      <c r="AJ1071" s="48" t="n">
        <f aca="false">IF($U1071&gt;=STRUCT_S,MIN(INDEX($H$921:$H1071,152-STRUCT_S):$H1071),"")</f>
        <v>4539</v>
      </c>
      <c r="AK1071" s="48" t="str">
        <f aca="false">IF($U1071&gt;=STRUCT_L,MAX(INDEX($G$821:$G1071,252-STRUCT_L):$G1071),"")</f>
        <v/>
      </c>
      <c r="AL1071" s="48" t="str">
        <f aca="false">IF($U1071&gt;=STRUCT_L,MIN(INDEX($H$821:$H1071,252-STRUCT_L):$H1071),"")</f>
        <v/>
      </c>
      <c r="AM1071" s="46" t="n">
        <f aca="false">IF($A1071&lt;&gt;$A1072,1,0)</f>
        <v>0</v>
      </c>
      <c r="AN1071" s="47" t="str">
        <f aca="false">IF($AM1071=1,$A1071,"")</f>
        <v/>
      </c>
    </row>
    <row r="1072" customFormat="false" ht="15" hidden="false" customHeight="false" outlineLevel="0" collapsed="false">
      <c r="A1072" s="43" t="s">
        <v>152</v>
      </c>
      <c r="B1072" s="44" t="s">
        <v>154</v>
      </c>
      <c r="C1072" s="45" t="n">
        <v>45943</v>
      </c>
      <c r="D1072" s="46" t="n">
        <v>20251013</v>
      </c>
      <c r="E1072" s="47" t="s">
        <v>315</v>
      </c>
      <c r="F1072" s="48" t="n">
        <v>4911</v>
      </c>
      <c r="G1072" s="48" t="n">
        <v>5158</v>
      </c>
      <c r="H1072" s="48" t="n">
        <v>4891</v>
      </c>
      <c r="I1072" s="48" t="n">
        <v>5007</v>
      </c>
      <c r="J1072" s="48" t="n">
        <v>5062</v>
      </c>
      <c r="K1072" s="48" t="n">
        <v>5042</v>
      </c>
      <c r="L1072" s="48" t="n">
        <v>80893144</v>
      </c>
      <c r="M1072" s="48" t="n">
        <v>405031972008</v>
      </c>
      <c r="N1072" s="48" t="n">
        <v>2412</v>
      </c>
      <c r="O1072" s="48" t="n">
        <v>31784166</v>
      </c>
      <c r="P1072" s="48" t="n">
        <v>55775189</v>
      </c>
      <c r="Q1072" s="48" t="n">
        <v>802</v>
      </c>
      <c r="R1072" s="48" t="n">
        <v>1476</v>
      </c>
      <c r="S1072" s="48" t="n">
        <v>49108978</v>
      </c>
      <c r="T1072" s="48" t="n">
        <v>25117955</v>
      </c>
      <c r="U1072" s="46" t="n">
        <f aca="false">IF($A1072=$A1071,$U1071+1,1)</f>
        <v>28</v>
      </c>
      <c r="V1072" s="48" t="n">
        <f aca="false">IF($U1072&gt;=MA_SHORT,AVERAGE(INDEX($I$672:$I1072,402-MA_SHORT):$I1072),"")</f>
        <v>5026.75</v>
      </c>
      <c r="W1072" s="48" t="str">
        <f aca="false">IF($U1072&gt;=MA_MED,AVERAGE(INDEX($I$672:$I1072,402-MA_MED):$I1072),"")</f>
        <v/>
      </c>
      <c r="X1072" s="48" t="str">
        <f aca="false">IF($U1072&gt;=MA_LONG1,AVERAGE(INDEX($I$672:$I1072,402-MA_LONG1):$I1072),"")</f>
        <v/>
      </c>
      <c r="Y1072" s="48" t="str">
        <f aca="false">IF($U1072&gt;=MA_LONG2,AVERAGE(INDEX($I$672:$I1072,402-MA_LONG2):$I1072),"")</f>
        <v/>
      </c>
      <c r="Z1072" s="48" t="n">
        <f aca="false">IF($U1072&gt;=MA_SHORT,AVERAGE(INDEX($L$952:$L1072,122-MA_SHORT):$L1072),"")</f>
        <v>96323294.6</v>
      </c>
      <c r="AA1072" s="48" t="n">
        <f aca="false">IF($U1072=1,$G1072-$H1072,MAX($G1072-$H1072,ABS($G1072-$I1071),ABS($H1072-$I1071)))</f>
        <v>267</v>
      </c>
      <c r="AB1072" s="48" t="n">
        <f aca="false">IF($U1072&gt;=ATR_PER,AVERAGE(INDEX($AA$952:$AA1072,122-ATR_PER):$AA1072),"")</f>
        <v>200.285714285714</v>
      </c>
      <c r="AC1072" s="48" t="n">
        <f aca="false">$O1072-$P1072</f>
        <v>-23991023</v>
      </c>
      <c r="AD1072" s="48" t="n">
        <f aca="false">$AC1072*$I1072</f>
        <v>-120123052161</v>
      </c>
      <c r="AE1072" s="49" t="n">
        <f aca="false">IF($Q1072&gt;0,$O1072*$I1072/$Q1072/1000000,"")</f>
        <v>198.433066286783</v>
      </c>
      <c r="AF1072" s="49" t="n">
        <f aca="false">IF($R1072&gt;0,$P1072*$I1072/$R1072/1000000,"")</f>
        <v>189.204858619919</v>
      </c>
      <c r="AG1072" s="50" t="n">
        <f aca="false">IF(AND(ISNUMBER($AE1072),ISNUMBER($AF1072),$AF1072&gt;0),$AE1072/$AF1072,"")</f>
        <v>1.04877362946267</v>
      </c>
      <c r="AH1072" s="48" t="n">
        <f aca="false">IF($U1072&gt;=5,SUM(INDEX($AD$1042:$AD1072,32-5):$AD1072),"")</f>
        <v>-407898635439</v>
      </c>
      <c r="AI1072" s="48" t="n">
        <f aca="false">IF($U1072&gt;=STRUCT_S,MAX(INDEX($G$922:$G1072,152-STRUCT_S):$G1072),"")</f>
        <v>5504</v>
      </c>
      <c r="AJ1072" s="48" t="n">
        <f aca="false">IF($U1072&gt;=STRUCT_S,MIN(INDEX($H$922:$H1072,152-STRUCT_S):$H1072),"")</f>
        <v>4604</v>
      </c>
      <c r="AK1072" s="48" t="str">
        <f aca="false">IF($U1072&gt;=STRUCT_L,MAX(INDEX($G$822:$G1072,252-STRUCT_L):$G1072),"")</f>
        <v/>
      </c>
      <c r="AL1072" s="48" t="str">
        <f aca="false">IF($U1072&gt;=STRUCT_L,MIN(INDEX($H$822:$H1072,252-STRUCT_L):$H1072),"")</f>
        <v/>
      </c>
      <c r="AM1072" s="46" t="n">
        <f aca="false">IF($A1072&lt;&gt;$A1073,1,0)</f>
        <v>0</v>
      </c>
      <c r="AN1072" s="47" t="str">
        <f aca="false">IF($AM1072=1,$A1072,"")</f>
        <v/>
      </c>
    </row>
    <row r="1073" customFormat="false" ht="15" hidden="false" customHeight="false" outlineLevel="0" collapsed="false">
      <c r="A1073" s="43" t="s">
        <v>152</v>
      </c>
      <c r="B1073" s="44" t="s">
        <v>154</v>
      </c>
      <c r="C1073" s="45" t="n">
        <v>45944</v>
      </c>
      <c r="D1073" s="46" t="n">
        <v>20251014</v>
      </c>
      <c r="E1073" s="47" t="s">
        <v>316</v>
      </c>
      <c r="F1073" s="48" t="n">
        <v>5074</v>
      </c>
      <c r="G1073" s="48" t="n">
        <v>5078</v>
      </c>
      <c r="H1073" s="48" t="n">
        <v>4835</v>
      </c>
      <c r="I1073" s="48" t="n">
        <v>4905</v>
      </c>
      <c r="J1073" s="48" t="n">
        <v>5066</v>
      </c>
      <c r="K1073" s="48" t="n">
        <v>5007</v>
      </c>
      <c r="L1073" s="48" t="n">
        <v>116731501</v>
      </c>
      <c r="M1073" s="48" t="n">
        <v>572568012405</v>
      </c>
      <c r="N1073" s="48" t="n">
        <v>3871</v>
      </c>
      <c r="O1073" s="48" t="n">
        <v>45203646</v>
      </c>
      <c r="P1073" s="48" t="n">
        <v>74517410</v>
      </c>
      <c r="Q1073" s="48" t="n">
        <v>1291</v>
      </c>
      <c r="R1073" s="48" t="n">
        <v>2397</v>
      </c>
      <c r="S1073" s="48" t="n">
        <v>71527855</v>
      </c>
      <c r="T1073" s="48" t="n">
        <v>42214091</v>
      </c>
      <c r="U1073" s="46" t="n">
        <f aca="false">IF($A1073=$A1072,$U1072+1,1)</f>
        <v>29</v>
      </c>
      <c r="V1073" s="48" t="n">
        <f aca="false">IF($U1073&gt;=MA_SHORT,AVERAGE(INDEX($I$673:$I1073,402-MA_SHORT):$I1073),"")</f>
        <v>5038.9</v>
      </c>
      <c r="W1073" s="48" t="str">
        <f aca="false">IF($U1073&gt;=MA_MED,AVERAGE(INDEX($I$673:$I1073,402-MA_MED):$I1073),"")</f>
        <v/>
      </c>
      <c r="X1073" s="48" t="str">
        <f aca="false">IF($U1073&gt;=MA_LONG1,AVERAGE(INDEX($I$673:$I1073,402-MA_LONG1):$I1073),"")</f>
        <v/>
      </c>
      <c r="Y1073" s="48" t="str">
        <f aca="false">IF($U1073&gt;=MA_LONG2,AVERAGE(INDEX($I$673:$I1073,402-MA_LONG2):$I1073),"")</f>
        <v/>
      </c>
      <c r="Z1073" s="48" t="n">
        <f aca="false">IF($U1073&gt;=MA_SHORT,AVERAGE(INDEX($L$953:$L1073,122-MA_SHORT):$L1073),"")</f>
        <v>97935103.55</v>
      </c>
      <c r="AA1073" s="48" t="n">
        <f aca="false">IF($U1073=1,$G1073-$H1073,MAX($G1073-$H1073,ABS($G1073-$I1072),ABS($H1073-$I1072)))</f>
        <v>243</v>
      </c>
      <c r="AB1073" s="48" t="n">
        <f aca="false">IF($U1073&gt;=ATR_PER,AVERAGE(INDEX($AA$953:$AA1073,122-ATR_PER):$AA1073),"")</f>
        <v>207.214285714286</v>
      </c>
      <c r="AC1073" s="48" t="n">
        <f aca="false">$O1073-$P1073</f>
        <v>-29313764</v>
      </c>
      <c r="AD1073" s="48" t="n">
        <f aca="false">$AC1073*$I1073</f>
        <v>-143784012420</v>
      </c>
      <c r="AE1073" s="49" t="n">
        <f aca="false">IF($Q1073&gt;0,$O1073*$I1073/$Q1073/1000000,"")</f>
        <v>171.745843245546</v>
      </c>
      <c r="AF1073" s="49" t="n">
        <f aca="false">IF($R1073&gt;0,$P1073*$I1073/$R1073/1000000,"")</f>
        <v>152.485563642053</v>
      </c>
      <c r="AG1073" s="50" t="n">
        <f aca="false">IF(AND(ISNUMBER($AE1073),ISNUMBER($AF1073),$AF1073&gt;0),$AE1073/$AF1073,"")</f>
        <v>1.12630887241697</v>
      </c>
      <c r="AH1073" s="48" t="n">
        <f aca="false">IF($U1073&gt;=5,SUM(INDEX($AD$1043:$AD1073,32-5):$AD1073),"")</f>
        <v>-331055680739</v>
      </c>
      <c r="AI1073" s="48" t="n">
        <f aca="false">IF($U1073&gt;=STRUCT_S,MAX(INDEX($G$923:$G1073,152-STRUCT_S):$G1073),"")</f>
        <v>5504</v>
      </c>
      <c r="AJ1073" s="48" t="n">
        <f aca="false">IF($U1073&gt;=STRUCT_S,MIN(INDEX($H$923:$H1073,152-STRUCT_S):$H1073),"")</f>
        <v>4644</v>
      </c>
      <c r="AK1073" s="48" t="str">
        <f aca="false">IF($U1073&gt;=STRUCT_L,MAX(INDEX($G$823:$G1073,252-STRUCT_L):$G1073),"")</f>
        <v/>
      </c>
      <c r="AL1073" s="48" t="str">
        <f aca="false">IF($U1073&gt;=STRUCT_L,MIN(INDEX($H$823:$H1073,252-STRUCT_L):$H1073),"")</f>
        <v/>
      </c>
      <c r="AM1073" s="46" t="n">
        <f aca="false">IF($A1073&lt;&gt;$A1074,1,0)</f>
        <v>0</v>
      </c>
      <c r="AN1073" s="47" t="str">
        <f aca="false">IF($AM1073=1,$A1073,"")</f>
        <v/>
      </c>
    </row>
    <row r="1074" customFormat="false" ht="15" hidden="false" customHeight="false" outlineLevel="0" collapsed="false">
      <c r="A1074" s="43" t="s">
        <v>152</v>
      </c>
      <c r="B1074" s="44" t="s">
        <v>154</v>
      </c>
      <c r="C1074" s="45" t="n">
        <v>45945</v>
      </c>
      <c r="D1074" s="46" t="n">
        <v>20251015</v>
      </c>
      <c r="E1074" s="47" t="s">
        <v>317</v>
      </c>
      <c r="F1074" s="48" t="n">
        <v>4789</v>
      </c>
      <c r="G1074" s="48" t="n">
        <v>4936</v>
      </c>
      <c r="H1074" s="48" t="n">
        <v>4736</v>
      </c>
      <c r="I1074" s="48" t="n">
        <v>4766</v>
      </c>
      <c r="J1074" s="48" t="n">
        <v>4810</v>
      </c>
      <c r="K1074" s="48" t="n">
        <v>4905</v>
      </c>
      <c r="L1074" s="48" t="n">
        <v>134960074</v>
      </c>
      <c r="M1074" s="48" t="n">
        <v>643219712684</v>
      </c>
      <c r="N1074" s="48" t="n">
        <v>7267</v>
      </c>
      <c r="O1074" s="48" t="n">
        <v>47735841</v>
      </c>
      <c r="P1074" s="48" t="n">
        <v>83877072</v>
      </c>
      <c r="Q1074" s="48" t="n">
        <v>1930</v>
      </c>
      <c r="R1074" s="48" t="n">
        <v>4128</v>
      </c>
      <c r="S1074" s="48" t="n">
        <v>87224233</v>
      </c>
      <c r="T1074" s="48" t="n">
        <v>51083002</v>
      </c>
      <c r="U1074" s="46" t="n">
        <f aca="false">IF($A1074=$A1073,$U1073+1,1)</f>
        <v>30</v>
      </c>
      <c r="V1074" s="48" t="n">
        <f aca="false">IF($U1074&gt;=MA_SHORT,AVERAGE(INDEX($I$674:$I1074,402-MA_SHORT):$I1074),"")</f>
        <v>5039.3</v>
      </c>
      <c r="W1074" s="48" t="str">
        <f aca="false">IF($U1074&gt;=MA_MED,AVERAGE(INDEX($I$674:$I1074,402-MA_MED):$I1074),"")</f>
        <v/>
      </c>
      <c r="X1074" s="48" t="str">
        <f aca="false">IF($U1074&gt;=MA_LONG1,AVERAGE(INDEX($I$674:$I1074,402-MA_LONG1):$I1074),"")</f>
        <v/>
      </c>
      <c r="Y1074" s="48" t="str">
        <f aca="false">IF($U1074&gt;=MA_LONG2,AVERAGE(INDEX($I$674:$I1074,402-MA_LONG2):$I1074),"")</f>
        <v/>
      </c>
      <c r="Z1074" s="48" t="n">
        <f aca="false">IF($U1074&gt;=MA_SHORT,AVERAGE(INDEX($L$954:$L1074,122-MA_SHORT):$L1074),"")</f>
        <v>99000157.55</v>
      </c>
      <c r="AA1074" s="48" t="n">
        <f aca="false">IF($U1074=1,$G1074-$H1074,MAX($G1074-$H1074,ABS($G1074-$I1073),ABS($H1074-$I1073)))</f>
        <v>200</v>
      </c>
      <c r="AB1074" s="48" t="n">
        <f aca="false">IF($U1074&gt;=ATR_PER,AVERAGE(INDEX($AA$954:$AA1074,122-ATR_PER):$AA1074),"")</f>
        <v>213.142857142857</v>
      </c>
      <c r="AC1074" s="48" t="n">
        <f aca="false">$O1074-$P1074</f>
        <v>-36141231</v>
      </c>
      <c r="AD1074" s="48" t="n">
        <f aca="false">$AC1074*$I1074</f>
        <v>-172249106946</v>
      </c>
      <c r="AE1074" s="49" t="n">
        <f aca="false">IF($Q1074&gt;0,$O1074*$I1074/$Q1074/1000000,"")</f>
        <v>117.88032031399</v>
      </c>
      <c r="AF1074" s="49" t="n">
        <f aca="false">IF($R1074&gt;0,$P1074*$I1074/$R1074/1000000,"")</f>
        <v>96.8406310930233</v>
      </c>
      <c r="AG1074" s="50" t="n">
        <f aca="false">IF(AND(ISNUMBER($AE1074),ISNUMBER($AF1074),$AF1074&gt;0),$AE1074/$AF1074,"")</f>
        <v>1.2172609676692</v>
      </c>
      <c r="AH1074" s="48" t="n">
        <f aca="false">IF($U1074&gt;=5,SUM(INDEX($AD$1044:$AD1074,32-5):$AD1074),"")</f>
        <v>-590594845385</v>
      </c>
      <c r="AI1074" s="48" t="n">
        <f aca="false">IF($U1074&gt;=STRUCT_S,MAX(INDEX($G$924:$G1074,152-STRUCT_S):$G1074),"")</f>
        <v>5504</v>
      </c>
      <c r="AJ1074" s="48" t="n">
        <f aca="false">IF($U1074&gt;=STRUCT_S,MIN(INDEX($H$924:$H1074,152-STRUCT_S):$H1074),"")</f>
        <v>4676</v>
      </c>
      <c r="AK1074" s="48" t="str">
        <f aca="false">IF($U1074&gt;=STRUCT_L,MAX(INDEX($G$824:$G1074,252-STRUCT_L):$G1074),"")</f>
        <v/>
      </c>
      <c r="AL1074" s="48" t="str">
        <f aca="false">IF($U1074&gt;=STRUCT_L,MIN(INDEX($H$824:$H1074,252-STRUCT_L):$H1074),"")</f>
        <v/>
      </c>
      <c r="AM1074" s="46" t="n">
        <f aca="false">IF($A1074&lt;&gt;$A1075,1,0)</f>
        <v>0</v>
      </c>
      <c r="AN1074" s="47" t="str">
        <f aca="false">IF($AM1074=1,$A1074,"")</f>
        <v/>
      </c>
    </row>
    <row r="1075" customFormat="false" ht="15" hidden="false" customHeight="false" outlineLevel="0" collapsed="false">
      <c r="A1075" s="43" t="s">
        <v>152</v>
      </c>
      <c r="B1075" s="44" t="s">
        <v>154</v>
      </c>
      <c r="C1075" s="45" t="n">
        <v>45948</v>
      </c>
      <c r="D1075" s="46" t="n">
        <v>20251018</v>
      </c>
      <c r="E1075" s="47" t="s">
        <v>318</v>
      </c>
      <c r="F1075" s="48" t="n">
        <v>4801</v>
      </c>
      <c r="G1075" s="48" t="n">
        <v>4859</v>
      </c>
      <c r="H1075" s="48" t="n">
        <v>4682</v>
      </c>
      <c r="I1075" s="48" t="n">
        <v>4775</v>
      </c>
      <c r="J1075" s="48" t="n">
        <v>4800</v>
      </c>
      <c r="K1075" s="48" t="n">
        <v>4766</v>
      </c>
      <c r="L1075" s="48" t="n">
        <v>78538543</v>
      </c>
      <c r="M1075" s="48" t="n">
        <v>375021542825</v>
      </c>
      <c r="N1075" s="48" t="n">
        <v>2884</v>
      </c>
      <c r="O1075" s="48" t="n">
        <v>34413652</v>
      </c>
      <c r="P1075" s="48" t="n">
        <v>45128705</v>
      </c>
      <c r="Q1075" s="48" t="n">
        <v>1053</v>
      </c>
      <c r="R1075" s="48" t="n">
        <v>793</v>
      </c>
      <c r="S1075" s="48" t="n">
        <v>44124891</v>
      </c>
      <c r="T1075" s="48" t="n">
        <v>33409838</v>
      </c>
      <c r="U1075" s="46" t="n">
        <f aca="false">IF($A1075=$A1074,$U1074+1,1)</f>
        <v>31</v>
      </c>
      <c r="V1075" s="48" t="n">
        <f aca="false">IF($U1075&gt;=MA_SHORT,AVERAGE(INDEX($I$675:$I1075,402-MA_SHORT):$I1075),"")</f>
        <v>5041.3</v>
      </c>
      <c r="W1075" s="48" t="str">
        <f aca="false">IF($U1075&gt;=MA_MED,AVERAGE(INDEX($I$675:$I1075,402-MA_MED):$I1075),"")</f>
        <v/>
      </c>
      <c r="X1075" s="48" t="str">
        <f aca="false">IF($U1075&gt;=MA_LONG1,AVERAGE(INDEX($I$675:$I1075,402-MA_LONG1):$I1075),"")</f>
        <v/>
      </c>
      <c r="Y1075" s="48" t="str">
        <f aca="false">IF($U1075&gt;=MA_LONG2,AVERAGE(INDEX($I$675:$I1075,402-MA_LONG2):$I1075),"")</f>
        <v/>
      </c>
      <c r="Z1075" s="48" t="n">
        <f aca="false">IF($U1075&gt;=MA_SHORT,AVERAGE(INDEX($L$955:$L1075,122-MA_SHORT):$L1075),"")</f>
        <v>98931532.45</v>
      </c>
      <c r="AA1075" s="48" t="n">
        <f aca="false">IF($U1075=1,$G1075-$H1075,MAX($G1075-$H1075,ABS($G1075-$I1074),ABS($H1075-$I1074)))</f>
        <v>177</v>
      </c>
      <c r="AB1075" s="48" t="n">
        <f aca="false">IF($U1075&gt;=ATR_PER,AVERAGE(INDEX($AA$955:$AA1075,122-ATR_PER):$AA1075),"")</f>
        <v>212.714285714286</v>
      </c>
      <c r="AC1075" s="48" t="n">
        <f aca="false">$O1075-$P1075</f>
        <v>-10715053</v>
      </c>
      <c r="AD1075" s="48" t="n">
        <f aca="false">$AC1075*$I1075</f>
        <v>-51164378075</v>
      </c>
      <c r="AE1075" s="49" t="n">
        <f aca="false">IF($Q1075&gt;0,$O1075*$I1075/$Q1075/1000000,"")</f>
        <v>156.054309876543</v>
      </c>
      <c r="AF1075" s="49" t="n">
        <f aca="false">IF($R1075&gt;0,$P1075*$I1075/$R1075/1000000,"")</f>
        <v>271.73968017024</v>
      </c>
      <c r="AG1075" s="50" t="n">
        <f aca="false">IF(AND(ISNUMBER($AE1075),ISNUMBER($AF1075),$AF1075&gt;0),$AE1075/$AF1075,"")</f>
        <v>0.574278698564664</v>
      </c>
      <c r="AH1075" s="48" t="n">
        <f aca="false">IF($U1075&gt;=5,SUM(INDEX($AD$1045:$AD1075,32-5):$AD1075),"")</f>
        <v>-576347309988</v>
      </c>
      <c r="AI1075" s="48" t="n">
        <f aca="false">IF($U1075&gt;=STRUCT_S,MAX(INDEX($G$925:$G1075,152-STRUCT_S):$G1075),"")</f>
        <v>5504</v>
      </c>
      <c r="AJ1075" s="48" t="n">
        <f aca="false">IF($U1075&gt;=STRUCT_S,MIN(INDEX($H$925:$H1075,152-STRUCT_S):$H1075),"")</f>
        <v>4676</v>
      </c>
      <c r="AK1075" s="48" t="str">
        <f aca="false">IF($U1075&gt;=STRUCT_L,MAX(INDEX($G$825:$G1075,252-STRUCT_L):$G1075),"")</f>
        <v/>
      </c>
      <c r="AL1075" s="48" t="str">
        <f aca="false">IF($U1075&gt;=STRUCT_L,MIN(INDEX($H$825:$H1075,252-STRUCT_L):$H1075),"")</f>
        <v/>
      </c>
      <c r="AM1075" s="46" t="n">
        <f aca="false">IF($A1075&lt;&gt;$A1076,1,0)</f>
        <v>0</v>
      </c>
      <c r="AN1075" s="47" t="str">
        <f aca="false">IF($AM1075=1,$A1075,"")</f>
        <v/>
      </c>
    </row>
    <row r="1076" customFormat="false" ht="15" hidden="false" customHeight="false" outlineLevel="0" collapsed="false">
      <c r="A1076" s="43" t="s">
        <v>152</v>
      </c>
      <c r="B1076" s="44" t="s">
        <v>154</v>
      </c>
      <c r="C1076" s="45" t="n">
        <v>45949</v>
      </c>
      <c r="D1076" s="46" t="n">
        <v>20251019</v>
      </c>
      <c r="E1076" s="47" t="s">
        <v>319</v>
      </c>
      <c r="F1076" s="48" t="n">
        <v>4831</v>
      </c>
      <c r="G1076" s="48" t="n">
        <v>4843</v>
      </c>
      <c r="H1076" s="48" t="n">
        <v>4748</v>
      </c>
      <c r="I1076" s="48" t="n">
        <v>4816</v>
      </c>
      <c r="J1076" s="48" t="n">
        <v>4752</v>
      </c>
      <c r="K1076" s="48" t="n">
        <v>4775</v>
      </c>
      <c r="L1076" s="48" t="n">
        <v>81659494</v>
      </c>
      <c r="M1076" s="48" t="n">
        <v>393272123104</v>
      </c>
      <c r="N1076" s="48" t="n">
        <v>3194</v>
      </c>
      <c r="O1076" s="48" t="n">
        <v>42820293</v>
      </c>
      <c r="P1076" s="48" t="n">
        <v>39341490</v>
      </c>
      <c r="Q1076" s="48" t="n">
        <v>2022</v>
      </c>
      <c r="R1076" s="48" t="n">
        <v>1305</v>
      </c>
      <c r="S1076" s="48" t="n">
        <v>38839201</v>
      </c>
      <c r="T1076" s="48" t="n">
        <v>42318004</v>
      </c>
      <c r="U1076" s="46" t="n">
        <f aca="false">IF($A1076=$A1075,$U1075+1,1)</f>
        <v>32</v>
      </c>
      <c r="V1076" s="48" t="n">
        <f aca="false">IF($U1076&gt;=MA_SHORT,AVERAGE(INDEX($I$676:$I1076,402-MA_SHORT):$I1076),"")</f>
        <v>5039.45</v>
      </c>
      <c r="W1076" s="48" t="str">
        <f aca="false">IF($U1076&gt;=MA_MED,AVERAGE(INDEX($I$676:$I1076,402-MA_MED):$I1076),"")</f>
        <v/>
      </c>
      <c r="X1076" s="48" t="str">
        <f aca="false">IF($U1076&gt;=MA_LONG1,AVERAGE(INDEX($I$676:$I1076,402-MA_LONG1):$I1076),"")</f>
        <v/>
      </c>
      <c r="Y1076" s="48" t="str">
        <f aca="false">IF($U1076&gt;=MA_LONG2,AVERAGE(INDEX($I$676:$I1076,402-MA_LONG2):$I1076),"")</f>
        <v/>
      </c>
      <c r="Z1076" s="48" t="n">
        <f aca="false">IF($U1076&gt;=MA_SHORT,AVERAGE(INDEX($L$956:$L1076,122-MA_SHORT):$L1076),"")</f>
        <v>98550979.85</v>
      </c>
      <c r="AA1076" s="48" t="n">
        <f aca="false">IF($U1076=1,$G1076-$H1076,MAX($G1076-$H1076,ABS($G1076-$I1075),ABS($H1076-$I1075)))</f>
        <v>95</v>
      </c>
      <c r="AB1076" s="48" t="n">
        <f aca="false">IF($U1076&gt;=ATR_PER,AVERAGE(INDEX($AA$956:$AA1076,122-ATR_PER):$AA1076),"")</f>
        <v>213.357142857143</v>
      </c>
      <c r="AC1076" s="48" t="n">
        <f aca="false">$O1076-$P1076</f>
        <v>3478803</v>
      </c>
      <c r="AD1076" s="48" t="n">
        <f aca="false">$AC1076*$I1076</f>
        <v>16753915248</v>
      </c>
      <c r="AE1076" s="49" t="n">
        <f aca="false">IF($Q1076&gt;0,$O1076*$I1076/$Q1076/1000000,"")</f>
        <v>101.989382338279</v>
      </c>
      <c r="AF1076" s="49" t="n">
        <f aca="false">IF($R1076&gt;0,$P1076*$I1076/$R1076/1000000,"")</f>
        <v>145.186678804598</v>
      </c>
      <c r="AG1076" s="50" t="n">
        <f aca="false">IF(AND(ISNUMBER($AE1076),ISNUMBER($AF1076),$AF1076&gt;0),$AE1076/$AF1076,"")</f>
        <v>0.702470661757773</v>
      </c>
      <c r="AH1076" s="48" t="n">
        <f aca="false">IF($U1076&gt;=5,SUM(INDEX($AD$1046:$AD1076,32-5):$AD1076),"")</f>
        <v>-470566634354</v>
      </c>
      <c r="AI1076" s="48" t="n">
        <f aca="false">IF($U1076&gt;=STRUCT_S,MAX(INDEX($G$926:$G1076,152-STRUCT_S):$G1076),"")</f>
        <v>5504</v>
      </c>
      <c r="AJ1076" s="48" t="n">
        <f aca="false">IF($U1076&gt;=STRUCT_S,MIN(INDEX($H$926:$H1076,152-STRUCT_S):$H1076),"")</f>
        <v>4682</v>
      </c>
      <c r="AK1076" s="48" t="str">
        <f aca="false">IF($U1076&gt;=STRUCT_L,MAX(INDEX($G$826:$G1076,252-STRUCT_L):$G1076),"")</f>
        <v/>
      </c>
      <c r="AL1076" s="48" t="str">
        <f aca="false">IF($U1076&gt;=STRUCT_L,MIN(INDEX($H$826:$H1076,252-STRUCT_L):$H1076),"")</f>
        <v/>
      </c>
      <c r="AM1076" s="46" t="n">
        <f aca="false">IF($A1076&lt;&gt;$A1077,1,0)</f>
        <v>0</v>
      </c>
      <c r="AN1076" s="47" t="str">
        <f aca="false">IF($AM1076=1,$A1076,"")</f>
        <v/>
      </c>
    </row>
    <row r="1077" customFormat="false" ht="15" hidden="false" customHeight="false" outlineLevel="0" collapsed="false">
      <c r="A1077" s="43" t="s">
        <v>152</v>
      </c>
      <c r="B1077" s="44" t="s">
        <v>154</v>
      </c>
      <c r="C1077" s="45" t="n">
        <v>45950</v>
      </c>
      <c r="D1077" s="46" t="n">
        <v>20251020</v>
      </c>
      <c r="E1077" s="47" t="s">
        <v>320</v>
      </c>
      <c r="F1077" s="48" t="n">
        <v>4812</v>
      </c>
      <c r="G1077" s="48" t="n">
        <v>4973</v>
      </c>
      <c r="H1077" s="48" t="n">
        <v>4781</v>
      </c>
      <c r="I1077" s="48" t="n">
        <v>4937</v>
      </c>
      <c r="J1077" s="48" t="n">
        <v>4784</v>
      </c>
      <c r="K1077" s="48" t="n">
        <v>4816</v>
      </c>
      <c r="L1077" s="48" t="n">
        <v>89365499</v>
      </c>
      <c r="M1077" s="48" t="n">
        <v>441197468563</v>
      </c>
      <c r="N1077" s="48" t="n">
        <v>2609</v>
      </c>
      <c r="O1077" s="48" t="n">
        <v>49375905</v>
      </c>
      <c r="P1077" s="48" t="n">
        <v>42898187</v>
      </c>
      <c r="Q1077" s="48" t="n">
        <v>1289</v>
      </c>
      <c r="R1077" s="48" t="n">
        <v>880</v>
      </c>
      <c r="S1077" s="48" t="n">
        <v>39989594</v>
      </c>
      <c r="T1077" s="48" t="n">
        <v>46467312</v>
      </c>
      <c r="U1077" s="46" t="n">
        <f aca="false">IF($A1077=$A1076,$U1076+1,1)</f>
        <v>33</v>
      </c>
      <c r="V1077" s="48" t="n">
        <f aca="false">IF($U1077&gt;=MA_SHORT,AVERAGE(INDEX($I$677:$I1077,402-MA_SHORT):$I1077),"")</f>
        <v>5040.6</v>
      </c>
      <c r="W1077" s="48" t="str">
        <f aca="false">IF($U1077&gt;=MA_MED,AVERAGE(INDEX($I$677:$I1077,402-MA_MED):$I1077),"")</f>
        <v/>
      </c>
      <c r="X1077" s="48" t="str">
        <f aca="false">IF($U1077&gt;=MA_LONG1,AVERAGE(INDEX($I$677:$I1077,402-MA_LONG1):$I1077),"")</f>
        <v/>
      </c>
      <c r="Y1077" s="48" t="str">
        <f aca="false">IF($U1077&gt;=MA_LONG2,AVERAGE(INDEX($I$677:$I1077,402-MA_LONG2):$I1077),"")</f>
        <v/>
      </c>
      <c r="Z1077" s="48" t="n">
        <f aca="false">IF($U1077&gt;=MA_SHORT,AVERAGE(INDEX($L$957:$L1077,122-MA_SHORT):$L1077),"")</f>
        <v>96880307.35</v>
      </c>
      <c r="AA1077" s="48" t="n">
        <f aca="false">IF($U1077=1,$G1077-$H1077,MAX($G1077-$H1077,ABS($G1077-$I1076),ABS($H1077-$I1076)))</f>
        <v>192</v>
      </c>
      <c r="AB1077" s="48" t="n">
        <f aca="false">IF($U1077&gt;=ATR_PER,AVERAGE(INDEX($AA$957:$AA1077,122-ATR_PER):$AA1077),"")</f>
        <v>216.071428571429</v>
      </c>
      <c r="AC1077" s="48" t="n">
        <f aca="false">$O1077-$P1077</f>
        <v>6477718</v>
      </c>
      <c r="AD1077" s="48" t="n">
        <f aca="false">$AC1077*$I1077</f>
        <v>31980493766</v>
      </c>
      <c r="AE1077" s="49" t="n">
        <f aca="false">IF($Q1077&gt;0,$O1077*$I1077/$Q1077/1000000,"")</f>
        <v>189.114695876649</v>
      </c>
      <c r="AF1077" s="49" t="n">
        <f aca="false">IF($R1077&gt;0,$P1077*$I1077/$R1077/1000000,"")</f>
        <v>240.668578657955</v>
      </c>
      <c r="AG1077" s="50" t="n">
        <f aca="false">IF(AND(ISNUMBER($AE1077),ISNUMBER($AF1077),$AF1077&gt;0),$AE1077/$AF1077,"")</f>
        <v>0.785788892472848</v>
      </c>
      <c r="AH1077" s="48" t="n">
        <f aca="false">IF($U1077&gt;=5,SUM(INDEX($AD$1047:$AD1077,32-5):$AD1077),"")</f>
        <v>-318463088427</v>
      </c>
      <c r="AI1077" s="48" t="n">
        <f aca="false">IF($U1077&gt;=STRUCT_S,MAX(INDEX($G$927:$G1077,152-STRUCT_S):$G1077),"")</f>
        <v>5504</v>
      </c>
      <c r="AJ1077" s="48" t="n">
        <f aca="false">IF($U1077&gt;=STRUCT_S,MIN(INDEX($H$927:$H1077,152-STRUCT_S):$H1077),"")</f>
        <v>4682</v>
      </c>
      <c r="AK1077" s="48" t="str">
        <f aca="false">IF($U1077&gt;=STRUCT_L,MAX(INDEX($G$827:$G1077,252-STRUCT_L):$G1077),"")</f>
        <v/>
      </c>
      <c r="AL1077" s="48" t="str">
        <f aca="false">IF($U1077&gt;=STRUCT_L,MIN(INDEX($H$827:$H1077,252-STRUCT_L):$H1077),"")</f>
        <v/>
      </c>
      <c r="AM1077" s="46" t="n">
        <f aca="false">IF($A1077&lt;&gt;$A1078,1,0)</f>
        <v>0</v>
      </c>
      <c r="AN1077" s="47" t="str">
        <f aca="false">IF($AM1077=1,$A1077,"")</f>
        <v/>
      </c>
    </row>
    <row r="1078" customFormat="false" ht="15" hidden="false" customHeight="false" outlineLevel="0" collapsed="false">
      <c r="A1078" s="43" t="s">
        <v>152</v>
      </c>
      <c r="B1078" s="44" t="s">
        <v>154</v>
      </c>
      <c r="C1078" s="45" t="n">
        <v>45951</v>
      </c>
      <c r="D1078" s="46" t="n">
        <v>20251021</v>
      </c>
      <c r="E1078" s="47" t="s">
        <v>321</v>
      </c>
      <c r="F1078" s="48" t="n">
        <v>4841</v>
      </c>
      <c r="G1078" s="48" t="n">
        <v>5081</v>
      </c>
      <c r="H1078" s="48" t="n">
        <v>4837</v>
      </c>
      <c r="I1078" s="48" t="n">
        <v>4980</v>
      </c>
      <c r="J1078" s="48" t="n">
        <v>4873</v>
      </c>
      <c r="K1078" s="48" t="n">
        <v>4937</v>
      </c>
      <c r="L1078" s="48" t="n">
        <v>85622542</v>
      </c>
      <c r="M1078" s="48" t="n">
        <v>426400259160</v>
      </c>
      <c r="N1078" s="48" t="n">
        <v>6331</v>
      </c>
      <c r="O1078" s="48" t="n">
        <v>39076527</v>
      </c>
      <c r="P1078" s="48" t="n">
        <v>42009251</v>
      </c>
      <c r="Q1078" s="48" t="n">
        <v>3452</v>
      </c>
      <c r="R1078" s="48" t="n">
        <v>1803</v>
      </c>
      <c r="S1078" s="48" t="n">
        <v>46546015</v>
      </c>
      <c r="T1078" s="48" t="n">
        <v>43613291</v>
      </c>
      <c r="U1078" s="46" t="n">
        <f aca="false">IF($A1078=$A1077,$U1077+1,1)</f>
        <v>34</v>
      </c>
      <c r="V1078" s="48" t="n">
        <f aca="false">IF($U1078&gt;=MA_SHORT,AVERAGE(INDEX($I$678:$I1078,402-MA_SHORT):$I1078),"")</f>
        <v>5041.35</v>
      </c>
      <c r="W1078" s="48" t="str">
        <f aca="false">IF($U1078&gt;=MA_MED,AVERAGE(INDEX($I$678:$I1078,402-MA_MED):$I1078),"")</f>
        <v/>
      </c>
      <c r="X1078" s="48" t="str">
        <f aca="false">IF($U1078&gt;=MA_LONG1,AVERAGE(INDEX($I$678:$I1078,402-MA_LONG1):$I1078),"")</f>
        <v/>
      </c>
      <c r="Y1078" s="48" t="str">
        <f aca="false">IF($U1078&gt;=MA_LONG2,AVERAGE(INDEX($I$678:$I1078,402-MA_LONG2):$I1078),"")</f>
        <v/>
      </c>
      <c r="Z1078" s="48" t="n">
        <f aca="false">IF($U1078&gt;=MA_SHORT,AVERAGE(INDEX($L$958:$L1078,122-MA_SHORT):$L1078),"")</f>
        <v>97036707.6</v>
      </c>
      <c r="AA1078" s="48" t="n">
        <f aca="false">IF($U1078=1,$G1078-$H1078,MAX($G1078-$H1078,ABS($G1078-$I1077),ABS($H1078-$I1077)))</f>
        <v>244</v>
      </c>
      <c r="AB1078" s="48" t="n">
        <f aca="false">IF($U1078&gt;=ATR_PER,AVERAGE(INDEX($AA$958:$AA1078,122-ATR_PER):$AA1078),"")</f>
        <v>220.642857142857</v>
      </c>
      <c r="AC1078" s="48" t="n">
        <f aca="false">$O1078-$P1078</f>
        <v>-2932724</v>
      </c>
      <c r="AD1078" s="48" t="n">
        <f aca="false">$AC1078*$I1078</f>
        <v>-14604965520</v>
      </c>
      <c r="AE1078" s="49" t="n">
        <f aca="false">IF($Q1078&gt;0,$O1078*$I1078/$Q1078/1000000,"")</f>
        <v>56.37343698146</v>
      </c>
      <c r="AF1078" s="49" t="n">
        <f aca="false">IF($R1078&gt;0,$P1078*$I1078/$R1078/1000000,"")</f>
        <v>116.032207420965</v>
      </c>
      <c r="AG1078" s="50" t="n">
        <f aca="false">IF(AND(ISNUMBER($AE1078),ISNUMBER($AF1078),$AF1078&gt;0),$AE1078/$AF1078,"")</f>
        <v>0.485843010612882</v>
      </c>
      <c r="AH1078" s="48" t="n">
        <f aca="false">IF($U1078&gt;=5,SUM(INDEX($AD$1048:$AD1078,32-5):$AD1078),"")</f>
        <v>-189284041527</v>
      </c>
      <c r="AI1078" s="48" t="n">
        <f aca="false">IF($U1078&gt;=STRUCT_S,MAX(INDEX($G$928:$G1078,152-STRUCT_S):$G1078),"")</f>
        <v>5504</v>
      </c>
      <c r="AJ1078" s="48" t="n">
        <f aca="false">IF($U1078&gt;=STRUCT_S,MIN(INDEX($H$928:$H1078,152-STRUCT_S):$H1078),"")</f>
        <v>4682</v>
      </c>
      <c r="AK1078" s="48" t="str">
        <f aca="false">IF($U1078&gt;=STRUCT_L,MAX(INDEX($G$828:$G1078,252-STRUCT_L):$G1078),"")</f>
        <v/>
      </c>
      <c r="AL1078" s="48" t="str">
        <f aca="false">IF($U1078&gt;=STRUCT_L,MIN(INDEX($H$828:$H1078,252-STRUCT_L):$H1078),"")</f>
        <v/>
      </c>
      <c r="AM1078" s="46" t="n">
        <f aca="false">IF($A1078&lt;&gt;$A1079,1,0)</f>
        <v>0</v>
      </c>
      <c r="AN1078" s="47" t="str">
        <f aca="false">IF($AM1078=1,$A1078,"")</f>
        <v/>
      </c>
    </row>
    <row r="1079" customFormat="false" ht="15" hidden="false" customHeight="false" outlineLevel="0" collapsed="false">
      <c r="A1079" s="43" t="s">
        <v>152</v>
      </c>
      <c r="B1079" s="44" t="s">
        <v>154</v>
      </c>
      <c r="C1079" s="45" t="n">
        <v>45952</v>
      </c>
      <c r="D1079" s="46" t="n">
        <v>20251022</v>
      </c>
      <c r="E1079" s="47" t="s">
        <v>322</v>
      </c>
      <c r="F1079" s="48" t="n">
        <v>5011</v>
      </c>
      <c r="G1079" s="48" t="n">
        <v>5096</v>
      </c>
      <c r="H1079" s="48" t="n">
        <v>4964</v>
      </c>
      <c r="I1079" s="48" t="n">
        <v>5079</v>
      </c>
      <c r="J1079" s="48" t="n">
        <v>4980</v>
      </c>
      <c r="K1079" s="48" t="n">
        <v>4980</v>
      </c>
      <c r="L1079" s="48" t="n">
        <v>178303341</v>
      </c>
      <c r="M1079" s="48" t="n">
        <v>905602668939</v>
      </c>
      <c r="N1079" s="48" t="n">
        <v>11405</v>
      </c>
      <c r="O1079" s="48" t="n">
        <v>96973775</v>
      </c>
      <c r="P1079" s="48" t="n">
        <v>70415923</v>
      </c>
      <c r="Q1079" s="48" t="n">
        <v>5195</v>
      </c>
      <c r="R1079" s="48" t="n">
        <v>3799</v>
      </c>
      <c r="S1079" s="48" t="n">
        <v>81329566</v>
      </c>
      <c r="T1079" s="48" t="n">
        <v>107887418</v>
      </c>
      <c r="U1079" s="46" t="n">
        <f aca="false">IF($A1079=$A1078,$U1078+1,1)</f>
        <v>35</v>
      </c>
      <c r="V1079" s="48" t="n">
        <f aca="false">IF($U1079&gt;=MA_SHORT,AVERAGE(INDEX($I$679:$I1079,402-MA_SHORT):$I1079),"")</f>
        <v>5047.95</v>
      </c>
      <c r="W1079" s="48" t="str">
        <f aca="false">IF($U1079&gt;=MA_MED,AVERAGE(INDEX($I$679:$I1079,402-MA_MED):$I1079),"")</f>
        <v/>
      </c>
      <c r="X1079" s="48" t="str">
        <f aca="false">IF($U1079&gt;=MA_LONG1,AVERAGE(INDEX($I$679:$I1079,402-MA_LONG1):$I1079),"")</f>
        <v/>
      </c>
      <c r="Y1079" s="48" t="str">
        <f aca="false">IF($U1079&gt;=MA_LONG2,AVERAGE(INDEX($I$679:$I1079,402-MA_LONG2):$I1079),"")</f>
        <v/>
      </c>
      <c r="Z1079" s="48" t="n">
        <f aca="false">IF($U1079&gt;=MA_SHORT,AVERAGE(INDEX($L$959:$L1079,122-MA_SHORT):$L1079),"")</f>
        <v>101984479.55</v>
      </c>
      <c r="AA1079" s="48" t="n">
        <f aca="false">IF($U1079=1,$G1079-$H1079,MAX($G1079-$H1079,ABS($G1079-$I1078),ABS($H1079-$I1078)))</f>
        <v>132</v>
      </c>
      <c r="AB1079" s="48" t="n">
        <f aca="false">IF($U1079&gt;=ATR_PER,AVERAGE(INDEX($AA$959:$AA1079,122-ATR_PER):$AA1079),"")</f>
        <v>208.214285714286</v>
      </c>
      <c r="AC1079" s="48" t="n">
        <f aca="false">$O1079-$P1079</f>
        <v>26557852</v>
      </c>
      <c r="AD1079" s="48" t="n">
        <f aca="false">$AC1079*$I1079</f>
        <v>134887330308</v>
      </c>
      <c r="AE1079" s="49" t="n">
        <f aca="false">IF($Q1079&gt;0,$O1079*$I1079/$Q1079/1000000,"")</f>
        <v>94.8084318046198</v>
      </c>
      <c r="AF1079" s="49" t="n">
        <f aca="false">IF($R1079&gt;0,$P1079*$I1079/$R1079/1000000,"")</f>
        <v>94.1412142450645</v>
      </c>
      <c r="AG1079" s="50" t="n">
        <f aca="false">IF(AND(ISNUMBER($AE1079),ISNUMBER($AF1079),$AF1079&gt;0),$AE1079/$AF1079,"")</f>
        <v>1.00708741187275</v>
      </c>
      <c r="AH1079" s="48" t="n">
        <f aca="false">IF($U1079&gt;=5,SUM(INDEX($AD$1049:$AD1079,32-5):$AD1079),"")</f>
        <v>117852395727</v>
      </c>
      <c r="AI1079" s="48" t="n">
        <f aca="false">IF($U1079&gt;=STRUCT_S,MAX(INDEX($G$929:$G1079,152-STRUCT_S):$G1079),"")</f>
        <v>5504</v>
      </c>
      <c r="AJ1079" s="48" t="n">
        <f aca="false">IF($U1079&gt;=STRUCT_S,MIN(INDEX($H$929:$H1079,152-STRUCT_S):$H1079),"")</f>
        <v>4682</v>
      </c>
      <c r="AK1079" s="48" t="str">
        <f aca="false">IF($U1079&gt;=STRUCT_L,MAX(INDEX($G$829:$G1079,252-STRUCT_L):$G1079),"")</f>
        <v/>
      </c>
      <c r="AL1079" s="48" t="str">
        <f aca="false">IF($U1079&gt;=STRUCT_L,MIN(INDEX($H$829:$H1079,252-STRUCT_L):$H1079),"")</f>
        <v/>
      </c>
      <c r="AM1079" s="46" t="n">
        <f aca="false">IF($A1079&lt;&gt;$A1080,1,0)</f>
        <v>0</v>
      </c>
      <c r="AN1079" s="47" t="str">
        <f aca="false">IF($AM1079=1,$A1079,"")</f>
        <v/>
      </c>
    </row>
    <row r="1080" customFormat="false" ht="15" hidden="false" customHeight="false" outlineLevel="0" collapsed="false">
      <c r="A1080" s="43" t="s">
        <v>152</v>
      </c>
      <c r="B1080" s="44" t="s">
        <v>154</v>
      </c>
      <c r="C1080" s="45" t="n">
        <v>45955</v>
      </c>
      <c r="D1080" s="46" t="n">
        <v>20251025</v>
      </c>
      <c r="E1080" s="47" t="s">
        <v>323</v>
      </c>
      <c r="F1080" s="48" t="n">
        <v>5149</v>
      </c>
      <c r="G1080" s="48" t="n">
        <v>5196</v>
      </c>
      <c r="H1080" s="48" t="n">
        <v>4887</v>
      </c>
      <c r="I1080" s="48" t="n">
        <v>5003</v>
      </c>
      <c r="J1080" s="48" t="n">
        <v>4991</v>
      </c>
      <c r="K1080" s="48" t="n">
        <v>5079</v>
      </c>
      <c r="L1080" s="48" t="n">
        <v>84630957</v>
      </c>
      <c r="M1080" s="48" t="n">
        <v>423408677871</v>
      </c>
      <c r="N1080" s="48" t="n">
        <v>7468</v>
      </c>
      <c r="O1080" s="48" t="n">
        <v>38711202</v>
      </c>
      <c r="P1080" s="48" t="n">
        <v>52198066</v>
      </c>
      <c r="Q1080" s="48" t="n">
        <v>1951</v>
      </c>
      <c r="R1080" s="48" t="n">
        <v>3220</v>
      </c>
      <c r="S1080" s="48" t="n">
        <v>45919755</v>
      </c>
      <c r="T1080" s="48" t="n">
        <v>32432891</v>
      </c>
      <c r="U1080" s="46" t="n">
        <f aca="false">IF($A1080=$A1079,$U1079+1,1)</f>
        <v>36</v>
      </c>
      <c r="V1080" s="48" t="n">
        <f aca="false">IF($U1080&gt;=MA_SHORT,AVERAGE(INDEX($I$680:$I1080,402-MA_SHORT):$I1080),"")</f>
        <v>5049.9</v>
      </c>
      <c r="W1080" s="48" t="str">
        <f aca="false">IF($U1080&gt;=MA_MED,AVERAGE(INDEX($I$680:$I1080,402-MA_MED):$I1080),"")</f>
        <v/>
      </c>
      <c r="X1080" s="48" t="str">
        <f aca="false">IF($U1080&gt;=MA_LONG1,AVERAGE(INDEX($I$680:$I1080,402-MA_LONG1):$I1080),"")</f>
        <v/>
      </c>
      <c r="Y1080" s="48" t="str">
        <f aca="false">IF($U1080&gt;=MA_LONG2,AVERAGE(INDEX($I$680:$I1080,402-MA_LONG2):$I1080),"")</f>
        <v/>
      </c>
      <c r="Z1080" s="48" t="n">
        <f aca="false">IF($U1080&gt;=MA_SHORT,AVERAGE(INDEX($L$960:$L1080,122-MA_SHORT):$L1080),"")</f>
        <v>100769543.55</v>
      </c>
      <c r="AA1080" s="48" t="n">
        <f aca="false">IF($U1080=1,$G1080-$H1080,MAX($G1080-$H1080,ABS($G1080-$I1079),ABS($H1080-$I1079)))</f>
        <v>309</v>
      </c>
      <c r="AB1080" s="48" t="n">
        <f aca="false">IF($U1080&gt;=ATR_PER,AVERAGE(INDEX($AA$960:$AA1080,122-ATR_PER):$AA1080),"")</f>
        <v>210.5</v>
      </c>
      <c r="AC1080" s="48" t="n">
        <f aca="false">$O1080-$P1080</f>
        <v>-13486864</v>
      </c>
      <c r="AD1080" s="48" t="n">
        <f aca="false">$AC1080*$I1080</f>
        <v>-67474780592</v>
      </c>
      <c r="AE1080" s="49" t="n">
        <f aca="false">IF($Q1080&gt;0,$O1080*$I1080/$Q1080/1000000,"")</f>
        <v>99.2681412639672</v>
      </c>
      <c r="AF1080" s="49" t="n">
        <f aca="false">IF($R1080&gt;0,$P1080*$I1080/$R1080/1000000,"")</f>
        <v>81.1015292540373</v>
      </c>
      <c r="AG1080" s="50" t="n">
        <f aca="false">IF(AND(ISNUMBER($AE1080),ISNUMBER($AF1080),$AF1080&gt;0),$AE1080/$AF1080,"")</f>
        <v>1.22399839037592</v>
      </c>
      <c r="AH1080" s="48" t="n">
        <f aca="false">IF($U1080&gt;=5,SUM(INDEX($AD$1050:$AD1080,32-5):$AD1080),"")</f>
        <v>101541993210</v>
      </c>
      <c r="AI1080" s="48" t="n">
        <f aca="false">IF($U1080&gt;=STRUCT_S,MAX(INDEX($G$930:$G1080,152-STRUCT_S):$G1080),"")</f>
        <v>5504</v>
      </c>
      <c r="AJ1080" s="48" t="n">
        <f aca="false">IF($U1080&gt;=STRUCT_S,MIN(INDEX($H$930:$H1080,152-STRUCT_S):$H1080),"")</f>
        <v>4682</v>
      </c>
      <c r="AK1080" s="48" t="str">
        <f aca="false">IF($U1080&gt;=STRUCT_L,MAX(INDEX($G$830:$G1080,252-STRUCT_L):$G1080),"")</f>
        <v/>
      </c>
      <c r="AL1080" s="48" t="str">
        <f aca="false">IF($U1080&gt;=STRUCT_L,MIN(INDEX($H$830:$H1080,252-STRUCT_L):$H1080),"")</f>
        <v/>
      </c>
      <c r="AM1080" s="46" t="n">
        <f aca="false">IF($A1080&lt;&gt;$A1081,1,0)</f>
        <v>0</v>
      </c>
      <c r="AN1080" s="47" t="str">
        <f aca="false">IF($AM1080=1,$A1080,"")</f>
        <v/>
      </c>
    </row>
    <row r="1081" customFormat="false" ht="15" hidden="false" customHeight="false" outlineLevel="0" collapsed="false">
      <c r="A1081" s="43" t="s">
        <v>152</v>
      </c>
      <c r="B1081" s="44" t="s">
        <v>154</v>
      </c>
      <c r="C1081" s="45" t="n">
        <v>45956</v>
      </c>
      <c r="D1081" s="46" t="n">
        <v>20251026</v>
      </c>
      <c r="E1081" s="47" t="s">
        <v>324</v>
      </c>
      <c r="F1081" s="48" t="n">
        <v>5000</v>
      </c>
      <c r="G1081" s="48" t="n">
        <v>5096</v>
      </c>
      <c r="H1081" s="48" t="n">
        <v>4837</v>
      </c>
      <c r="I1081" s="48" t="n">
        <v>4929</v>
      </c>
      <c r="J1081" s="48" t="n">
        <v>4918</v>
      </c>
      <c r="K1081" s="48" t="n">
        <v>5003</v>
      </c>
      <c r="L1081" s="48" t="n">
        <v>109577131</v>
      </c>
      <c r="M1081" s="48" t="n">
        <v>540105678699</v>
      </c>
      <c r="N1081" s="48" t="n">
        <v>2540</v>
      </c>
      <c r="O1081" s="48" t="n">
        <v>33240335</v>
      </c>
      <c r="P1081" s="48" t="n">
        <v>79407428</v>
      </c>
      <c r="Q1081" s="48" t="n">
        <v>698</v>
      </c>
      <c r="R1081" s="48" t="n">
        <v>1269</v>
      </c>
      <c r="S1081" s="48" t="n">
        <v>76336796</v>
      </c>
      <c r="T1081" s="48" t="n">
        <v>30169703</v>
      </c>
      <c r="U1081" s="46" t="n">
        <f aca="false">IF($A1081=$A1080,$U1080+1,1)</f>
        <v>37</v>
      </c>
      <c r="V1081" s="48" t="n">
        <f aca="false">IF($U1081&gt;=MA_SHORT,AVERAGE(INDEX($I$681:$I1081,402-MA_SHORT):$I1081),"")</f>
        <v>5043.4</v>
      </c>
      <c r="W1081" s="48" t="str">
        <f aca="false">IF($U1081&gt;=MA_MED,AVERAGE(INDEX($I$681:$I1081,402-MA_MED):$I1081),"")</f>
        <v/>
      </c>
      <c r="X1081" s="48" t="str">
        <f aca="false">IF($U1081&gt;=MA_LONG1,AVERAGE(INDEX($I$681:$I1081,402-MA_LONG1):$I1081),"")</f>
        <v/>
      </c>
      <c r="Y1081" s="48" t="str">
        <f aca="false">IF($U1081&gt;=MA_LONG2,AVERAGE(INDEX($I$681:$I1081,402-MA_LONG2):$I1081),"")</f>
        <v/>
      </c>
      <c r="Z1081" s="48" t="n">
        <f aca="false">IF($U1081&gt;=MA_SHORT,AVERAGE(INDEX($L$961:$L1081,122-MA_SHORT):$L1081),"")</f>
        <v>99050288.65</v>
      </c>
      <c r="AA1081" s="48" t="n">
        <f aca="false">IF($U1081=1,$G1081-$H1081,MAX($G1081-$H1081,ABS($G1081-$I1080),ABS($H1081-$I1080)))</f>
        <v>259</v>
      </c>
      <c r="AB1081" s="48" t="n">
        <f aca="false">IF($U1081&gt;=ATR_PER,AVERAGE(INDEX($AA$961:$AA1081,122-ATR_PER):$AA1081),"")</f>
        <v>213.071428571429</v>
      </c>
      <c r="AC1081" s="48" t="n">
        <f aca="false">$O1081-$P1081</f>
        <v>-46167093</v>
      </c>
      <c r="AD1081" s="48" t="n">
        <f aca="false">$AC1081*$I1081</f>
        <v>-227557601397</v>
      </c>
      <c r="AE1081" s="49" t="n">
        <f aca="false">IF($Q1081&gt;0,$O1081*$I1081/$Q1081/1000000,"")</f>
        <v>234.730102027221</v>
      </c>
      <c r="AF1081" s="49" t="n">
        <f aca="false">IF($R1081&gt;0,$P1081*$I1081/$R1081/1000000,"")</f>
        <v>308.431215612293</v>
      </c>
      <c r="AG1081" s="50" t="n">
        <f aca="false">IF(AND(ISNUMBER($AE1081),ISNUMBER($AF1081),$AF1081&gt;0),$AE1081/$AF1081,"")</f>
        <v>0.7610452189842</v>
      </c>
      <c r="AH1081" s="48" t="n">
        <f aca="false">IF($U1081&gt;=5,SUM(INDEX($AD$1051:$AD1081,32-5):$AD1081),"")</f>
        <v>-142769523435</v>
      </c>
      <c r="AI1081" s="48" t="n">
        <f aca="false">IF($U1081&gt;=STRUCT_S,MAX(INDEX($G$931:$G1081,152-STRUCT_S):$G1081),"")</f>
        <v>5504</v>
      </c>
      <c r="AJ1081" s="48" t="n">
        <f aca="false">IF($U1081&gt;=STRUCT_S,MIN(INDEX($H$931:$H1081,152-STRUCT_S):$H1081),"")</f>
        <v>4682</v>
      </c>
      <c r="AK1081" s="48" t="str">
        <f aca="false">IF($U1081&gt;=STRUCT_L,MAX(INDEX($G$831:$G1081,252-STRUCT_L):$G1081),"")</f>
        <v/>
      </c>
      <c r="AL1081" s="48" t="str">
        <f aca="false">IF($U1081&gt;=STRUCT_L,MIN(INDEX($H$831:$H1081,252-STRUCT_L):$H1081),"")</f>
        <v/>
      </c>
      <c r="AM1081" s="46" t="n">
        <f aca="false">IF($A1081&lt;&gt;$A1082,1,0)</f>
        <v>0</v>
      </c>
      <c r="AN1081" s="47" t="str">
        <f aca="false">IF($AM1081=1,$A1081,"")</f>
        <v/>
      </c>
    </row>
    <row r="1082" customFormat="false" ht="15" hidden="false" customHeight="false" outlineLevel="0" collapsed="false">
      <c r="A1082" s="43" t="s">
        <v>152</v>
      </c>
      <c r="B1082" s="44" t="s">
        <v>154</v>
      </c>
      <c r="C1082" s="45" t="n">
        <v>45957</v>
      </c>
      <c r="D1082" s="46" t="n">
        <v>20251027</v>
      </c>
      <c r="E1082" s="47" t="s">
        <v>325</v>
      </c>
      <c r="F1082" s="48" t="n">
        <v>4880</v>
      </c>
      <c r="G1082" s="48" t="n">
        <v>5098</v>
      </c>
      <c r="H1082" s="48" t="n">
        <v>4842</v>
      </c>
      <c r="I1082" s="48" t="n">
        <v>5009</v>
      </c>
      <c r="J1082" s="48" t="n">
        <v>4982</v>
      </c>
      <c r="K1082" s="48" t="n">
        <v>4929</v>
      </c>
      <c r="L1082" s="48" t="n">
        <v>94887827</v>
      </c>
      <c r="M1082" s="48" t="n">
        <v>475293125443</v>
      </c>
      <c r="N1082" s="48" t="n">
        <v>2190</v>
      </c>
      <c r="O1082" s="48" t="n">
        <v>52763064</v>
      </c>
      <c r="P1082" s="48" t="n">
        <v>40155949</v>
      </c>
      <c r="Q1082" s="48" t="n">
        <v>821</v>
      </c>
      <c r="R1082" s="48" t="n">
        <v>617</v>
      </c>
      <c r="S1082" s="48" t="n">
        <v>42124763</v>
      </c>
      <c r="T1082" s="48" t="n">
        <v>54731878</v>
      </c>
      <c r="U1082" s="46" t="n">
        <f aca="false">IF($A1082=$A1081,$U1081+1,1)</f>
        <v>38</v>
      </c>
      <c r="V1082" s="48" t="n">
        <f aca="false">IF($U1082&gt;=MA_SHORT,AVERAGE(INDEX($I$682:$I1082,402-MA_SHORT):$I1082),"")</f>
        <v>5040.7</v>
      </c>
      <c r="W1082" s="48" t="str">
        <f aca="false">IF($U1082&gt;=MA_MED,AVERAGE(INDEX($I$682:$I1082,402-MA_MED):$I1082),"")</f>
        <v/>
      </c>
      <c r="X1082" s="48" t="str">
        <f aca="false">IF($U1082&gt;=MA_LONG1,AVERAGE(INDEX($I$682:$I1082,402-MA_LONG1):$I1082),"")</f>
        <v/>
      </c>
      <c r="Y1082" s="48" t="str">
        <f aca="false">IF($U1082&gt;=MA_LONG2,AVERAGE(INDEX($I$682:$I1082,402-MA_LONG2):$I1082),"")</f>
        <v/>
      </c>
      <c r="Z1082" s="48" t="n">
        <f aca="false">IF($U1082&gt;=MA_SHORT,AVERAGE(INDEX($L$962:$L1082,122-MA_SHORT):$L1082),"")</f>
        <v>99893326.75</v>
      </c>
      <c r="AA1082" s="48" t="n">
        <f aca="false">IF($U1082=1,$G1082-$H1082,MAX($G1082-$H1082,ABS($G1082-$I1081),ABS($H1082-$I1081)))</f>
        <v>256</v>
      </c>
      <c r="AB1082" s="48" t="n">
        <f aca="false">IF($U1082&gt;=ATR_PER,AVERAGE(INDEX($AA$962:$AA1082,122-ATR_PER):$AA1082),"")</f>
        <v>218.357142857143</v>
      </c>
      <c r="AC1082" s="48" t="n">
        <f aca="false">$O1082-$P1082</f>
        <v>12607115</v>
      </c>
      <c r="AD1082" s="48" t="n">
        <f aca="false">$AC1082*$I1082</f>
        <v>63149039035</v>
      </c>
      <c r="AE1082" s="49" t="n">
        <f aca="false">IF($Q1082&gt;0,$O1082*$I1082/$Q1082/1000000,"")</f>
        <v>321.91253054324</v>
      </c>
      <c r="AF1082" s="49" t="n">
        <f aca="false">IF($R1082&gt;0,$P1082*$I1082/$R1082/1000000,"")</f>
        <v>325.998620001621</v>
      </c>
      <c r="AG1082" s="50" t="n">
        <f aca="false">IF(AND(ISNUMBER($AE1082),ISNUMBER($AF1082),$AF1082&gt;0),$AE1082/$AF1082,"")</f>
        <v>0.987465930198231</v>
      </c>
      <c r="AH1082" s="48" t="n">
        <f aca="false">IF($U1082&gt;=5,SUM(INDEX($AD$1052:$AD1082,32-5):$AD1082),"")</f>
        <v>-111600978166</v>
      </c>
      <c r="AI1082" s="48" t="n">
        <f aca="false">IF($U1082&gt;=STRUCT_S,MAX(INDEX($G$932:$G1082,152-STRUCT_S):$G1082),"")</f>
        <v>5504</v>
      </c>
      <c r="AJ1082" s="48" t="n">
        <f aca="false">IF($U1082&gt;=STRUCT_S,MIN(INDEX($H$932:$H1082,152-STRUCT_S):$H1082),"")</f>
        <v>4682</v>
      </c>
      <c r="AK1082" s="48" t="str">
        <f aca="false">IF($U1082&gt;=STRUCT_L,MAX(INDEX($G$832:$G1082,252-STRUCT_L):$G1082),"")</f>
        <v/>
      </c>
      <c r="AL1082" s="48" t="str">
        <f aca="false">IF($U1082&gt;=STRUCT_L,MIN(INDEX($H$832:$H1082,252-STRUCT_L):$H1082),"")</f>
        <v/>
      </c>
      <c r="AM1082" s="46" t="n">
        <f aca="false">IF($A1082&lt;&gt;$A1083,1,0)</f>
        <v>0</v>
      </c>
      <c r="AN1082" s="47" t="str">
        <f aca="false">IF($AM1082=1,$A1082,"")</f>
        <v/>
      </c>
    </row>
    <row r="1083" customFormat="false" ht="15" hidden="false" customHeight="false" outlineLevel="0" collapsed="false">
      <c r="A1083" s="43" t="s">
        <v>152</v>
      </c>
      <c r="B1083" s="44" t="s">
        <v>154</v>
      </c>
      <c r="C1083" s="45" t="n">
        <v>45958</v>
      </c>
      <c r="D1083" s="46" t="n">
        <v>20251028</v>
      </c>
      <c r="E1083" s="47" t="s">
        <v>326</v>
      </c>
      <c r="F1083" s="48" t="n">
        <v>5064</v>
      </c>
      <c r="G1083" s="48" t="n">
        <v>5133</v>
      </c>
      <c r="H1083" s="48" t="n">
        <v>4978</v>
      </c>
      <c r="I1083" s="48" t="n">
        <v>5102</v>
      </c>
      <c r="J1083" s="48" t="n">
        <v>4993</v>
      </c>
      <c r="K1083" s="48" t="n">
        <v>5009</v>
      </c>
      <c r="L1083" s="48" t="n">
        <v>98681533</v>
      </c>
      <c r="M1083" s="48" t="n">
        <v>503473181366</v>
      </c>
      <c r="N1083" s="48" t="n">
        <v>2205</v>
      </c>
      <c r="O1083" s="48" t="n">
        <v>51381699</v>
      </c>
      <c r="P1083" s="48" t="n">
        <v>42618209</v>
      </c>
      <c r="Q1083" s="48" t="n">
        <v>1382</v>
      </c>
      <c r="R1083" s="48" t="n">
        <v>790</v>
      </c>
      <c r="S1083" s="48" t="n">
        <v>47299834</v>
      </c>
      <c r="T1083" s="48" t="n">
        <v>56063324</v>
      </c>
      <c r="U1083" s="46" t="n">
        <f aca="false">IF($A1083=$A1082,$U1082+1,1)</f>
        <v>39</v>
      </c>
      <c r="V1083" s="48" t="n">
        <f aca="false">IF($U1083&gt;=MA_SHORT,AVERAGE(INDEX($I$683:$I1083,402-MA_SHORT):$I1083),"")</f>
        <v>5040.25</v>
      </c>
      <c r="W1083" s="48" t="str">
        <f aca="false">IF($U1083&gt;=MA_MED,AVERAGE(INDEX($I$683:$I1083,402-MA_MED):$I1083),"")</f>
        <v/>
      </c>
      <c r="X1083" s="48" t="str">
        <f aca="false">IF($U1083&gt;=MA_LONG1,AVERAGE(INDEX($I$683:$I1083,402-MA_LONG1):$I1083),"")</f>
        <v/>
      </c>
      <c r="Y1083" s="48" t="str">
        <f aca="false">IF($U1083&gt;=MA_LONG2,AVERAGE(INDEX($I$683:$I1083,402-MA_LONG2):$I1083),"")</f>
        <v/>
      </c>
      <c r="Z1083" s="48" t="n">
        <f aca="false">IF($U1083&gt;=MA_SHORT,AVERAGE(INDEX($L$963:$L1083,122-MA_SHORT):$L1083),"")</f>
        <v>100723597</v>
      </c>
      <c r="AA1083" s="48" t="n">
        <f aca="false">IF($U1083=1,$G1083-$H1083,MAX($G1083-$H1083,ABS($G1083-$I1082),ABS($H1083-$I1082)))</f>
        <v>155</v>
      </c>
      <c r="AB1083" s="48" t="n">
        <f aca="false">IF($U1083&gt;=ATR_PER,AVERAGE(INDEX($AA$963:$AA1083,122-ATR_PER):$AA1083),"")</f>
        <v>216.571428571429</v>
      </c>
      <c r="AC1083" s="48" t="n">
        <f aca="false">$O1083-$P1083</f>
        <v>8763490</v>
      </c>
      <c r="AD1083" s="48" t="n">
        <f aca="false">$AC1083*$I1083</f>
        <v>44711325980</v>
      </c>
      <c r="AE1083" s="49" t="n">
        <f aca="false">IF($Q1083&gt;0,$O1083*$I1083/$Q1083/1000000,"")</f>
        <v>189.688443052098</v>
      </c>
      <c r="AF1083" s="49" t="n">
        <f aca="false">IF($R1083&gt;0,$P1083*$I1083/$R1083/1000000,"")</f>
        <v>275.2381042</v>
      </c>
      <c r="AG1083" s="50" t="n">
        <f aca="false">IF(AND(ISNUMBER($AE1083),ISNUMBER($AF1083),$AF1083&gt;0),$AE1083/$AF1083,"")</f>
        <v>0.689179441936072</v>
      </c>
      <c r="AH1083" s="48" t="n">
        <f aca="false">IF($U1083&gt;=5,SUM(INDEX($AD$1053:$AD1083,32-5):$AD1083),"")</f>
        <v>-52284686666</v>
      </c>
      <c r="AI1083" s="48" t="n">
        <f aca="false">IF($U1083&gt;=STRUCT_S,MAX(INDEX($G$933:$G1083,152-STRUCT_S):$G1083),"")</f>
        <v>5504</v>
      </c>
      <c r="AJ1083" s="48" t="n">
        <f aca="false">IF($U1083&gt;=STRUCT_S,MIN(INDEX($H$933:$H1083,152-STRUCT_S):$H1083),"")</f>
        <v>4682</v>
      </c>
      <c r="AK1083" s="48" t="str">
        <f aca="false">IF($U1083&gt;=STRUCT_L,MAX(INDEX($G$833:$G1083,252-STRUCT_L):$G1083),"")</f>
        <v/>
      </c>
      <c r="AL1083" s="48" t="str">
        <f aca="false">IF($U1083&gt;=STRUCT_L,MIN(INDEX($H$833:$H1083,252-STRUCT_L):$H1083),"")</f>
        <v/>
      </c>
      <c r="AM1083" s="46" t="n">
        <f aca="false">IF($A1083&lt;&gt;$A1084,1,0)</f>
        <v>0</v>
      </c>
      <c r="AN1083" s="47" t="str">
        <f aca="false">IF($AM1083=1,$A1083,"")</f>
        <v/>
      </c>
    </row>
    <row r="1084" customFormat="false" ht="15" hidden="false" customHeight="false" outlineLevel="0" collapsed="false">
      <c r="A1084" s="43" t="s">
        <v>152</v>
      </c>
      <c r="B1084" s="44" t="s">
        <v>154</v>
      </c>
      <c r="C1084" s="45" t="n">
        <v>45959</v>
      </c>
      <c r="D1084" s="46" t="n">
        <v>20251029</v>
      </c>
      <c r="E1084" s="47" t="s">
        <v>327</v>
      </c>
      <c r="F1084" s="48" t="n">
        <v>5063</v>
      </c>
      <c r="G1084" s="48" t="n">
        <v>5179</v>
      </c>
      <c r="H1084" s="48" t="n">
        <v>5010</v>
      </c>
      <c r="I1084" s="48" t="n">
        <v>5087</v>
      </c>
      <c r="J1084" s="48" t="n">
        <v>5162</v>
      </c>
      <c r="K1084" s="48" t="n">
        <v>5102</v>
      </c>
      <c r="L1084" s="48" t="n">
        <v>89053165</v>
      </c>
      <c r="M1084" s="48" t="n">
        <v>453013450355</v>
      </c>
      <c r="N1084" s="48" t="n">
        <v>2306</v>
      </c>
      <c r="O1084" s="48" t="n">
        <v>46535907</v>
      </c>
      <c r="P1084" s="48" t="n">
        <v>44425198</v>
      </c>
      <c r="Q1084" s="48" t="n">
        <v>1039</v>
      </c>
      <c r="R1084" s="48" t="n">
        <v>1122</v>
      </c>
      <c r="S1084" s="48" t="n">
        <v>42517258</v>
      </c>
      <c r="T1084" s="48" t="n">
        <v>44627967</v>
      </c>
      <c r="U1084" s="46" t="n">
        <f aca="false">IF($A1084=$A1083,$U1083+1,1)</f>
        <v>40</v>
      </c>
      <c r="V1084" s="48" t="n">
        <f aca="false">IF($U1084&gt;=MA_SHORT,AVERAGE(INDEX($I$684:$I1084,402-MA_SHORT):$I1084),"")</f>
        <v>5034.1</v>
      </c>
      <c r="W1084" s="48" t="str">
        <f aca="false">IF($U1084&gt;=MA_MED,AVERAGE(INDEX($I$684:$I1084,402-MA_MED):$I1084),"")</f>
        <v/>
      </c>
      <c r="X1084" s="48" t="str">
        <f aca="false">IF($U1084&gt;=MA_LONG1,AVERAGE(INDEX($I$684:$I1084,402-MA_LONG1):$I1084),"")</f>
        <v/>
      </c>
      <c r="Y1084" s="48" t="str">
        <f aca="false">IF($U1084&gt;=MA_LONG2,AVERAGE(INDEX($I$684:$I1084,402-MA_LONG2):$I1084),"")</f>
        <v/>
      </c>
      <c r="Z1084" s="48" t="n">
        <f aca="false">IF($U1084&gt;=MA_SHORT,AVERAGE(INDEX($L$964:$L1084,122-MA_SHORT):$L1084),"")</f>
        <v>99994565.1</v>
      </c>
      <c r="AA1084" s="48" t="n">
        <f aca="false">IF($U1084=1,$G1084-$H1084,MAX($G1084-$H1084,ABS($G1084-$I1083),ABS($H1084-$I1083)))</f>
        <v>169</v>
      </c>
      <c r="AB1084" s="48" t="n">
        <f aca="false">IF($U1084&gt;=ATR_PER,AVERAGE(INDEX($AA$964:$AA1084,122-ATR_PER):$AA1084),"")</f>
        <v>207.642857142857</v>
      </c>
      <c r="AC1084" s="48" t="n">
        <f aca="false">$O1084-$P1084</f>
        <v>2110709</v>
      </c>
      <c r="AD1084" s="48" t="n">
        <f aca="false">$AC1084*$I1084</f>
        <v>10737176683</v>
      </c>
      <c r="AE1084" s="49" t="n">
        <f aca="false">IF($Q1084&gt;0,$O1084*$I1084/$Q1084/1000000,"")</f>
        <v>227.84230886333</v>
      </c>
      <c r="AF1084" s="49" t="n">
        <f aca="false">IF($R1084&gt;0,$P1084*$I1084/$R1084/1000000,"")</f>
        <v>201.417987723708</v>
      </c>
      <c r="AG1084" s="50" t="n">
        <f aca="false">IF(AND(ISNUMBER($AE1084),ISNUMBER($AF1084),$AF1084&gt;0),$AE1084/$AF1084,"")</f>
        <v>1.13119146625509</v>
      </c>
      <c r="AH1084" s="48" t="n">
        <f aca="false">IF($U1084&gt;=5,SUM(INDEX($AD$1054:$AD1084,32-5):$AD1084),"")</f>
        <v>-176434840291</v>
      </c>
      <c r="AI1084" s="48" t="n">
        <f aca="false">IF($U1084&gt;=STRUCT_S,MAX(INDEX($G$934:$G1084,152-STRUCT_S):$G1084),"")</f>
        <v>5504</v>
      </c>
      <c r="AJ1084" s="48" t="n">
        <f aca="false">IF($U1084&gt;=STRUCT_S,MIN(INDEX($H$934:$H1084,152-STRUCT_S):$H1084),"")</f>
        <v>4682</v>
      </c>
      <c r="AK1084" s="48" t="str">
        <f aca="false">IF($U1084&gt;=STRUCT_L,MAX(INDEX($G$834:$G1084,252-STRUCT_L):$G1084),"")</f>
        <v/>
      </c>
      <c r="AL1084" s="48" t="str">
        <f aca="false">IF($U1084&gt;=STRUCT_L,MIN(INDEX($H$834:$H1084,252-STRUCT_L):$H1084),"")</f>
        <v/>
      </c>
      <c r="AM1084" s="46" t="n">
        <f aca="false">IF($A1084&lt;&gt;$A1085,1,0)</f>
        <v>0</v>
      </c>
      <c r="AN1084" s="47" t="str">
        <f aca="false">IF($AM1084=1,$A1084,"")</f>
        <v/>
      </c>
    </row>
    <row r="1085" customFormat="false" ht="15" hidden="false" customHeight="false" outlineLevel="0" collapsed="false">
      <c r="A1085" s="43" t="s">
        <v>152</v>
      </c>
      <c r="B1085" s="44" t="s">
        <v>154</v>
      </c>
      <c r="C1085" s="45" t="n">
        <v>45962</v>
      </c>
      <c r="D1085" s="46" t="n">
        <v>20251101</v>
      </c>
      <c r="E1085" s="47" t="s">
        <v>328</v>
      </c>
      <c r="F1085" s="48" t="n">
        <v>5215</v>
      </c>
      <c r="G1085" s="48" t="n">
        <v>5271</v>
      </c>
      <c r="H1085" s="48" t="n">
        <v>5075</v>
      </c>
      <c r="I1085" s="48" t="n">
        <v>5258</v>
      </c>
      <c r="J1085" s="48" t="n">
        <v>5083</v>
      </c>
      <c r="K1085" s="48" t="n">
        <v>5087</v>
      </c>
      <c r="L1085" s="48" t="n">
        <v>103516013</v>
      </c>
      <c r="M1085" s="48" t="n">
        <v>544287196354</v>
      </c>
      <c r="N1085" s="48" t="n">
        <v>3952</v>
      </c>
      <c r="O1085" s="48" t="n">
        <v>62793164</v>
      </c>
      <c r="P1085" s="48" t="n">
        <v>35615541</v>
      </c>
      <c r="Q1085" s="48" t="n">
        <v>2294</v>
      </c>
      <c r="R1085" s="48" t="n">
        <v>1821</v>
      </c>
      <c r="S1085" s="48" t="n">
        <v>40722849</v>
      </c>
      <c r="T1085" s="48" t="n">
        <v>67900472</v>
      </c>
      <c r="U1085" s="46" t="n">
        <f aca="false">IF($A1085=$A1084,$U1084+1,1)</f>
        <v>41</v>
      </c>
      <c r="V1085" s="48" t="n">
        <f aca="false">IF($U1085&gt;=MA_SHORT,AVERAGE(INDEX($I$685:$I1085,402-MA_SHORT):$I1085),"")</f>
        <v>5027</v>
      </c>
      <c r="W1085" s="48" t="str">
        <f aca="false">IF($U1085&gt;=MA_MED,AVERAGE(INDEX($I$685:$I1085,402-MA_MED):$I1085),"")</f>
        <v/>
      </c>
      <c r="X1085" s="48" t="str">
        <f aca="false">IF($U1085&gt;=MA_LONG1,AVERAGE(INDEX($I$685:$I1085,402-MA_LONG1):$I1085),"")</f>
        <v/>
      </c>
      <c r="Y1085" s="48" t="str">
        <f aca="false">IF($U1085&gt;=MA_LONG2,AVERAGE(INDEX($I$685:$I1085,402-MA_LONG2):$I1085),"")</f>
        <v/>
      </c>
      <c r="Z1085" s="48" t="n">
        <f aca="false">IF($U1085&gt;=MA_SHORT,AVERAGE(INDEX($L$965:$L1085,122-MA_SHORT):$L1085),"")</f>
        <v>100437808.85</v>
      </c>
      <c r="AA1085" s="48" t="n">
        <f aca="false">IF($U1085=1,$G1085-$H1085,MAX($G1085-$H1085,ABS($G1085-$I1084),ABS($H1085-$I1084)))</f>
        <v>196</v>
      </c>
      <c r="AB1085" s="48" t="n">
        <f aca="false">IF($U1085&gt;=ATR_PER,AVERAGE(INDEX($AA$965:$AA1085,122-ATR_PER):$AA1085),"")</f>
        <v>206.714285714286</v>
      </c>
      <c r="AC1085" s="48" t="n">
        <f aca="false">$O1085-$P1085</f>
        <v>27177623</v>
      </c>
      <c r="AD1085" s="48" t="n">
        <f aca="false">$AC1085*$I1085</f>
        <v>142899941734</v>
      </c>
      <c r="AE1085" s="49" t="n">
        <f aca="false">IF($Q1085&gt;0,$O1085*$I1085/$Q1085/1000000,"")</f>
        <v>143.926092551003</v>
      </c>
      <c r="AF1085" s="49" t="n">
        <f aca="false">IF($R1085&gt;0,$P1085*$I1085/$R1085/1000000,"")</f>
        <v>102.83718538056</v>
      </c>
      <c r="AG1085" s="50" t="n">
        <f aca="false">IF(AND(ISNUMBER($AE1085),ISNUMBER($AF1085),$AF1085&gt;0),$AE1085/$AF1085,"")</f>
        <v>1.39955301205871</v>
      </c>
      <c r="AH1085" s="48" t="n">
        <f aca="false">IF($U1085&gt;=5,SUM(INDEX($AD$1055:$AD1085,32-5):$AD1085),"")</f>
        <v>33939882035</v>
      </c>
      <c r="AI1085" s="48" t="n">
        <f aca="false">IF($U1085&gt;=STRUCT_S,MAX(INDEX($G$935:$G1085,152-STRUCT_S):$G1085),"")</f>
        <v>5504</v>
      </c>
      <c r="AJ1085" s="48" t="n">
        <f aca="false">IF($U1085&gt;=STRUCT_S,MIN(INDEX($H$935:$H1085,152-STRUCT_S):$H1085),"")</f>
        <v>4682</v>
      </c>
      <c r="AK1085" s="48" t="str">
        <f aca="false">IF($U1085&gt;=STRUCT_L,MAX(INDEX($G$835:$G1085,252-STRUCT_L):$G1085),"")</f>
        <v/>
      </c>
      <c r="AL1085" s="48" t="str">
        <f aca="false">IF($U1085&gt;=STRUCT_L,MIN(INDEX($H$835:$H1085,252-STRUCT_L):$H1085),"")</f>
        <v/>
      </c>
      <c r="AM1085" s="46" t="n">
        <f aca="false">IF($A1085&lt;&gt;$A1086,1,0)</f>
        <v>0</v>
      </c>
      <c r="AN1085" s="47" t="str">
        <f aca="false">IF($AM1085=1,$A1085,"")</f>
        <v/>
      </c>
    </row>
    <row r="1086" customFormat="false" ht="15" hidden="false" customHeight="false" outlineLevel="0" collapsed="false">
      <c r="A1086" s="43" t="s">
        <v>152</v>
      </c>
      <c r="B1086" s="44" t="s">
        <v>154</v>
      </c>
      <c r="C1086" s="45" t="n">
        <v>45963</v>
      </c>
      <c r="D1086" s="46" t="n">
        <v>20251102</v>
      </c>
      <c r="E1086" s="47" t="s">
        <v>329</v>
      </c>
      <c r="F1086" s="48" t="n">
        <v>5340</v>
      </c>
      <c r="G1086" s="48" t="n">
        <v>5404</v>
      </c>
      <c r="H1086" s="48" t="n">
        <v>5108</v>
      </c>
      <c r="I1086" s="48" t="n">
        <v>5254</v>
      </c>
      <c r="J1086" s="48" t="n">
        <v>5341</v>
      </c>
      <c r="K1086" s="48" t="n">
        <v>5258</v>
      </c>
      <c r="L1086" s="48" t="n">
        <v>86841057</v>
      </c>
      <c r="M1086" s="48" t="n">
        <v>456262913478</v>
      </c>
      <c r="N1086" s="48" t="n">
        <v>2069</v>
      </c>
      <c r="O1086" s="48" t="n">
        <v>43072352</v>
      </c>
      <c r="P1086" s="48" t="n">
        <v>38856261</v>
      </c>
      <c r="Q1086" s="48" t="n">
        <v>606</v>
      </c>
      <c r="R1086" s="48" t="n">
        <v>851</v>
      </c>
      <c r="S1086" s="48" t="n">
        <v>43768705</v>
      </c>
      <c r="T1086" s="48" t="n">
        <v>47984796</v>
      </c>
      <c r="U1086" s="46" t="n">
        <f aca="false">IF($A1086=$A1085,$U1085+1,1)</f>
        <v>42</v>
      </c>
      <c r="V1086" s="48" t="n">
        <f aca="false">IF($U1086&gt;=MA_SHORT,AVERAGE(INDEX($I$686:$I1086,402-MA_SHORT):$I1086),"")</f>
        <v>5023.25</v>
      </c>
      <c r="W1086" s="48" t="str">
        <f aca="false">IF($U1086&gt;=MA_MED,AVERAGE(INDEX($I$686:$I1086,402-MA_MED):$I1086),"")</f>
        <v/>
      </c>
      <c r="X1086" s="48" t="str">
        <f aca="false">IF($U1086&gt;=MA_LONG1,AVERAGE(INDEX($I$686:$I1086,402-MA_LONG1):$I1086),"")</f>
        <v/>
      </c>
      <c r="Y1086" s="48" t="str">
        <f aca="false">IF($U1086&gt;=MA_LONG2,AVERAGE(INDEX($I$686:$I1086,402-MA_LONG2):$I1086),"")</f>
        <v/>
      </c>
      <c r="Z1086" s="48" t="n">
        <f aca="false">IF($U1086&gt;=MA_SHORT,AVERAGE(INDEX($L$966:$L1086,122-MA_SHORT):$L1086),"")</f>
        <v>100590608.95</v>
      </c>
      <c r="AA1086" s="48" t="n">
        <f aca="false">IF($U1086=1,$G1086-$H1086,MAX($G1086-$H1086,ABS($G1086-$I1085),ABS($H1086-$I1085)))</f>
        <v>296</v>
      </c>
      <c r="AB1086" s="48" t="n">
        <f aca="false">IF($U1086&gt;=ATR_PER,AVERAGE(INDEX($AA$966:$AA1086,122-ATR_PER):$AA1086),"")</f>
        <v>208.785714285714</v>
      </c>
      <c r="AC1086" s="48" t="n">
        <f aca="false">$O1086-$P1086</f>
        <v>4216091</v>
      </c>
      <c r="AD1086" s="48" t="n">
        <f aca="false">$AC1086*$I1086</f>
        <v>22151342114</v>
      </c>
      <c r="AE1086" s="49" t="n">
        <f aca="false">IF($Q1086&gt;0,$O1086*$I1086/$Q1086/1000000,"")</f>
        <v>373.435870310231</v>
      </c>
      <c r="AF1086" s="49" t="n">
        <f aca="false">IF($R1086&gt;0,$P1086*$I1086/$R1086/1000000,"")</f>
        <v>239.895176608696</v>
      </c>
      <c r="AG1086" s="50" t="n">
        <f aca="false">IF(AND(ISNUMBER($AE1086),ISNUMBER($AF1086),$AF1086&gt;0),$AE1086/$AF1086,"")</f>
        <v>1.55666268738433</v>
      </c>
      <c r="AH1086" s="48" t="n">
        <f aca="false">IF($U1086&gt;=5,SUM(INDEX($AD$1056:$AD1086,32-5):$AD1086),"")</f>
        <v>283648825546</v>
      </c>
      <c r="AI1086" s="48" t="n">
        <f aca="false">IF($U1086&gt;=STRUCT_S,MAX(INDEX($G$936:$G1086,152-STRUCT_S):$G1086),"")</f>
        <v>5404</v>
      </c>
      <c r="AJ1086" s="48" t="n">
        <f aca="false">IF($U1086&gt;=STRUCT_S,MIN(INDEX($H$936:$H1086,152-STRUCT_S):$H1086),"")</f>
        <v>4682</v>
      </c>
      <c r="AK1086" s="48" t="str">
        <f aca="false">IF($U1086&gt;=STRUCT_L,MAX(INDEX($G$836:$G1086,252-STRUCT_L):$G1086),"")</f>
        <v/>
      </c>
      <c r="AL1086" s="48" t="str">
        <f aca="false">IF($U1086&gt;=STRUCT_L,MIN(INDEX($H$836:$H1086,252-STRUCT_L):$H1086),"")</f>
        <v/>
      </c>
      <c r="AM1086" s="46" t="n">
        <f aca="false">IF($A1086&lt;&gt;$A1087,1,0)</f>
        <v>0</v>
      </c>
      <c r="AN1086" s="47" t="str">
        <f aca="false">IF($AM1086=1,$A1086,"")</f>
        <v/>
      </c>
    </row>
    <row r="1087" customFormat="false" ht="15" hidden="false" customHeight="false" outlineLevel="0" collapsed="false">
      <c r="A1087" s="43" t="s">
        <v>152</v>
      </c>
      <c r="B1087" s="44" t="s">
        <v>154</v>
      </c>
      <c r="C1087" s="45" t="n">
        <v>45964</v>
      </c>
      <c r="D1087" s="46" t="n">
        <v>20251103</v>
      </c>
      <c r="E1087" s="47" t="s">
        <v>330</v>
      </c>
      <c r="F1087" s="48" t="n">
        <v>5237</v>
      </c>
      <c r="G1087" s="48" t="n">
        <v>5341</v>
      </c>
      <c r="H1087" s="48" t="n">
        <v>5164</v>
      </c>
      <c r="I1087" s="48" t="n">
        <v>5251</v>
      </c>
      <c r="J1087" s="48" t="n">
        <v>5274</v>
      </c>
      <c r="K1087" s="48" t="n">
        <v>5254</v>
      </c>
      <c r="L1087" s="48" t="n">
        <v>95498056</v>
      </c>
      <c r="M1087" s="48" t="n">
        <v>501460292056</v>
      </c>
      <c r="N1087" s="48" t="n">
        <v>8032</v>
      </c>
      <c r="O1087" s="48" t="n">
        <v>50522942</v>
      </c>
      <c r="P1087" s="48" t="n">
        <v>42189869</v>
      </c>
      <c r="Q1087" s="48" t="n">
        <v>2067</v>
      </c>
      <c r="R1087" s="48" t="n">
        <v>4583</v>
      </c>
      <c r="S1087" s="48" t="n">
        <v>44975114</v>
      </c>
      <c r="T1087" s="48" t="n">
        <v>53308187</v>
      </c>
      <c r="U1087" s="46" t="n">
        <f aca="false">IF($A1087=$A1086,$U1086+1,1)</f>
        <v>43</v>
      </c>
      <c r="V1087" s="48" t="n">
        <f aca="false">IF($U1087&gt;=MA_SHORT,AVERAGE(INDEX($I$687:$I1087,402-MA_SHORT):$I1087),"")</f>
        <v>5026.75</v>
      </c>
      <c r="W1087" s="48" t="str">
        <f aca="false">IF($U1087&gt;=MA_MED,AVERAGE(INDEX($I$687:$I1087,402-MA_MED):$I1087),"")</f>
        <v/>
      </c>
      <c r="X1087" s="48" t="str">
        <f aca="false">IF($U1087&gt;=MA_LONG1,AVERAGE(INDEX($I$687:$I1087,402-MA_LONG1):$I1087),"")</f>
        <v/>
      </c>
      <c r="Y1087" s="48" t="str">
        <f aca="false">IF($U1087&gt;=MA_LONG2,AVERAGE(INDEX($I$687:$I1087,402-MA_LONG2):$I1087),"")</f>
        <v/>
      </c>
      <c r="Z1087" s="48" t="n">
        <f aca="false">IF($U1087&gt;=MA_SHORT,AVERAGE(INDEX($L$967:$L1087,122-MA_SHORT):$L1087),"")</f>
        <v>100835545.25</v>
      </c>
      <c r="AA1087" s="48" t="n">
        <f aca="false">IF($U1087=1,$G1087-$H1087,MAX($G1087-$H1087,ABS($G1087-$I1086),ABS($H1087-$I1086)))</f>
        <v>177</v>
      </c>
      <c r="AB1087" s="48" t="n">
        <f aca="false">IF($U1087&gt;=ATR_PER,AVERAGE(INDEX($AA$967:$AA1087,122-ATR_PER):$AA1087),"")</f>
        <v>204.071428571429</v>
      </c>
      <c r="AC1087" s="48" t="n">
        <f aca="false">$O1087-$P1087</f>
        <v>8333073</v>
      </c>
      <c r="AD1087" s="48" t="n">
        <f aca="false">$AC1087*$I1087</f>
        <v>43756966323</v>
      </c>
      <c r="AE1087" s="49" t="n">
        <f aca="false">IF($Q1087&gt;0,$O1087*$I1087/$Q1087/1000000,"")</f>
        <v>128.348315646831</v>
      </c>
      <c r="AF1087" s="49" t="n">
        <f aca="false">IF($R1087&gt;0,$P1087*$I1087/$R1087/1000000,"")</f>
        <v>48.3392978658084</v>
      </c>
      <c r="AG1087" s="50" t="n">
        <f aca="false">IF(AND(ISNUMBER($AE1087),ISNUMBER($AF1087),$AF1087&gt;0),$AE1087/$AF1087,"")</f>
        <v>2.65515473565898</v>
      </c>
      <c r="AH1087" s="48" t="n">
        <f aca="false">IF($U1087&gt;=5,SUM(INDEX($AD$1057:$AD1087,32-5):$AD1087),"")</f>
        <v>264256752834</v>
      </c>
      <c r="AI1087" s="48" t="n">
        <f aca="false">IF($U1087&gt;=STRUCT_S,MAX(INDEX($G$937:$G1087,152-STRUCT_S):$G1087),"")</f>
        <v>5404</v>
      </c>
      <c r="AJ1087" s="48" t="n">
        <f aca="false">IF($U1087&gt;=STRUCT_S,MIN(INDEX($H$937:$H1087,152-STRUCT_S):$H1087),"")</f>
        <v>4682</v>
      </c>
      <c r="AK1087" s="48" t="str">
        <f aca="false">IF($U1087&gt;=STRUCT_L,MAX(INDEX($G$837:$G1087,252-STRUCT_L):$G1087),"")</f>
        <v/>
      </c>
      <c r="AL1087" s="48" t="str">
        <f aca="false">IF($U1087&gt;=STRUCT_L,MIN(INDEX($H$837:$H1087,252-STRUCT_L):$H1087),"")</f>
        <v/>
      </c>
      <c r="AM1087" s="46" t="n">
        <f aca="false">IF($A1087&lt;&gt;$A1088,1,0)</f>
        <v>0</v>
      </c>
      <c r="AN1087" s="47" t="str">
        <f aca="false">IF($AM1087=1,$A1087,"")</f>
        <v/>
      </c>
    </row>
    <row r="1088" customFormat="false" ht="15" hidden="false" customHeight="false" outlineLevel="0" collapsed="false">
      <c r="A1088" s="43" t="s">
        <v>152</v>
      </c>
      <c r="B1088" s="44" t="s">
        <v>154</v>
      </c>
      <c r="C1088" s="45" t="n">
        <v>45965</v>
      </c>
      <c r="D1088" s="46" t="n">
        <v>20251104</v>
      </c>
      <c r="E1088" s="47" t="s">
        <v>331</v>
      </c>
      <c r="F1088" s="48" t="n">
        <v>5463</v>
      </c>
      <c r="G1088" s="48" t="n">
        <v>5496</v>
      </c>
      <c r="H1088" s="48" t="n">
        <v>5201</v>
      </c>
      <c r="I1088" s="48" t="n">
        <v>5445</v>
      </c>
      <c r="J1088" s="48" t="n">
        <v>5478</v>
      </c>
      <c r="K1088" s="48" t="n">
        <v>5251</v>
      </c>
      <c r="L1088" s="48" t="n">
        <v>337088302</v>
      </c>
      <c r="M1088" s="48" t="n">
        <v>1835445804390</v>
      </c>
      <c r="N1088" s="48" t="n">
        <v>11603</v>
      </c>
      <c r="O1088" s="48" t="n">
        <v>210396252</v>
      </c>
      <c r="P1088" s="48" t="n">
        <v>138128501</v>
      </c>
      <c r="Q1088" s="48" t="n">
        <v>5518</v>
      </c>
      <c r="R1088" s="48" t="n">
        <v>3409</v>
      </c>
      <c r="S1088" s="48" t="n">
        <v>126692050</v>
      </c>
      <c r="T1088" s="48" t="n">
        <v>198959801</v>
      </c>
      <c r="U1088" s="46" t="n">
        <f aca="false">IF($A1088=$A1087,$U1087+1,1)</f>
        <v>44</v>
      </c>
      <c r="V1088" s="48" t="n">
        <f aca="false">IF($U1088&gt;=MA_SHORT,AVERAGE(INDEX($I$688:$I1088,402-MA_SHORT):$I1088),"")</f>
        <v>5045.6</v>
      </c>
      <c r="W1088" s="48" t="str">
        <f aca="false">IF($U1088&gt;=MA_MED,AVERAGE(INDEX($I$688:$I1088,402-MA_MED):$I1088),"")</f>
        <v/>
      </c>
      <c r="X1088" s="48" t="str">
        <f aca="false">IF($U1088&gt;=MA_LONG1,AVERAGE(INDEX($I$688:$I1088,402-MA_LONG1):$I1088),"")</f>
        <v/>
      </c>
      <c r="Y1088" s="48" t="str">
        <f aca="false">IF($U1088&gt;=MA_LONG2,AVERAGE(INDEX($I$688:$I1088,402-MA_LONG2):$I1088),"")</f>
        <v/>
      </c>
      <c r="Z1088" s="48" t="n">
        <f aca="false">IF($U1088&gt;=MA_SHORT,AVERAGE(INDEX($L$968:$L1088,122-MA_SHORT):$L1088),"")</f>
        <v>111819017.25</v>
      </c>
      <c r="AA1088" s="48" t="n">
        <f aca="false">IF($U1088=1,$G1088-$H1088,MAX($G1088-$H1088,ABS($G1088-$I1087),ABS($H1088-$I1087)))</f>
        <v>295</v>
      </c>
      <c r="AB1088" s="48" t="n">
        <f aca="false">IF($U1088&gt;=ATR_PER,AVERAGE(INDEX($AA$968:$AA1088,122-ATR_PER):$AA1088),"")</f>
        <v>210.857142857143</v>
      </c>
      <c r="AC1088" s="48" t="n">
        <f aca="false">$O1088-$P1088</f>
        <v>72267751</v>
      </c>
      <c r="AD1088" s="48" t="n">
        <f aca="false">$AC1088*$I1088</f>
        <v>393497904195</v>
      </c>
      <c r="AE1088" s="49" t="n">
        <f aca="false">IF($Q1088&gt;0,$O1088*$I1088/$Q1088/1000000,"")</f>
        <v>207.612829311345</v>
      </c>
      <c r="AF1088" s="49" t="n">
        <f aca="false">IF($R1088&gt;0,$P1088*$I1088/$R1088/1000000,"")</f>
        <v>220.624725123203</v>
      </c>
      <c r="AG1088" s="50" t="n">
        <f aca="false">IF(AND(ISNUMBER($AE1088),ISNUMBER($AF1088),$AF1088&gt;0),$AE1088/$AF1088,"")</f>
        <v>0.941022495078045</v>
      </c>
      <c r="AH1088" s="48" t="n">
        <f aca="false">IF($U1088&gt;=5,SUM(INDEX($AD$1058:$AD1088,32-5):$AD1088),"")</f>
        <v>613043331049</v>
      </c>
      <c r="AI1088" s="48" t="n">
        <f aca="false">IF($U1088&gt;=STRUCT_S,MAX(INDEX($G$938:$G1088,152-STRUCT_S):$G1088),"")</f>
        <v>5496</v>
      </c>
      <c r="AJ1088" s="48" t="n">
        <f aca="false">IF($U1088&gt;=STRUCT_S,MIN(INDEX($H$938:$H1088,152-STRUCT_S):$H1088),"")</f>
        <v>4682</v>
      </c>
      <c r="AK1088" s="48" t="str">
        <f aca="false">IF($U1088&gt;=STRUCT_L,MAX(INDEX($G$838:$G1088,252-STRUCT_L):$G1088),"")</f>
        <v/>
      </c>
      <c r="AL1088" s="48" t="str">
        <f aca="false">IF($U1088&gt;=STRUCT_L,MIN(INDEX($H$838:$H1088,252-STRUCT_L):$H1088),"")</f>
        <v/>
      </c>
      <c r="AM1088" s="46" t="n">
        <f aca="false">IF($A1088&lt;&gt;$A1089,1,0)</f>
        <v>0</v>
      </c>
      <c r="AN1088" s="47" t="str">
        <f aca="false">IF($AM1088=1,$A1088,"")</f>
        <v/>
      </c>
    </row>
    <row r="1089" customFormat="false" ht="15" hidden="false" customHeight="false" outlineLevel="0" collapsed="false">
      <c r="A1089" s="43" t="s">
        <v>152</v>
      </c>
      <c r="B1089" s="44" t="s">
        <v>154</v>
      </c>
      <c r="C1089" s="45" t="n">
        <v>45966</v>
      </c>
      <c r="D1089" s="46" t="n">
        <v>20251105</v>
      </c>
      <c r="E1089" s="47" t="s">
        <v>332</v>
      </c>
      <c r="F1089" s="48" t="n">
        <v>5509</v>
      </c>
      <c r="G1089" s="48" t="n">
        <v>5537</v>
      </c>
      <c r="H1089" s="48" t="n">
        <v>5127</v>
      </c>
      <c r="I1089" s="48" t="n">
        <v>5215</v>
      </c>
      <c r="J1089" s="48" t="n">
        <v>5281</v>
      </c>
      <c r="K1089" s="48" t="n">
        <v>5445</v>
      </c>
      <c r="L1089" s="48" t="n">
        <v>97340733</v>
      </c>
      <c r="M1089" s="48" t="n">
        <v>507631922595</v>
      </c>
      <c r="N1089" s="48" t="n">
        <v>4078</v>
      </c>
      <c r="O1089" s="48" t="n">
        <v>25127935</v>
      </c>
      <c r="P1089" s="48" t="n">
        <v>74653281</v>
      </c>
      <c r="Q1089" s="48" t="n">
        <v>1553</v>
      </c>
      <c r="R1089" s="48" t="n">
        <v>2090</v>
      </c>
      <c r="S1089" s="48" t="n">
        <v>72212798</v>
      </c>
      <c r="T1089" s="48" t="n">
        <v>22687452</v>
      </c>
      <c r="U1089" s="46" t="n">
        <f aca="false">IF($A1089=$A1088,$U1088+1,1)</f>
        <v>45</v>
      </c>
      <c r="V1089" s="48" t="n">
        <f aca="false">IF($U1089&gt;=MA_SHORT,AVERAGE(INDEX($I$689:$I1089,402-MA_SHORT):$I1089),"")</f>
        <v>5047.6</v>
      </c>
      <c r="W1089" s="48" t="str">
        <f aca="false">IF($U1089&gt;=MA_MED,AVERAGE(INDEX($I$689:$I1089,402-MA_MED):$I1089),"")</f>
        <v/>
      </c>
      <c r="X1089" s="48" t="str">
        <f aca="false">IF($U1089&gt;=MA_LONG1,AVERAGE(INDEX($I$689:$I1089,402-MA_LONG1):$I1089),"")</f>
        <v/>
      </c>
      <c r="Y1089" s="48" t="str">
        <f aca="false">IF($U1089&gt;=MA_LONG2,AVERAGE(INDEX($I$689:$I1089,402-MA_LONG2):$I1089),"")</f>
        <v/>
      </c>
      <c r="Z1089" s="48" t="n">
        <f aca="false">IF($U1089&gt;=MA_SHORT,AVERAGE(INDEX($L$969:$L1089,122-MA_SHORT):$L1089),"")</f>
        <v>110527739.2</v>
      </c>
      <c r="AA1089" s="48" t="n">
        <f aca="false">IF($U1089=1,$G1089-$H1089,MAX($G1089-$H1089,ABS($G1089-$I1088),ABS($H1089-$I1088)))</f>
        <v>410</v>
      </c>
      <c r="AB1089" s="48" t="n">
        <f aca="false">IF($U1089&gt;=ATR_PER,AVERAGE(INDEX($AA$969:$AA1089,122-ATR_PER):$AA1089),"")</f>
        <v>227.5</v>
      </c>
      <c r="AC1089" s="48" t="n">
        <f aca="false">$O1089-$P1089</f>
        <v>-49525346</v>
      </c>
      <c r="AD1089" s="48" t="n">
        <f aca="false">$AC1089*$I1089</f>
        <v>-258274679390</v>
      </c>
      <c r="AE1089" s="49" t="n">
        <f aca="false">IF($Q1089&gt;0,$O1089*$I1089/$Q1089/1000000,"")</f>
        <v>84.380026416613</v>
      </c>
      <c r="AF1089" s="49" t="n">
        <f aca="false">IF($R1089&gt;0,$P1089*$I1089/$R1089/1000000,"")</f>
        <v>186.276009767943</v>
      </c>
      <c r="AG1089" s="50" t="n">
        <f aca="false">IF(AND(ISNUMBER($AE1089),ISNUMBER($AF1089),$AF1089&gt;0),$AE1089/$AF1089,"")</f>
        <v>0.452983862611891</v>
      </c>
      <c r="AH1089" s="48" t="n">
        <f aca="false">IF($U1089&gt;=5,SUM(INDEX($AD$1059:$AD1089,32-5):$AD1089),"")</f>
        <v>344031474976</v>
      </c>
      <c r="AI1089" s="48" t="n">
        <f aca="false">IF($U1089&gt;=STRUCT_S,MAX(INDEX($G$939:$G1089,152-STRUCT_S):$G1089),"")</f>
        <v>5537</v>
      </c>
      <c r="AJ1089" s="48" t="n">
        <f aca="false">IF($U1089&gt;=STRUCT_S,MIN(INDEX($H$939:$H1089,152-STRUCT_S):$H1089),"")</f>
        <v>4682</v>
      </c>
      <c r="AK1089" s="48" t="str">
        <f aca="false">IF($U1089&gt;=STRUCT_L,MAX(INDEX($G$839:$G1089,252-STRUCT_L):$G1089),"")</f>
        <v/>
      </c>
      <c r="AL1089" s="48" t="str">
        <f aca="false">IF($U1089&gt;=STRUCT_L,MIN(INDEX($H$839:$H1089,252-STRUCT_L):$H1089),"")</f>
        <v/>
      </c>
      <c r="AM1089" s="46" t="n">
        <f aca="false">IF($A1089&lt;&gt;$A1090,1,0)</f>
        <v>0</v>
      </c>
      <c r="AN1089" s="47" t="str">
        <f aca="false">IF($AM1089=1,$A1089,"")</f>
        <v/>
      </c>
    </row>
    <row r="1090" customFormat="false" ht="15" hidden="false" customHeight="false" outlineLevel="0" collapsed="false">
      <c r="A1090" s="43" t="s">
        <v>152</v>
      </c>
      <c r="B1090" s="44" t="s">
        <v>154</v>
      </c>
      <c r="C1090" s="45" t="n">
        <v>45969</v>
      </c>
      <c r="D1090" s="46" t="n">
        <v>20251108</v>
      </c>
      <c r="E1090" s="47" t="s">
        <v>333</v>
      </c>
      <c r="F1090" s="48" t="n">
        <v>5397</v>
      </c>
      <c r="G1090" s="48" t="n">
        <v>5409</v>
      </c>
      <c r="H1090" s="48" t="n">
        <v>5129</v>
      </c>
      <c r="I1090" s="48" t="n">
        <v>5322</v>
      </c>
      <c r="J1090" s="48" t="n">
        <v>5373</v>
      </c>
      <c r="K1090" s="48" t="n">
        <v>5215</v>
      </c>
      <c r="L1090" s="48" t="n">
        <v>126309714</v>
      </c>
      <c r="M1090" s="48" t="n">
        <v>672220297908</v>
      </c>
      <c r="N1090" s="48" t="n">
        <v>3460</v>
      </c>
      <c r="O1090" s="48" t="n">
        <v>57040016</v>
      </c>
      <c r="P1090" s="48" t="n">
        <v>62146885</v>
      </c>
      <c r="Q1090" s="48" t="n">
        <v>1859</v>
      </c>
      <c r="R1090" s="48" t="n">
        <v>1142</v>
      </c>
      <c r="S1090" s="48" t="n">
        <v>69269698</v>
      </c>
      <c r="T1090" s="48" t="n">
        <v>64162829</v>
      </c>
      <c r="U1090" s="46" t="n">
        <f aca="false">IF($A1090=$A1089,$U1089+1,1)</f>
        <v>46</v>
      </c>
      <c r="V1090" s="48" t="n">
        <f aca="false">IF($U1090&gt;=MA_SHORT,AVERAGE(INDEX($I$690:$I1090,402-MA_SHORT):$I1090),"")</f>
        <v>5059.1</v>
      </c>
      <c r="W1090" s="48" t="str">
        <f aca="false">IF($U1090&gt;=MA_MED,AVERAGE(INDEX($I$690:$I1090,402-MA_MED):$I1090),"")</f>
        <v/>
      </c>
      <c r="X1090" s="48" t="str">
        <f aca="false">IF($U1090&gt;=MA_LONG1,AVERAGE(INDEX($I$690:$I1090,402-MA_LONG1):$I1090),"")</f>
        <v/>
      </c>
      <c r="Y1090" s="48" t="str">
        <f aca="false">IF($U1090&gt;=MA_LONG2,AVERAGE(INDEX($I$690:$I1090,402-MA_LONG2):$I1090),"")</f>
        <v/>
      </c>
      <c r="Z1090" s="48" t="n">
        <f aca="false">IF($U1090&gt;=MA_SHORT,AVERAGE(INDEX($L$970:$L1090,122-MA_SHORT):$L1090),"")</f>
        <v>112586630.45</v>
      </c>
      <c r="AA1090" s="48" t="n">
        <f aca="false">IF($U1090=1,$G1090-$H1090,MAX($G1090-$H1090,ABS($G1090-$I1089),ABS($H1090-$I1089)))</f>
        <v>280</v>
      </c>
      <c r="AB1090" s="48" t="n">
        <f aca="false">IF($U1090&gt;=ATR_PER,AVERAGE(INDEX($AA$970:$AA1090,122-ATR_PER):$AA1090),"")</f>
        <v>240.714285714286</v>
      </c>
      <c r="AC1090" s="48" t="n">
        <f aca="false">$O1090-$P1090</f>
        <v>-5106869</v>
      </c>
      <c r="AD1090" s="48" t="n">
        <f aca="false">$AC1090*$I1090</f>
        <v>-27178756818</v>
      </c>
      <c r="AE1090" s="49" t="n">
        <f aca="false">IF($Q1090&gt;0,$O1090*$I1090/$Q1090/1000000,"")</f>
        <v>163.295839242604</v>
      </c>
      <c r="AF1090" s="49" t="n">
        <f aca="false">IF($R1090&gt;0,$P1090*$I1090/$R1090/1000000,"")</f>
        <v>289.619721514886</v>
      </c>
      <c r="AG1090" s="50" t="n">
        <f aca="false">IF(AND(ISNUMBER($AE1090),ISNUMBER($AF1090),$AF1090&gt;0),$AE1090/$AF1090,"")</f>
        <v>0.563828451973048</v>
      </c>
      <c r="AH1090" s="48" t="n">
        <f aca="false">IF($U1090&gt;=5,SUM(INDEX($AD$1060:$AD1090,32-5):$AD1090),"")</f>
        <v>173952776424</v>
      </c>
      <c r="AI1090" s="48" t="n">
        <f aca="false">IF($U1090&gt;=STRUCT_S,MAX(INDEX($G$940:$G1090,152-STRUCT_S):$G1090),"")</f>
        <v>5537</v>
      </c>
      <c r="AJ1090" s="48" t="n">
        <f aca="false">IF($U1090&gt;=STRUCT_S,MIN(INDEX($H$940:$H1090,152-STRUCT_S):$H1090),"")</f>
        <v>4682</v>
      </c>
      <c r="AK1090" s="48" t="str">
        <f aca="false">IF($U1090&gt;=STRUCT_L,MAX(INDEX($G$840:$G1090,252-STRUCT_L):$G1090),"")</f>
        <v/>
      </c>
      <c r="AL1090" s="48" t="str">
        <f aca="false">IF($U1090&gt;=STRUCT_L,MIN(INDEX($H$840:$H1090,252-STRUCT_L):$H1090),"")</f>
        <v/>
      </c>
      <c r="AM1090" s="46" t="n">
        <f aca="false">IF($A1090&lt;&gt;$A1091,1,0)</f>
        <v>0</v>
      </c>
      <c r="AN1090" s="47" t="str">
        <f aca="false">IF($AM1090=1,$A1090,"")</f>
        <v/>
      </c>
    </row>
    <row r="1091" customFormat="false" ht="15" hidden="false" customHeight="false" outlineLevel="0" collapsed="false">
      <c r="A1091" s="43" t="s">
        <v>152</v>
      </c>
      <c r="B1091" s="44" t="s">
        <v>154</v>
      </c>
      <c r="C1091" s="45" t="n">
        <v>45970</v>
      </c>
      <c r="D1091" s="46" t="n">
        <v>20251109</v>
      </c>
      <c r="E1091" s="47" t="s">
        <v>334</v>
      </c>
      <c r="F1091" s="48" t="n">
        <v>5322</v>
      </c>
      <c r="G1091" s="48" t="n">
        <v>5377</v>
      </c>
      <c r="H1091" s="48" t="n">
        <v>5262</v>
      </c>
      <c r="I1091" s="48" t="n">
        <v>5317</v>
      </c>
      <c r="J1091" s="48" t="n">
        <v>5337</v>
      </c>
      <c r="K1091" s="48" t="n">
        <v>5322</v>
      </c>
      <c r="L1091" s="48" t="n">
        <v>78096411</v>
      </c>
      <c r="M1091" s="48" t="n">
        <v>415238617287</v>
      </c>
      <c r="N1091" s="48" t="n">
        <v>3596</v>
      </c>
      <c r="O1091" s="48" t="n">
        <v>31283394</v>
      </c>
      <c r="P1091" s="48" t="n">
        <v>51410645</v>
      </c>
      <c r="Q1091" s="48" t="n">
        <v>1292</v>
      </c>
      <c r="R1091" s="48" t="n">
        <v>1525</v>
      </c>
      <c r="S1091" s="48" t="n">
        <v>46813017</v>
      </c>
      <c r="T1091" s="48" t="n">
        <v>26685766</v>
      </c>
      <c r="U1091" s="46" t="n">
        <f aca="false">IF($A1091=$A1090,$U1090+1,1)</f>
        <v>47</v>
      </c>
      <c r="V1091" s="48" t="n">
        <f aca="false">IF($U1091&gt;=MA_SHORT,AVERAGE(INDEX($I$691:$I1091,402-MA_SHORT):$I1091),"")</f>
        <v>5072.85</v>
      </c>
      <c r="W1091" s="48" t="str">
        <f aca="false">IF($U1091&gt;=MA_MED,AVERAGE(INDEX($I$691:$I1091,402-MA_MED):$I1091),"")</f>
        <v/>
      </c>
      <c r="X1091" s="48" t="str">
        <f aca="false">IF($U1091&gt;=MA_LONG1,AVERAGE(INDEX($I$691:$I1091,402-MA_LONG1):$I1091),"")</f>
        <v/>
      </c>
      <c r="Y1091" s="48" t="str">
        <f aca="false">IF($U1091&gt;=MA_LONG2,AVERAGE(INDEX($I$691:$I1091,402-MA_LONG2):$I1091),"")</f>
        <v/>
      </c>
      <c r="Z1091" s="48" t="n">
        <f aca="false">IF($U1091&gt;=MA_SHORT,AVERAGE(INDEX($L$971:$L1091,122-MA_SHORT):$L1091),"")</f>
        <v>112379751.85</v>
      </c>
      <c r="AA1091" s="48" t="n">
        <f aca="false">IF($U1091=1,$G1091-$H1091,MAX($G1091-$H1091,ABS($G1091-$I1090),ABS($H1091-$I1090)))</f>
        <v>115</v>
      </c>
      <c r="AB1091" s="48" t="n">
        <f aca="false">IF($U1091&gt;=ATR_PER,AVERAGE(INDEX($AA$971:$AA1091,122-ATR_PER):$AA1091),"")</f>
        <v>235.214285714286</v>
      </c>
      <c r="AC1091" s="48" t="n">
        <f aca="false">$O1091-$P1091</f>
        <v>-20127251</v>
      </c>
      <c r="AD1091" s="48" t="n">
        <f aca="false">$AC1091*$I1091</f>
        <v>-107016593567</v>
      </c>
      <c r="AE1091" s="49" t="n">
        <f aca="false">IF($Q1091&gt;0,$O1091*$I1091/$Q1091/1000000,"")</f>
        <v>128.741335834365</v>
      </c>
      <c r="AF1091" s="49" t="n">
        <f aca="false">IF($R1091&gt;0,$P1091*$I1091/$R1091/1000000,"")</f>
        <v>179.246163583607</v>
      </c>
      <c r="AG1091" s="50" t="n">
        <f aca="false">IF(AND(ISNUMBER($AE1091),ISNUMBER($AF1091),$AF1091&gt;0),$AE1091/$AF1091,"")</f>
        <v>0.718237608328593</v>
      </c>
      <c r="AH1091" s="48" t="n">
        <f aca="false">IF($U1091&gt;=5,SUM(INDEX($AD$1061:$AD1091,32-5):$AD1091),"")</f>
        <v>44784840743</v>
      </c>
      <c r="AI1091" s="48" t="n">
        <f aca="false">IF($U1091&gt;=STRUCT_S,MAX(INDEX($G$941:$G1091,152-STRUCT_S):$G1091),"")</f>
        <v>5537</v>
      </c>
      <c r="AJ1091" s="48" t="n">
        <f aca="false">IF($U1091&gt;=STRUCT_S,MIN(INDEX($H$941:$H1091,152-STRUCT_S):$H1091),"")</f>
        <v>4682</v>
      </c>
      <c r="AK1091" s="48" t="str">
        <f aca="false">IF($U1091&gt;=STRUCT_L,MAX(INDEX($G$841:$G1091,252-STRUCT_L):$G1091),"")</f>
        <v/>
      </c>
      <c r="AL1091" s="48" t="str">
        <f aca="false">IF($U1091&gt;=STRUCT_L,MIN(INDEX($H$841:$H1091,252-STRUCT_L):$H1091),"")</f>
        <v/>
      </c>
      <c r="AM1091" s="46" t="n">
        <f aca="false">IF($A1091&lt;&gt;$A1092,1,0)</f>
        <v>0</v>
      </c>
      <c r="AN1091" s="47" t="str">
        <f aca="false">IF($AM1091=1,$A1091,"")</f>
        <v/>
      </c>
    </row>
    <row r="1092" customFormat="false" ht="15" hidden="false" customHeight="false" outlineLevel="0" collapsed="false">
      <c r="A1092" s="43" t="s">
        <v>152</v>
      </c>
      <c r="B1092" s="44" t="s">
        <v>154</v>
      </c>
      <c r="C1092" s="45" t="n">
        <v>45971</v>
      </c>
      <c r="D1092" s="46" t="n">
        <v>20251110</v>
      </c>
      <c r="E1092" s="47" t="s">
        <v>335</v>
      </c>
      <c r="F1092" s="48" t="n">
        <v>5334</v>
      </c>
      <c r="G1092" s="48" t="n">
        <v>5448</v>
      </c>
      <c r="H1092" s="48" t="n">
        <v>5242</v>
      </c>
      <c r="I1092" s="48" t="n">
        <v>5372</v>
      </c>
      <c r="J1092" s="48" t="n">
        <v>5345</v>
      </c>
      <c r="K1092" s="48" t="n">
        <v>5317</v>
      </c>
      <c r="L1092" s="48" t="n">
        <v>82478540</v>
      </c>
      <c r="M1092" s="48" t="n">
        <v>443074716880</v>
      </c>
      <c r="N1092" s="48" t="n">
        <v>3175</v>
      </c>
      <c r="O1092" s="48" t="n">
        <v>45424634</v>
      </c>
      <c r="P1092" s="48" t="n">
        <v>34513988</v>
      </c>
      <c r="Q1092" s="48" t="n">
        <v>1359</v>
      </c>
      <c r="R1092" s="48" t="n">
        <v>1218</v>
      </c>
      <c r="S1092" s="48" t="n">
        <v>37053906</v>
      </c>
      <c r="T1092" s="48" t="n">
        <v>47964552</v>
      </c>
      <c r="U1092" s="46" t="n">
        <f aca="false">IF($A1092=$A1091,$U1091+1,1)</f>
        <v>48</v>
      </c>
      <c r="V1092" s="48" t="n">
        <f aca="false">IF($U1092&gt;=MA_SHORT,AVERAGE(INDEX($I$692:$I1092,402-MA_SHORT):$I1092),"")</f>
        <v>5091.1</v>
      </c>
      <c r="W1092" s="48" t="str">
        <f aca="false">IF($U1092&gt;=MA_MED,AVERAGE(INDEX($I$692:$I1092,402-MA_MED):$I1092),"")</f>
        <v/>
      </c>
      <c r="X1092" s="48" t="str">
        <f aca="false">IF($U1092&gt;=MA_LONG1,AVERAGE(INDEX($I$692:$I1092,402-MA_LONG1):$I1092),"")</f>
        <v/>
      </c>
      <c r="Y1092" s="48" t="str">
        <f aca="false">IF($U1092&gt;=MA_LONG2,AVERAGE(INDEX($I$692:$I1092,402-MA_LONG2):$I1092),"")</f>
        <v/>
      </c>
      <c r="Z1092" s="48" t="n">
        <f aca="false">IF($U1092&gt;=MA_SHORT,AVERAGE(INDEX($L$972:$L1092,122-MA_SHORT):$L1092),"")</f>
        <v>112459021.65</v>
      </c>
      <c r="AA1092" s="48" t="n">
        <f aca="false">IF($U1092=1,$G1092-$H1092,MAX($G1092-$H1092,ABS($G1092-$I1091),ABS($H1092-$I1091)))</f>
        <v>206</v>
      </c>
      <c r="AB1092" s="48" t="n">
        <f aca="false">IF($U1092&gt;=ATR_PER,AVERAGE(INDEX($AA$972:$AA1092,122-ATR_PER):$AA1092),"")</f>
        <v>232.5</v>
      </c>
      <c r="AC1092" s="48" t="n">
        <f aca="false">$O1092-$P1092</f>
        <v>10910646</v>
      </c>
      <c r="AD1092" s="48" t="n">
        <f aca="false">$AC1092*$I1092</f>
        <v>58611990312</v>
      </c>
      <c r="AE1092" s="49" t="n">
        <f aca="false">IF($Q1092&gt;0,$O1092*$I1092/$Q1092/1000000,"")</f>
        <v>179.559333221486</v>
      </c>
      <c r="AF1092" s="49" t="n">
        <f aca="false">IF($R1092&gt;0,$P1092*$I1092/$R1092/1000000,"")</f>
        <v>152.224255776683</v>
      </c>
      <c r="AG1092" s="50" t="n">
        <f aca="false">IF(AND(ISNUMBER($AE1092),ISNUMBER($AF1092),$AF1092&gt;0),$AE1092/$AF1092,"")</f>
        <v>1.17957110255086</v>
      </c>
      <c r="AH1092" s="48" t="n">
        <f aca="false">IF($U1092&gt;=5,SUM(INDEX($AD$1062:$AD1092,32-5):$AD1092),"")</f>
        <v>59639864732</v>
      </c>
      <c r="AI1092" s="48" t="n">
        <f aca="false">IF($U1092&gt;=STRUCT_S,MAX(INDEX($G$942:$G1092,152-STRUCT_S):$G1092),"")</f>
        <v>5537</v>
      </c>
      <c r="AJ1092" s="48" t="n">
        <f aca="false">IF($U1092&gt;=STRUCT_S,MIN(INDEX($H$942:$H1092,152-STRUCT_S):$H1092),"")</f>
        <v>4682</v>
      </c>
      <c r="AK1092" s="48" t="str">
        <f aca="false">IF($U1092&gt;=STRUCT_L,MAX(INDEX($G$842:$G1092,252-STRUCT_L):$G1092),"")</f>
        <v/>
      </c>
      <c r="AL1092" s="48" t="str">
        <f aca="false">IF($U1092&gt;=STRUCT_L,MIN(INDEX($H$842:$H1092,252-STRUCT_L):$H1092),"")</f>
        <v/>
      </c>
      <c r="AM1092" s="46" t="n">
        <f aca="false">IF($A1092&lt;&gt;$A1093,1,0)</f>
        <v>0</v>
      </c>
      <c r="AN1092" s="47" t="str">
        <f aca="false">IF($AM1092=1,$A1092,"")</f>
        <v/>
      </c>
    </row>
    <row r="1093" customFormat="false" ht="15" hidden="false" customHeight="false" outlineLevel="0" collapsed="false">
      <c r="A1093" s="43" t="s">
        <v>152</v>
      </c>
      <c r="B1093" s="44" t="s">
        <v>154</v>
      </c>
      <c r="C1093" s="45" t="n">
        <v>45972</v>
      </c>
      <c r="D1093" s="46" t="n">
        <v>20251111</v>
      </c>
      <c r="E1093" s="47" t="s">
        <v>336</v>
      </c>
      <c r="F1093" s="48" t="n">
        <v>5238</v>
      </c>
      <c r="G1093" s="48" t="n">
        <v>5416</v>
      </c>
      <c r="H1093" s="48" t="n">
        <v>5171</v>
      </c>
      <c r="I1093" s="48" t="n">
        <v>5214</v>
      </c>
      <c r="J1093" s="48" t="n">
        <v>5400</v>
      </c>
      <c r="K1093" s="48" t="n">
        <v>5372</v>
      </c>
      <c r="L1093" s="48" t="n">
        <v>99667332</v>
      </c>
      <c r="M1093" s="48" t="n">
        <v>519665469048</v>
      </c>
      <c r="N1093" s="48" t="n">
        <v>5485</v>
      </c>
      <c r="O1093" s="48" t="n">
        <v>33642921</v>
      </c>
      <c r="P1093" s="48" t="n">
        <v>63176285</v>
      </c>
      <c r="Q1093" s="48" t="n">
        <v>1393</v>
      </c>
      <c r="R1093" s="48" t="n">
        <v>2302</v>
      </c>
      <c r="S1093" s="48" t="n">
        <v>66024411</v>
      </c>
      <c r="T1093" s="48" t="n">
        <v>36491047</v>
      </c>
      <c r="U1093" s="46" t="n">
        <f aca="false">IF($A1093=$A1092,$U1092+1,1)</f>
        <v>49</v>
      </c>
      <c r="V1093" s="48" t="n">
        <f aca="false">IF($U1093&gt;=MA_SHORT,AVERAGE(INDEX($I$693:$I1093,402-MA_SHORT):$I1093),"")</f>
        <v>5106.55</v>
      </c>
      <c r="W1093" s="48" t="str">
        <f aca="false">IF($U1093&gt;=MA_MED,AVERAGE(INDEX($I$693:$I1093,402-MA_MED):$I1093),"")</f>
        <v/>
      </c>
      <c r="X1093" s="48" t="str">
        <f aca="false">IF($U1093&gt;=MA_LONG1,AVERAGE(INDEX($I$693:$I1093,402-MA_LONG1):$I1093),"")</f>
        <v/>
      </c>
      <c r="Y1093" s="48" t="str">
        <f aca="false">IF($U1093&gt;=MA_LONG2,AVERAGE(INDEX($I$693:$I1093,402-MA_LONG2):$I1093),"")</f>
        <v/>
      </c>
      <c r="Z1093" s="48" t="n">
        <f aca="false">IF($U1093&gt;=MA_SHORT,AVERAGE(INDEX($L$973:$L1093,122-MA_SHORT):$L1093),"")</f>
        <v>111605813.2</v>
      </c>
      <c r="AA1093" s="48" t="n">
        <f aca="false">IF($U1093=1,$G1093-$H1093,MAX($G1093-$H1093,ABS($G1093-$I1092),ABS($H1093-$I1092)))</f>
        <v>245</v>
      </c>
      <c r="AB1093" s="48" t="n">
        <f aca="false">IF($U1093&gt;=ATR_PER,AVERAGE(INDEX($AA$973:$AA1093,122-ATR_PER):$AA1093),"")</f>
        <v>240.571428571429</v>
      </c>
      <c r="AC1093" s="48" t="n">
        <f aca="false">$O1093-$P1093</f>
        <v>-29533364</v>
      </c>
      <c r="AD1093" s="48" t="n">
        <f aca="false">$AC1093*$I1093</f>
        <v>-153986959896</v>
      </c>
      <c r="AE1093" s="49" t="n">
        <f aca="false">IF($Q1093&gt;0,$O1093*$I1093/$Q1093/1000000,"")</f>
        <v>125.925477454415</v>
      </c>
      <c r="AF1093" s="49" t="n">
        <f aca="false">IF($R1093&gt;0,$P1093*$I1093/$R1093/1000000,"")</f>
        <v>143.093462202433</v>
      </c>
      <c r="AG1093" s="50" t="n">
        <f aca="false">IF(AND(ISNUMBER($AE1093),ISNUMBER($AF1093),$AF1093&gt;0),$AE1093/$AF1093,"")</f>
        <v>0.880022577665146</v>
      </c>
      <c r="AH1093" s="48" t="n">
        <f aca="false">IF($U1093&gt;=5,SUM(INDEX($AD$1063:$AD1093,32-5):$AD1093),"")</f>
        <v>-487844999359</v>
      </c>
      <c r="AI1093" s="48" t="n">
        <f aca="false">IF($U1093&gt;=STRUCT_S,MAX(INDEX($G$943:$G1093,152-STRUCT_S):$G1093),"")</f>
        <v>5537</v>
      </c>
      <c r="AJ1093" s="48" t="n">
        <f aca="false">IF($U1093&gt;=STRUCT_S,MIN(INDEX($H$943:$H1093,152-STRUCT_S):$H1093),"")</f>
        <v>4682</v>
      </c>
      <c r="AK1093" s="48" t="str">
        <f aca="false">IF($U1093&gt;=STRUCT_L,MAX(INDEX($G$843:$G1093,252-STRUCT_L):$G1093),"")</f>
        <v/>
      </c>
      <c r="AL1093" s="48" t="str">
        <f aca="false">IF($U1093&gt;=STRUCT_L,MIN(INDEX($H$843:$H1093,252-STRUCT_L):$H1093),"")</f>
        <v/>
      </c>
      <c r="AM1093" s="46" t="n">
        <f aca="false">IF($A1093&lt;&gt;$A1094,1,0)</f>
        <v>0</v>
      </c>
      <c r="AN1093" s="47" t="str">
        <f aca="false">IF($AM1093=1,$A1093,"")</f>
        <v/>
      </c>
    </row>
    <row r="1094" customFormat="false" ht="15" hidden="false" customHeight="false" outlineLevel="0" collapsed="false">
      <c r="A1094" s="43" t="s">
        <v>152</v>
      </c>
      <c r="B1094" s="44" t="s">
        <v>154</v>
      </c>
      <c r="C1094" s="45" t="n">
        <v>45973</v>
      </c>
      <c r="D1094" s="46" t="n">
        <v>20251112</v>
      </c>
      <c r="E1094" s="47" t="s">
        <v>337</v>
      </c>
      <c r="F1094" s="48" t="n">
        <v>5211</v>
      </c>
      <c r="G1094" s="48" t="n">
        <v>5269</v>
      </c>
      <c r="H1094" s="48" t="n">
        <v>5176</v>
      </c>
      <c r="I1094" s="48" t="n">
        <v>5231</v>
      </c>
      <c r="J1094" s="48" t="n">
        <v>5190</v>
      </c>
      <c r="K1094" s="48" t="n">
        <v>5214</v>
      </c>
      <c r="L1094" s="48" t="n">
        <v>122112841</v>
      </c>
      <c r="M1094" s="48" t="n">
        <v>638772271271</v>
      </c>
      <c r="N1094" s="48" t="n">
        <v>4093</v>
      </c>
      <c r="O1094" s="48" t="n">
        <v>52978513</v>
      </c>
      <c r="P1094" s="48" t="n">
        <v>74544005</v>
      </c>
      <c r="Q1094" s="48" t="n">
        <v>1586</v>
      </c>
      <c r="R1094" s="48" t="n">
        <v>1451</v>
      </c>
      <c r="S1094" s="48" t="n">
        <v>69134328</v>
      </c>
      <c r="T1094" s="48" t="n">
        <v>47568836</v>
      </c>
      <c r="U1094" s="46" t="n">
        <f aca="false">IF($A1094=$A1093,$U1093+1,1)</f>
        <v>50</v>
      </c>
      <c r="V1094" s="48" t="n">
        <f aca="false">IF($U1094&gt;=MA_SHORT,AVERAGE(INDEX($I$694:$I1094,402-MA_SHORT):$I1094),"")</f>
        <v>5129.8</v>
      </c>
      <c r="W1094" s="48" t="n">
        <f aca="false">IF($U1094&gt;=MA_MED,AVERAGE(INDEX($I$694:$I1094,402-MA_MED):$I1094),"")</f>
        <v>4998.14</v>
      </c>
      <c r="X1094" s="48" t="str">
        <f aca="false">IF($U1094&gt;=MA_LONG1,AVERAGE(INDEX($I$694:$I1094,402-MA_LONG1):$I1094),"")</f>
        <v/>
      </c>
      <c r="Y1094" s="48" t="str">
        <f aca="false">IF($U1094&gt;=MA_LONG2,AVERAGE(INDEX($I$694:$I1094,402-MA_LONG2):$I1094),"")</f>
        <v/>
      </c>
      <c r="Z1094" s="48" t="n">
        <f aca="false">IF($U1094&gt;=MA_SHORT,AVERAGE(INDEX($L$974:$L1094,122-MA_SHORT):$L1094),"")</f>
        <v>110963451.55</v>
      </c>
      <c r="AA1094" s="48" t="n">
        <f aca="false">IF($U1094=1,$G1094-$H1094,MAX($G1094-$H1094,ABS($G1094-$I1093),ABS($H1094-$I1093)))</f>
        <v>93</v>
      </c>
      <c r="AB1094" s="48" t="n">
        <f aca="false">IF($U1094&gt;=ATR_PER,AVERAGE(INDEX($AA$974:$AA1094,122-ATR_PER):$AA1094),"")</f>
        <v>225.142857142857</v>
      </c>
      <c r="AC1094" s="48" t="n">
        <f aca="false">$O1094-$P1094</f>
        <v>-21565492</v>
      </c>
      <c r="AD1094" s="48" t="n">
        <f aca="false">$AC1094*$I1094</f>
        <v>-112809088652</v>
      </c>
      <c r="AE1094" s="49" t="n">
        <f aca="false">IF($Q1094&gt;0,$O1094*$I1094/$Q1094/1000000,"")</f>
        <v>174.735562107818</v>
      </c>
      <c r="AF1094" s="49" t="n">
        <f aca="false">IF($R1094&gt;0,$P1094*$I1094/$R1094/1000000,"")</f>
        <v>268.738587288077</v>
      </c>
      <c r="AG1094" s="50" t="n">
        <f aca="false">IF(AND(ISNUMBER($AE1094),ISNUMBER($AF1094),$AF1094&gt;0),$AE1094/$AF1094,"")</f>
        <v>0.650206447355135</v>
      </c>
      <c r="AH1094" s="48" t="n">
        <f aca="false">IF($U1094&gt;=5,SUM(INDEX($AD$1064:$AD1094,32-5):$AD1094),"")</f>
        <v>-342379408621</v>
      </c>
      <c r="AI1094" s="48" t="n">
        <f aca="false">IF($U1094&gt;=STRUCT_S,MAX(INDEX($G$944:$G1094,152-STRUCT_S):$G1094),"")</f>
        <v>5537</v>
      </c>
      <c r="AJ1094" s="48" t="n">
        <f aca="false">IF($U1094&gt;=STRUCT_S,MIN(INDEX($H$944:$H1094,152-STRUCT_S):$H1094),"")</f>
        <v>4682</v>
      </c>
      <c r="AK1094" s="48" t="str">
        <f aca="false">IF($U1094&gt;=STRUCT_L,MAX(INDEX($G$844:$G1094,252-STRUCT_L):$G1094),"")</f>
        <v/>
      </c>
      <c r="AL1094" s="48" t="str">
        <f aca="false">IF($U1094&gt;=STRUCT_L,MIN(INDEX($H$844:$H1094,252-STRUCT_L):$H1094),"")</f>
        <v/>
      </c>
      <c r="AM1094" s="46" t="n">
        <f aca="false">IF($A1094&lt;&gt;$A1095,1,0)</f>
        <v>0</v>
      </c>
      <c r="AN1094" s="47" t="str">
        <f aca="false">IF($AM1094=1,$A1094,"")</f>
        <v/>
      </c>
    </row>
    <row r="1095" customFormat="false" ht="15" hidden="false" customHeight="false" outlineLevel="0" collapsed="false">
      <c r="A1095" s="43" t="s">
        <v>152</v>
      </c>
      <c r="B1095" s="44" t="s">
        <v>154</v>
      </c>
      <c r="C1095" s="45" t="n">
        <v>45976</v>
      </c>
      <c r="D1095" s="46" t="n">
        <v>20251115</v>
      </c>
      <c r="E1095" s="47" t="s">
        <v>338</v>
      </c>
      <c r="F1095" s="48" t="n">
        <v>5144</v>
      </c>
      <c r="G1095" s="48" t="n">
        <v>5276</v>
      </c>
      <c r="H1095" s="48" t="n">
        <v>5114</v>
      </c>
      <c r="I1095" s="48" t="n">
        <v>5159</v>
      </c>
      <c r="J1095" s="48" t="n">
        <v>5205</v>
      </c>
      <c r="K1095" s="48" t="n">
        <v>5231</v>
      </c>
      <c r="L1095" s="48" t="n">
        <v>100813647</v>
      </c>
      <c r="M1095" s="48" t="n">
        <v>520097604873</v>
      </c>
      <c r="N1095" s="48" t="n">
        <v>2279</v>
      </c>
      <c r="O1095" s="48" t="n">
        <v>41457635</v>
      </c>
      <c r="P1095" s="48" t="n">
        <v>53772507</v>
      </c>
      <c r="Q1095" s="48" t="n">
        <v>854</v>
      </c>
      <c r="R1095" s="48" t="n">
        <v>1411</v>
      </c>
      <c r="S1095" s="48" t="n">
        <v>59356012</v>
      </c>
      <c r="T1095" s="48" t="n">
        <v>47041140</v>
      </c>
      <c r="U1095" s="46" t="n">
        <f aca="false">IF($A1095=$A1094,$U1094+1,1)</f>
        <v>51</v>
      </c>
      <c r="V1095" s="48" t="n">
        <f aca="false">IF($U1095&gt;=MA_SHORT,AVERAGE(INDEX($I$695:$I1095,402-MA_SHORT):$I1095),"")</f>
        <v>5149</v>
      </c>
      <c r="W1095" s="48" t="n">
        <f aca="false">IF($U1095&gt;=MA_MED,AVERAGE(INDEX($I$695:$I1095,402-MA_MED):$I1095),"")</f>
        <v>5001.64</v>
      </c>
      <c r="X1095" s="48" t="str">
        <f aca="false">IF($U1095&gt;=MA_LONG1,AVERAGE(INDEX($I$695:$I1095,402-MA_LONG1):$I1095),"")</f>
        <v/>
      </c>
      <c r="Y1095" s="48" t="str">
        <f aca="false">IF($U1095&gt;=MA_LONG2,AVERAGE(INDEX($I$695:$I1095,402-MA_LONG2):$I1095),"")</f>
        <v/>
      </c>
      <c r="Z1095" s="48" t="n">
        <f aca="false">IF($U1095&gt;=MA_SHORT,AVERAGE(INDEX($L$975:$L1095,122-MA_SHORT):$L1095),"")</f>
        <v>112077206.75</v>
      </c>
      <c r="AA1095" s="48" t="n">
        <f aca="false">IF($U1095=1,$G1095-$H1095,MAX($G1095-$H1095,ABS($G1095-$I1094),ABS($H1095-$I1094)))</f>
        <v>162</v>
      </c>
      <c r="AB1095" s="48" t="n">
        <f aca="false">IF($U1095&gt;=ATR_PER,AVERAGE(INDEX($AA$975:$AA1095,122-ATR_PER):$AA1095),"")</f>
        <v>218.214285714286</v>
      </c>
      <c r="AC1095" s="48" t="n">
        <f aca="false">$O1095-$P1095</f>
        <v>-12314872</v>
      </c>
      <c r="AD1095" s="48" t="n">
        <f aca="false">$AC1095*$I1095</f>
        <v>-63532424648</v>
      </c>
      <c r="AE1095" s="49" t="n">
        <f aca="false">IF($Q1095&gt;0,$O1095*$I1095/$Q1095/1000000,"")</f>
        <v>250.444893401639</v>
      </c>
      <c r="AF1095" s="49" t="n">
        <f aca="false">IF($R1095&gt;0,$P1095*$I1095/$R1095/1000000,"")</f>
        <v>196.60691964068</v>
      </c>
      <c r="AG1095" s="50" t="n">
        <f aca="false">IF(AND(ISNUMBER($AE1095),ISNUMBER($AF1095),$AF1095&gt;0),$AE1095/$AF1095,"")</f>
        <v>1.2738355997813</v>
      </c>
      <c r="AH1095" s="48" t="n">
        <f aca="false">IF($U1095&gt;=5,SUM(INDEX($AD$1065:$AD1095,32-5):$AD1095),"")</f>
        <v>-378733076451</v>
      </c>
      <c r="AI1095" s="48" t="n">
        <f aca="false">IF($U1095&gt;=STRUCT_S,MAX(INDEX($G$945:$G1095,152-STRUCT_S):$G1095),"")</f>
        <v>5537</v>
      </c>
      <c r="AJ1095" s="48" t="n">
        <f aca="false">IF($U1095&gt;=STRUCT_S,MIN(INDEX($H$945:$H1095,152-STRUCT_S):$H1095),"")</f>
        <v>4748</v>
      </c>
      <c r="AK1095" s="48" t="str">
        <f aca="false">IF($U1095&gt;=STRUCT_L,MAX(INDEX($G$845:$G1095,252-STRUCT_L):$G1095),"")</f>
        <v/>
      </c>
      <c r="AL1095" s="48" t="str">
        <f aca="false">IF($U1095&gt;=STRUCT_L,MIN(INDEX($H$845:$H1095,252-STRUCT_L):$H1095),"")</f>
        <v/>
      </c>
      <c r="AM1095" s="46" t="n">
        <f aca="false">IF($A1095&lt;&gt;$A1096,1,0)</f>
        <v>0</v>
      </c>
      <c r="AN1095" s="47" t="str">
        <f aca="false">IF($AM1095=1,$A1095,"")</f>
        <v/>
      </c>
    </row>
    <row r="1096" customFormat="false" ht="15" hidden="false" customHeight="false" outlineLevel="0" collapsed="false">
      <c r="A1096" s="43" t="s">
        <v>152</v>
      </c>
      <c r="B1096" s="44" t="s">
        <v>154</v>
      </c>
      <c r="C1096" s="45" t="n">
        <v>45977</v>
      </c>
      <c r="D1096" s="46" t="n">
        <v>20251116</v>
      </c>
      <c r="E1096" s="47" t="s">
        <v>339</v>
      </c>
      <c r="F1096" s="48" t="n">
        <v>5236</v>
      </c>
      <c r="G1096" s="48" t="n">
        <v>5256</v>
      </c>
      <c r="H1096" s="48" t="n">
        <v>4966</v>
      </c>
      <c r="I1096" s="48" t="n">
        <v>5061</v>
      </c>
      <c r="J1096" s="48" t="n">
        <v>5198</v>
      </c>
      <c r="K1096" s="48" t="n">
        <v>5159</v>
      </c>
      <c r="L1096" s="48" t="n">
        <v>191845386</v>
      </c>
      <c r="M1096" s="48" t="n">
        <v>970929498546</v>
      </c>
      <c r="N1096" s="48" t="n">
        <v>14520</v>
      </c>
      <c r="O1096" s="48" t="n">
        <v>89860941</v>
      </c>
      <c r="P1096" s="48" t="n">
        <v>100118341</v>
      </c>
      <c r="Q1096" s="48" t="n">
        <v>4521</v>
      </c>
      <c r="R1096" s="48" t="n">
        <v>7674</v>
      </c>
      <c r="S1096" s="48" t="n">
        <v>101984445</v>
      </c>
      <c r="T1096" s="48" t="n">
        <v>91727045</v>
      </c>
      <c r="U1096" s="46" t="n">
        <f aca="false">IF($A1096=$A1095,$U1095+1,1)</f>
        <v>52</v>
      </c>
      <c r="V1096" s="48" t="n">
        <f aca="false">IF($U1096&gt;=MA_SHORT,AVERAGE(INDEX($I$696:$I1096,402-MA_SHORT):$I1096),"")</f>
        <v>5161.25</v>
      </c>
      <c r="W1096" s="48" t="n">
        <f aca="false">IF($U1096&gt;=MA_MED,AVERAGE(INDEX($I$696:$I1096,402-MA_MED):$I1096),"")</f>
        <v>5006.42</v>
      </c>
      <c r="X1096" s="48" t="str">
        <f aca="false">IF($U1096&gt;=MA_LONG1,AVERAGE(INDEX($I$696:$I1096,402-MA_LONG1):$I1096),"")</f>
        <v/>
      </c>
      <c r="Y1096" s="48" t="str">
        <f aca="false">IF($U1096&gt;=MA_LONG2,AVERAGE(INDEX($I$696:$I1096,402-MA_LONG2):$I1096),"")</f>
        <v/>
      </c>
      <c r="Z1096" s="48" t="n">
        <f aca="false">IF($U1096&gt;=MA_SHORT,AVERAGE(INDEX($L$976:$L1096,122-MA_SHORT):$L1096),"")</f>
        <v>117586501.35</v>
      </c>
      <c r="AA1096" s="48" t="n">
        <f aca="false">IF($U1096=1,$G1096-$H1096,MAX($G1096-$H1096,ABS($G1096-$I1095),ABS($H1096-$I1095)))</f>
        <v>290</v>
      </c>
      <c r="AB1096" s="48" t="n">
        <f aca="false">IF($U1096&gt;=ATR_PER,AVERAGE(INDEX($AA$976:$AA1096,122-ATR_PER):$AA1096),"")</f>
        <v>220.642857142857</v>
      </c>
      <c r="AC1096" s="48" t="n">
        <f aca="false">$O1096-$P1096</f>
        <v>-10257400</v>
      </c>
      <c r="AD1096" s="48" t="n">
        <f aca="false">$AC1096*$I1096</f>
        <v>-51912701400</v>
      </c>
      <c r="AE1096" s="49" t="n">
        <f aca="false">IF($Q1096&gt;0,$O1096*$I1096/$Q1096/1000000,"")</f>
        <v>100.594165538819</v>
      </c>
      <c r="AF1096" s="49" t="n">
        <f aca="false">IF($R1096&gt;0,$P1096*$I1096/$R1096/1000000,"")</f>
        <v>66.0280067501955</v>
      </c>
      <c r="AG1096" s="50" t="n">
        <f aca="false">IF(AND(ISNUMBER($AE1096),ISNUMBER($AF1096),$AF1096&gt;0),$AE1096/$AF1096,"")</f>
        <v>1.52350753096937</v>
      </c>
      <c r="AH1096" s="48" t="n">
        <f aca="false">IF($U1096&gt;=5,SUM(INDEX($AD$1066:$AD1096,32-5):$AD1096),"")</f>
        <v>-323629184284</v>
      </c>
      <c r="AI1096" s="48" t="n">
        <f aca="false">IF($U1096&gt;=STRUCT_S,MAX(INDEX($G$946:$G1096,152-STRUCT_S):$G1096),"")</f>
        <v>5537</v>
      </c>
      <c r="AJ1096" s="48" t="n">
        <f aca="false">IF($U1096&gt;=STRUCT_S,MIN(INDEX($H$946:$H1096,152-STRUCT_S):$H1096),"")</f>
        <v>4781</v>
      </c>
      <c r="AK1096" s="48" t="str">
        <f aca="false">IF($U1096&gt;=STRUCT_L,MAX(INDEX($G$846:$G1096,252-STRUCT_L):$G1096),"")</f>
        <v/>
      </c>
      <c r="AL1096" s="48" t="str">
        <f aca="false">IF($U1096&gt;=STRUCT_L,MIN(INDEX($H$846:$H1096,252-STRUCT_L):$H1096),"")</f>
        <v/>
      </c>
      <c r="AM1096" s="46" t="n">
        <f aca="false">IF($A1096&lt;&gt;$A1097,1,0)</f>
        <v>0</v>
      </c>
      <c r="AN1096" s="47" t="str">
        <f aca="false">IF($AM1096=1,$A1096,"")</f>
        <v/>
      </c>
    </row>
    <row r="1097" customFormat="false" ht="15" hidden="false" customHeight="false" outlineLevel="0" collapsed="false">
      <c r="A1097" s="43" t="s">
        <v>152</v>
      </c>
      <c r="B1097" s="44" t="s">
        <v>154</v>
      </c>
      <c r="C1097" s="45" t="n">
        <v>45978</v>
      </c>
      <c r="D1097" s="46" t="n">
        <v>20251117</v>
      </c>
      <c r="E1097" s="47" t="s">
        <v>340</v>
      </c>
      <c r="F1097" s="48" t="n">
        <v>5081</v>
      </c>
      <c r="G1097" s="48" t="n">
        <v>5131</v>
      </c>
      <c r="H1097" s="48" t="n">
        <v>5048</v>
      </c>
      <c r="I1097" s="48" t="n">
        <v>5117</v>
      </c>
      <c r="J1097" s="48" t="n">
        <v>5110</v>
      </c>
      <c r="K1097" s="48" t="n">
        <v>5061</v>
      </c>
      <c r="L1097" s="48" t="n">
        <v>82845772</v>
      </c>
      <c r="M1097" s="48" t="n">
        <v>423921815324</v>
      </c>
      <c r="N1097" s="48" t="n">
        <v>3260</v>
      </c>
      <c r="O1097" s="48" t="n">
        <v>38151261</v>
      </c>
      <c r="P1097" s="48" t="n">
        <v>53449431</v>
      </c>
      <c r="Q1097" s="48" t="n">
        <v>1519</v>
      </c>
      <c r="R1097" s="48" t="n">
        <v>1120</v>
      </c>
      <c r="S1097" s="48" t="n">
        <v>44694511</v>
      </c>
      <c r="T1097" s="48" t="n">
        <v>29396341</v>
      </c>
      <c r="U1097" s="46" t="n">
        <f aca="false">IF($A1097=$A1096,$U1096+1,1)</f>
        <v>53</v>
      </c>
      <c r="V1097" s="48" t="n">
        <f aca="false">IF($U1097&gt;=MA_SHORT,AVERAGE(INDEX($I$697:$I1097,402-MA_SHORT):$I1097),"")</f>
        <v>5170.25</v>
      </c>
      <c r="W1097" s="48" t="n">
        <f aca="false">IF($U1097&gt;=MA_MED,AVERAGE(INDEX($I$697:$I1097,402-MA_MED):$I1097),"")</f>
        <v>5013.82</v>
      </c>
      <c r="X1097" s="48" t="str">
        <f aca="false">IF($U1097&gt;=MA_LONG1,AVERAGE(INDEX($I$697:$I1097,402-MA_LONG1):$I1097),"")</f>
        <v/>
      </c>
      <c r="Y1097" s="48" t="str">
        <f aca="false">IF($U1097&gt;=MA_LONG2,AVERAGE(INDEX($I$697:$I1097,402-MA_LONG2):$I1097),"")</f>
        <v/>
      </c>
      <c r="Z1097" s="48" t="n">
        <f aca="false">IF($U1097&gt;=MA_SHORT,AVERAGE(INDEX($L$977:$L1097,122-MA_SHORT):$L1097),"")</f>
        <v>117260515</v>
      </c>
      <c r="AA1097" s="48" t="n">
        <f aca="false">IF($U1097=1,$G1097-$H1097,MAX($G1097-$H1097,ABS($G1097-$I1096),ABS($H1097-$I1096)))</f>
        <v>83</v>
      </c>
      <c r="AB1097" s="48" t="n">
        <f aca="false">IF($U1097&gt;=ATR_PER,AVERAGE(INDEX($AA$977:$AA1097,122-ATR_PER):$AA1097),"")</f>
        <v>215.5</v>
      </c>
      <c r="AC1097" s="48" t="n">
        <f aca="false">$O1097-$P1097</f>
        <v>-15298170</v>
      </c>
      <c r="AD1097" s="48" t="n">
        <f aca="false">$AC1097*$I1097</f>
        <v>-78280735890</v>
      </c>
      <c r="AE1097" s="49" t="n">
        <f aca="false">IF($Q1097&gt;0,$O1097*$I1097/$Q1097/1000000,"")</f>
        <v>128.518764013825</v>
      </c>
      <c r="AF1097" s="49" t="n">
        <f aca="false">IF($R1097&gt;0,$P1097*$I1097/$R1097/1000000,"")</f>
        <v>244.19708788125</v>
      </c>
      <c r="AG1097" s="50" t="n">
        <f aca="false">IF(AND(ISNUMBER($AE1097),ISNUMBER($AF1097),$AF1097&gt;0),$AE1097/$AF1097,"")</f>
        <v>0.526291141016071</v>
      </c>
      <c r="AH1097" s="48" t="n">
        <f aca="false">IF($U1097&gt;=5,SUM(INDEX($AD$1067:$AD1097,32-5):$AD1097),"")</f>
        <v>-460521910486</v>
      </c>
      <c r="AI1097" s="48" t="n">
        <f aca="false">IF($U1097&gt;=STRUCT_S,MAX(INDEX($G$947:$G1097,152-STRUCT_S):$G1097),"")</f>
        <v>5537</v>
      </c>
      <c r="AJ1097" s="48" t="n">
        <f aca="false">IF($U1097&gt;=STRUCT_S,MIN(INDEX($H$947:$H1097,152-STRUCT_S):$H1097),"")</f>
        <v>4837</v>
      </c>
      <c r="AK1097" s="48" t="str">
        <f aca="false">IF($U1097&gt;=STRUCT_L,MAX(INDEX($G$847:$G1097,252-STRUCT_L):$G1097),"")</f>
        <v/>
      </c>
      <c r="AL1097" s="48" t="str">
        <f aca="false">IF($U1097&gt;=STRUCT_L,MIN(INDEX($H$847:$H1097,252-STRUCT_L):$H1097),"")</f>
        <v/>
      </c>
      <c r="AM1097" s="46" t="n">
        <f aca="false">IF($A1097&lt;&gt;$A1098,1,0)</f>
        <v>0</v>
      </c>
      <c r="AN1097" s="47" t="str">
        <f aca="false">IF($AM1097=1,$A1097,"")</f>
        <v/>
      </c>
    </row>
    <row r="1098" customFormat="false" ht="15" hidden="false" customHeight="false" outlineLevel="0" collapsed="false">
      <c r="A1098" s="43" t="s">
        <v>152</v>
      </c>
      <c r="B1098" s="44" t="s">
        <v>154</v>
      </c>
      <c r="C1098" s="45" t="n">
        <v>45979</v>
      </c>
      <c r="D1098" s="46" t="n">
        <v>20251118</v>
      </c>
      <c r="E1098" s="47" t="s">
        <v>341</v>
      </c>
      <c r="F1098" s="48" t="n">
        <v>5207</v>
      </c>
      <c r="G1098" s="48" t="n">
        <v>5252</v>
      </c>
      <c r="H1098" s="48" t="n">
        <v>5068</v>
      </c>
      <c r="I1098" s="48" t="n">
        <v>5203</v>
      </c>
      <c r="J1098" s="48" t="n">
        <v>5161</v>
      </c>
      <c r="K1098" s="48" t="n">
        <v>5117</v>
      </c>
      <c r="L1098" s="48" t="n">
        <v>119968475</v>
      </c>
      <c r="M1098" s="48" t="n">
        <v>624195975425</v>
      </c>
      <c r="N1098" s="48" t="n">
        <v>3403</v>
      </c>
      <c r="O1098" s="48" t="n">
        <v>60224752</v>
      </c>
      <c r="P1098" s="48" t="n">
        <v>60724029</v>
      </c>
      <c r="Q1098" s="48" t="n">
        <v>1417</v>
      </c>
      <c r="R1098" s="48" t="n">
        <v>1511</v>
      </c>
      <c r="S1098" s="48" t="n">
        <v>59743723</v>
      </c>
      <c r="T1098" s="48" t="n">
        <v>59244446</v>
      </c>
      <c r="U1098" s="46" t="n">
        <f aca="false">IF($A1098=$A1097,$U1097+1,1)</f>
        <v>54</v>
      </c>
      <c r="V1098" s="48" t="n">
        <f aca="false">IF($U1098&gt;=MA_SHORT,AVERAGE(INDEX($I$698:$I1098,402-MA_SHORT):$I1098),"")</f>
        <v>5181.4</v>
      </c>
      <c r="W1098" s="48" t="n">
        <f aca="false">IF($U1098&gt;=MA_MED,AVERAGE(INDEX($I$698:$I1098,402-MA_MED):$I1098),"")</f>
        <v>5027.52</v>
      </c>
      <c r="X1098" s="48" t="str">
        <f aca="false">IF($U1098&gt;=MA_LONG1,AVERAGE(INDEX($I$698:$I1098,402-MA_LONG1):$I1098),"")</f>
        <v/>
      </c>
      <c r="Y1098" s="48" t="str">
        <f aca="false">IF($U1098&gt;=MA_LONG2,AVERAGE(INDEX($I$698:$I1098,402-MA_LONG2):$I1098),"")</f>
        <v/>
      </c>
      <c r="Z1098" s="48" t="n">
        <f aca="false">IF($U1098&gt;=MA_SHORT,AVERAGE(INDEX($L$978:$L1098,122-MA_SHORT):$L1098),"")</f>
        <v>118977811.65</v>
      </c>
      <c r="AA1098" s="48" t="n">
        <f aca="false">IF($U1098=1,$G1098-$H1098,MAX($G1098-$H1098,ABS($G1098-$I1097),ABS($H1098-$I1097)))</f>
        <v>184</v>
      </c>
      <c r="AB1098" s="48" t="n">
        <f aca="false">IF($U1098&gt;=ATR_PER,AVERAGE(INDEX($AA$978:$AA1098,122-ATR_PER):$AA1098),"")</f>
        <v>216.571428571429</v>
      </c>
      <c r="AC1098" s="48" t="n">
        <f aca="false">$O1098-$P1098</f>
        <v>-499277</v>
      </c>
      <c r="AD1098" s="48" t="n">
        <f aca="false">$AC1098*$I1098</f>
        <v>-2597738231</v>
      </c>
      <c r="AE1098" s="49" t="n">
        <f aca="false">IF($Q1098&gt;0,$O1098*$I1098/$Q1098/1000000,"")</f>
        <v>221.135768988003</v>
      </c>
      <c r="AF1098" s="49" t="n">
        <f aca="false">IF($R1098&gt;0,$P1098*$I1098/$R1098/1000000,"")</f>
        <v>209.098029706817</v>
      </c>
      <c r="AG1098" s="50" t="n">
        <f aca="false">IF(AND(ISNUMBER($AE1098),ISNUMBER($AF1098),$AF1098&gt;0),$AE1098/$AF1098,"")</f>
        <v>1.05756983601455</v>
      </c>
      <c r="AH1098" s="48" t="n">
        <f aca="false">IF($U1098&gt;=5,SUM(INDEX($AD$1068:$AD1098,32-5):$AD1098),"")</f>
        <v>-309132688821</v>
      </c>
      <c r="AI1098" s="48" t="n">
        <f aca="false">IF($U1098&gt;=STRUCT_S,MAX(INDEX($G$948:$G1098,152-STRUCT_S):$G1098),"")</f>
        <v>5537</v>
      </c>
      <c r="AJ1098" s="48" t="n">
        <f aca="false">IF($U1098&gt;=STRUCT_S,MIN(INDEX($H$948:$H1098,152-STRUCT_S):$H1098),"")</f>
        <v>4837</v>
      </c>
      <c r="AK1098" s="48" t="str">
        <f aca="false">IF($U1098&gt;=STRUCT_L,MAX(INDEX($G$848:$G1098,252-STRUCT_L):$G1098),"")</f>
        <v/>
      </c>
      <c r="AL1098" s="48" t="str">
        <f aca="false">IF($U1098&gt;=STRUCT_L,MIN(INDEX($H$848:$H1098,252-STRUCT_L):$H1098),"")</f>
        <v/>
      </c>
      <c r="AM1098" s="46" t="n">
        <f aca="false">IF($A1098&lt;&gt;$A1099,1,0)</f>
        <v>0</v>
      </c>
      <c r="AN1098" s="47" t="str">
        <f aca="false">IF($AM1098=1,$A1098,"")</f>
        <v/>
      </c>
    </row>
    <row r="1099" customFormat="false" ht="15" hidden="false" customHeight="false" outlineLevel="0" collapsed="false">
      <c r="A1099" s="43" t="s">
        <v>152</v>
      </c>
      <c r="B1099" s="44" t="s">
        <v>154</v>
      </c>
      <c r="C1099" s="45" t="n">
        <v>45980</v>
      </c>
      <c r="D1099" s="46" t="n">
        <v>20251119</v>
      </c>
      <c r="E1099" s="47" t="s">
        <v>342</v>
      </c>
      <c r="F1099" s="48" t="n">
        <v>5321</v>
      </c>
      <c r="G1099" s="48" t="n">
        <v>5361</v>
      </c>
      <c r="H1099" s="48" t="n">
        <v>5185</v>
      </c>
      <c r="I1099" s="48" t="n">
        <v>5343</v>
      </c>
      <c r="J1099" s="48" t="n">
        <v>5297</v>
      </c>
      <c r="K1099" s="48" t="n">
        <v>5203</v>
      </c>
      <c r="L1099" s="48" t="n">
        <v>93818924</v>
      </c>
      <c r="M1099" s="48" t="n">
        <v>501274510932</v>
      </c>
      <c r="N1099" s="48" t="n">
        <v>2145</v>
      </c>
      <c r="O1099" s="48" t="n">
        <v>56022395</v>
      </c>
      <c r="P1099" s="48" t="n">
        <v>40851663</v>
      </c>
      <c r="Q1099" s="48" t="n">
        <v>826</v>
      </c>
      <c r="R1099" s="48" t="n">
        <v>849</v>
      </c>
      <c r="S1099" s="48" t="n">
        <v>37796529</v>
      </c>
      <c r="T1099" s="48" t="n">
        <v>52967261</v>
      </c>
      <c r="U1099" s="46" t="n">
        <f aca="false">IF($A1099=$A1098,$U1098+1,1)</f>
        <v>55</v>
      </c>
      <c r="V1099" s="48" t="n">
        <f aca="false">IF($U1099&gt;=MA_SHORT,AVERAGE(INDEX($I$699:$I1099,402-MA_SHORT):$I1099),"")</f>
        <v>5194.6</v>
      </c>
      <c r="W1099" s="48" t="n">
        <f aca="false">IF($U1099&gt;=MA_MED,AVERAGE(INDEX($I$699:$I1099,402-MA_MED):$I1099),"")</f>
        <v>5046.1</v>
      </c>
      <c r="X1099" s="48" t="str">
        <f aca="false">IF($U1099&gt;=MA_LONG1,AVERAGE(INDEX($I$699:$I1099,402-MA_LONG1):$I1099),"")</f>
        <v/>
      </c>
      <c r="Y1099" s="48" t="str">
        <f aca="false">IF($U1099&gt;=MA_LONG2,AVERAGE(INDEX($I$699:$I1099,402-MA_LONG2):$I1099),"")</f>
        <v/>
      </c>
      <c r="Z1099" s="48" t="n">
        <f aca="false">IF($U1099&gt;=MA_SHORT,AVERAGE(INDEX($L$979:$L1099,122-MA_SHORT):$L1099),"")</f>
        <v>114753590.8</v>
      </c>
      <c r="AA1099" s="48" t="n">
        <f aca="false">IF($U1099=1,$G1099-$H1099,MAX($G1099-$H1099,ABS($G1099-$I1098),ABS($H1099-$I1098)))</f>
        <v>176</v>
      </c>
      <c r="AB1099" s="48" t="n">
        <f aca="false">IF($U1099&gt;=ATR_PER,AVERAGE(INDEX($AA$979:$AA1099,122-ATR_PER):$AA1099),"")</f>
        <v>215.142857142857</v>
      </c>
      <c r="AC1099" s="48" t="n">
        <f aca="false">$O1099-$P1099</f>
        <v>15170732</v>
      </c>
      <c r="AD1099" s="48" t="n">
        <f aca="false">$AC1099*$I1099</f>
        <v>81057221076</v>
      </c>
      <c r="AE1099" s="49" t="n">
        <f aca="false">IF($Q1099&gt;0,$O1099*$I1099/$Q1099/1000000,"")</f>
        <v>362.382150708233</v>
      </c>
      <c r="AF1099" s="49" t="n">
        <f aca="false">IF($R1099&gt;0,$P1099*$I1099/$R1099/1000000,"")</f>
        <v>257.091207784452</v>
      </c>
      <c r="AG1099" s="50" t="n">
        <f aca="false">IF(AND(ISNUMBER($AE1099),ISNUMBER($AF1099),$AF1099&gt;0),$AE1099/$AF1099,"")</f>
        <v>1.40954703908839</v>
      </c>
      <c r="AH1099" s="48" t="n">
        <f aca="false">IF($U1099&gt;=5,SUM(INDEX($AD$1069:$AD1099,32-5):$AD1099),"")</f>
        <v>-115266379093</v>
      </c>
      <c r="AI1099" s="48" t="n">
        <f aca="false">IF($U1099&gt;=STRUCT_S,MAX(INDEX($G$949:$G1099,152-STRUCT_S):$G1099),"")</f>
        <v>5537</v>
      </c>
      <c r="AJ1099" s="48" t="n">
        <f aca="false">IF($U1099&gt;=STRUCT_S,MIN(INDEX($H$949:$H1099,152-STRUCT_S):$H1099),"")</f>
        <v>4837</v>
      </c>
      <c r="AK1099" s="48" t="str">
        <f aca="false">IF($U1099&gt;=STRUCT_L,MAX(INDEX($G$849:$G1099,252-STRUCT_L):$G1099),"")</f>
        <v/>
      </c>
      <c r="AL1099" s="48" t="str">
        <f aca="false">IF($U1099&gt;=STRUCT_L,MIN(INDEX($H$849:$H1099,252-STRUCT_L):$H1099),"")</f>
        <v/>
      </c>
      <c r="AM1099" s="46" t="n">
        <f aca="false">IF($A1099&lt;&gt;$A1100,1,0)</f>
        <v>0</v>
      </c>
      <c r="AN1099" s="47" t="str">
        <f aca="false">IF($AM1099=1,$A1099,"")</f>
        <v/>
      </c>
    </row>
    <row r="1100" customFormat="false" ht="15" hidden="false" customHeight="false" outlineLevel="0" collapsed="false">
      <c r="A1100" s="43" t="s">
        <v>152</v>
      </c>
      <c r="B1100" s="44" t="s">
        <v>154</v>
      </c>
      <c r="C1100" s="45" t="n">
        <v>45983</v>
      </c>
      <c r="D1100" s="46" t="n">
        <v>20251122</v>
      </c>
      <c r="E1100" s="47" t="s">
        <v>343</v>
      </c>
      <c r="F1100" s="48" t="n">
        <v>5247</v>
      </c>
      <c r="G1100" s="48" t="n">
        <v>5457</v>
      </c>
      <c r="H1100" s="48" t="n">
        <v>5188</v>
      </c>
      <c r="I1100" s="48" t="n">
        <v>5301</v>
      </c>
      <c r="J1100" s="48" t="n">
        <v>5316</v>
      </c>
      <c r="K1100" s="48" t="n">
        <v>5343</v>
      </c>
      <c r="L1100" s="48" t="n">
        <v>81321383</v>
      </c>
      <c r="M1100" s="48" t="n">
        <v>431084651283</v>
      </c>
      <c r="N1100" s="48" t="n">
        <v>4873</v>
      </c>
      <c r="O1100" s="48" t="n">
        <v>38659151</v>
      </c>
      <c r="P1100" s="48" t="n">
        <v>42209246</v>
      </c>
      <c r="Q1100" s="48" t="n">
        <v>2224</v>
      </c>
      <c r="R1100" s="48" t="n">
        <v>2587</v>
      </c>
      <c r="S1100" s="48" t="n">
        <v>42662232</v>
      </c>
      <c r="T1100" s="48" t="n">
        <v>39112137</v>
      </c>
      <c r="U1100" s="46" t="n">
        <f aca="false">IF($A1100=$A1099,$U1099+1,1)</f>
        <v>56</v>
      </c>
      <c r="V1100" s="48" t="n">
        <f aca="false">IF($U1100&gt;=MA_SHORT,AVERAGE(INDEX($I$700:$I1100,402-MA_SHORT):$I1100),"")</f>
        <v>5209.5</v>
      </c>
      <c r="W1100" s="48" t="n">
        <f aca="false">IF($U1100&gt;=MA_MED,AVERAGE(INDEX($I$700:$I1100,402-MA_MED):$I1100),"")</f>
        <v>5063.26</v>
      </c>
      <c r="X1100" s="48" t="str">
        <f aca="false">IF($U1100&gt;=MA_LONG1,AVERAGE(INDEX($I$700:$I1100,402-MA_LONG1):$I1100),"")</f>
        <v/>
      </c>
      <c r="Y1100" s="48" t="str">
        <f aca="false">IF($U1100&gt;=MA_LONG2,AVERAGE(INDEX($I$700:$I1100,402-MA_LONG2):$I1100),"")</f>
        <v/>
      </c>
      <c r="Z1100" s="48" t="n">
        <f aca="false">IF($U1100&gt;=MA_SHORT,AVERAGE(INDEX($L$980:$L1100,122-MA_SHORT):$L1100),"")</f>
        <v>114588112.1</v>
      </c>
      <c r="AA1100" s="48" t="n">
        <f aca="false">IF($U1100=1,$G1100-$H1100,MAX($G1100-$H1100,ABS($G1100-$I1099),ABS($H1100-$I1099)))</f>
        <v>269</v>
      </c>
      <c r="AB1100" s="48" t="n">
        <f aca="false">IF($U1100&gt;=ATR_PER,AVERAGE(INDEX($AA$980:$AA1100,122-ATR_PER):$AA1100),"")</f>
        <v>213.214285714286</v>
      </c>
      <c r="AC1100" s="48" t="n">
        <f aca="false">$O1100-$P1100</f>
        <v>-3550095</v>
      </c>
      <c r="AD1100" s="48" t="n">
        <f aca="false">$AC1100*$I1100</f>
        <v>-18819053595</v>
      </c>
      <c r="AE1100" s="49" t="n">
        <f aca="false">IF($Q1100&gt;0,$O1100*$I1100/$Q1100/1000000,"")</f>
        <v>92.1457551488309</v>
      </c>
      <c r="AF1100" s="49" t="n">
        <f aca="false">IF($R1100&gt;0,$P1100*$I1100/$R1100/1000000,"")</f>
        <v>86.4906119234635</v>
      </c>
      <c r="AG1100" s="50" t="n">
        <f aca="false">IF(AND(ISNUMBER($AE1100),ISNUMBER($AF1100),$AF1100&gt;0),$AE1100/$AF1100,"")</f>
        <v>1.06538447468</v>
      </c>
      <c r="AH1100" s="48" t="n">
        <f aca="false">IF($U1100&gt;=5,SUM(INDEX($AD$1070:$AD1100,32-5):$AD1100),"")</f>
        <v>-70553008040</v>
      </c>
      <c r="AI1100" s="48" t="n">
        <f aca="false">IF($U1100&gt;=STRUCT_S,MAX(INDEX($G$950:$G1100,152-STRUCT_S):$G1100),"")</f>
        <v>5537</v>
      </c>
      <c r="AJ1100" s="48" t="n">
        <f aca="false">IF($U1100&gt;=STRUCT_S,MIN(INDEX($H$950:$H1100,152-STRUCT_S):$H1100),"")</f>
        <v>4837</v>
      </c>
      <c r="AK1100" s="48" t="str">
        <f aca="false">IF($U1100&gt;=STRUCT_L,MAX(INDEX($G$850:$G1100,252-STRUCT_L):$G1100),"")</f>
        <v/>
      </c>
      <c r="AL1100" s="48" t="str">
        <f aca="false">IF($U1100&gt;=STRUCT_L,MIN(INDEX($H$850:$H1100,252-STRUCT_L):$H1100),"")</f>
        <v/>
      </c>
      <c r="AM1100" s="46" t="n">
        <f aca="false">IF($A1100&lt;&gt;$A1101,1,0)</f>
        <v>0</v>
      </c>
      <c r="AN1100" s="47" t="str">
        <f aca="false">IF($AM1100=1,$A1100,"")</f>
        <v/>
      </c>
    </row>
    <row r="1101" customFormat="false" ht="15" hidden="false" customHeight="false" outlineLevel="0" collapsed="false">
      <c r="A1101" s="43" t="s">
        <v>152</v>
      </c>
      <c r="B1101" s="44" t="s">
        <v>154</v>
      </c>
      <c r="C1101" s="45" t="n">
        <v>45984</v>
      </c>
      <c r="D1101" s="46" t="n">
        <v>20251123</v>
      </c>
      <c r="E1101" s="47" t="s">
        <v>344</v>
      </c>
      <c r="F1101" s="48" t="n">
        <v>5281</v>
      </c>
      <c r="G1101" s="48" t="n">
        <v>5345</v>
      </c>
      <c r="H1101" s="48" t="n">
        <v>5279</v>
      </c>
      <c r="I1101" s="48" t="n">
        <v>5323</v>
      </c>
      <c r="J1101" s="48" t="n">
        <v>5288</v>
      </c>
      <c r="K1101" s="48" t="n">
        <v>5301</v>
      </c>
      <c r="L1101" s="48" t="n">
        <v>102911565</v>
      </c>
      <c r="M1101" s="48" t="n">
        <v>547798260495</v>
      </c>
      <c r="N1101" s="48" t="n">
        <v>7491</v>
      </c>
      <c r="O1101" s="48" t="n">
        <v>54187530</v>
      </c>
      <c r="P1101" s="48" t="n">
        <v>42453962</v>
      </c>
      <c r="Q1101" s="48" t="n">
        <v>2939</v>
      </c>
      <c r="R1101" s="48" t="n">
        <v>2548</v>
      </c>
      <c r="S1101" s="48" t="n">
        <v>48724035</v>
      </c>
      <c r="T1101" s="48" t="n">
        <v>60457603</v>
      </c>
      <c r="U1101" s="46" t="n">
        <f aca="false">IF($A1101=$A1100,$U1100+1,1)</f>
        <v>57</v>
      </c>
      <c r="V1101" s="48" t="n">
        <f aca="false">IF($U1101&gt;=MA_SHORT,AVERAGE(INDEX($I$701:$I1101,402-MA_SHORT):$I1101),"")</f>
        <v>5229.2</v>
      </c>
      <c r="W1101" s="48" t="n">
        <f aca="false">IF($U1101&gt;=MA_MED,AVERAGE(INDEX($I$701:$I1101,402-MA_MED):$I1101),"")</f>
        <v>5078.5</v>
      </c>
      <c r="X1101" s="48" t="str">
        <f aca="false">IF($U1101&gt;=MA_LONG1,AVERAGE(INDEX($I$701:$I1101,402-MA_LONG1):$I1101),"")</f>
        <v/>
      </c>
      <c r="Y1101" s="48" t="str">
        <f aca="false">IF($U1101&gt;=MA_LONG2,AVERAGE(INDEX($I$701:$I1101,402-MA_LONG2):$I1101),"")</f>
        <v/>
      </c>
      <c r="Z1101" s="48" t="n">
        <f aca="false">IF($U1101&gt;=MA_SHORT,AVERAGE(INDEX($L$981:$L1101,122-MA_SHORT):$L1101),"")</f>
        <v>114254833.8</v>
      </c>
      <c r="AA1101" s="48" t="n">
        <f aca="false">IF($U1101=1,$G1101-$H1101,MAX($G1101-$H1101,ABS($G1101-$I1100),ABS($H1101-$I1100)))</f>
        <v>66</v>
      </c>
      <c r="AB1101" s="48" t="n">
        <f aca="false">IF($U1101&gt;=ATR_PER,AVERAGE(INDEX($AA$981:$AA1101,122-ATR_PER):$AA1101),"")</f>
        <v>205.285714285714</v>
      </c>
      <c r="AC1101" s="48" t="n">
        <f aca="false">$O1101-$P1101</f>
        <v>11733568</v>
      </c>
      <c r="AD1101" s="48" t="n">
        <f aca="false">$AC1101*$I1101</f>
        <v>62457782464</v>
      </c>
      <c r="AE1101" s="49" t="n">
        <f aca="false">IF($Q1101&gt;0,$O1101*$I1101/$Q1101/1000000,"")</f>
        <v>98.142300847227</v>
      </c>
      <c r="AF1101" s="49" t="n">
        <f aca="false">IF($R1101&gt;0,$P1101*$I1101/$R1101/1000000,"")</f>
        <v>88.6901254811617</v>
      </c>
      <c r="AG1101" s="50" t="n">
        <f aca="false">IF(AND(ISNUMBER($AE1101),ISNUMBER($AF1101),$AF1101&gt;0),$AE1101/$AF1101,"")</f>
        <v>1.10657528461918</v>
      </c>
      <c r="AH1101" s="48" t="n">
        <f aca="false">IF($U1101&gt;=5,SUM(INDEX($AD$1071:$AD1101,32-5):$AD1101),"")</f>
        <v>43817475824</v>
      </c>
      <c r="AI1101" s="48" t="n">
        <f aca="false">IF($U1101&gt;=STRUCT_S,MAX(INDEX($G$951:$G1101,152-STRUCT_S):$G1101),"")</f>
        <v>5537</v>
      </c>
      <c r="AJ1101" s="48" t="n">
        <f aca="false">IF($U1101&gt;=STRUCT_S,MIN(INDEX($H$951:$H1101,152-STRUCT_S):$H1101),"")</f>
        <v>4842</v>
      </c>
      <c r="AK1101" s="48" t="str">
        <f aca="false">IF($U1101&gt;=STRUCT_L,MAX(INDEX($G$851:$G1101,252-STRUCT_L):$G1101),"")</f>
        <v/>
      </c>
      <c r="AL1101" s="48" t="str">
        <f aca="false">IF($U1101&gt;=STRUCT_L,MIN(INDEX($H$851:$H1101,252-STRUCT_L):$H1101),"")</f>
        <v/>
      </c>
      <c r="AM1101" s="46" t="n">
        <f aca="false">IF($A1101&lt;&gt;$A1102,1,0)</f>
        <v>0</v>
      </c>
      <c r="AN1101" s="47" t="str">
        <f aca="false">IF($AM1101=1,$A1101,"")</f>
        <v/>
      </c>
    </row>
    <row r="1102" customFormat="false" ht="15" hidden="false" customHeight="false" outlineLevel="0" collapsed="false">
      <c r="A1102" s="43" t="s">
        <v>152</v>
      </c>
      <c r="B1102" s="44" t="s">
        <v>154</v>
      </c>
      <c r="C1102" s="45" t="n">
        <v>45985</v>
      </c>
      <c r="D1102" s="46" t="n">
        <v>20251124</v>
      </c>
      <c r="E1102" s="47" t="s">
        <v>345</v>
      </c>
      <c r="F1102" s="48" t="n">
        <v>5330</v>
      </c>
      <c r="G1102" s="48" t="n">
        <v>5336</v>
      </c>
      <c r="H1102" s="48" t="n">
        <v>5253</v>
      </c>
      <c r="I1102" s="48" t="n">
        <v>5266</v>
      </c>
      <c r="J1102" s="48" t="n">
        <v>5309</v>
      </c>
      <c r="K1102" s="48" t="n">
        <v>5323</v>
      </c>
      <c r="L1102" s="48" t="n">
        <v>82648179</v>
      </c>
      <c r="M1102" s="48" t="n">
        <v>435225310614</v>
      </c>
      <c r="N1102" s="48" t="n">
        <v>3641</v>
      </c>
      <c r="O1102" s="48" t="n">
        <v>30742000</v>
      </c>
      <c r="P1102" s="48" t="n">
        <v>50677728</v>
      </c>
      <c r="Q1102" s="48" t="n">
        <v>1312</v>
      </c>
      <c r="R1102" s="48" t="n">
        <v>1688</v>
      </c>
      <c r="S1102" s="48" t="n">
        <v>51906179</v>
      </c>
      <c r="T1102" s="48" t="n">
        <v>31970451</v>
      </c>
      <c r="U1102" s="46" t="n">
        <f aca="false">IF($A1102=$A1101,$U1101+1,1)</f>
        <v>58</v>
      </c>
      <c r="V1102" s="48" t="n">
        <f aca="false">IF($U1102&gt;=MA_SHORT,AVERAGE(INDEX($I$702:$I1102,402-MA_SHORT):$I1102),"")</f>
        <v>5242.05</v>
      </c>
      <c r="W1102" s="48" t="n">
        <f aca="false">IF($U1102&gt;=MA_MED,AVERAGE(INDEX($I$702:$I1102,402-MA_MED):$I1102),"")</f>
        <v>5091.5</v>
      </c>
      <c r="X1102" s="48" t="str">
        <f aca="false">IF($U1102&gt;=MA_LONG1,AVERAGE(INDEX($I$702:$I1102,402-MA_LONG1):$I1102),"")</f>
        <v/>
      </c>
      <c r="Y1102" s="48" t="str">
        <f aca="false">IF($U1102&gt;=MA_LONG2,AVERAGE(INDEX($I$702:$I1102,402-MA_LONG2):$I1102),"")</f>
        <v/>
      </c>
      <c r="Z1102" s="48" t="n">
        <f aca="false">IF($U1102&gt;=MA_SHORT,AVERAGE(INDEX($L$982:$L1102,122-MA_SHORT):$L1102),"")</f>
        <v>113642851.4</v>
      </c>
      <c r="AA1102" s="48" t="n">
        <f aca="false">IF($U1102=1,$G1102-$H1102,MAX($G1102-$H1102,ABS($G1102-$I1101),ABS($H1102-$I1101)))</f>
        <v>83</v>
      </c>
      <c r="AB1102" s="48" t="n">
        <f aca="false">IF($U1102&gt;=ATR_PER,AVERAGE(INDEX($AA$982:$AA1102,122-ATR_PER):$AA1102),"")</f>
        <v>190.142857142857</v>
      </c>
      <c r="AC1102" s="48" t="n">
        <f aca="false">$O1102-$P1102</f>
        <v>-19935728</v>
      </c>
      <c r="AD1102" s="48" t="n">
        <f aca="false">$AC1102*$I1102</f>
        <v>-104981543648</v>
      </c>
      <c r="AE1102" s="49" t="n">
        <f aca="false">IF($Q1102&gt;0,$O1102*$I1102/$Q1102/1000000,"")</f>
        <v>123.389765243902</v>
      </c>
      <c r="AF1102" s="49" t="n">
        <f aca="false">IF($R1102&gt;0,$P1102*$I1102/$R1102/1000000,"")</f>
        <v>158.097698843602</v>
      </c>
      <c r="AG1102" s="50" t="n">
        <f aca="false">IF(AND(ISNUMBER($AE1102),ISNUMBER($AF1102),$AF1102&gt;0),$AE1102/$AF1102,"")</f>
        <v>0.780465282837328</v>
      </c>
      <c r="AH1102" s="48" t="n">
        <f aca="false">IF($U1102&gt;=5,SUM(INDEX($AD$1072:$AD1102,32-5):$AD1102),"")</f>
        <v>17116668066</v>
      </c>
      <c r="AI1102" s="48" t="n">
        <f aca="false">IF($U1102&gt;=STRUCT_S,MAX(INDEX($G$952:$G1102,152-STRUCT_S):$G1102),"")</f>
        <v>5537</v>
      </c>
      <c r="AJ1102" s="48" t="n">
        <f aca="false">IF($U1102&gt;=STRUCT_S,MIN(INDEX($H$952:$H1102,152-STRUCT_S):$H1102),"")</f>
        <v>4966</v>
      </c>
      <c r="AK1102" s="48" t="str">
        <f aca="false">IF($U1102&gt;=STRUCT_L,MAX(INDEX($G$852:$G1102,252-STRUCT_L):$G1102),"")</f>
        <v/>
      </c>
      <c r="AL1102" s="48" t="str">
        <f aca="false">IF($U1102&gt;=STRUCT_L,MIN(INDEX($H$852:$H1102,252-STRUCT_L):$H1102),"")</f>
        <v/>
      </c>
      <c r="AM1102" s="46" t="n">
        <f aca="false">IF($A1102&lt;&gt;$A1103,1,0)</f>
        <v>0</v>
      </c>
      <c r="AN1102" s="47" t="str">
        <f aca="false">IF($AM1102=1,$A1102,"")</f>
        <v/>
      </c>
    </row>
    <row r="1103" customFormat="false" ht="15" hidden="false" customHeight="false" outlineLevel="0" collapsed="false">
      <c r="A1103" s="43" t="s">
        <v>152</v>
      </c>
      <c r="B1103" s="44" t="s">
        <v>154</v>
      </c>
      <c r="C1103" s="45" t="n">
        <v>45986</v>
      </c>
      <c r="D1103" s="46" t="n">
        <v>20251125</v>
      </c>
      <c r="E1103" s="47" t="s">
        <v>346</v>
      </c>
      <c r="F1103" s="48" t="n">
        <v>5386</v>
      </c>
      <c r="G1103" s="48" t="n">
        <v>5447</v>
      </c>
      <c r="H1103" s="48" t="n">
        <v>5220</v>
      </c>
      <c r="I1103" s="48" t="n">
        <v>5400</v>
      </c>
      <c r="J1103" s="48" t="n">
        <v>5320</v>
      </c>
      <c r="K1103" s="48" t="n">
        <v>5266</v>
      </c>
      <c r="L1103" s="48" t="n">
        <v>106028718</v>
      </c>
      <c r="M1103" s="48" t="n">
        <v>572555077200</v>
      </c>
      <c r="N1103" s="48" t="n">
        <v>8765</v>
      </c>
      <c r="O1103" s="48" t="n">
        <v>49032294</v>
      </c>
      <c r="P1103" s="48" t="n">
        <v>61367834</v>
      </c>
      <c r="Q1103" s="48" t="n">
        <v>3062</v>
      </c>
      <c r="R1103" s="48" t="n">
        <v>2658</v>
      </c>
      <c r="S1103" s="48" t="n">
        <v>56996424</v>
      </c>
      <c r="T1103" s="48" t="n">
        <v>44660884</v>
      </c>
      <c r="U1103" s="46" t="n">
        <f aca="false">IF($A1103=$A1102,$U1102+1,1)</f>
        <v>59</v>
      </c>
      <c r="V1103" s="48" t="n">
        <f aca="false">IF($U1103&gt;=MA_SHORT,AVERAGE(INDEX($I$703:$I1103,402-MA_SHORT):$I1103),"")</f>
        <v>5256.95</v>
      </c>
      <c r="W1103" s="48" t="n">
        <f aca="false">IF($U1103&gt;=MA_MED,AVERAGE(INDEX($I$703:$I1103,402-MA_MED):$I1103),"")</f>
        <v>5106.26</v>
      </c>
      <c r="X1103" s="48" t="str">
        <f aca="false">IF($U1103&gt;=MA_LONG1,AVERAGE(INDEX($I$703:$I1103,402-MA_LONG1):$I1103),"")</f>
        <v/>
      </c>
      <c r="Y1103" s="48" t="str">
        <f aca="false">IF($U1103&gt;=MA_LONG2,AVERAGE(INDEX($I$703:$I1103,402-MA_LONG2):$I1103),"")</f>
        <v/>
      </c>
      <c r="Z1103" s="48" t="n">
        <f aca="false">IF($U1103&gt;=MA_SHORT,AVERAGE(INDEX($L$983:$L1103,122-MA_SHORT):$L1103),"")</f>
        <v>114010210.65</v>
      </c>
      <c r="AA1103" s="48" t="n">
        <f aca="false">IF($U1103=1,$G1103-$H1103,MAX($G1103-$H1103,ABS($G1103-$I1102),ABS($H1103-$I1102)))</f>
        <v>227</v>
      </c>
      <c r="AB1103" s="48" t="n">
        <f aca="false">IF($U1103&gt;=ATR_PER,AVERAGE(INDEX($AA$983:$AA1103,122-ATR_PER):$AA1103),"")</f>
        <v>177.071428571429</v>
      </c>
      <c r="AC1103" s="48" t="n">
        <f aca="false">$O1103-$P1103</f>
        <v>-12335540</v>
      </c>
      <c r="AD1103" s="48" t="n">
        <f aca="false">$AC1103*$I1103</f>
        <v>-66611916000</v>
      </c>
      <c r="AE1103" s="49" t="n">
        <f aca="false">IF($Q1103&gt;0,$O1103*$I1103/$Q1103/1000000,"")</f>
        <v>86.4710606139778</v>
      </c>
      <c r="AF1103" s="49" t="n">
        <f aca="false">IF($R1103&gt;0,$P1103*$I1103/$R1103/1000000,"")</f>
        <v>124.67505778781</v>
      </c>
      <c r="AG1103" s="50" t="n">
        <f aca="false">IF(AND(ISNUMBER($AE1103),ISNUMBER($AF1103),$AF1103&gt;0),$AE1103/$AF1103,"")</f>
        <v>0.693571450042128</v>
      </c>
      <c r="AH1103" s="48" t="n">
        <f aca="false">IF($U1103&gt;=5,SUM(INDEX($AD$1073:$AD1103,32-5):$AD1103),"")</f>
        <v>-46897509703</v>
      </c>
      <c r="AI1103" s="48" t="n">
        <f aca="false">IF($U1103&gt;=STRUCT_S,MAX(INDEX($G$953:$G1103,152-STRUCT_S):$G1103),"")</f>
        <v>5537</v>
      </c>
      <c r="AJ1103" s="48" t="n">
        <f aca="false">IF($U1103&gt;=STRUCT_S,MIN(INDEX($H$953:$H1103,152-STRUCT_S):$H1103),"")</f>
        <v>4966</v>
      </c>
      <c r="AK1103" s="48" t="str">
        <f aca="false">IF($U1103&gt;=STRUCT_L,MAX(INDEX($G$853:$G1103,252-STRUCT_L):$G1103),"")</f>
        <v/>
      </c>
      <c r="AL1103" s="48" t="str">
        <f aca="false">IF($U1103&gt;=STRUCT_L,MIN(INDEX($H$853:$H1103,252-STRUCT_L):$H1103),"")</f>
        <v/>
      </c>
      <c r="AM1103" s="46" t="n">
        <f aca="false">IF($A1103&lt;&gt;$A1104,1,0)</f>
        <v>0</v>
      </c>
      <c r="AN1103" s="47" t="str">
        <f aca="false">IF($AM1103=1,$A1103,"")</f>
        <v/>
      </c>
    </row>
    <row r="1104" customFormat="false" ht="15" hidden="false" customHeight="false" outlineLevel="0" collapsed="false">
      <c r="A1104" s="43" t="s">
        <v>152</v>
      </c>
      <c r="B1104" s="44" t="s">
        <v>154</v>
      </c>
      <c r="C1104" s="45" t="n">
        <v>45987</v>
      </c>
      <c r="D1104" s="46" t="n">
        <v>20251126</v>
      </c>
      <c r="E1104" s="47" t="s">
        <v>347</v>
      </c>
      <c r="F1104" s="48" t="n">
        <v>5463</v>
      </c>
      <c r="G1104" s="48" t="n">
        <v>5479</v>
      </c>
      <c r="H1104" s="48" t="n">
        <v>5204</v>
      </c>
      <c r="I1104" s="48" t="n">
        <v>5281</v>
      </c>
      <c r="J1104" s="48" t="n">
        <v>5472</v>
      </c>
      <c r="K1104" s="48" t="n">
        <v>5400</v>
      </c>
      <c r="L1104" s="48" t="n">
        <v>87926850</v>
      </c>
      <c r="M1104" s="48" t="n">
        <v>464341694850</v>
      </c>
      <c r="N1104" s="48" t="n">
        <v>5084</v>
      </c>
      <c r="O1104" s="48" t="n">
        <v>33863940</v>
      </c>
      <c r="P1104" s="48" t="n">
        <v>50950068</v>
      </c>
      <c r="Q1104" s="48" t="n">
        <v>1694</v>
      </c>
      <c r="R1104" s="48" t="n">
        <v>1949</v>
      </c>
      <c r="S1104" s="48" t="n">
        <v>54062910</v>
      </c>
      <c r="T1104" s="48" t="n">
        <v>36976782</v>
      </c>
      <c r="U1104" s="46" t="n">
        <f aca="false">IF($A1104=$A1103,$U1103+1,1)</f>
        <v>60</v>
      </c>
      <c r="V1104" s="48" t="n">
        <f aca="false">IF($U1104&gt;=MA_SHORT,AVERAGE(INDEX($I$704:$I1104,402-MA_SHORT):$I1104),"")</f>
        <v>5266.65</v>
      </c>
      <c r="W1104" s="48" t="n">
        <f aca="false">IF($U1104&gt;=MA_MED,AVERAGE(INDEX($I$704:$I1104,402-MA_MED):$I1104),"")</f>
        <v>5116.72</v>
      </c>
      <c r="X1104" s="48" t="str">
        <f aca="false">IF($U1104&gt;=MA_LONG1,AVERAGE(INDEX($I$704:$I1104,402-MA_LONG1):$I1104),"")</f>
        <v/>
      </c>
      <c r="Y1104" s="48" t="str">
        <f aca="false">IF($U1104&gt;=MA_LONG2,AVERAGE(INDEX($I$704:$I1104,402-MA_LONG2):$I1104),"")</f>
        <v/>
      </c>
      <c r="Z1104" s="48" t="n">
        <f aca="false">IF($U1104&gt;=MA_SHORT,AVERAGE(INDEX($L$984:$L1104,122-MA_SHORT):$L1104),"")</f>
        <v>113953894.9</v>
      </c>
      <c r="AA1104" s="48" t="n">
        <f aca="false">IF($U1104=1,$G1104-$H1104,MAX($G1104-$H1104,ABS($G1104-$I1103),ABS($H1104-$I1103)))</f>
        <v>275</v>
      </c>
      <c r="AB1104" s="48" t="n">
        <f aca="false">IF($U1104&gt;=ATR_PER,AVERAGE(INDEX($AA$984:$AA1104,122-ATR_PER):$AA1104),"")</f>
        <v>176.714285714286</v>
      </c>
      <c r="AC1104" s="48" t="n">
        <f aca="false">$O1104-$P1104</f>
        <v>-17086128</v>
      </c>
      <c r="AD1104" s="48" t="n">
        <f aca="false">$AC1104*$I1104</f>
        <v>-90231841968</v>
      </c>
      <c r="AE1104" s="49" t="n">
        <f aca="false">IF($Q1104&gt;0,$O1104*$I1104/$Q1104/1000000,"")</f>
        <v>105.569933376623</v>
      </c>
      <c r="AF1104" s="49" t="n">
        <f aca="false">IF($R1104&gt;0,$P1104*$I1104/$R1104/1000000,"")</f>
        <v>138.054032379682</v>
      </c>
      <c r="AG1104" s="50" t="n">
        <f aca="false">IF(AND(ISNUMBER($AE1104),ISNUMBER($AF1104),$AF1104&gt;0),$AE1104/$AF1104,"")</f>
        <v>0.764700107319434</v>
      </c>
      <c r="AH1104" s="48" t="n">
        <f aca="false">IF($U1104&gt;=5,SUM(INDEX($AD$1074:$AD1104,32-5):$AD1104),"")</f>
        <v>-218186572747</v>
      </c>
      <c r="AI1104" s="48" t="n">
        <f aca="false">IF($U1104&gt;=STRUCT_S,MAX(INDEX($G$954:$G1104,152-STRUCT_S):$G1104),"")</f>
        <v>5537</v>
      </c>
      <c r="AJ1104" s="48" t="n">
        <f aca="false">IF($U1104&gt;=STRUCT_S,MIN(INDEX($H$954:$H1104,152-STRUCT_S):$H1104),"")</f>
        <v>4966</v>
      </c>
      <c r="AK1104" s="48" t="n">
        <f aca="false">IF($U1104&gt;=STRUCT_L,MAX(INDEX($G$854:$G1104,252-STRUCT_L):$G1104),"")</f>
        <v>5537</v>
      </c>
      <c r="AL1104" s="48" t="n">
        <f aca="false">IF($U1104&gt;=STRUCT_L,MIN(INDEX($H$854:$H1104,252-STRUCT_L):$H1104),"")</f>
        <v>4345</v>
      </c>
      <c r="AM1104" s="46" t="n">
        <f aca="false">IF($A1104&lt;&gt;$A1105,1,0)</f>
        <v>0</v>
      </c>
      <c r="AN1104" s="47" t="str">
        <f aca="false">IF($AM1104=1,$A1104,"")</f>
        <v/>
      </c>
    </row>
    <row r="1105" customFormat="false" ht="15" hidden="false" customHeight="false" outlineLevel="0" collapsed="false">
      <c r="A1105" s="43" t="s">
        <v>152</v>
      </c>
      <c r="B1105" s="44" t="s">
        <v>154</v>
      </c>
      <c r="C1105" s="45" t="n">
        <v>45990</v>
      </c>
      <c r="D1105" s="46" t="n">
        <v>20251129</v>
      </c>
      <c r="E1105" s="47" t="s">
        <v>348</v>
      </c>
      <c r="F1105" s="48" t="n">
        <v>5154</v>
      </c>
      <c r="G1105" s="48" t="n">
        <v>5352</v>
      </c>
      <c r="H1105" s="48" t="n">
        <v>5130</v>
      </c>
      <c r="I1105" s="48" t="n">
        <v>5199</v>
      </c>
      <c r="J1105" s="48" t="n">
        <v>5310</v>
      </c>
      <c r="K1105" s="48" t="n">
        <v>5281</v>
      </c>
      <c r="L1105" s="48" t="n">
        <v>84893654</v>
      </c>
      <c r="M1105" s="48" t="n">
        <v>441362107146</v>
      </c>
      <c r="N1105" s="48" t="n">
        <v>7349</v>
      </c>
      <c r="O1105" s="48" t="n">
        <v>25289386</v>
      </c>
      <c r="P1105" s="48" t="n">
        <v>62176105</v>
      </c>
      <c r="Q1105" s="48" t="n">
        <v>3150</v>
      </c>
      <c r="R1105" s="48" t="n">
        <v>2721</v>
      </c>
      <c r="S1105" s="48" t="n">
        <v>59604268</v>
      </c>
      <c r="T1105" s="48" t="n">
        <v>22717549</v>
      </c>
      <c r="U1105" s="46" t="n">
        <f aca="false">IF($A1105=$A1104,$U1104+1,1)</f>
        <v>61</v>
      </c>
      <c r="V1105" s="48" t="n">
        <f aca="false">IF($U1105&gt;=MA_SHORT,AVERAGE(INDEX($I$705:$I1105,402-MA_SHORT):$I1105),"")</f>
        <v>5263.7</v>
      </c>
      <c r="W1105" s="48" t="n">
        <f aca="false">IF($U1105&gt;=MA_MED,AVERAGE(INDEX($I$705:$I1105,402-MA_MED):$I1105),"")</f>
        <v>5126</v>
      </c>
      <c r="X1105" s="48" t="str">
        <f aca="false">IF($U1105&gt;=MA_LONG1,AVERAGE(INDEX($I$705:$I1105,402-MA_LONG1):$I1105),"")</f>
        <v/>
      </c>
      <c r="Y1105" s="48" t="str">
        <f aca="false">IF($U1105&gt;=MA_LONG2,AVERAGE(INDEX($I$705:$I1105,402-MA_LONG2):$I1105),"")</f>
        <v/>
      </c>
      <c r="Z1105" s="48" t="n">
        <f aca="false">IF($U1105&gt;=MA_SHORT,AVERAGE(INDEX($L$985:$L1105,122-MA_SHORT):$L1105),"")</f>
        <v>113022776.95</v>
      </c>
      <c r="AA1105" s="48" t="n">
        <f aca="false">IF($U1105=1,$G1105-$H1105,MAX($G1105-$H1105,ABS($G1105-$I1104),ABS($H1105-$I1104)))</f>
        <v>222</v>
      </c>
      <c r="AB1105" s="48" t="n">
        <f aca="false">IF($U1105&gt;=ATR_PER,AVERAGE(INDEX($AA$985:$AA1105,122-ATR_PER):$AA1105),"")</f>
        <v>184.357142857143</v>
      </c>
      <c r="AC1105" s="48" t="n">
        <f aca="false">$O1105-$P1105</f>
        <v>-36886719</v>
      </c>
      <c r="AD1105" s="48" t="n">
        <f aca="false">$AC1105*$I1105</f>
        <v>-191774052081</v>
      </c>
      <c r="AE1105" s="49" t="n">
        <f aca="false">IF($Q1105&gt;0,$O1105*$I1105/$Q1105/1000000,"")</f>
        <v>41.7395294647619</v>
      </c>
      <c r="AF1105" s="49" t="n">
        <f aca="false">IF($R1105&gt;0,$P1105*$I1105/$R1105/1000000,"")</f>
        <v>118.79954792172</v>
      </c>
      <c r="AG1105" s="50" t="n">
        <f aca="false">IF(AND(ISNUMBER($AE1105),ISNUMBER($AF1105),$AF1105&gt;0),$AE1105/$AF1105,"")</f>
        <v>0.351344177608026</v>
      </c>
      <c r="AH1105" s="48" t="n">
        <f aca="false">IF($U1105&gt;=5,SUM(INDEX($AD$1075:$AD1105,32-5):$AD1105),"")</f>
        <v>-391141571233</v>
      </c>
      <c r="AI1105" s="48" t="n">
        <f aca="false">IF($U1105&gt;=STRUCT_S,MAX(INDEX($G$955:$G1105,152-STRUCT_S):$G1105),"")</f>
        <v>5537</v>
      </c>
      <c r="AJ1105" s="48" t="n">
        <f aca="false">IF($U1105&gt;=STRUCT_S,MIN(INDEX($H$955:$H1105,152-STRUCT_S):$H1105),"")</f>
        <v>4966</v>
      </c>
      <c r="AK1105" s="48" t="n">
        <f aca="false">IF($U1105&gt;=STRUCT_L,MAX(INDEX($G$855:$G1105,252-STRUCT_L):$G1105),"")</f>
        <v>5537</v>
      </c>
      <c r="AL1105" s="48" t="n">
        <f aca="false">IF($U1105&gt;=STRUCT_L,MIN(INDEX($H$855:$H1105,252-STRUCT_L):$H1105),"")</f>
        <v>4345</v>
      </c>
      <c r="AM1105" s="46" t="n">
        <f aca="false">IF($A1105&lt;&gt;$A1106,1,0)</f>
        <v>0</v>
      </c>
      <c r="AN1105" s="47" t="str">
        <f aca="false">IF($AM1105=1,$A1105,"")</f>
        <v/>
      </c>
    </row>
    <row r="1106" customFormat="false" ht="15" hidden="false" customHeight="false" outlineLevel="0" collapsed="false">
      <c r="A1106" s="43" t="s">
        <v>152</v>
      </c>
      <c r="B1106" s="44" t="s">
        <v>154</v>
      </c>
      <c r="C1106" s="45" t="n">
        <v>45991</v>
      </c>
      <c r="D1106" s="46" t="n">
        <v>20251130</v>
      </c>
      <c r="E1106" s="47" t="s">
        <v>349</v>
      </c>
      <c r="F1106" s="48" t="n">
        <v>5341</v>
      </c>
      <c r="G1106" s="48" t="n">
        <v>5343</v>
      </c>
      <c r="H1106" s="48" t="n">
        <v>5178</v>
      </c>
      <c r="I1106" s="48" t="n">
        <v>5322</v>
      </c>
      <c r="J1106" s="48" t="n">
        <v>5322</v>
      </c>
      <c r="K1106" s="48" t="n">
        <v>5199</v>
      </c>
      <c r="L1106" s="48" t="n">
        <v>93517495</v>
      </c>
      <c r="M1106" s="48" t="n">
        <v>497700108390</v>
      </c>
      <c r="N1106" s="48" t="n">
        <v>2996</v>
      </c>
      <c r="O1106" s="48" t="n">
        <v>50124365</v>
      </c>
      <c r="P1106" s="48" t="n">
        <v>41020903</v>
      </c>
      <c r="Q1106" s="48" t="n">
        <v>1551</v>
      </c>
      <c r="R1106" s="48" t="n">
        <v>1322</v>
      </c>
      <c r="S1106" s="48" t="n">
        <v>43393130</v>
      </c>
      <c r="T1106" s="48" t="n">
        <v>52496592</v>
      </c>
      <c r="U1106" s="46" t="n">
        <f aca="false">IF($A1106=$A1105,$U1105+1,1)</f>
        <v>62</v>
      </c>
      <c r="V1106" s="48" t="n">
        <f aca="false">IF($U1106&gt;=MA_SHORT,AVERAGE(INDEX($I$706:$I1106,402-MA_SHORT):$I1106),"")</f>
        <v>5267.1</v>
      </c>
      <c r="W1106" s="48" t="n">
        <f aca="false">IF($U1106&gt;=MA_MED,AVERAGE(INDEX($I$706:$I1106,402-MA_MED):$I1106),"")</f>
        <v>5135.38</v>
      </c>
      <c r="X1106" s="48" t="str">
        <f aca="false">IF($U1106&gt;=MA_LONG1,AVERAGE(INDEX($I$706:$I1106,402-MA_LONG1):$I1106),"")</f>
        <v/>
      </c>
      <c r="Y1106" s="48" t="str">
        <f aca="false">IF($U1106&gt;=MA_LONG2,AVERAGE(INDEX($I$706:$I1106,402-MA_LONG2):$I1106),"")</f>
        <v/>
      </c>
      <c r="Z1106" s="48" t="n">
        <f aca="false">IF($U1106&gt;=MA_SHORT,AVERAGE(INDEX($L$986:$L1106,122-MA_SHORT):$L1106),"")</f>
        <v>113356598.85</v>
      </c>
      <c r="AA1106" s="48" t="n">
        <f aca="false">IF($U1106=1,$G1106-$H1106,MAX($G1106-$H1106,ABS($G1106-$I1105),ABS($H1106-$I1105)))</f>
        <v>165</v>
      </c>
      <c r="AB1106" s="48" t="n">
        <f aca="false">IF($U1106&gt;=ATR_PER,AVERAGE(INDEX($AA$986:$AA1106,122-ATR_PER):$AA1106),"")</f>
        <v>181.428571428571</v>
      </c>
      <c r="AC1106" s="48" t="n">
        <f aca="false">$O1106-$P1106</f>
        <v>9103462</v>
      </c>
      <c r="AD1106" s="48" t="n">
        <f aca="false">$AC1106*$I1106</f>
        <v>48448624764</v>
      </c>
      <c r="AE1106" s="49" t="n">
        <f aca="false">IF($Q1106&gt;0,$O1106*$I1106/$Q1106/1000000,"")</f>
        <v>171.993469071567</v>
      </c>
      <c r="AF1106" s="49" t="n">
        <f aca="false">IF($R1106&gt;0,$P1106*$I1106/$R1106/1000000,"")</f>
        <v>165.138612531014</v>
      </c>
      <c r="AG1106" s="50" t="n">
        <f aca="false">IF(AND(ISNUMBER($AE1106),ISNUMBER($AF1106),$AF1106&gt;0),$AE1106/$AF1106,"")</f>
        <v>1.04150971378221</v>
      </c>
      <c r="AH1106" s="48" t="n">
        <f aca="false">IF($U1106&gt;=5,SUM(INDEX($AD$1076:$AD1106,32-5):$AD1106),"")</f>
        <v>-405150728933</v>
      </c>
      <c r="AI1106" s="48" t="n">
        <f aca="false">IF($U1106&gt;=STRUCT_S,MAX(INDEX($G$956:$G1106,152-STRUCT_S):$G1106),"")</f>
        <v>5537</v>
      </c>
      <c r="AJ1106" s="48" t="n">
        <f aca="false">IF($U1106&gt;=STRUCT_S,MIN(INDEX($H$956:$H1106,152-STRUCT_S):$H1106),"")</f>
        <v>4966</v>
      </c>
      <c r="AK1106" s="48" t="n">
        <f aca="false">IF($U1106&gt;=STRUCT_L,MAX(INDEX($G$856:$G1106,252-STRUCT_L):$G1106),"")</f>
        <v>5537</v>
      </c>
      <c r="AL1106" s="48" t="n">
        <f aca="false">IF($U1106&gt;=STRUCT_L,MIN(INDEX($H$856:$H1106,252-STRUCT_L):$H1106),"")</f>
        <v>4345</v>
      </c>
      <c r="AM1106" s="46" t="n">
        <f aca="false">IF($A1106&lt;&gt;$A1107,1,0)</f>
        <v>0</v>
      </c>
      <c r="AN1106" s="47" t="str">
        <f aca="false">IF($AM1106=1,$A1106,"")</f>
        <v/>
      </c>
    </row>
    <row r="1107" customFormat="false" ht="15" hidden="false" customHeight="false" outlineLevel="0" collapsed="false">
      <c r="A1107" s="43" t="s">
        <v>152</v>
      </c>
      <c r="B1107" s="44" t="s">
        <v>154</v>
      </c>
      <c r="C1107" s="45" t="n">
        <v>45992</v>
      </c>
      <c r="D1107" s="46" t="n">
        <v>20251201</v>
      </c>
      <c r="E1107" s="47" t="s">
        <v>350</v>
      </c>
      <c r="F1107" s="48" t="n">
        <v>5235</v>
      </c>
      <c r="G1107" s="48" t="n">
        <v>5439</v>
      </c>
      <c r="H1107" s="48" t="n">
        <v>5126</v>
      </c>
      <c r="I1107" s="48" t="n">
        <v>5241</v>
      </c>
      <c r="J1107" s="48" t="n">
        <v>5185</v>
      </c>
      <c r="K1107" s="48" t="n">
        <v>5322</v>
      </c>
      <c r="L1107" s="48" t="n">
        <v>85426032</v>
      </c>
      <c r="M1107" s="48" t="n">
        <v>447717833712</v>
      </c>
      <c r="N1107" s="48" t="n">
        <v>1907</v>
      </c>
      <c r="O1107" s="48" t="n">
        <v>35857399</v>
      </c>
      <c r="P1107" s="48" t="n">
        <v>46206533</v>
      </c>
      <c r="Q1107" s="48" t="n">
        <v>630</v>
      </c>
      <c r="R1107" s="48" t="n">
        <v>1152</v>
      </c>
      <c r="S1107" s="48" t="n">
        <v>49568633</v>
      </c>
      <c r="T1107" s="48" t="n">
        <v>39219499</v>
      </c>
      <c r="U1107" s="46" t="n">
        <f aca="false">IF($A1107=$A1106,$U1106+1,1)</f>
        <v>63</v>
      </c>
      <c r="V1107" s="48" t="n">
        <f aca="false">IF($U1107&gt;=MA_SHORT,AVERAGE(INDEX($I$707:$I1107,402-MA_SHORT):$I1107),"")</f>
        <v>5266.6</v>
      </c>
      <c r="W1107" s="48" t="n">
        <f aca="false">IF($U1107&gt;=MA_MED,AVERAGE(INDEX($I$707:$I1107,402-MA_MED):$I1107),"")</f>
        <v>5141.92</v>
      </c>
      <c r="X1107" s="48" t="str">
        <f aca="false">IF($U1107&gt;=MA_LONG1,AVERAGE(INDEX($I$707:$I1107,402-MA_LONG1):$I1107),"")</f>
        <v/>
      </c>
      <c r="Y1107" s="48" t="str">
        <f aca="false">IF($U1107&gt;=MA_LONG2,AVERAGE(INDEX($I$707:$I1107,402-MA_LONG2):$I1107),"")</f>
        <v/>
      </c>
      <c r="Z1107" s="48" t="n">
        <f aca="false">IF($U1107&gt;=MA_SHORT,AVERAGE(INDEX($L$987:$L1107,122-MA_SHORT):$L1107),"")</f>
        <v>112852997.65</v>
      </c>
      <c r="AA1107" s="48" t="n">
        <f aca="false">IF($U1107=1,$G1107-$H1107,MAX($G1107-$H1107,ABS($G1107-$I1106),ABS($H1107-$I1106)))</f>
        <v>313</v>
      </c>
      <c r="AB1107" s="48" t="n">
        <f aca="false">IF($U1107&gt;=ATR_PER,AVERAGE(INDEX($AA$987:$AA1107,122-ATR_PER):$AA1107),"")</f>
        <v>186.285714285714</v>
      </c>
      <c r="AC1107" s="48" t="n">
        <f aca="false">$O1107-$P1107</f>
        <v>-10349134</v>
      </c>
      <c r="AD1107" s="48" t="n">
        <f aca="false">$AC1107*$I1107</f>
        <v>-54239811294</v>
      </c>
      <c r="AE1107" s="49" t="n">
        <f aca="false">IF($Q1107&gt;0,$O1107*$I1107/$Q1107/1000000,"")</f>
        <v>298.299409776191</v>
      </c>
      <c r="AF1107" s="49" t="n">
        <f aca="false">IF($R1107&gt;0,$P1107*$I1107/$R1107/1000000,"")</f>
        <v>210.215659247396</v>
      </c>
      <c r="AG1107" s="50" t="n">
        <f aca="false">IF(AND(ISNUMBER($AE1107),ISNUMBER($AF1107),$AF1107&gt;0),$AE1107/$AF1107,"")</f>
        <v>1.41901612298602</v>
      </c>
      <c r="AH1107" s="48" t="n">
        <f aca="false">IF($U1107&gt;=5,SUM(INDEX($AD$1077:$AD1107,32-5):$AD1107),"")</f>
        <v>-354408996579</v>
      </c>
      <c r="AI1107" s="48" t="n">
        <f aca="false">IF($U1107&gt;=STRUCT_S,MAX(INDEX($G$957:$G1107,152-STRUCT_S):$G1107),"")</f>
        <v>5537</v>
      </c>
      <c r="AJ1107" s="48" t="n">
        <f aca="false">IF($U1107&gt;=STRUCT_S,MIN(INDEX($H$957:$H1107,152-STRUCT_S):$H1107),"")</f>
        <v>4966</v>
      </c>
      <c r="AK1107" s="48" t="n">
        <f aca="false">IF($U1107&gt;=STRUCT_L,MAX(INDEX($G$857:$G1107,252-STRUCT_L):$G1107),"")</f>
        <v>5537</v>
      </c>
      <c r="AL1107" s="48" t="n">
        <f aca="false">IF($U1107&gt;=STRUCT_L,MIN(INDEX($H$857:$H1107,252-STRUCT_L):$H1107),"")</f>
        <v>4345</v>
      </c>
      <c r="AM1107" s="46" t="n">
        <f aca="false">IF($A1107&lt;&gt;$A1108,1,0)</f>
        <v>0</v>
      </c>
      <c r="AN1107" s="47" t="str">
        <f aca="false">IF($AM1107=1,$A1107,"")</f>
        <v/>
      </c>
    </row>
    <row r="1108" customFormat="false" ht="15" hidden="false" customHeight="false" outlineLevel="0" collapsed="false">
      <c r="A1108" s="43" t="s">
        <v>152</v>
      </c>
      <c r="B1108" s="44" t="s">
        <v>154</v>
      </c>
      <c r="C1108" s="45" t="n">
        <v>45993</v>
      </c>
      <c r="D1108" s="46" t="n">
        <v>20251202</v>
      </c>
      <c r="E1108" s="47" t="s">
        <v>351</v>
      </c>
      <c r="F1108" s="48" t="n">
        <v>5246</v>
      </c>
      <c r="G1108" s="48" t="n">
        <v>5304</v>
      </c>
      <c r="H1108" s="48" t="n">
        <v>5098</v>
      </c>
      <c r="I1108" s="48" t="n">
        <v>5160</v>
      </c>
      <c r="J1108" s="48" t="n">
        <v>5163</v>
      </c>
      <c r="K1108" s="48" t="n">
        <v>5241</v>
      </c>
      <c r="L1108" s="48" t="n">
        <v>84859968</v>
      </c>
      <c r="M1108" s="48" t="n">
        <v>437877434880</v>
      </c>
      <c r="N1108" s="48" t="n">
        <v>5360</v>
      </c>
      <c r="O1108" s="48" t="n">
        <v>32635590</v>
      </c>
      <c r="P1108" s="48" t="n">
        <v>50836348</v>
      </c>
      <c r="Q1108" s="48" t="n">
        <v>1371</v>
      </c>
      <c r="R1108" s="48" t="n">
        <v>2264</v>
      </c>
      <c r="S1108" s="48" t="n">
        <v>52224378</v>
      </c>
      <c r="T1108" s="48" t="n">
        <v>34023620</v>
      </c>
      <c r="U1108" s="46" t="n">
        <f aca="false">IF($A1108=$A1107,$U1107+1,1)</f>
        <v>64</v>
      </c>
      <c r="V1108" s="48" t="n">
        <f aca="false">IF($U1108&gt;=MA_SHORT,AVERAGE(INDEX($I$708:$I1108,402-MA_SHORT):$I1108),"")</f>
        <v>5252.35</v>
      </c>
      <c r="W1108" s="48" t="n">
        <f aca="false">IF($U1108&gt;=MA_MED,AVERAGE(INDEX($I$708:$I1108,402-MA_MED):$I1108),"")</f>
        <v>5145.82</v>
      </c>
      <c r="X1108" s="48" t="str">
        <f aca="false">IF($U1108&gt;=MA_LONG1,AVERAGE(INDEX($I$708:$I1108,402-MA_LONG1):$I1108),"")</f>
        <v/>
      </c>
      <c r="Y1108" s="48" t="str">
        <f aca="false">IF($U1108&gt;=MA_LONG2,AVERAGE(INDEX($I$708:$I1108,402-MA_LONG2):$I1108),"")</f>
        <v/>
      </c>
      <c r="Z1108" s="48" t="n">
        <f aca="false">IF($U1108&gt;=MA_SHORT,AVERAGE(INDEX($L$988:$L1108,122-MA_SHORT):$L1108),"")</f>
        <v>100241580.95</v>
      </c>
      <c r="AA1108" s="48" t="n">
        <f aca="false">IF($U1108=1,$G1108-$H1108,MAX($G1108-$H1108,ABS($G1108-$I1107),ABS($H1108-$I1107)))</f>
        <v>206</v>
      </c>
      <c r="AB1108" s="48" t="n">
        <f aca="false">IF($U1108&gt;=ATR_PER,AVERAGE(INDEX($AA$988:$AA1108,122-ATR_PER):$AA1108),"")</f>
        <v>194.357142857143</v>
      </c>
      <c r="AC1108" s="48" t="n">
        <f aca="false">$O1108-$P1108</f>
        <v>-18200758</v>
      </c>
      <c r="AD1108" s="48" t="n">
        <f aca="false">$AC1108*$I1108</f>
        <v>-93915911280</v>
      </c>
      <c r="AE1108" s="49" t="n">
        <f aca="false">IF($Q1108&gt;0,$O1108*$I1108/$Q1108/1000000,"")</f>
        <v>122.829791684902</v>
      </c>
      <c r="AF1108" s="49" t="n">
        <f aca="false">IF($R1108&gt;0,$P1108*$I1108/$R1108/1000000,"")</f>
        <v>115.863761342756</v>
      </c>
      <c r="AG1108" s="50" t="n">
        <f aca="false">IF(AND(ISNUMBER($AE1108),ISNUMBER($AF1108),$AF1108&gt;0),$AE1108/$AF1108,"")</f>
        <v>1.06012259796692</v>
      </c>
      <c r="AH1108" s="48" t="n">
        <f aca="false">IF($U1108&gt;=5,SUM(INDEX($AD$1078:$AD1108,32-5):$AD1108),"")</f>
        <v>-381712991859</v>
      </c>
      <c r="AI1108" s="48" t="n">
        <f aca="false">IF($U1108&gt;=STRUCT_S,MAX(INDEX($G$958:$G1108,152-STRUCT_S):$G1108),"")</f>
        <v>5537</v>
      </c>
      <c r="AJ1108" s="48" t="n">
        <f aca="false">IF($U1108&gt;=STRUCT_S,MIN(INDEX($H$958:$H1108,152-STRUCT_S):$H1108),"")</f>
        <v>4966</v>
      </c>
      <c r="AK1108" s="48" t="n">
        <f aca="false">IF($U1108&gt;=STRUCT_L,MAX(INDEX($G$858:$G1108,252-STRUCT_L):$G1108),"")</f>
        <v>5537</v>
      </c>
      <c r="AL1108" s="48" t="n">
        <f aca="false">IF($U1108&gt;=STRUCT_L,MIN(INDEX($H$858:$H1108,252-STRUCT_L):$H1108),"")</f>
        <v>4345</v>
      </c>
      <c r="AM1108" s="46" t="n">
        <f aca="false">IF($A1108&lt;&gt;$A1109,1,0)</f>
        <v>0</v>
      </c>
      <c r="AN1108" s="47" t="str">
        <f aca="false">IF($AM1108=1,$A1108,"")</f>
        <v/>
      </c>
    </row>
    <row r="1109" customFormat="false" ht="15" hidden="false" customHeight="false" outlineLevel="0" collapsed="false">
      <c r="A1109" s="43" t="s">
        <v>152</v>
      </c>
      <c r="B1109" s="44" t="s">
        <v>154</v>
      </c>
      <c r="C1109" s="45" t="n">
        <v>45994</v>
      </c>
      <c r="D1109" s="46" t="n">
        <v>20251203</v>
      </c>
      <c r="E1109" s="47" t="s">
        <v>352</v>
      </c>
      <c r="F1109" s="48" t="n">
        <v>5115</v>
      </c>
      <c r="G1109" s="48" t="n">
        <v>5230</v>
      </c>
      <c r="H1109" s="48" t="n">
        <v>5080</v>
      </c>
      <c r="I1109" s="48" t="n">
        <v>5150</v>
      </c>
      <c r="J1109" s="48" t="n">
        <v>5102</v>
      </c>
      <c r="K1109" s="48" t="n">
        <v>5160</v>
      </c>
      <c r="L1109" s="48" t="n">
        <v>83193982</v>
      </c>
      <c r="M1109" s="48" t="n">
        <v>428449007300</v>
      </c>
      <c r="N1109" s="48" t="n">
        <v>7456</v>
      </c>
      <c r="O1109" s="48" t="n">
        <v>38653249</v>
      </c>
      <c r="P1109" s="48" t="n">
        <v>43052707</v>
      </c>
      <c r="Q1109" s="48" t="n">
        <v>3262</v>
      </c>
      <c r="R1109" s="48" t="n">
        <v>3613</v>
      </c>
      <c r="S1109" s="48" t="n">
        <v>44540733</v>
      </c>
      <c r="T1109" s="48" t="n">
        <v>40141275</v>
      </c>
      <c r="U1109" s="46" t="n">
        <f aca="false">IF($A1109=$A1108,$U1108+1,1)</f>
        <v>65</v>
      </c>
      <c r="V1109" s="48" t="n">
        <f aca="false">IF($U1109&gt;=MA_SHORT,AVERAGE(INDEX($I$709:$I1109,402-MA_SHORT):$I1109),"")</f>
        <v>5249.1</v>
      </c>
      <c r="W1109" s="48" t="n">
        <f aca="false">IF($U1109&gt;=MA_MED,AVERAGE(INDEX($I$709:$I1109,402-MA_MED):$I1109),"")</f>
        <v>5149.88</v>
      </c>
      <c r="X1109" s="48" t="str">
        <f aca="false">IF($U1109&gt;=MA_LONG1,AVERAGE(INDEX($I$709:$I1109,402-MA_LONG1):$I1109),"")</f>
        <v/>
      </c>
      <c r="Y1109" s="48" t="str">
        <f aca="false">IF($U1109&gt;=MA_LONG2,AVERAGE(INDEX($I$709:$I1109,402-MA_LONG2):$I1109),"")</f>
        <v/>
      </c>
      <c r="Z1109" s="48" t="n">
        <f aca="false">IF($U1109&gt;=MA_SHORT,AVERAGE(INDEX($L$989:$L1109,122-MA_SHORT):$L1109),"")</f>
        <v>99534243.4</v>
      </c>
      <c r="AA1109" s="48" t="n">
        <f aca="false">IF($U1109=1,$G1109-$H1109,MAX($G1109-$H1109,ABS($G1109-$I1108),ABS($H1109-$I1108)))</f>
        <v>150</v>
      </c>
      <c r="AB1109" s="48" t="n">
        <f aca="false">IF($U1109&gt;=ATR_PER,AVERAGE(INDEX($AA$989:$AA1109,122-ATR_PER):$AA1109),"")</f>
        <v>193.5</v>
      </c>
      <c r="AC1109" s="48" t="n">
        <f aca="false">$O1109-$P1109</f>
        <v>-4399458</v>
      </c>
      <c r="AD1109" s="48" t="n">
        <f aca="false">$AC1109*$I1109</f>
        <v>-22657208700</v>
      </c>
      <c r="AE1109" s="49" t="n">
        <f aca="false">IF($Q1109&gt;0,$O1109*$I1109/$Q1109/1000000,"")</f>
        <v>61.0252091814838</v>
      </c>
      <c r="AF1109" s="49" t="n">
        <f aca="false">IF($R1109&gt;0,$P1109*$I1109/$R1109/1000000,"")</f>
        <v>61.3676836562414</v>
      </c>
      <c r="AG1109" s="50" t="n">
        <f aca="false">IF(AND(ISNUMBER($AE1109),ISNUMBER($AF1109),$AF1109&gt;0),$AE1109/$AF1109,"")</f>
        <v>0.994419302565239</v>
      </c>
      <c r="AH1109" s="48" t="n">
        <f aca="false">IF($U1109&gt;=5,SUM(INDEX($AD$1079:$AD1109,32-5):$AD1109),"")</f>
        <v>-314138358591</v>
      </c>
      <c r="AI1109" s="48" t="n">
        <f aca="false">IF($U1109&gt;=STRUCT_S,MAX(INDEX($G$959:$G1109,152-STRUCT_S):$G1109),"")</f>
        <v>5479</v>
      </c>
      <c r="AJ1109" s="48" t="n">
        <f aca="false">IF($U1109&gt;=STRUCT_S,MIN(INDEX($H$959:$H1109,152-STRUCT_S):$H1109),"")</f>
        <v>4966</v>
      </c>
      <c r="AK1109" s="48" t="n">
        <f aca="false">IF($U1109&gt;=STRUCT_L,MAX(INDEX($G$859:$G1109,252-STRUCT_L):$G1109),"")</f>
        <v>5537</v>
      </c>
      <c r="AL1109" s="48" t="n">
        <f aca="false">IF($U1109&gt;=STRUCT_L,MIN(INDEX($H$859:$H1109,252-STRUCT_L):$H1109),"")</f>
        <v>4395</v>
      </c>
      <c r="AM1109" s="46" t="n">
        <f aca="false">IF($A1109&lt;&gt;$A1110,1,0)</f>
        <v>0</v>
      </c>
      <c r="AN1109" s="47" t="str">
        <f aca="false">IF($AM1109=1,$A1109,"")</f>
        <v/>
      </c>
    </row>
    <row r="1110" customFormat="false" ht="15" hidden="false" customHeight="false" outlineLevel="0" collapsed="false">
      <c r="A1110" s="43" t="s">
        <v>152</v>
      </c>
      <c r="B1110" s="44" t="s">
        <v>154</v>
      </c>
      <c r="C1110" s="45" t="n">
        <v>45997</v>
      </c>
      <c r="D1110" s="46" t="n">
        <v>20251206</v>
      </c>
      <c r="E1110" s="47" t="s">
        <v>353</v>
      </c>
      <c r="F1110" s="48" t="n">
        <v>5143</v>
      </c>
      <c r="G1110" s="48" t="n">
        <v>5167</v>
      </c>
      <c r="H1110" s="48" t="n">
        <v>5036</v>
      </c>
      <c r="I1110" s="48" t="n">
        <v>5053</v>
      </c>
      <c r="J1110" s="48" t="n">
        <v>5142</v>
      </c>
      <c r="K1110" s="48" t="n">
        <v>5150</v>
      </c>
      <c r="L1110" s="48" t="n">
        <v>86434832</v>
      </c>
      <c r="M1110" s="48" t="n">
        <v>436755206096</v>
      </c>
      <c r="N1110" s="48" t="n">
        <v>2497</v>
      </c>
      <c r="O1110" s="48" t="n">
        <v>34024604</v>
      </c>
      <c r="P1110" s="48" t="n">
        <v>48805013</v>
      </c>
      <c r="Q1110" s="48" t="n">
        <v>645</v>
      </c>
      <c r="R1110" s="48" t="n">
        <v>1404</v>
      </c>
      <c r="S1110" s="48" t="n">
        <v>52410228</v>
      </c>
      <c r="T1110" s="48" t="n">
        <v>37629819</v>
      </c>
      <c r="U1110" s="46" t="n">
        <f aca="false">IF($A1110=$A1109,$U1109+1,1)</f>
        <v>66</v>
      </c>
      <c r="V1110" s="48" t="n">
        <f aca="false">IF($U1110&gt;=MA_SHORT,AVERAGE(INDEX($I$710:$I1110,402-MA_SHORT):$I1110),"")</f>
        <v>5235.65</v>
      </c>
      <c r="W1110" s="48" t="n">
        <f aca="false">IF($U1110&gt;=MA_MED,AVERAGE(INDEX($I$710:$I1110,402-MA_MED):$I1110),"")</f>
        <v>5151.66</v>
      </c>
      <c r="X1110" s="48" t="str">
        <f aca="false">IF($U1110&gt;=MA_LONG1,AVERAGE(INDEX($I$710:$I1110,402-MA_LONG1):$I1110),"")</f>
        <v/>
      </c>
      <c r="Y1110" s="48" t="str">
        <f aca="false">IF($U1110&gt;=MA_LONG2,AVERAGE(INDEX($I$710:$I1110,402-MA_LONG2):$I1110),"")</f>
        <v/>
      </c>
      <c r="Z1110" s="48" t="n">
        <f aca="false">IF($U1110&gt;=MA_SHORT,AVERAGE(INDEX($L$990:$L1110,122-MA_SHORT):$L1110),"")</f>
        <v>97540499.3</v>
      </c>
      <c r="AA1110" s="48" t="n">
        <f aca="false">IF($U1110=1,$G1110-$H1110,MAX($G1110-$H1110,ABS($G1110-$I1109),ABS($H1110-$I1109)))</f>
        <v>131</v>
      </c>
      <c r="AB1110" s="48" t="n">
        <f aca="false">IF($U1110&gt;=ATR_PER,AVERAGE(INDEX($AA$990:$AA1110,122-ATR_PER):$AA1110),"")</f>
        <v>182.142857142857</v>
      </c>
      <c r="AC1110" s="48" t="n">
        <f aca="false">$O1110-$P1110</f>
        <v>-14780409</v>
      </c>
      <c r="AD1110" s="48" t="n">
        <f aca="false">$AC1110*$I1110</f>
        <v>-74685406677</v>
      </c>
      <c r="AE1110" s="49" t="n">
        <f aca="false">IF($Q1110&gt;0,$O1110*$I1110/$Q1110/1000000,"")</f>
        <v>266.552440328682</v>
      </c>
      <c r="AF1110" s="49" t="n">
        <f aca="false">IF($R1110&gt;0,$P1110*$I1110/$R1110/1000000,"")</f>
        <v>175.649380832621</v>
      </c>
      <c r="AG1110" s="50" t="n">
        <f aca="false">IF(AND(ISNUMBER($AE1110),ISNUMBER($AF1110),$AF1110&gt;0),$AE1110/$AF1110,"")</f>
        <v>1.51752564720216</v>
      </c>
      <c r="AH1110" s="48" t="n">
        <f aca="false">IF($U1110&gt;=5,SUM(INDEX($AD$1080:$AD1110,32-5):$AD1110),"")</f>
        <v>-197049713187</v>
      </c>
      <c r="AI1110" s="48" t="n">
        <f aca="false">IF($U1110&gt;=STRUCT_S,MAX(INDEX($G$960:$G1110,152-STRUCT_S):$G1110),"")</f>
        <v>5479</v>
      </c>
      <c r="AJ1110" s="48" t="n">
        <f aca="false">IF($U1110&gt;=STRUCT_S,MIN(INDEX($H$960:$H1110,152-STRUCT_S):$H1110),"")</f>
        <v>4966</v>
      </c>
      <c r="AK1110" s="48" t="n">
        <f aca="false">IF($U1110&gt;=STRUCT_L,MAX(INDEX($G$860:$G1110,252-STRUCT_L):$G1110),"")</f>
        <v>5537</v>
      </c>
      <c r="AL1110" s="48" t="n">
        <f aca="false">IF($U1110&gt;=STRUCT_L,MIN(INDEX($H$860:$H1110,252-STRUCT_L):$H1110),"")</f>
        <v>4432</v>
      </c>
      <c r="AM1110" s="46" t="n">
        <f aca="false">IF($A1110&lt;&gt;$A1111,1,0)</f>
        <v>0</v>
      </c>
      <c r="AN1110" s="47" t="str">
        <f aca="false">IF($AM1110=1,$A1110,"")</f>
        <v/>
      </c>
    </row>
    <row r="1111" customFormat="false" ht="15" hidden="false" customHeight="false" outlineLevel="0" collapsed="false">
      <c r="A1111" s="43" t="s">
        <v>152</v>
      </c>
      <c r="B1111" s="44" t="s">
        <v>154</v>
      </c>
      <c r="C1111" s="45" t="n">
        <v>45998</v>
      </c>
      <c r="D1111" s="46" t="n">
        <v>20251207</v>
      </c>
      <c r="E1111" s="47" t="s">
        <v>354</v>
      </c>
      <c r="F1111" s="48" t="n">
        <v>5086</v>
      </c>
      <c r="G1111" s="48" t="n">
        <v>5190</v>
      </c>
      <c r="H1111" s="48" t="n">
        <v>4955</v>
      </c>
      <c r="I1111" s="48" t="n">
        <v>5091</v>
      </c>
      <c r="J1111" s="48" t="n">
        <v>5047</v>
      </c>
      <c r="K1111" s="48" t="n">
        <v>5053</v>
      </c>
      <c r="L1111" s="48" t="n">
        <v>81162742</v>
      </c>
      <c r="M1111" s="48" t="n">
        <v>413199519522</v>
      </c>
      <c r="N1111" s="48" t="n">
        <v>2020</v>
      </c>
      <c r="O1111" s="48" t="n">
        <v>40439334</v>
      </c>
      <c r="P1111" s="48" t="n">
        <v>36236926</v>
      </c>
      <c r="Q1111" s="48" t="n">
        <v>1225</v>
      </c>
      <c r="R1111" s="48" t="n">
        <v>728</v>
      </c>
      <c r="S1111" s="48" t="n">
        <v>40723408</v>
      </c>
      <c r="T1111" s="48" t="n">
        <v>44925816</v>
      </c>
      <c r="U1111" s="46" t="n">
        <f aca="false">IF($A1111=$A1110,$U1110+1,1)</f>
        <v>67</v>
      </c>
      <c r="V1111" s="48" t="n">
        <f aca="false">IF($U1111&gt;=MA_SHORT,AVERAGE(INDEX($I$711:$I1111,402-MA_SHORT):$I1111),"")</f>
        <v>5224.35</v>
      </c>
      <c r="W1111" s="48" t="n">
        <f aca="false">IF($U1111&gt;=MA_MED,AVERAGE(INDEX($I$711:$I1111,402-MA_MED):$I1111),"")</f>
        <v>5152.3</v>
      </c>
      <c r="X1111" s="48" t="str">
        <f aca="false">IF($U1111&gt;=MA_LONG1,AVERAGE(INDEX($I$711:$I1111,402-MA_LONG1):$I1111),"")</f>
        <v/>
      </c>
      <c r="Y1111" s="48" t="str">
        <f aca="false">IF($U1111&gt;=MA_LONG2,AVERAGE(INDEX($I$711:$I1111,402-MA_LONG2):$I1111),"")</f>
        <v/>
      </c>
      <c r="Z1111" s="48" t="n">
        <f aca="false">IF($U1111&gt;=MA_SHORT,AVERAGE(INDEX($L$991:$L1111,122-MA_SHORT):$L1111),"")</f>
        <v>97693815.85</v>
      </c>
      <c r="AA1111" s="48" t="n">
        <f aca="false">IF($U1111=1,$G1111-$H1111,MAX($G1111-$H1111,ABS($G1111-$I1110),ABS($H1111-$I1110)))</f>
        <v>235</v>
      </c>
      <c r="AB1111" s="48" t="n">
        <f aca="false">IF($U1111&gt;=ATR_PER,AVERAGE(INDEX($AA$991:$AA1111,122-ATR_PER):$AA1111),"")</f>
        <v>193</v>
      </c>
      <c r="AC1111" s="48" t="n">
        <f aca="false">$O1111-$P1111</f>
        <v>4202408</v>
      </c>
      <c r="AD1111" s="48" t="n">
        <f aca="false">$AC1111*$I1111</f>
        <v>21394459128</v>
      </c>
      <c r="AE1111" s="49" t="n">
        <f aca="false">IF($Q1111&gt;0,$O1111*$I1111/$Q1111/1000000,"")</f>
        <v>168.062570933878</v>
      </c>
      <c r="AF1111" s="49" t="n">
        <f aca="false">IF($R1111&gt;0,$P1111*$I1111/$R1111/1000000,"")</f>
        <v>253.409602013736</v>
      </c>
      <c r="AG1111" s="50" t="n">
        <f aca="false">IF(AND(ISNUMBER($AE1111),ISNUMBER($AF1111),$AF1111&gt;0),$AE1111/$AF1111,"")</f>
        <v>0.663205220316662</v>
      </c>
      <c r="AH1111" s="48" t="n">
        <f aca="false">IF($U1111&gt;=5,SUM(INDEX($AD$1081:$AD1111,32-5):$AD1111),"")</f>
        <v>-224103878823</v>
      </c>
      <c r="AI1111" s="48" t="n">
        <f aca="false">IF($U1111&gt;=STRUCT_S,MAX(INDEX($G$961:$G1111,152-STRUCT_S):$G1111),"")</f>
        <v>5479</v>
      </c>
      <c r="AJ1111" s="48" t="n">
        <f aca="false">IF($U1111&gt;=STRUCT_S,MIN(INDEX($H$961:$H1111,152-STRUCT_S):$H1111),"")</f>
        <v>4955</v>
      </c>
      <c r="AK1111" s="48" t="n">
        <f aca="false">IF($U1111&gt;=STRUCT_L,MAX(INDEX($G$861:$G1111,252-STRUCT_L):$G1111),"")</f>
        <v>5537</v>
      </c>
      <c r="AL1111" s="48" t="n">
        <f aca="false">IF($U1111&gt;=STRUCT_L,MIN(INDEX($H$861:$H1111,252-STRUCT_L):$H1111),"")</f>
        <v>4539</v>
      </c>
      <c r="AM1111" s="46" t="n">
        <f aca="false">IF($A1111&lt;&gt;$A1112,1,0)</f>
        <v>0</v>
      </c>
      <c r="AN1111" s="47" t="str">
        <f aca="false">IF($AM1111=1,$A1111,"")</f>
        <v/>
      </c>
    </row>
    <row r="1112" customFormat="false" ht="15" hidden="false" customHeight="false" outlineLevel="0" collapsed="false">
      <c r="A1112" s="43" t="s">
        <v>152</v>
      </c>
      <c r="B1112" s="44" t="s">
        <v>154</v>
      </c>
      <c r="C1112" s="45" t="n">
        <v>45999</v>
      </c>
      <c r="D1112" s="46" t="n">
        <v>20251208</v>
      </c>
      <c r="E1112" s="47" t="s">
        <v>355</v>
      </c>
      <c r="F1112" s="48" t="n">
        <v>5161</v>
      </c>
      <c r="G1112" s="48" t="n">
        <v>5169</v>
      </c>
      <c r="H1112" s="48" t="n">
        <v>5021</v>
      </c>
      <c r="I1112" s="48" t="n">
        <v>5099</v>
      </c>
      <c r="J1112" s="48" t="n">
        <v>5149</v>
      </c>
      <c r="K1112" s="48" t="n">
        <v>5091</v>
      </c>
      <c r="L1112" s="48" t="n">
        <v>78390847</v>
      </c>
      <c r="M1112" s="48" t="n">
        <v>399714928853</v>
      </c>
      <c r="N1112" s="48" t="n">
        <v>8538</v>
      </c>
      <c r="O1112" s="48" t="n">
        <v>38705980</v>
      </c>
      <c r="P1112" s="48" t="n">
        <v>40046359</v>
      </c>
      <c r="Q1112" s="48" t="n">
        <v>3049</v>
      </c>
      <c r="R1112" s="48" t="n">
        <v>2285</v>
      </c>
      <c r="S1112" s="48" t="n">
        <v>39684867</v>
      </c>
      <c r="T1112" s="48" t="n">
        <v>38344488</v>
      </c>
      <c r="U1112" s="46" t="n">
        <f aca="false">IF($A1112=$A1111,$U1111+1,1)</f>
        <v>68</v>
      </c>
      <c r="V1112" s="48" t="n">
        <f aca="false">IF($U1112&gt;=MA_SHORT,AVERAGE(INDEX($I$712:$I1112,402-MA_SHORT):$I1112),"")</f>
        <v>5210.7</v>
      </c>
      <c r="W1112" s="48" t="n">
        <f aca="false">IF($U1112&gt;=MA_MED,AVERAGE(INDEX($I$712:$I1112,402-MA_MED):$I1112),"")</f>
        <v>5153.02</v>
      </c>
      <c r="X1112" s="48" t="str">
        <f aca="false">IF($U1112&gt;=MA_LONG1,AVERAGE(INDEX($I$712:$I1112,402-MA_LONG1):$I1112),"")</f>
        <v/>
      </c>
      <c r="Y1112" s="48" t="str">
        <f aca="false">IF($U1112&gt;=MA_LONG2,AVERAGE(INDEX($I$712:$I1112,402-MA_LONG2):$I1112),"")</f>
        <v/>
      </c>
      <c r="Z1112" s="48" t="n">
        <f aca="false">IF($U1112&gt;=MA_SHORT,AVERAGE(INDEX($L$992:$L1112,122-MA_SHORT):$L1112),"")</f>
        <v>97489431.2</v>
      </c>
      <c r="AA1112" s="48" t="n">
        <f aca="false">IF($U1112=1,$G1112-$H1112,MAX($G1112-$H1112,ABS($G1112-$I1111),ABS($H1112-$I1111)))</f>
        <v>148</v>
      </c>
      <c r="AB1112" s="48" t="n">
        <f aca="false">IF($U1112&gt;=ATR_PER,AVERAGE(INDEX($AA$992:$AA1112,122-ATR_PER):$AA1112),"")</f>
        <v>190.428571428571</v>
      </c>
      <c r="AC1112" s="48" t="n">
        <f aca="false">$O1112-$P1112</f>
        <v>-1340379</v>
      </c>
      <c r="AD1112" s="48" t="n">
        <f aca="false">$AC1112*$I1112</f>
        <v>-6834592521</v>
      </c>
      <c r="AE1112" s="49" t="n">
        <f aca="false">IF($Q1112&gt;0,$O1112*$I1112/$Q1112/1000000,"")</f>
        <v>64.73000722204</v>
      </c>
      <c r="AF1112" s="49" t="n">
        <f aca="false">IF($R1112&gt;0,$P1112*$I1112/$R1112/1000000,"")</f>
        <v>89.3638444380744</v>
      </c>
      <c r="AG1112" s="50" t="n">
        <f aca="false">IF(AND(ISNUMBER($AE1112),ISNUMBER($AF1112),$AF1112&gt;0),$AE1112/$AF1112,"")</f>
        <v>0.724342239627967</v>
      </c>
      <c r="AH1112" s="48" t="n">
        <f aca="false">IF($U1112&gt;=5,SUM(INDEX($AD$1082:$AD1112,32-5):$AD1112),"")</f>
        <v>-176698660050</v>
      </c>
      <c r="AI1112" s="48" t="n">
        <f aca="false">IF($U1112&gt;=STRUCT_S,MAX(INDEX($G$962:$G1112,152-STRUCT_S):$G1112),"")</f>
        <v>5479</v>
      </c>
      <c r="AJ1112" s="48" t="n">
        <f aca="false">IF($U1112&gt;=STRUCT_S,MIN(INDEX($H$962:$H1112,152-STRUCT_S):$H1112),"")</f>
        <v>4955</v>
      </c>
      <c r="AK1112" s="48" t="n">
        <f aca="false">IF($U1112&gt;=STRUCT_L,MAX(INDEX($G$862:$G1112,252-STRUCT_L):$G1112),"")</f>
        <v>5537</v>
      </c>
      <c r="AL1112" s="48" t="n">
        <f aca="false">IF($U1112&gt;=STRUCT_L,MIN(INDEX($H$862:$H1112,252-STRUCT_L):$H1112),"")</f>
        <v>4604</v>
      </c>
      <c r="AM1112" s="46" t="n">
        <f aca="false">IF($A1112&lt;&gt;$A1113,1,0)</f>
        <v>0</v>
      </c>
      <c r="AN1112" s="47" t="str">
        <f aca="false">IF($AM1112=1,$A1112,"")</f>
        <v/>
      </c>
    </row>
    <row r="1113" customFormat="false" ht="15" hidden="false" customHeight="false" outlineLevel="0" collapsed="false">
      <c r="A1113" s="43" t="s">
        <v>152</v>
      </c>
      <c r="B1113" s="44" t="s">
        <v>154</v>
      </c>
      <c r="C1113" s="45" t="n">
        <v>46000</v>
      </c>
      <c r="D1113" s="46" t="n">
        <v>20251209</v>
      </c>
      <c r="E1113" s="47" t="s">
        <v>356</v>
      </c>
      <c r="F1113" s="48" t="n">
        <v>5026</v>
      </c>
      <c r="G1113" s="48" t="n">
        <v>5111</v>
      </c>
      <c r="H1113" s="48" t="n">
        <v>5002</v>
      </c>
      <c r="I1113" s="48" t="n">
        <v>5014</v>
      </c>
      <c r="J1113" s="48" t="n">
        <v>5064</v>
      </c>
      <c r="K1113" s="48" t="n">
        <v>5099</v>
      </c>
      <c r="L1113" s="48" t="n">
        <v>88792982</v>
      </c>
      <c r="M1113" s="48" t="n">
        <v>445208011748</v>
      </c>
      <c r="N1113" s="48" t="n">
        <v>4124</v>
      </c>
      <c r="O1113" s="48" t="n">
        <v>24930713</v>
      </c>
      <c r="P1113" s="48" t="n">
        <v>66239436</v>
      </c>
      <c r="Q1113" s="48" t="n">
        <v>1242</v>
      </c>
      <c r="R1113" s="48" t="n">
        <v>2203</v>
      </c>
      <c r="S1113" s="48" t="n">
        <v>63862269</v>
      </c>
      <c r="T1113" s="48" t="n">
        <v>22553546</v>
      </c>
      <c r="U1113" s="46" t="n">
        <f aca="false">IF($A1113=$A1112,$U1112+1,1)</f>
        <v>69</v>
      </c>
      <c r="V1113" s="48" t="n">
        <f aca="false">IF($U1113&gt;=MA_SHORT,AVERAGE(INDEX($I$713:$I1113,402-MA_SHORT):$I1113),"")</f>
        <v>5200.7</v>
      </c>
      <c r="W1113" s="48" t="n">
        <f aca="false">IF($U1113&gt;=MA_MED,AVERAGE(INDEX($I$713:$I1113,402-MA_MED):$I1113),"")</f>
        <v>5151.08</v>
      </c>
      <c r="X1113" s="48" t="str">
        <f aca="false">IF($U1113&gt;=MA_LONG1,AVERAGE(INDEX($I$713:$I1113,402-MA_LONG1):$I1113),"")</f>
        <v/>
      </c>
      <c r="Y1113" s="48" t="str">
        <f aca="false">IF($U1113&gt;=MA_LONG2,AVERAGE(INDEX($I$713:$I1113,402-MA_LONG2):$I1113),"")</f>
        <v/>
      </c>
      <c r="Z1113" s="48" t="n">
        <f aca="false">IF($U1113&gt;=MA_SHORT,AVERAGE(INDEX($L$993:$L1113,122-MA_SHORT):$L1113),"")</f>
        <v>96945713.7</v>
      </c>
      <c r="AA1113" s="48" t="n">
        <f aca="false">IF($U1113=1,$G1113-$H1113,MAX($G1113-$H1113,ABS($G1113-$I1112),ABS($H1113-$I1112)))</f>
        <v>109</v>
      </c>
      <c r="AB1113" s="48" t="n">
        <f aca="false">IF($U1113&gt;=ATR_PER,AVERAGE(INDEX($AA$993:$AA1113,122-ATR_PER):$AA1113),"")</f>
        <v>185.642857142857</v>
      </c>
      <c r="AC1113" s="48" t="n">
        <f aca="false">$O1113-$P1113</f>
        <v>-41308723</v>
      </c>
      <c r="AD1113" s="48" t="n">
        <f aca="false">$AC1113*$I1113</f>
        <v>-207121937122</v>
      </c>
      <c r="AE1113" s="49" t="n">
        <f aca="false">IF($Q1113&gt;0,$O1113*$I1113/$Q1113/1000000,"")</f>
        <v>100.646211740741</v>
      </c>
      <c r="AF1113" s="49" t="n">
        <f aca="false">IF($R1113&gt;0,$P1113*$I1113/$R1113/1000000,"")</f>
        <v>150.760114436677</v>
      </c>
      <c r="AG1113" s="50" t="n">
        <f aca="false">IF(AND(ISNUMBER($AE1113),ISNUMBER($AF1113),$AF1113&gt;0),$AE1113/$AF1113,"")</f>
        <v>0.667591770653733</v>
      </c>
      <c r="AH1113" s="48" t="n">
        <f aca="false">IF($U1113&gt;=5,SUM(INDEX($AD$1083:$AD1113,32-5):$AD1113),"")</f>
        <v>-289904685892</v>
      </c>
      <c r="AI1113" s="48" t="n">
        <f aca="false">IF($U1113&gt;=STRUCT_S,MAX(INDEX($G$963:$G1113,152-STRUCT_S):$G1113),"")</f>
        <v>5479</v>
      </c>
      <c r="AJ1113" s="48" t="n">
        <f aca="false">IF($U1113&gt;=STRUCT_S,MIN(INDEX($H$963:$H1113,152-STRUCT_S):$H1113),"")</f>
        <v>4955</v>
      </c>
      <c r="AK1113" s="48" t="n">
        <f aca="false">IF($U1113&gt;=STRUCT_L,MAX(INDEX($G$863:$G1113,252-STRUCT_L):$G1113),"")</f>
        <v>5537</v>
      </c>
      <c r="AL1113" s="48" t="n">
        <f aca="false">IF($U1113&gt;=STRUCT_L,MIN(INDEX($H$863:$H1113,252-STRUCT_L):$H1113),"")</f>
        <v>4644</v>
      </c>
      <c r="AM1113" s="46" t="n">
        <f aca="false">IF($A1113&lt;&gt;$A1114,1,0)</f>
        <v>0</v>
      </c>
      <c r="AN1113" s="47" t="str">
        <f aca="false">IF($AM1113=1,$A1113,"")</f>
        <v/>
      </c>
    </row>
    <row r="1114" customFormat="false" ht="15" hidden="false" customHeight="false" outlineLevel="0" collapsed="false">
      <c r="A1114" s="43" t="s">
        <v>152</v>
      </c>
      <c r="B1114" s="44" t="s">
        <v>154</v>
      </c>
      <c r="C1114" s="45" t="n">
        <v>46001</v>
      </c>
      <c r="D1114" s="46" t="n">
        <v>20251210</v>
      </c>
      <c r="E1114" s="47" t="s">
        <v>357</v>
      </c>
      <c r="F1114" s="48" t="n">
        <v>5012</v>
      </c>
      <c r="G1114" s="48" t="n">
        <v>5201</v>
      </c>
      <c r="H1114" s="48" t="n">
        <v>4912</v>
      </c>
      <c r="I1114" s="48" t="n">
        <v>5097</v>
      </c>
      <c r="J1114" s="48" t="n">
        <v>5183</v>
      </c>
      <c r="K1114" s="48" t="n">
        <v>5014</v>
      </c>
      <c r="L1114" s="48" t="n">
        <v>128651089</v>
      </c>
      <c r="M1114" s="48" t="n">
        <v>655734600633</v>
      </c>
      <c r="N1114" s="48" t="n">
        <v>5029</v>
      </c>
      <c r="O1114" s="48" t="n">
        <v>77840453</v>
      </c>
      <c r="P1114" s="48" t="n">
        <v>44824718</v>
      </c>
      <c r="Q1114" s="48" t="n">
        <v>2410</v>
      </c>
      <c r="R1114" s="48" t="n">
        <v>1484</v>
      </c>
      <c r="S1114" s="48" t="n">
        <v>50810636</v>
      </c>
      <c r="T1114" s="48" t="n">
        <v>83826371</v>
      </c>
      <c r="U1114" s="46" t="n">
        <f aca="false">IF($A1114=$A1113,$U1113+1,1)</f>
        <v>70</v>
      </c>
      <c r="V1114" s="48" t="n">
        <f aca="false">IF($U1114&gt;=MA_SHORT,AVERAGE(INDEX($I$714:$I1114,402-MA_SHORT):$I1114),"")</f>
        <v>5194</v>
      </c>
      <c r="W1114" s="48" t="n">
        <f aca="false">IF($U1114&gt;=MA_MED,AVERAGE(INDEX($I$714:$I1114,402-MA_MED):$I1114),"")</f>
        <v>5148.82</v>
      </c>
      <c r="X1114" s="48" t="str">
        <f aca="false">IF($U1114&gt;=MA_LONG1,AVERAGE(INDEX($I$714:$I1114,402-MA_LONG1):$I1114),"")</f>
        <v/>
      </c>
      <c r="Y1114" s="48" t="str">
        <f aca="false">IF($U1114&gt;=MA_LONG2,AVERAGE(INDEX($I$714:$I1114,402-MA_LONG2):$I1114),"")</f>
        <v/>
      </c>
      <c r="Z1114" s="48" t="n">
        <f aca="false">IF($U1114&gt;=MA_SHORT,AVERAGE(INDEX($L$994:$L1114,122-MA_SHORT):$L1114),"")</f>
        <v>97272626.1</v>
      </c>
      <c r="AA1114" s="48" t="n">
        <f aca="false">IF($U1114=1,$G1114-$H1114,MAX($G1114-$H1114,ABS($G1114-$I1113),ABS($H1114-$I1113)))</f>
        <v>289</v>
      </c>
      <c r="AB1114" s="48" t="n">
        <f aca="false">IF($U1114&gt;=ATR_PER,AVERAGE(INDEX($AA$994:$AA1114,122-ATR_PER):$AA1114),"")</f>
        <v>187.071428571429</v>
      </c>
      <c r="AC1114" s="48" t="n">
        <f aca="false">$O1114-$P1114</f>
        <v>33015735</v>
      </c>
      <c r="AD1114" s="48" t="n">
        <f aca="false">$AC1114*$I1114</f>
        <v>168281201295</v>
      </c>
      <c r="AE1114" s="49" t="n">
        <f aca="false">IF($Q1114&gt;0,$O1114*$I1114/$Q1114/1000000,"")</f>
        <v>164.627713253527</v>
      </c>
      <c r="AF1114" s="49" t="n">
        <f aca="false">IF($R1114&gt;0,$P1114*$I1114/$R1114/1000000,"")</f>
        <v>153.956595448787</v>
      </c>
      <c r="AG1114" s="50" t="n">
        <f aca="false">IF(AND(ISNUMBER($AE1114),ISNUMBER($AF1114),$AF1114&gt;0),$AE1114/$AF1114,"")</f>
        <v>1.06931250833154</v>
      </c>
      <c r="AH1114" s="48" t="n">
        <f aca="false">IF($U1114&gt;=5,SUM(INDEX($AD$1084:$AD1114,32-5):$AD1114),"")</f>
        <v>-98966275897</v>
      </c>
      <c r="AI1114" s="48" t="n">
        <f aca="false">IF($U1114&gt;=STRUCT_S,MAX(INDEX($G$964:$G1114,152-STRUCT_S):$G1114),"")</f>
        <v>5479</v>
      </c>
      <c r="AJ1114" s="48" t="n">
        <f aca="false">IF($U1114&gt;=STRUCT_S,MIN(INDEX($H$964:$H1114,152-STRUCT_S):$H1114),"")</f>
        <v>4912</v>
      </c>
      <c r="AK1114" s="48" t="n">
        <f aca="false">IF($U1114&gt;=STRUCT_L,MAX(INDEX($G$864:$G1114,252-STRUCT_L):$G1114),"")</f>
        <v>5537</v>
      </c>
      <c r="AL1114" s="48" t="n">
        <f aca="false">IF($U1114&gt;=STRUCT_L,MIN(INDEX($H$864:$H1114,252-STRUCT_L):$H1114),"")</f>
        <v>4676</v>
      </c>
      <c r="AM1114" s="46" t="n">
        <f aca="false">IF($A1114&lt;&gt;$A1115,1,0)</f>
        <v>0</v>
      </c>
      <c r="AN1114" s="47" t="str">
        <f aca="false">IF($AM1114=1,$A1114,"")</f>
        <v/>
      </c>
    </row>
    <row r="1115" customFormat="false" ht="15" hidden="false" customHeight="false" outlineLevel="0" collapsed="false">
      <c r="A1115" s="43" t="s">
        <v>152</v>
      </c>
      <c r="B1115" s="44" t="s">
        <v>154</v>
      </c>
      <c r="C1115" s="45" t="n">
        <v>46004</v>
      </c>
      <c r="D1115" s="46" t="n">
        <v>20251213</v>
      </c>
      <c r="E1115" s="47" t="s">
        <v>358</v>
      </c>
      <c r="F1115" s="48" t="n">
        <v>5018</v>
      </c>
      <c r="G1115" s="48" t="n">
        <v>5202</v>
      </c>
      <c r="H1115" s="48" t="n">
        <v>5008</v>
      </c>
      <c r="I1115" s="48" t="n">
        <v>5113</v>
      </c>
      <c r="J1115" s="48" t="n">
        <v>5055</v>
      </c>
      <c r="K1115" s="48" t="n">
        <v>5097</v>
      </c>
      <c r="L1115" s="48" t="n">
        <v>79121321</v>
      </c>
      <c r="M1115" s="48" t="n">
        <v>404547314273</v>
      </c>
      <c r="N1115" s="48" t="n">
        <v>2496</v>
      </c>
      <c r="O1115" s="48" t="n">
        <v>39920843</v>
      </c>
      <c r="P1115" s="48" t="n">
        <v>33337536</v>
      </c>
      <c r="Q1115" s="48" t="n">
        <v>1017</v>
      </c>
      <c r="R1115" s="48" t="n">
        <v>914</v>
      </c>
      <c r="S1115" s="48" t="n">
        <v>39200478</v>
      </c>
      <c r="T1115" s="48" t="n">
        <v>45783785</v>
      </c>
      <c r="U1115" s="46" t="n">
        <f aca="false">IF($A1115=$A1114,$U1114+1,1)</f>
        <v>71</v>
      </c>
      <c r="V1115" s="48" t="n">
        <f aca="false">IF($U1115&gt;=MA_SHORT,AVERAGE(INDEX($I$715:$I1115,402-MA_SHORT):$I1115),"")</f>
        <v>5191.7</v>
      </c>
      <c r="W1115" s="48" t="n">
        <f aca="false">IF($U1115&gt;=MA_MED,AVERAGE(INDEX($I$715:$I1115,402-MA_MED):$I1115),"")</f>
        <v>5143.08</v>
      </c>
      <c r="X1115" s="48" t="str">
        <f aca="false">IF($U1115&gt;=MA_LONG1,AVERAGE(INDEX($I$715:$I1115,402-MA_LONG1):$I1115),"")</f>
        <v/>
      </c>
      <c r="Y1115" s="48" t="str">
        <f aca="false">IF($U1115&gt;=MA_LONG2,AVERAGE(INDEX($I$715:$I1115,402-MA_LONG2):$I1115),"")</f>
        <v/>
      </c>
      <c r="Z1115" s="48" t="n">
        <f aca="false">IF($U1115&gt;=MA_SHORT,AVERAGE(INDEX($L$995:$L1115,122-MA_SHORT):$L1115),"")</f>
        <v>96188009.8</v>
      </c>
      <c r="AA1115" s="48" t="n">
        <f aca="false">IF($U1115=1,$G1115-$H1115,MAX($G1115-$H1115,ABS($G1115-$I1114),ABS($H1115-$I1114)))</f>
        <v>194</v>
      </c>
      <c r="AB1115" s="48" t="n">
        <f aca="false">IF($U1115&gt;=ATR_PER,AVERAGE(INDEX($AA$995:$AA1115,122-ATR_PER):$AA1115),"")</f>
        <v>196.214285714286</v>
      </c>
      <c r="AC1115" s="48" t="n">
        <f aca="false">$O1115-$P1115</f>
        <v>6583307</v>
      </c>
      <c r="AD1115" s="48" t="n">
        <f aca="false">$AC1115*$I1115</f>
        <v>33660448691</v>
      </c>
      <c r="AE1115" s="49" t="n">
        <f aca="false">IF($Q1115&gt;0,$O1115*$I1115/$Q1115/1000000,"")</f>
        <v>200.703313922321</v>
      </c>
      <c r="AF1115" s="49" t="n">
        <f aca="false">IF($R1115&gt;0,$P1115*$I1115/$R1115/1000000,"")</f>
        <v>186.493240227571</v>
      </c>
      <c r="AG1115" s="50" t="n">
        <f aca="false">IF(AND(ISNUMBER($AE1115),ISNUMBER($AF1115),$AF1115&gt;0),$AE1115/$AF1115,"")</f>
        <v>1.07619618640016</v>
      </c>
      <c r="AH1115" s="48" t="n">
        <f aca="false">IF($U1115&gt;=5,SUM(INDEX($AD$1085:$AD1115,32-5):$AD1115),"")</f>
        <v>9379579471</v>
      </c>
      <c r="AI1115" s="48" t="n">
        <f aca="false">IF($U1115&gt;=STRUCT_S,MAX(INDEX($G$965:$G1115,152-STRUCT_S):$G1115),"")</f>
        <v>5479</v>
      </c>
      <c r="AJ1115" s="48" t="n">
        <f aca="false">IF($U1115&gt;=STRUCT_S,MIN(INDEX($H$965:$H1115,152-STRUCT_S):$H1115),"")</f>
        <v>4912</v>
      </c>
      <c r="AK1115" s="48" t="n">
        <f aca="false">IF($U1115&gt;=STRUCT_L,MAX(INDEX($G$865:$G1115,252-STRUCT_L):$G1115),"")</f>
        <v>5537</v>
      </c>
      <c r="AL1115" s="48" t="n">
        <f aca="false">IF($U1115&gt;=STRUCT_L,MIN(INDEX($H$865:$H1115,252-STRUCT_L):$H1115),"")</f>
        <v>4676</v>
      </c>
      <c r="AM1115" s="46" t="n">
        <f aca="false">IF($A1115&lt;&gt;$A1116,1,0)</f>
        <v>0</v>
      </c>
      <c r="AN1115" s="47" t="str">
        <f aca="false">IF($AM1115=1,$A1115,"")</f>
        <v/>
      </c>
    </row>
    <row r="1116" customFormat="false" ht="15" hidden="false" customHeight="false" outlineLevel="0" collapsed="false">
      <c r="A1116" s="43" t="s">
        <v>152</v>
      </c>
      <c r="B1116" s="44" t="s">
        <v>154</v>
      </c>
      <c r="C1116" s="45" t="n">
        <v>46005</v>
      </c>
      <c r="D1116" s="46" t="n">
        <v>20251214</v>
      </c>
      <c r="E1116" s="47" t="s">
        <v>359</v>
      </c>
      <c r="F1116" s="48" t="n">
        <v>5118</v>
      </c>
      <c r="G1116" s="48" t="n">
        <v>5287</v>
      </c>
      <c r="H1116" s="48" t="n">
        <v>5043</v>
      </c>
      <c r="I1116" s="48" t="n">
        <v>5215</v>
      </c>
      <c r="J1116" s="48" t="n">
        <v>5259</v>
      </c>
      <c r="K1116" s="48" t="n">
        <v>5113</v>
      </c>
      <c r="L1116" s="48" t="n">
        <v>86953995</v>
      </c>
      <c r="M1116" s="48" t="n">
        <v>453465083925</v>
      </c>
      <c r="N1116" s="48" t="n">
        <v>3363</v>
      </c>
      <c r="O1116" s="48" t="n">
        <v>48629830</v>
      </c>
      <c r="P1116" s="48" t="n">
        <v>36121088</v>
      </c>
      <c r="Q1116" s="48" t="n">
        <v>1249</v>
      </c>
      <c r="R1116" s="48" t="n">
        <v>1314</v>
      </c>
      <c r="S1116" s="48" t="n">
        <v>38324165</v>
      </c>
      <c r="T1116" s="48" t="n">
        <v>50832907</v>
      </c>
      <c r="U1116" s="46" t="n">
        <f aca="false">IF($A1116=$A1115,$U1115+1,1)</f>
        <v>72</v>
      </c>
      <c r="V1116" s="48" t="n">
        <f aca="false">IF($U1116&gt;=MA_SHORT,AVERAGE(INDEX($I$716:$I1116,402-MA_SHORT):$I1116),"")</f>
        <v>5199.4</v>
      </c>
      <c r="W1116" s="48" t="n">
        <f aca="false">IF($U1116&gt;=MA_MED,AVERAGE(INDEX($I$716:$I1116,402-MA_MED):$I1116),"")</f>
        <v>5140.8</v>
      </c>
      <c r="X1116" s="48" t="str">
        <f aca="false">IF($U1116&gt;=MA_LONG1,AVERAGE(INDEX($I$716:$I1116,402-MA_LONG1):$I1116),"")</f>
        <v/>
      </c>
      <c r="Y1116" s="48" t="str">
        <f aca="false">IF($U1116&gt;=MA_LONG2,AVERAGE(INDEX($I$716:$I1116,402-MA_LONG2):$I1116),"")</f>
        <v/>
      </c>
      <c r="Z1116" s="48" t="n">
        <f aca="false">IF($U1116&gt;=MA_SHORT,AVERAGE(INDEX($L$996:$L1116,122-MA_SHORT):$L1116),"")</f>
        <v>90943440.25</v>
      </c>
      <c r="AA1116" s="48" t="n">
        <f aca="false">IF($U1116=1,$G1116-$H1116,MAX($G1116-$H1116,ABS($G1116-$I1115),ABS($H1116-$I1115)))</f>
        <v>244</v>
      </c>
      <c r="AB1116" s="48" t="n">
        <f aca="false">IF($U1116&gt;=ATR_PER,AVERAGE(INDEX($AA$996:$AA1116,122-ATR_PER):$AA1116),"")</f>
        <v>207.714285714286</v>
      </c>
      <c r="AC1116" s="48" t="n">
        <f aca="false">$O1116-$P1116</f>
        <v>12508742</v>
      </c>
      <c r="AD1116" s="48" t="n">
        <f aca="false">$AC1116*$I1116</f>
        <v>65233089530</v>
      </c>
      <c r="AE1116" s="49" t="n">
        <f aca="false">IF($Q1116&gt;0,$O1116*$I1116/$Q1116/1000000,"")</f>
        <v>203.046087630104</v>
      </c>
      <c r="AF1116" s="49" t="n">
        <f aca="false">IF($R1116&gt;0,$P1116*$I1116/$R1116/1000000,"")</f>
        <v>143.35728608828</v>
      </c>
      <c r="AG1116" s="50" t="n">
        <f aca="false">IF(AND(ISNUMBER($AE1116),ISNUMBER($AF1116),$AF1116&gt;0),$AE1116/$AF1116,"")</f>
        <v>1.41636391962015</v>
      </c>
      <c r="AH1116" s="48" t="n">
        <f aca="false">IF($U1116&gt;=5,SUM(INDEX($AD$1086:$AD1116,32-5):$AD1116),"")</f>
        <v>53218209873</v>
      </c>
      <c r="AI1116" s="48" t="n">
        <f aca="false">IF($U1116&gt;=STRUCT_S,MAX(INDEX($G$966:$G1116,152-STRUCT_S):$G1116),"")</f>
        <v>5479</v>
      </c>
      <c r="AJ1116" s="48" t="n">
        <f aca="false">IF($U1116&gt;=STRUCT_S,MIN(INDEX($H$966:$H1116,152-STRUCT_S):$H1116),"")</f>
        <v>4912</v>
      </c>
      <c r="AK1116" s="48" t="n">
        <f aca="false">IF($U1116&gt;=STRUCT_L,MAX(INDEX($G$866:$G1116,252-STRUCT_L):$G1116),"")</f>
        <v>5537</v>
      </c>
      <c r="AL1116" s="48" t="n">
        <f aca="false">IF($U1116&gt;=STRUCT_L,MIN(INDEX($H$866:$H1116,252-STRUCT_L):$H1116),"")</f>
        <v>4682</v>
      </c>
      <c r="AM1116" s="46" t="n">
        <f aca="false">IF($A1116&lt;&gt;$A1117,1,0)</f>
        <v>0</v>
      </c>
      <c r="AN1116" s="47" t="str">
        <f aca="false">IF($AM1116=1,$A1116,"")</f>
        <v/>
      </c>
    </row>
    <row r="1117" customFormat="false" ht="15" hidden="false" customHeight="false" outlineLevel="0" collapsed="false">
      <c r="A1117" s="43" t="s">
        <v>152</v>
      </c>
      <c r="B1117" s="44" t="s">
        <v>154</v>
      </c>
      <c r="C1117" s="45" t="n">
        <v>46006</v>
      </c>
      <c r="D1117" s="46" t="n">
        <v>20251215</v>
      </c>
      <c r="E1117" s="47" t="s">
        <v>360</v>
      </c>
      <c r="F1117" s="48" t="n">
        <v>5305</v>
      </c>
      <c r="G1117" s="48" t="n">
        <v>5486</v>
      </c>
      <c r="H1117" s="48" t="n">
        <v>5158</v>
      </c>
      <c r="I1117" s="48" t="n">
        <v>5427</v>
      </c>
      <c r="J1117" s="48" t="n">
        <v>5286</v>
      </c>
      <c r="K1117" s="48" t="n">
        <v>5215</v>
      </c>
      <c r="L1117" s="48" t="n">
        <v>96600511</v>
      </c>
      <c r="M1117" s="48" t="n">
        <v>524250973197</v>
      </c>
      <c r="N1117" s="48" t="n">
        <v>2368</v>
      </c>
      <c r="O1117" s="48" t="n">
        <v>61798700</v>
      </c>
      <c r="P1117" s="48" t="n">
        <v>40344594</v>
      </c>
      <c r="Q1117" s="48" t="n">
        <v>841</v>
      </c>
      <c r="R1117" s="48" t="n">
        <v>944</v>
      </c>
      <c r="S1117" s="48" t="n">
        <v>34801811</v>
      </c>
      <c r="T1117" s="48" t="n">
        <v>56255917</v>
      </c>
      <c r="U1117" s="46" t="n">
        <f aca="false">IF($A1117=$A1116,$U1116+1,1)</f>
        <v>73</v>
      </c>
      <c r="V1117" s="48" t="n">
        <f aca="false">IF($U1117&gt;=MA_SHORT,AVERAGE(INDEX($I$717:$I1117,402-MA_SHORT):$I1117),"")</f>
        <v>5214.9</v>
      </c>
      <c r="W1117" s="48" t="n">
        <f aca="false">IF($U1117&gt;=MA_MED,AVERAGE(INDEX($I$717:$I1117,402-MA_MED):$I1117),"")</f>
        <v>5145.72</v>
      </c>
      <c r="X1117" s="48" t="str">
        <f aca="false">IF($U1117&gt;=MA_LONG1,AVERAGE(INDEX($I$717:$I1117,402-MA_LONG1):$I1117),"")</f>
        <v/>
      </c>
      <c r="Y1117" s="48" t="str">
        <f aca="false">IF($U1117&gt;=MA_LONG2,AVERAGE(INDEX($I$717:$I1117,402-MA_LONG2):$I1117),"")</f>
        <v/>
      </c>
      <c r="Z1117" s="48" t="n">
        <f aca="false">IF($U1117&gt;=MA_SHORT,AVERAGE(INDEX($L$997:$L1117,122-MA_SHORT):$L1117),"")</f>
        <v>91631177.2</v>
      </c>
      <c r="AA1117" s="48" t="n">
        <f aca="false">IF($U1117=1,$G1117-$H1117,MAX($G1117-$H1117,ABS($G1117-$I1116),ABS($H1117-$I1116)))</f>
        <v>328</v>
      </c>
      <c r="AB1117" s="48" t="n">
        <f aca="false">IF($U1117&gt;=ATR_PER,AVERAGE(INDEX($AA$997:$AA1117,122-ATR_PER):$AA1117),"")</f>
        <v>214.928571428571</v>
      </c>
      <c r="AC1117" s="48" t="n">
        <f aca="false">$O1117-$P1117</f>
        <v>21454106</v>
      </c>
      <c r="AD1117" s="48" t="n">
        <f aca="false">$AC1117*$I1117</f>
        <v>116431433262</v>
      </c>
      <c r="AE1117" s="49" t="n">
        <f aca="false">IF($Q1117&gt;0,$O1117*$I1117/$Q1117/1000000,"")</f>
        <v>398.788995124851</v>
      </c>
      <c r="AF1117" s="49" t="n">
        <f aca="false">IF($R1117&gt;0,$P1117*$I1117/$R1117/1000000,"")</f>
        <v>231.938677582627</v>
      </c>
      <c r="AG1117" s="50" t="n">
        <f aca="false">IF(AND(ISNUMBER($AE1117),ISNUMBER($AF1117),$AF1117&gt;0),$AE1117/$AF1117,"")</f>
        <v>1.7193725483012</v>
      </c>
      <c r="AH1117" s="48" t="n">
        <f aca="false">IF($U1117&gt;=5,SUM(INDEX($AD$1087:$AD1117,32-5):$AD1117),"")</f>
        <v>176484235656</v>
      </c>
      <c r="AI1117" s="48" t="n">
        <f aca="false">IF($U1117&gt;=STRUCT_S,MAX(INDEX($G$967:$G1117,152-STRUCT_S):$G1117),"")</f>
        <v>5486</v>
      </c>
      <c r="AJ1117" s="48" t="n">
        <f aca="false">IF($U1117&gt;=STRUCT_S,MIN(INDEX($H$967:$H1117,152-STRUCT_S):$H1117),"")</f>
        <v>4912</v>
      </c>
      <c r="AK1117" s="48" t="n">
        <f aca="false">IF($U1117&gt;=STRUCT_L,MAX(INDEX($G$867:$G1117,252-STRUCT_L):$G1117),"")</f>
        <v>5537</v>
      </c>
      <c r="AL1117" s="48" t="n">
        <f aca="false">IF($U1117&gt;=STRUCT_L,MIN(INDEX($H$867:$H1117,252-STRUCT_L):$H1117),"")</f>
        <v>4682</v>
      </c>
      <c r="AM1117" s="46" t="n">
        <f aca="false">IF($A1117&lt;&gt;$A1118,1,0)</f>
        <v>0</v>
      </c>
      <c r="AN1117" s="47" t="str">
        <f aca="false">IF($AM1117=1,$A1117,"")</f>
        <v/>
      </c>
    </row>
    <row r="1118" customFormat="false" ht="15" hidden="false" customHeight="false" outlineLevel="0" collapsed="false">
      <c r="A1118" s="43" t="s">
        <v>152</v>
      </c>
      <c r="B1118" s="44" t="s">
        <v>154</v>
      </c>
      <c r="C1118" s="45" t="n">
        <v>46007</v>
      </c>
      <c r="D1118" s="46" t="n">
        <v>20251216</v>
      </c>
      <c r="E1118" s="47" t="s">
        <v>361</v>
      </c>
      <c r="F1118" s="48" t="n">
        <v>5436</v>
      </c>
      <c r="G1118" s="48" t="n">
        <v>5574</v>
      </c>
      <c r="H1118" s="48" t="n">
        <v>5380</v>
      </c>
      <c r="I1118" s="48" t="n">
        <v>5526</v>
      </c>
      <c r="J1118" s="48" t="n">
        <v>5440</v>
      </c>
      <c r="K1118" s="48" t="n">
        <v>5427</v>
      </c>
      <c r="L1118" s="48" t="n">
        <v>86158602</v>
      </c>
      <c r="M1118" s="48" t="n">
        <v>476112434652</v>
      </c>
      <c r="N1118" s="48" t="n">
        <v>5145</v>
      </c>
      <c r="O1118" s="48" t="n">
        <v>48581379</v>
      </c>
      <c r="P1118" s="48" t="n">
        <v>37188055</v>
      </c>
      <c r="Q1118" s="48" t="n">
        <v>3132</v>
      </c>
      <c r="R1118" s="48" t="n">
        <v>1821</v>
      </c>
      <c r="S1118" s="48" t="n">
        <v>37577223</v>
      </c>
      <c r="T1118" s="48" t="n">
        <v>48970547</v>
      </c>
      <c r="U1118" s="46" t="n">
        <f aca="false">IF($A1118=$A1117,$U1117+1,1)</f>
        <v>74</v>
      </c>
      <c r="V1118" s="48" t="n">
        <f aca="false">IF($U1118&gt;=MA_SHORT,AVERAGE(INDEX($I$718:$I1118,402-MA_SHORT):$I1118),"")</f>
        <v>5231.05</v>
      </c>
      <c r="W1118" s="48" t="n">
        <f aca="false">IF($U1118&gt;=MA_MED,AVERAGE(INDEX($I$718:$I1118,402-MA_MED):$I1118),"")</f>
        <v>5154.88</v>
      </c>
      <c r="X1118" s="48" t="str">
        <f aca="false">IF($U1118&gt;=MA_LONG1,AVERAGE(INDEX($I$718:$I1118,402-MA_LONG1):$I1118),"")</f>
        <v/>
      </c>
      <c r="Y1118" s="48" t="str">
        <f aca="false">IF($U1118&gt;=MA_LONG2,AVERAGE(INDEX($I$718:$I1118,402-MA_LONG2):$I1118),"")</f>
        <v/>
      </c>
      <c r="Z1118" s="48" t="n">
        <f aca="false">IF($U1118&gt;=MA_SHORT,AVERAGE(INDEX($L$998:$L1118,122-MA_SHORT):$L1118),"")</f>
        <v>89940683.55</v>
      </c>
      <c r="AA1118" s="48" t="n">
        <f aca="false">IF($U1118=1,$G1118-$H1118,MAX($G1118-$H1118,ABS($G1118-$I1117),ABS($H1118-$I1117)))</f>
        <v>194</v>
      </c>
      <c r="AB1118" s="48" t="n">
        <f aca="false">IF($U1118&gt;=ATR_PER,AVERAGE(INDEX($AA$998:$AA1118,122-ATR_PER):$AA1118),"")</f>
        <v>209.142857142857</v>
      </c>
      <c r="AC1118" s="48" t="n">
        <f aca="false">$O1118-$P1118</f>
        <v>11393324</v>
      </c>
      <c r="AD1118" s="48" t="n">
        <f aca="false">$AC1118*$I1118</f>
        <v>62959508424</v>
      </c>
      <c r="AE1118" s="49" t="n">
        <f aca="false">IF($Q1118&gt;0,$O1118*$I1118/$Q1118/1000000,"")</f>
        <v>85.7154215689655</v>
      </c>
      <c r="AF1118" s="49" t="n">
        <f aca="false">IF($R1118&gt;0,$P1118*$I1118/$R1118/1000000,"")</f>
        <v>112.850736919275</v>
      </c>
      <c r="AG1118" s="50" t="n">
        <f aca="false">IF(AND(ISNUMBER($AE1118),ISNUMBER($AF1118),$AF1118&gt;0),$AE1118/$AF1118,"")</f>
        <v>0.759546848420492</v>
      </c>
      <c r="AH1118" s="48" t="n">
        <f aca="false">IF($U1118&gt;=5,SUM(INDEX($AD$1088:$AD1118,32-5):$AD1118),"")</f>
        <v>446565681202</v>
      </c>
      <c r="AI1118" s="48" t="n">
        <f aca="false">IF($U1118&gt;=STRUCT_S,MAX(INDEX($G$968:$G1118,152-STRUCT_S):$G1118),"")</f>
        <v>5574</v>
      </c>
      <c r="AJ1118" s="48" t="n">
        <f aca="false">IF($U1118&gt;=STRUCT_S,MIN(INDEX($H$968:$H1118,152-STRUCT_S):$H1118),"")</f>
        <v>4912</v>
      </c>
      <c r="AK1118" s="48" t="n">
        <f aca="false">IF($U1118&gt;=STRUCT_L,MAX(INDEX($G$868:$G1118,252-STRUCT_L):$G1118),"")</f>
        <v>5574</v>
      </c>
      <c r="AL1118" s="48" t="n">
        <f aca="false">IF($U1118&gt;=STRUCT_L,MIN(INDEX($H$868:$H1118,252-STRUCT_L):$H1118),"")</f>
        <v>4682</v>
      </c>
      <c r="AM1118" s="46" t="n">
        <f aca="false">IF($A1118&lt;&gt;$A1119,1,0)</f>
        <v>0</v>
      </c>
      <c r="AN1118" s="47" t="str">
        <f aca="false">IF($AM1118=1,$A1118,"")</f>
        <v/>
      </c>
    </row>
    <row r="1119" customFormat="false" ht="15" hidden="false" customHeight="false" outlineLevel="0" collapsed="false">
      <c r="A1119" s="43" t="s">
        <v>152</v>
      </c>
      <c r="B1119" s="44" t="s">
        <v>154</v>
      </c>
      <c r="C1119" s="45" t="n">
        <v>46008</v>
      </c>
      <c r="D1119" s="46" t="n">
        <v>20251217</v>
      </c>
      <c r="E1119" s="47" t="s">
        <v>362</v>
      </c>
      <c r="F1119" s="48" t="n">
        <v>5484</v>
      </c>
      <c r="G1119" s="48" t="n">
        <v>5552</v>
      </c>
      <c r="H1119" s="48" t="n">
        <v>5417</v>
      </c>
      <c r="I1119" s="48" t="n">
        <v>5443</v>
      </c>
      <c r="J1119" s="48" t="n">
        <v>5506</v>
      </c>
      <c r="K1119" s="48" t="n">
        <v>5526</v>
      </c>
      <c r="L1119" s="48" t="n">
        <v>84657204</v>
      </c>
      <c r="M1119" s="48" t="n">
        <v>460789161372</v>
      </c>
      <c r="N1119" s="48" t="n">
        <v>7981</v>
      </c>
      <c r="O1119" s="48" t="n">
        <v>36166684</v>
      </c>
      <c r="P1119" s="48" t="n">
        <v>50713857</v>
      </c>
      <c r="Q1119" s="48" t="n">
        <v>3004</v>
      </c>
      <c r="R1119" s="48" t="n">
        <v>4577</v>
      </c>
      <c r="S1119" s="48" t="n">
        <v>48490520</v>
      </c>
      <c r="T1119" s="48" t="n">
        <v>33943347</v>
      </c>
      <c r="U1119" s="46" t="n">
        <f aca="false">IF($A1119=$A1118,$U1118+1,1)</f>
        <v>75</v>
      </c>
      <c r="V1119" s="48" t="n">
        <f aca="false">IF($U1119&gt;=MA_SHORT,AVERAGE(INDEX($I$719:$I1119,402-MA_SHORT):$I1119),"")</f>
        <v>5236.05</v>
      </c>
      <c r="W1119" s="48" t="n">
        <f aca="false">IF($U1119&gt;=MA_MED,AVERAGE(INDEX($I$719:$I1119,402-MA_MED):$I1119),"")</f>
        <v>5160.24</v>
      </c>
      <c r="X1119" s="48" t="str">
        <f aca="false">IF($U1119&gt;=MA_LONG1,AVERAGE(INDEX($I$719:$I1119,402-MA_LONG1):$I1119),"")</f>
        <v/>
      </c>
      <c r="Y1119" s="48" t="str">
        <f aca="false">IF($U1119&gt;=MA_LONG2,AVERAGE(INDEX($I$719:$I1119,402-MA_LONG2):$I1119),"")</f>
        <v/>
      </c>
      <c r="Z1119" s="48" t="n">
        <f aca="false">IF($U1119&gt;=MA_SHORT,AVERAGE(INDEX($L$999:$L1119,122-MA_SHORT):$L1119),"")</f>
        <v>89482597.55</v>
      </c>
      <c r="AA1119" s="48" t="n">
        <f aca="false">IF($U1119=1,$G1119-$H1119,MAX($G1119-$H1119,ABS($G1119-$I1118),ABS($H1119-$I1118)))</f>
        <v>135</v>
      </c>
      <c r="AB1119" s="48" t="n">
        <f aca="false">IF($U1119&gt;=ATR_PER,AVERAGE(INDEX($AA$999:$AA1119,122-ATR_PER):$AA1119),"")</f>
        <v>202.928571428571</v>
      </c>
      <c r="AC1119" s="48" t="n">
        <f aca="false">$O1119-$P1119</f>
        <v>-14547173</v>
      </c>
      <c r="AD1119" s="48" t="n">
        <f aca="false">$AC1119*$I1119</f>
        <v>-79180262639</v>
      </c>
      <c r="AE1119" s="49" t="n">
        <f aca="false">IF($Q1119&gt;0,$O1119*$I1119/$Q1119/1000000,"")</f>
        <v>65.5310456098535</v>
      </c>
      <c r="AF1119" s="49" t="n">
        <f aca="false">IF($R1119&gt;0,$P1119*$I1119/$R1119/1000000,"")</f>
        <v>60.3092688772122</v>
      </c>
      <c r="AG1119" s="50" t="n">
        <f aca="false">IF(AND(ISNUMBER($AE1119),ISNUMBER($AF1119),$AF1119&gt;0),$AE1119/$AF1119,"")</f>
        <v>1.08658332010744</v>
      </c>
      <c r="AH1119" s="48" t="n">
        <f aca="false">IF($U1119&gt;=5,SUM(INDEX($AD$1089:$AD1119,32-5):$AD1119),"")</f>
        <v>199104217268</v>
      </c>
      <c r="AI1119" s="48" t="n">
        <f aca="false">IF($U1119&gt;=STRUCT_S,MAX(INDEX($G$969:$G1119,152-STRUCT_S):$G1119),"")</f>
        <v>5574</v>
      </c>
      <c r="AJ1119" s="48" t="n">
        <f aca="false">IF($U1119&gt;=STRUCT_S,MIN(INDEX($H$969:$H1119,152-STRUCT_S):$H1119),"")</f>
        <v>4912</v>
      </c>
      <c r="AK1119" s="48" t="n">
        <f aca="false">IF($U1119&gt;=STRUCT_L,MAX(INDEX($G$869:$G1119,252-STRUCT_L):$G1119),"")</f>
        <v>5574</v>
      </c>
      <c r="AL1119" s="48" t="n">
        <f aca="false">IF($U1119&gt;=STRUCT_L,MIN(INDEX($H$869:$H1119,252-STRUCT_L):$H1119),"")</f>
        <v>4682</v>
      </c>
      <c r="AM1119" s="46" t="n">
        <f aca="false">IF($A1119&lt;&gt;$A1120,1,0)</f>
        <v>0</v>
      </c>
      <c r="AN1119" s="47" t="str">
        <f aca="false">IF($AM1119=1,$A1119,"")</f>
        <v/>
      </c>
    </row>
    <row r="1120" customFormat="false" ht="15" hidden="false" customHeight="false" outlineLevel="0" collapsed="false">
      <c r="A1120" s="43" t="s">
        <v>152</v>
      </c>
      <c r="B1120" s="44" t="s">
        <v>154</v>
      </c>
      <c r="C1120" s="45" t="n">
        <v>46011</v>
      </c>
      <c r="D1120" s="46" t="n">
        <v>20251220</v>
      </c>
      <c r="E1120" s="47" t="s">
        <v>363</v>
      </c>
      <c r="F1120" s="48" t="n">
        <v>5487</v>
      </c>
      <c r="G1120" s="48" t="n">
        <v>5510</v>
      </c>
      <c r="H1120" s="48" t="n">
        <v>5418</v>
      </c>
      <c r="I1120" s="48" t="n">
        <v>5485</v>
      </c>
      <c r="J1120" s="48" t="n">
        <v>5476</v>
      </c>
      <c r="K1120" s="48" t="n">
        <v>5443</v>
      </c>
      <c r="L1120" s="48" t="n">
        <v>81254090</v>
      </c>
      <c r="M1120" s="48" t="n">
        <v>445678683650</v>
      </c>
      <c r="N1120" s="48" t="n">
        <v>2659</v>
      </c>
      <c r="O1120" s="48" t="n">
        <v>42437432</v>
      </c>
      <c r="P1120" s="48" t="n">
        <v>36246304</v>
      </c>
      <c r="Q1120" s="48" t="n">
        <v>1499</v>
      </c>
      <c r="R1120" s="48" t="n">
        <v>1132</v>
      </c>
      <c r="S1120" s="48" t="n">
        <v>38816658</v>
      </c>
      <c r="T1120" s="48" t="n">
        <v>45007786</v>
      </c>
      <c r="U1120" s="46" t="n">
        <f aca="false">IF($A1120=$A1119,$U1119+1,1)</f>
        <v>76</v>
      </c>
      <c r="V1120" s="48" t="n">
        <f aca="false">IF($U1120&gt;=MA_SHORT,AVERAGE(INDEX($I$720:$I1120,402-MA_SHORT):$I1120),"")</f>
        <v>5245.25</v>
      </c>
      <c r="W1120" s="48" t="n">
        <f aca="false">IF($U1120&gt;=MA_MED,AVERAGE(INDEX($I$720:$I1120,402-MA_MED):$I1120),"")</f>
        <v>5168.1</v>
      </c>
      <c r="X1120" s="48" t="str">
        <f aca="false">IF($U1120&gt;=MA_LONG1,AVERAGE(INDEX($I$720:$I1120,402-MA_LONG1):$I1120),"")</f>
        <v/>
      </c>
      <c r="Y1120" s="48" t="str">
        <f aca="false">IF($U1120&gt;=MA_LONG2,AVERAGE(INDEX($I$720:$I1120,402-MA_LONG2):$I1120),"")</f>
        <v/>
      </c>
      <c r="Z1120" s="48" t="n">
        <f aca="false">IF($U1120&gt;=MA_SHORT,AVERAGE(INDEX($L$1000:$L1120,122-MA_SHORT):$L1120),"")</f>
        <v>89479232.9</v>
      </c>
      <c r="AA1120" s="48" t="n">
        <f aca="false">IF($U1120=1,$G1120-$H1120,MAX($G1120-$H1120,ABS($G1120-$I1119),ABS($H1120-$I1119)))</f>
        <v>92</v>
      </c>
      <c r="AB1120" s="48" t="n">
        <f aca="false">IF($U1120&gt;=ATR_PER,AVERAGE(INDEX($AA$1000:$AA1120,122-ATR_PER):$AA1120),"")</f>
        <v>197.714285714286</v>
      </c>
      <c r="AC1120" s="48" t="n">
        <f aca="false">$O1120-$P1120</f>
        <v>6191128</v>
      </c>
      <c r="AD1120" s="48" t="n">
        <f aca="false">$AC1120*$I1120</f>
        <v>33958337080</v>
      </c>
      <c r="AE1120" s="49" t="n">
        <f aca="false">IF($Q1120&gt;0,$O1120*$I1120/$Q1120/1000000,"")</f>
        <v>155.283065056704</v>
      </c>
      <c r="AF1120" s="49" t="n">
        <f aca="false">IF($R1120&gt;0,$P1120*$I1120/$R1120/1000000,"")</f>
        <v>175.628071943463</v>
      </c>
      <c r="AG1120" s="50" t="n">
        <f aca="false">IF(AND(ISNUMBER($AE1120),ISNUMBER($AF1120),$AF1120&gt;0),$AE1120/$AF1120,"")</f>
        <v>0.884158570656587</v>
      </c>
      <c r="AH1120" s="48" t="n">
        <f aca="false">IF($U1120&gt;=5,SUM(INDEX($AD$1090:$AD1120,32-5):$AD1120),"")</f>
        <v>199402105657</v>
      </c>
      <c r="AI1120" s="48" t="n">
        <f aca="false">IF($U1120&gt;=STRUCT_S,MAX(INDEX($G$970:$G1120,152-STRUCT_S):$G1120),"")</f>
        <v>5574</v>
      </c>
      <c r="AJ1120" s="48" t="n">
        <f aca="false">IF($U1120&gt;=STRUCT_S,MIN(INDEX($H$970:$H1120,152-STRUCT_S):$H1120),"")</f>
        <v>4912</v>
      </c>
      <c r="AK1120" s="48" t="n">
        <f aca="false">IF($U1120&gt;=STRUCT_L,MAX(INDEX($G$870:$G1120,252-STRUCT_L):$G1120),"")</f>
        <v>5574</v>
      </c>
      <c r="AL1120" s="48" t="n">
        <f aca="false">IF($U1120&gt;=STRUCT_L,MIN(INDEX($H$870:$H1120,252-STRUCT_L):$H1120),"")</f>
        <v>4682</v>
      </c>
      <c r="AM1120" s="46" t="n">
        <f aca="false">IF($A1120&lt;&gt;$A1121,1,0)</f>
        <v>0</v>
      </c>
      <c r="AN1120" s="47" t="str">
        <f aca="false">IF($AM1120=1,$A1120,"")</f>
        <v/>
      </c>
    </row>
    <row r="1121" customFormat="false" ht="15" hidden="false" customHeight="false" outlineLevel="0" collapsed="false">
      <c r="A1121" s="43" t="s">
        <v>152</v>
      </c>
      <c r="B1121" s="44" t="s">
        <v>154</v>
      </c>
      <c r="C1121" s="45" t="n">
        <v>46012</v>
      </c>
      <c r="D1121" s="46" t="n">
        <v>20251221</v>
      </c>
      <c r="E1121" s="47" t="s">
        <v>364</v>
      </c>
      <c r="F1121" s="48" t="n">
        <v>5480</v>
      </c>
      <c r="G1121" s="48" t="n">
        <v>5556</v>
      </c>
      <c r="H1121" s="48" t="n">
        <v>5457</v>
      </c>
      <c r="I1121" s="48" t="n">
        <v>5528</v>
      </c>
      <c r="J1121" s="48" t="n">
        <v>5497</v>
      </c>
      <c r="K1121" s="48" t="n">
        <v>5485</v>
      </c>
      <c r="L1121" s="48" t="n">
        <v>81311509</v>
      </c>
      <c r="M1121" s="48" t="n">
        <v>449490021752</v>
      </c>
      <c r="N1121" s="48" t="n">
        <v>3258</v>
      </c>
      <c r="O1121" s="48" t="n">
        <v>40143219</v>
      </c>
      <c r="P1121" s="48" t="n">
        <v>38976335</v>
      </c>
      <c r="Q1121" s="48" t="n">
        <v>1188</v>
      </c>
      <c r="R1121" s="48" t="n">
        <v>947</v>
      </c>
      <c r="S1121" s="48" t="n">
        <v>41168290</v>
      </c>
      <c r="T1121" s="48" t="n">
        <v>42335174</v>
      </c>
      <c r="U1121" s="46" t="n">
        <f aca="false">IF($A1121=$A1120,$U1120+1,1)</f>
        <v>77</v>
      </c>
      <c r="V1121" s="48" t="n">
        <f aca="false">IF($U1121&gt;=MA_SHORT,AVERAGE(INDEX($I$721:$I1121,402-MA_SHORT):$I1121),"")</f>
        <v>5255.5</v>
      </c>
      <c r="W1121" s="48" t="n">
        <f aca="false">IF($U1121&gt;=MA_MED,AVERAGE(INDEX($I$721:$I1121,402-MA_MED):$I1121),"")</f>
        <v>5177.82</v>
      </c>
      <c r="X1121" s="48" t="str">
        <f aca="false">IF($U1121&gt;=MA_LONG1,AVERAGE(INDEX($I$721:$I1121,402-MA_LONG1):$I1121),"")</f>
        <v/>
      </c>
      <c r="Y1121" s="48" t="str">
        <f aca="false">IF($U1121&gt;=MA_LONG2,AVERAGE(INDEX($I$721:$I1121,402-MA_LONG2):$I1121),"")</f>
        <v/>
      </c>
      <c r="Z1121" s="48" t="n">
        <f aca="false">IF($U1121&gt;=MA_SHORT,AVERAGE(INDEX($L$1001:$L1121,122-MA_SHORT):$L1121),"")</f>
        <v>88399230.1</v>
      </c>
      <c r="AA1121" s="48" t="n">
        <f aca="false">IF($U1121=1,$G1121-$H1121,MAX($G1121-$H1121,ABS($G1121-$I1120),ABS($H1121-$I1120)))</f>
        <v>99</v>
      </c>
      <c r="AB1121" s="48" t="n">
        <f aca="false">IF($U1121&gt;=ATR_PER,AVERAGE(INDEX($AA$1001:$AA1121,122-ATR_PER):$AA1121),"")</f>
        <v>182.428571428571</v>
      </c>
      <c r="AC1121" s="48" t="n">
        <f aca="false">$O1121-$P1121</f>
        <v>1166884</v>
      </c>
      <c r="AD1121" s="48" t="n">
        <f aca="false">$AC1121*$I1121</f>
        <v>6450534752</v>
      </c>
      <c r="AE1121" s="49" t="n">
        <f aca="false">IF($Q1121&gt;0,$O1121*$I1121/$Q1121/1000000,"")</f>
        <v>186.794372585859</v>
      </c>
      <c r="AF1121" s="49" t="n">
        <f aca="false">IF($R1121&gt;0,$P1121*$I1121/$R1121/1000000,"")</f>
        <v>227.51972532207</v>
      </c>
      <c r="AG1121" s="50" t="n">
        <f aca="false">IF(AND(ISNUMBER($AE1121),ISNUMBER($AF1121),$AF1121&gt;0),$AE1121/$AF1121,"")</f>
        <v>0.821002980385276</v>
      </c>
      <c r="AH1121" s="48" t="n">
        <f aca="false">IF($U1121&gt;=5,SUM(INDEX($AD$1091:$AD1121,32-5):$AD1121),"")</f>
        <v>140619550879</v>
      </c>
      <c r="AI1121" s="48" t="n">
        <f aca="false">IF($U1121&gt;=STRUCT_S,MAX(INDEX($G$971:$G1121,152-STRUCT_S):$G1121),"")</f>
        <v>5574</v>
      </c>
      <c r="AJ1121" s="48" t="n">
        <f aca="false">IF($U1121&gt;=STRUCT_S,MIN(INDEX($H$971:$H1121,152-STRUCT_S):$H1121),"")</f>
        <v>4912</v>
      </c>
      <c r="AK1121" s="48" t="n">
        <f aca="false">IF($U1121&gt;=STRUCT_L,MAX(INDEX($G$871:$G1121,252-STRUCT_L):$G1121),"")</f>
        <v>5574</v>
      </c>
      <c r="AL1121" s="48" t="n">
        <f aca="false">IF($U1121&gt;=STRUCT_L,MIN(INDEX($H$871:$H1121,252-STRUCT_L):$H1121),"")</f>
        <v>4682</v>
      </c>
      <c r="AM1121" s="46" t="n">
        <f aca="false">IF($A1121&lt;&gt;$A1122,1,0)</f>
        <v>0</v>
      </c>
      <c r="AN1121" s="47" t="str">
        <f aca="false">IF($AM1121=1,$A1121,"")</f>
        <v/>
      </c>
    </row>
    <row r="1122" customFormat="false" ht="15" hidden="false" customHeight="false" outlineLevel="0" collapsed="false">
      <c r="A1122" s="43" t="s">
        <v>152</v>
      </c>
      <c r="B1122" s="44" t="s">
        <v>154</v>
      </c>
      <c r="C1122" s="45" t="n">
        <v>46013</v>
      </c>
      <c r="D1122" s="46" t="n">
        <v>20251222</v>
      </c>
      <c r="E1122" s="47" t="s">
        <v>365</v>
      </c>
      <c r="F1122" s="48" t="n">
        <v>5526</v>
      </c>
      <c r="G1122" s="48" t="n">
        <v>5673</v>
      </c>
      <c r="H1122" s="48" t="n">
        <v>5408</v>
      </c>
      <c r="I1122" s="48" t="n">
        <v>5553</v>
      </c>
      <c r="J1122" s="48" t="n">
        <v>5525</v>
      </c>
      <c r="K1122" s="48" t="n">
        <v>5528</v>
      </c>
      <c r="L1122" s="48" t="n">
        <v>114402116</v>
      </c>
      <c r="M1122" s="48" t="n">
        <v>635274950148</v>
      </c>
      <c r="N1122" s="48" t="n">
        <v>8820</v>
      </c>
      <c r="O1122" s="48" t="n">
        <v>52474855</v>
      </c>
      <c r="P1122" s="48" t="n">
        <v>61816108</v>
      </c>
      <c r="Q1122" s="48" t="n">
        <v>4364</v>
      </c>
      <c r="R1122" s="48" t="n">
        <v>3498</v>
      </c>
      <c r="S1122" s="48" t="n">
        <v>61927261</v>
      </c>
      <c r="T1122" s="48" t="n">
        <v>52586008</v>
      </c>
      <c r="U1122" s="46" t="n">
        <f aca="false">IF($A1122=$A1121,$U1121+1,1)</f>
        <v>78</v>
      </c>
      <c r="V1122" s="48" t="n">
        <f aca="false">IF($U1122&gt;=MA_SHORT,AVERAGE(INDEX($I$722:$I1122,402-MA_SHORT):$I1122),"")</f>
        <v>5269.85</v>
      </c>
      <c r="W1122" s="48" t="n">
        <f aca="false">IF($U1122&gt;=MA_MED,AVERAGE(INDEX($I$722:$I1122,402-MA_MED):$I1122),"")</f>
        <v>5188.74</v>
      </c>
      <c r="X1122" s="48" t="str">
        <f aca="false">IF($U1122&gt;=MA_LONG1,AVERAGE(INDEX($I$722:$I1122,402-MA_LONG1):$I1122),"")</f>
        <v/>
      </c>
      <c r="Y1122" s="48" t="str">
        <f aca="false">IF($U1122&gt;=MA_LONG2,AVERAGE(INDEX($I$722:$I1122,402-MA_LONG2):$I1122),"")</f>
        <v/>
      </c>
      <c r="Z1122" s="48" t="n">
        <f aca="false">IF($U1122&gt;=MA_SHORT,AVERAGE(INDEX($L$1002:$L1122,122-MA_SHORT):$L1122),"")</f>
        <v>89986926.95</v>
      </c>
      <c r="AA1122" s="48" t="n">
        <f aca="false">IF($U1122=1,$G1122-$H1122,MAX($G1122-$H1122,ABS($G1122-$I1121),ABS($H1122-$I1121)))</f>
        <v>265</v>
      </c>
      <c r="AB1122" s="48" t="n">
        <f aca="false">IF($U1122&gt;=ATR_PER,AVERAGE(INDEX($AA$1002:$AA1122,122-ATR_PER):$AA1122),"")</f>
        <v>186.642857142857</v>
      </c>
      <c r="AC1122" s="48" t="n">
        <f aca="false">$O1122-$P1122</f>
        <v>-9341253</v>
      </c>
      <c r="AD1122" s="48" t="n">
        <f aca="false">$AC1122*$I1122</f>
        <v>-51871977909</v>
      </c>
      <c r="AE1122" s="49" t="n">
        <f aca="false">IF($Q1122&gt;0,$O1122*$I1122/$Q1122/1000000,"")</f>
        <v>66.7719683352429</v>
      </c>
      <c r="AF1122" s="49" t="n">
        <f aca="false">IF($R1122&gt;0,$P1122*$I1122/$R1122/1000000,"")</f>
        <v>98.1317460617496</v>
      </c>
      <c r="AG1122" s="50" t="n">
        <f aca="false">IF(AND(ISNUMBER($AE1122),ISNUMBER($AF1122),$AF1122&gt;0),$AE1122/$AF1122,"")</f>
        <v>0.680431878723798</v>
      </c>
      <c r="AH1122" s="48" t="n">
        <f aca="false">IF($U1122&gt;=5,SUM(INDEX($AD$1092:$AD1122,32-5):$AD1122),"")</f>
        <v>-27683860292</v>
      </c>
      <c r="AI1122" s="48" t="n">
        <f aca="false">IF($U1122&gt;=STRUCT_S,MAX(INDEX($G$972:$G1122,152-STRUCT_S):$G1122),"")</f>
        <v>5673</v>
      </c>
      <c r="AJ1122" s="48" t="n">
        <f aca="false">IF($U1122&gt;=STRUCT_S,MIN(INDEX($H$972:$H1122,152-STRUCT_S):$H1122),"")</f>
        <v>4912</v>
      </c>
      <c r="AK1122" s="48" t="n">
        <f aca="false">IF($U1122&gt;=STRUCT_L,MAX(INDEX($G$872:$G1122,252-STRUCT_L):$G1122),"")</f>
        <v>5673</v>
      </c>
      <c r="AL1122" s="48" t="n">
        <f aca="false">IF($U1122&gt;=STRUCT_L,MIN(INDEX($H$872:$H1122,252-STRUCT_L):$H1122),"")</f>
        <v>4682</v>
      </c>
      <c r="AM1122" s="46" t="n">
        <f aca="false">IF($A1122&lt;&gt;$A1123,1,0)</f>
        <v>0</v>
      </c>
      <c r="AN1122" s="47" t="str">
        <f aca="false">IF($AM1122=1,$A1122,"")</f>
        <v/>
      </c>
    </row>
    <row r="1123" customFormat="false" ht="15" hidden="false" customHeight="false" outlineLevel="0" collapsed="false">
      <c r="A1123" s="43" t="s">
        <v>152</v>
      </c>
      <c r="B1123" s="44" t="s">
        <v>154</v>
      </c>
      <c r="C1123" s="45" t="n">
        <v>46014</v>
      </c>
      <c r="D1123" s="46" t="n">
        <v>20251223</v>
      </c>
      <c r="E1123" s="47" t="s">
        <v>366</v>
      </c>
      <c r="F1123" s="48" t="n">
        <v>5366</v>
      </c>
      <c r="G1123" s="48" t="n">
        <v>5649</v>
      </c>
      <c r="H1123" s="48" t="n">
        <v>5349</v>
      </c>
      <c r="I1123" s="48" t="n">
        <v>5443</v>
      </c>
      <c r="J1123" s="48" t="n">
        <v>5571</v>
      </c>
      <c r="K1123" s="48" t="n">
        <v>5553</v>
      </c>
      <c r="L1123" s="48" t="n">
        <v>86888744</v>
      </c>
      <c r="M1123" s="48" t="n">
        <v>472935433592</v>
      </c>
      <c r="N1123" s="48" t="n">
        <v>3737</v>
      </c>
      <c r="O1123" s="48" t="n">
        <v>28890048</v>
      </c>
      <c r="P1123" s="48" t="n">
        <v>58106508</v>
      </c>
      <c r="Q1123" s="48" t="n">
        <v>1115</v>
      </c>
      <c r="R1123" s="48" t="n">
        <v>2345</v>
      </c>
      <c r="S1123" s="48" t="n">
        <v>57998696</v>
      </c>
      <c r="T1123" s="48" t="n">
        <v>28782236</v>
      </c>
      <c r="U1123" s="46" t="n">
        <f aca="false">IF($A1123=$A1122,$U1122+1,1)</f>
        <v>79</v>
      </c>
      <c r="V1123" s="48" t="n">
        <f aca="false">IF($U1123&gt;=MA_SHORT,AVERAGE(INDEX($I$723:$I1123,402-MA_SHORT):$I1123),"")</f>
        <v>5272</v>
      </c>
      <c r="W1123" s="48" t="n">
        <f aca="false">IF($U1123&gt;=MA_MED,AVERAGE(INDEX($I$723:$I1123,402-MA_MED):$I1123),"")</f>
        <v>5199.5</v>
      </c>
      <c r="X1123" s="48" t="str">
        <f aca="false">IF($U1123&gt;=MA_LONG1,AVERAGE(INDEX($I$723:$I1123,402-MA_LONG1):$I1123),"")</f>
        <v/>
      </c>
      <c r="Y1123" s="48" t="str">
        <f aca="false">IF($U1123&gt;=MA_LONG2,AVERAGE(INDEX($I$723:$I1123,402-MA_LONG2):$I1123),"")</f>
        <v/>
      </c>
      <c r="Z1123" s="48" t="n">
        <f aca="false">IF($U1123&gt;=MA_SHORT,AVERAGE(INDEX($L$1003:$L1123,122-MA_SHORT):$L1123),"")</f>
        <v>89029928.25</v>
      </c>
      <c r="AA1123" s="48" t="n">
        <f aca="false">IF($U1123=1,$G1123-$H1123,MAX($G1123-$H1123,ABS($G1123-$I1122),ABS($H1123-$I1122)))</f>
        <v>300</v>
      </c>
      <c r="AB1123" s="48" t="n">
        <f aca="false">IF($U1123&gt;=ATR_PER,AVERAGE(INDEX($AA$1003:$AA1123,122-ATR_PER):$AA1123),"")</f>
        <v>197.357142857143</v>
      </c>
      <c r="AC1123" s="48" t="n">
        <f aca="false">$O1123-$P1123</f>
        <v>-29216460</v>
      </c>
      <c r="AD1123" s="48" t="n">
        <f aca="false">$AC1123*$I1123</f>
        <v>-159025191780</v>
      </c>
      <c r="AE1123" s="49" t="n">
        <f aca="false">IF($Q1123&gt;0,$O1123*$I1123/$Q1123/1000000,"")</f>
        <v>141.030072882511</v>
      </c>
      <c r="AF1123" s="49" t="n">
        <f aca="false">IF($R1123&gt;0,$P1123*$I1123/$R1123/1000000,"")</f>
        <v>134.871523686141</v>
      </c>
      <c r="AG1123" s="50" t="n">
        <f aca="false">IF(AND(ISNUMBER($AE1123),ISNUMBER($AF1123),$AF1123&gt;0),$AE1123/$AF1123,"")</f>
        <v>1.04566233870615</v>
      </c>
      <c r="AH1123" s="48" t="n">
        <f aca="false">IF($U1123&gt;=5,SUM(INDEX($AD$1093:$AD1123,32-5):$AD1123),"")</f>
        <v>-249668560496</v>
      </c>
      <c r="AI1123" s="48" t="n">
        <f aca="false">IF($U1123&gt;=STRUCT_S,MAX(INDEX($G$973:$G1123,152-STRUCT_S):$G1123),"")</f>
        <v>5673</v>
      </c>
      <c r="AJ1123" s="48" t="n">
        <f aca="false">IF($U1123&gt;=STRUCT_S,MIN(INDEX($H$973:$H1123,152-STRUCT_S):$H1123),"")</f>
        <v>4912</v>
      </c>
      <c r="AK1123" s="48" t="n">
        <f aca="false">IF($U1123&gt;=STRUCT_L,MAX(INDEX($G$873:$G1123,252-STRUCT_L):$G1123),"")</f>
        <v>5673</v>
      </c>
      <c r="AL1123" s="48" t="n">
        <f aca="false">IF($U1123&gt;=STRUCT_L,MIN(INDEX($H$873:$H1123,252-STRUCT_L):$H1123),"")</f>
        <v>4682</v>
      </c>
      <c r="AM1123" s="46" t="n">
        <f aca="false">IF($A1123&lt;&gt;$A1124,1,0)</f>
        <v>0</v>
      </c>
      <c r="AN1123" s="47" t="str">
        <f aca="false">IF($AM1123=1,$A1123,"")</f>
        <v/>
      </c>
    </row>
    <row r="1124" customFormat="false" ht="15" hidden="false" customHeight="false" outlineLevel="0" collapsed="false">
      <c r="A1124" s="43" t="s">
        <v>152</v>
      </c>
      <c r="B1124" s="44" t="s">
        <v>154</v>
      </c>
      <c r="C1124" s="45" t="n">
        <v>46015</v>
      </c>
      <c r="D1124" s="46" t="n">
        <v>20251224</v>
      </c>
      <c r="E1124" s="47" t="s">
        <v>367</v>
      </c>
      <c r="F1124" s="48" t="n">
        <v>5411</v>
      </c>
      <c r="G1124" s="48" t="n">
        <v>5663</v>
      </c>
      <c r="H1124" s="48" t="n">
        <v>5393</v>
      </c>
      <c r="I1124" s="48" t="n">
        <v>5611</v>
      </c>
      <c r="J1124" s="48" t="n">
        <v>5603</v>
      </c>
      <c r="K1124" s="48" t="n">
        <v>5443</v>
      </c>
      <c r="L1124" s="48" t="n">
        <v>123654043</v>
      </c>
      <c r="M1124" s="48" t="n">
        <v>693822835273</v>
      </c>
      <c r="N1124" s="48" t="n">
        <v>7794</v>
      </c>
      <c r="O1124" s="48" t="n">
        <v>67846311</v>
      </c>
      <c r="P1124" s="48" t="n">
        <v>61424704</v>
      </c>
      <c r="Q1124" s="48" t="n">
        <v>4382</v>
      </c>
      <c r="R1124" s="48" t="n">
        <v>3580</v>
      </c>
      <c r="S1124" s="48" t="n">
        <v>55807732</v>
      </c>
      <c r="T1124" s="48" t="n">
        <v>62229339</v>
      </c>
      <c r="U1124" s="46" t="n">
        <f aca="false">IF($A1124=$A1123,$U1123+1,1)</f>
        <v>80</v>
      </c>
      <c r="V1124" s="48" t="n">
        <f aca="false">IF($U1124&gt;=MA_SHORT,AVERAGE(INDEX($I$724:$I1124,402-MA_SHORT):$I1124),"")</f>
        <v>5288.5</v>
      </c>
      <c r="W1124" s="48" t="n">
        <f aca="false">IF($U1124&gt;=MA_MED,AVERAGE(INDEX($I$724:$I1124,402-MA_MED):$I1124),"")</f>
        <v>5216.4</v>
      </c>
      <c r="X1124" s="48" t="str">
        <f aca="false">IF($U1124&gt;=MA_LONG1,AVERAGE(INDEX($I$724:$I1124,402-MA_LONG1):$I1124),"")</f>
        <v/>
      </c>
      <c r="Y1124" s="48" t="str">
        <f aca="false">IF($U1124&gt;=MA_LONG2,AVERAGE(INDEX($I$724:$I1124,402-MA_LONG2):$I1124),"")</f>
        <v/>
      </c>
      <c r="Z1124" s="48" t="n">
        <f aca="false">IF($U1124&gt;=MA_SHORT,AVERAGE(INDEX($L$1004:$L1124,122-MA_SHORT):$L1124),"")</f>
        <v>90816287.9</v>
      </c>
      <c r="AA1124" s="48" t="n">
        <f aca="false">IF($U1124=1,$G1124-$H1124,MAX($G1124-$H1124,ABS($G1124-$I1123),ABS($H1124-$I1123)))</f>
        <v>270</v>
      </c>
      <c r="AB1124" s="48" t="n">
        <f aca="false">IF($U1124&gt;=ATR_PER,AVERAGE(INDEX($AA$1004:$AA1124,122-ATR_PER):$AA1124),"")</f>
        <v>207.285714285714</v>
      </c>
      <c r="AC1124" s="48" t="n">
        <f aca="false">$O1124-$P1124</f>
        <v>6421607</v>
      </c>
      <c r="AD1124" s="48" t="n">
        <f aca="false">$AC1124*$I1124</f>
        <v>36031636877</v>
      </c>
      <c r="AE1124" s="49" t="n">
        <f aca="false">IF($Q1124&gt;0,$O1124*$I1124/$Q1124/1000000,"")</f>
        <v>86.8748633092195</v>
      </c>
      <c r="AF1124" s="49" t="n">
        <f aca="false">IF($R1124&gt;0,$P1124*$I1124/$R1124/1000000,"")</f>
        <v>96.2720709899441</v>
      </c>
      <c r="AG1124" s="50" t="n">
        <f aca="false">IF(AND(ISNUMBER($AE1124),ISNUMBER($AF1124),$AF1124&gt;0),$AE1124/$AF1124,"")</f>
        <v>0.902389056513533</v>
      </c>
      <c r="AH1124" s="48" t="n">
        <f aca="false">IF($U1124&gt;=5,SUM(INDEX($AD$1094:$AD1124,32-5):$AD1124),"")</f>
        <v>-134456660980</v>
      </c>
      <c r="AI1124" s="48" t="n">
        <f aca="false">IF($U1124&gt;=STRUCT_S,MAX(INDEX($G$974:$G1124,152-STRUCT_S):$G1124),"")</f>
        <v>5673</v>
      </c>
      <c r="AJ1124" s="48" t="n">
        <f aca="false">IF($U1124&gt;=STRUCT_S,MIN(INDEX($H$974:$H1124,152-STRUCT_S):$H1124),"")</f>
        <v>4912</v>
      </c>
      <c r="AK1124" s="48" t="n">
        <f aca="false">IF($U1124&gt;=STRUCT_L,MAX(INDEX($G$874:$G1124,252-STRUCT_L):$G1124),"")</f>
        <v>5673</v>
      </c>
      <c r="AL1124" s="48" t="n">
        <f aca="false">IF($U1124&gt;=STRUCT_L,MIN(INDEX($H$874:$H1124,252-STRUCT_L):$H1124),"")</f>
        <v>4682</v>
      </c>
      <c r="AM1124" s="46" t="n">
        <f aca="false">IF($A1124&lt;&gt;$A1125,1,0)</f>
        <v>0</v>
      </c>
      <c r="AN1124" s="47" t="str">
        <f aca="false">IF($AM1124=1,$A1124,"")</f>
        <v/>
      </c>
    </row>
    <row r="1125" customFormat="false" ht="15" hidden="false" customHeight="false" outlineLevel="0" collapsed="false">
      <c r="A1125" s="43" t="s">
        <v>152</v>
      </c>
      <c r="B1125" s="44" t="s">
        <v>154</v>
      </c>
      <c r="C1125" s="45" t="n">
        <v>46018</v>
      </c>
      <c r="D1125" s="46" t="n">
        <v>20251227</v>
      </c>
      <c r="E1125" s="47" t="s">
        <v>368</v>
      </c>
      <c r="F1125" s="48" t="n">
        <v>5554</v>
      </c>
      <c r="G1125" s="48" t="n">
        <v>5666</v>
      </c>
      <c r="H1125" s="48" t="n">
        <v>5389</v>
      </c>
      <c r="I1125" s="48" t="n">
        <v>5442</v>
      </c>
      <c r="J1125" s="48" t="n">
        <v>5597</v>
      </c>
      <c r="K1125" s="48" t="n">
        <v>5611</v>
      </c>
      <c r="L1125" s="48" t="n">
        <v>91692846</v>
      </c>
      <c r="M1125" s="48" t="n">
        <v>498992467932</v>
      </c>
      <c r="N1125" s="48" t="n">
        <v>4358</v>
      </c>
      <c r="O1125" s="48" t="n">
        <v>23371129</v>
      </c>
      <c r="P1125" s="48" t="n">
        <v>65639524</v>
      </c>
      <c r="Q1125" s="48" t="n">
        <v>1844</v>
      </c>
      <c r="R1125" s="48" t="n">
        <v>2776</v>
      </c>
      <c r="S1125" s="48" t="n">
        <v>68321717</v>
      </c>
      <c r="T1125" s="48" t="n">
        <v>26053322</v>
      </c>
      <c r="U1125" s="46" t="n">
        <f aca="false">IF($A1125=$A1124,$U1124+1,1)</f>
        <v>81</v>
      </c>
      <c r="V1125" s="48" t="n">
        <f aca="false">IF($U1125&gt;=MA_SHORT,AVERAGE(INDEX($I$725:$I1125,402-MA_SHORT):$I1125),"")</f>
        <v>5300.65</v>
      </c>
      <c r="W1125" s="48" t="n">
        <f aca="false">IF($U1125&gt;=MA_MED,AVERAGE(INDEX($I$725:$I1125,402-MA_MED):$I1125),"")</f>
        <v>5229.74</v>
      </c>
      <c r="X1125" s="48" t="str">
        <f aca="false">IF($U1125&gt;=MA_LONG1,AVERAGE(INDEX($I$725:$I1125,402-MA_LONG1):$I1125),"")</f>
        <v/>
      </c>
      <c r="Y1125" s="48" t="str">
        <f aca="false">IF($U1125&gt;=MA_LONG2,AVERAGE(INDEX($I$725:$I1125,402-MA_LONG2):$I1125),"")</f>
        <v/>
      </c>
      <c r="Z1125" s="48" t="n">
        <f aca="false">IF($U1125&gt;=MA_SHORT,AVERAGE(INDEX($L$1005:$L1125,122-MA_SHORT):$L1125),"")</f>
        <v>91156247.5</v>
      </c>
      <c r="AA1125" s="48" t="n">
        <f aca="false">IF($U1125=1,$G1125-$H1125,MAX($G1125-$H1125,ABS($G1125-$I1124),ABS($H1125-$I1124)))</f>
        <v>277</v>
      </c>
      <c r="AB1125" s="48" t="n">
        <f aca="false">IF($U1125&gt;=ATR_PER,AVERAGE(INDEX($AA$1005:$AA1125,122-ATR_PER):$AA1125),"")</f>
        <v>210.285714285714</v>
      </c>
      <c r="AC1125" s="48" t="n">
        <f aca="false">$O1125-$P1125</f>
        <v>-42268395</v>
      </c>
      <c r="AD1125" s="48" t="n">
        <f aca="false">$AC1125*$I1125</f>
        <v>-230024605590</v>
      </c>
      <c r="AE1125" s="49" t="n">
        <f aca="false">IF($Q1125&gt;0,$O1125*$I1125/$Q1125/1000000,"")</f>
        <v>68.972713675705</v>
      </c>
      <c r="AF1125" s="49" t="n">
        <f aca="false">IF($R1125&gt;0,$P1125*$I1125/$R1125/1000000,"")</f>
        <v>128.678058216138</v>
      </c>
      <c r="AG1125" s="50" t="n">
        <f aca="false">IF(AND(ISNUMBER($AE1125),ISNUMBER($AF1125),$AF1125&gt;0),$AE1125/$AF1125,"")</f>
        <v>0.536009904344785</v>
      </c>
      <c r="AH1125" s="48" t="n">
        <f aca="false">IF($U1125&gt;=5,SUM(INDEX($AD$1095:$AD1125,32-5):$AD1125),"")</f>
        <v>-398439603650</v>
      </c>
      <c r="AI1125" s="48" t="n">
        <f aca="false">IF($U1125&gt;=STRUCT_S,MAX(INDEX($G$975:$G1125,152-STRUCT_S):$G1125),"")</f>
        <v>5673</v>
      </c>
      <c r="AJ1125" s="48" t="n">
        <f aca="false">IF($U1125&gt;=STRUCT_S,MIN(INDEX($H$975:$H1125,152-STRUCT_S):$H1125),"")</f>
        <v>4912</v>
      </c>
      <c r="AK1125" s="48" t="n">
        <f aca="false">IF($U1125&gt;=STRUCT_L,MAX(INDEX($G$875:$G1125,252-STRUCT_L):$G1125),"")</f>
        <v>5673</v>
      </c>
      <c r="AL1125" s="48" t="n">
        <f aca="false">IF($U1125&gt;=STRUCT_L,MIN(INDEX($H$875:$H1125,252-STRUCT_L):$H1125),"")</f>
        <v>4682</v>
      </c>
      <c r="AM1125" s="46" t="n">
        <f aca="false">IF($A1125&lt;&gt;$A1126,1,0)</f>
        <v>0</v>
      </c>
      <c r="AN1125" s="47" t="str">
        <f aca="false">IF($AM1125=1,$A1125,"")</f>
        <v/>
      </c>
    </row>
    <row r="1126" customFormat="false" ht="15" hidden="false" customHeight="false" outlineLevel="0" collapsed="false">
      <c r="A1126" s="43" t="s">
        <v>152</v>
      </c>
      <c r="B1126" s="44" t="s">
        <v>154</v>
      </c>
      <c r="C1126" s="45" t="n">
        <v>46019</v>
      </c>
      <c r="D1126" s="46" t="n">
        <v>20251228</v>
      </c>
      <c r="E1126" s="47" t="s">
        <v>369</v>
      </c>
      <c r="F1126" s="48" t="n">
        <v>5373</v>
      </c>
      <c r="G1126" s="48" t="n">
        <v>5502</v>
      </c>
      <c r="H1126" s="48" t="n">
        <v>5353</v>
      </c>
      <c r="I1126" s="48" t="n">
        <v>5413</v>
      </c>
      <c r="J1126" s="48" t="n">
        <v>5500</v>
      </c>
      <c r="K1126" s="48" t="n">
        <v>5442</v>
      </c>
      <c r="L1126" s="48" t="n">
        <v>104910289</v>
      </c>
      <c r="M1126" s="48" t="n">
        <v>567879394357</v>
      </c>
      <c r="N1126" s="48" t="n">
        <v>2402</v>
      </c>
      <c r="O1126" s="48" t="n">
        <v>50860087</v>
      </c>
      <c r="P1126" s="48" t="n">
        <v>49656240</v>
      </c>
      <c r="Q1126" s="48" t="n">
        <v>1043</v>
      </c>
      <c r="R1126" s="48" t="n">
        <v>963</v>
      </c>
      <c r="S1126" s="48" t="n">
        <v>54050202</v>
      </c>
      <c r="T1126" s="48" t="n">
        <v>55254049</v>
      </c>
      <c r="U1126" s="46" t="n">
        <f aca="false">IF($A1126=$A1125,$U1125+1,1)</f>
        <v>82</v>
      </c>
      <c r="V1126" s="48" t="n">
        <f aca="false">IF($U1126&gt;=MA_SHORT,AVERAGE(INDEX($I$726:$I1126,402-MA_SHORT):$I1126),"")</f>
        <v>5305.2</v>
      </c>
      <c r="W1126" s="48" t="n">
        <f aca="false">IF($U1126&gt;=MA_MED,AVERAGE(INDEX($I$726:$I1126,402-MA_MED):$I1126),"")</f>
        <v>5241.68</v>
      </c>
      <c r="X1126" s="48" t="str">
        <f aca="false">IF($U1126&gt;=MA_LONG1,AVERAGE(INDEX($I$726:$I1126,402-MA_LONG1):$I1126),"")</f>
        <v/>
      </c>
      <c r="Y1126" s="48" t="str">
        <f aca="false">IF($U1126&gt;=MA_LONG2,AVERAGE(INDEX($I$726:$I1126,402-MA_LONG2):$I1126),"")</f>
        <v/>
      </c>
      <c r="Z1126" s="48" t="n">
        <f aca="false">IF($U1126&gt;=MA_SHORT,AVERAGE(INDEX($L$1006:$L1126,122-MA_SHORT):$L1126),"")</f>
        <v>91725887.2</v>
      </c>
      <c r="AA1126" s="48" t="n">
        <f aca="false">IF($U1126=1,$G1126-$H1126,MAX($G1126-$H1126,ABS($G1126-$I1125),ABS($H1126-$I1125)))</f>
        <v>149</v>
      </c>
      <c r="AB1126" s="48" t="n">
        <f aca="false">IF($U1126&gt;=ATR_PER,AVERAGE(INDEX($AA$1006:$AA1126,122-ATR_PER):$AA1126),"")</f>
        <v>210.357142857143</v>
      </c>
      <c r="AC1126" s="48" t="n">
        <f aca="false">$O1126-$P1126</f>
        <v>1203847</v>
      </c>
      <c r="AD1126" s="48" t="n">
        <f aca="false">$AC1126*$I1126</f>
        <v>6516423811</v>
      </c>
      <c r="AE1126" s="49" t="n">
        <f aca="false">IF($Q1126&gt;0,$O1126*$I1126/$Q1126/1000000,"")</f>
        <v>263.955561774688</v>
      </c>
      <c r="AF1126" s="49" t="n">
        <f aca="false">IF($R1126&gt;0,$P1126*$I1126/$R1126/1000000,"")</f>
        <v>279.116539065421</v>
      </c>
      <c r="AG1126" s="50" t="n">
        <f aca="false">IF(AND(ISNUMBER($AE1126),ISNUMBER($AF1126),$AF1126&gt;0),$AE1126/$AF1126,"")</f>
        <v>0.945682268268672</v>
      </c>
      <c r="AH1126" s="48" t="n">
        <f aca="false">IF($U1126&gt;=5,SUM(INDEX($AD$1096:$AD1126,32-5):$AD1126),"")</f>
        <v>-398373714591</v>
      </c>
      <c r="AI1126" s="48" t="n">
        <f aca="false">IF($U1126&gt;=STRUCT_S,MAX(INDEX($G$976:$G1126,152-STRUCT_S):$G1126),"")</f>
        <v>5673</v>
      </c>
      <c r="AJ1126" s="48" t="n">
        <f aca="false">IF($U1126&gt;=STRUCT_S,MIN(INDEX($H$976:$H1126,152-STRUCT_S):$H1126),"")</f>
        <v>4912</v>
      </c>
      <c r="AK1126" s="48" t="n">
        <f aca="false">IF($U1126&gt;=STRUCT_L,MAX(INDEX($G$876:$G1126,252-STRUCT_L):$G1126),"")</f>
        <v>5673</v>
      </c>
      <c r="AL1126" s="48" t="n">
        <f aca="false">IF($U1126&gt;=STRUCT_L,MIN(INDEX($H$876:$H1126,252-STRUCT_L):$H1126),"")</f>
        <v>4682</v>
      </c>
      <c r="AM1126" s="46" t="n">
        <f aca="false">IF($A1126&lt;&gt;$A1127,1,0)</f>
        <v>0</v>
      </c>
      <c r="AN1126" s="47" t="str">
        <f aca="false">IF($AM1126=1,$A1126,"")</f>
        <v/>
      </c>
    </row>
    <row r="1127" customFormat="false" ht="15" hidden="false" customHeight="false" outlineLevel="0" collapsed="false">
      <c r="A1127" s="43" t="s">
        <v>152</v>
      </c>
      <c r="B1127" s="44" t="s">
        <v>154</v>
      </c>
      <c r="C1127" s="45" t="n">
        <v>46020</v>
      </c>
      <c r="D1127" s="46" t="n">
        <v>20251229</v>
      </c>
      <c r="E1127" s="47" t="s">
        <v>370</v>
      </c>
      <c r="F1127" s="48" t="n">
        <v>5378</v>
      </c>
      <c r="G1127" s="48" t="n">
        <v>5705</v>
      </c>
      <c r="H1127" s="48" t="n">
        <v>5368</v>
      </c>
      <c r="I1127" s="48" t="n">
        <v>5658</v>
      </c>
      <c r="J1127" s="48" t="n">
        <v>5454</v>
      </c>
      <c r="K1127" s="48" t="n">
        <v>5413</v>
      </c>
      <c r="L1127" s="48" t="n">
        <v>98748290</v>
      </c>
      <c r="M1127" s="48" t="n">
        <v>558717824820</v>
      </c>
      <c r="N1127" s="48" t="n">
        <v>6601</v>
      </c>
      <c r="O1127" s="48" t="n">
        <v>65999431</v>
      </c>
      <c r="P1127" s="48" t="n">
        <v>27744816</v>
      </c>
      <c r="Q1127" s="48" t="n">
        <v>2831</v>
      </c>
      <c r="R1127" s="48" t="n">
        <v>2433</v>
      </c>
      <c r="S1127" s="48" t="n">
        <v>32748859</v>
      </c>
      <c r="T1127" s="48" t="n">
        <v>71003474</v>
      </c>
      <c r="U1127" s="46" t="n">
        <f aca="false">IF($A1127=$A1126,$U1126+1,1)</f>
        <v>83</v>
      </c>
      <c r="V1127" s="48" t="n">
        <f aca="false">IF($U1127&gt;=MA_SHORT,AVERAGE(INDEX($I$727:$I1127,402-MA_SHORT):$I1127),"")</f>
        <v>5326.05</v>
      </c>
      <c r="W1127" s="48" t="n">
        <f aca="false">IF($U1127&gt;=MA_MED,AVERAGE(INDEX($I$727:$I1127,402-MA_MED):$I1127),"")</f>
        <v>5256.1</v>
      </c>
      <c r="X1127" s="48" t="str">
        <f aca="false">IF($U1127&gt;=MA_LONG1,AVERAGE(INDEX($I$727:$I1127,402-MA_LONG1):$I1127),"")</f>
        <v/>
      </c>
      <c r="Y1127" s="48" t="str">
        <f aca="false">IF($U1127&gt;=MA_LONG2,AVERAGE(INDEX($I$727:$I1127,402-MA_LONG2):$I1127),"")</f>
        <v/>
      </c>
      <c r="Z1127" s="48" t="n">
        <f aca="false">IF($U1127&gt;=MA_SHORT,AVERAGE(INDEX($L$1007:$L1127,122-MA_SHORT):$L1127),"")</f>
        <v>92392000.1</v>
      </c>
      <c r="AA1127" s="48" t="n">
        <f aca="false">IF($U1127=1,$G1127-$H1127,MAX($G1127-$H1127,ABS($G1127-$I1126),ABS($H1127-$I1126)))</f>
        <v>337</v>
      </c>
      <c r="AB1127" s="48" t="n">
        <f aca="false">IF($U1127&gt;=ATR_PER,AVERAGE(INDEX($AA$1007:$AA1127,122-ATR_PER):$AA1127),"")</f>
        <v>226.642857142857</v>
      </c>
      <c r="AC1127" s="48" t="n">
        <f aca="false">$O1127-$P1127</f>
        <v>38254615</v>
      </c>
      <c r="AD1127" s="48" t="n">
        <f aca="false">$AC1127*$I1127</f>
        <v>216444611670</v>
      </c>
      <c r="AE1127" s="49" t="n">
        <f aca="false">IF($Q1127&gt;0,$O1127*$I1127/$Q1127/1000000,"")</f>
        <v>131.90560953656</v>
      </c>
      <c r="AF1127" s="49" t="n">
        <f aca="false">IF($R1127&gt;0,$P1127*$I1127/$R1127/1000000,"")</f>
        <v>64.5212367151665</v>
      </c>
      <c r="AG1127" s="50" t="n">
        <f aca="false">IF(AND(ISNUMBER($AE1127),ISNUMBER($AF1127),$AF1127&gt;0),$AE1127/$AF1127,"")</f>
        <v>2.04437509651072</v>
      </c>
      <c r="AH1127" s="48" t="n">
        <f aca="false">IF($U1127&gt;=5,SUM(INDEX($AD$1097:$AD1127,32-5):$AD1127),"")</f>
        <v>-130057125012</v>
      </c>
      <c r="AI1127" s="48" t="n">
        <f aca="false">IF($U1127&gt;=STRUCT_S,MAX(INDEX($G$977:$G1127,152-STRUCT_S):$G1127),"")</f>
        <v>5705</v>
      </c>
      <c r="AJ1127" s="48" t="n">
        <f aca="false">IF($U1127&gt;=STRUCT_S,MIN(INDEX($H$977:$H1127,152-STRUCT_S):$H1127),"")</f>
        <v>4912</v>
      </c>
      <c r="AK1127" s="48" t="n">
        <f aca="false">IF($U1127&gt;=STRUCT_L,MAX(INDEX($G$877:$G1127,252-STRUCT_L):$G1127),"")</f>
        <v>5705</v>
      </c>
      <c r="AL1127" s="48" t="n">
        <f aca="false">IF($U1127&gt;=STRUCT_L,MIN(INDEX($H$877:$H1127,252-STRUCT_L):$H1127),"")</f>
        <v>4682</v>
      </c>
      <c r="AM1127" s="46" t="n">
        <f aca="false">IF($A1127&lt;&gt;$A1128,1,0)</f>
        <v>0</v>
      </c>
      <c r="AN1127" s="47" t="str">
        <f aca="false">IF($AM1127=1,$A1127,"")</f>
        <v/>
      </c>
    </row>
    <row r="1128" customFormat="false" ht="15" hidden="false" customHeight="false" outlineLevel="0" collapsed="false">
      <c r="A1128" s="43" t="s">
        <v>152</v>
      </c>
      <c r="B1128" s="44" t="s">
        <v>154</v>
      </c>
      <c r="C1128" s="45" t="n">
        <v>46021</v>
      </c>
      <c r="D1128" s="46" t="n">
        <v>20251230</v>
      </c>
      <c r="E1128" s="47" t="s">
        <v>371</v>
      </c>
      <c r="F1128" s="48" t="n">
        <v>5839</v>
      </c>
      <c r="G1128" s="48" t="n">
        <v>5876</v>
      </c>
      <c r="H1128" s="48" t="n">
        <v>5587</v>
      </c>
      <c r="I1128" s="48" t="n">
        <v>5804</v>
      </c>
      <c r="J1128" s="48" t="n">
        <v>5596</v>
      </c>
      <c r="K1128" s="48" t="n">
        <v>5658</v>
      </c>
      <c r="L1128" s="48" t="n">
        <v>89682153</v>
      </c>
      <c r="M1128" s="48" t="n">
        <v>520515216012</v>
      </c>
      <c r="N1128" s="48" t="n">
        <v>2704</v>
      </c>
      <c r="O1128" s="48" t="n">
        <v>45181511</v>
      </c>
      <c r="P1128" s="48" t="n">
        <v>46394449</v>
      </c>
      <c r="Q1128" s="48" t="n">
        <v>1189</v>
      </c>
      <c r="R1128" s="48" t="n">
        <v>1092</v>
      </c>
      <c r="S1128" s="48" t="n">
        <v>44500642</v>
      </c>
      <c r="T1128" s="48" t="n">
        <v>43287704</v>
      </c>
      <c r="U1128" s="46" t="n">
        <f aca="false">IF($A1128=$A1127,$U1127+1,1)</f>
        <v>84</v>
      </c>
      <c r="V1128" s="48" t="n">
        <f aca="false">IF($U1128&gt;=MA_SHORT,AVERAGE(INDEX($I$728:$I1128,402-MA_SHORT):$I1128),"")</f>
        <v>5358.25</v>
      </c>
      <c r="W1128" s="48" t="n">
        <f aca="false">IF($U1128&gt;=MA_MED,AVERAGE(INDEX($I$728:$I1128,402-MA_MED):$I1128),"")</f>
        <v>5272.58</v>
      </c>
      <c r="X1128" s="48" t="str">
        <f aca="false">IF($U1128&gt;=MA_LONG1,AVERAGE(INDEX($I$728:$I1128,402-MA_LONG1):$I1128),"")</f>
        <v/>
      </c>
      <c r="Y1128" s="48" t="str">
        <f aca="false">IF($U1128&gt;=MA_LONG2,AVERAGE(INDEX($I$728:$I1128,402-MA_LONG2):$I1128),"")</f>
        <v/>
      </c>
      <c r="Z1128" s="48" t="n">
        <f aca="false">IF($U1128&gt;=MA_SHORT,AVERAGE(INDEX($L$1008:$L1128,122-MA_SHORT):$L1128),"")</f>
        <v>92633109.35</v>
      </c>
      <c r="AA1128" s="48" t="n">
        <f aca="false">IF($U1128=1,$G1128-$H1128,MAX($G1128-$H1128,ABS($G1128-$I1127),ABS($H1128-$I1127)))</f>
        <v>289</v>
      </c>
      <c r="AB1128" s="48" t="n">
        <f aca="false">IF($U1128&gt;=ATR_PER,AVERAGE(INDEX($AA$1008:$AA1128,122-ATR_PER):$AA1128),"")</f>
        <v>226.642857142857</v>
      </c>
      <c r="AC1128" s="48" t="n">
        <f aca="false">$O1128-$P1128</f>
        <v>-1212938</v>
      </c>
      <c r="AD1128" s="48" t="n">
        <f aca="false">$AC1128*$I1128</f>
        <v>-7039892152</v>
      </c>
      <c r="AE1128" s="49" t="n">
        <f aca="false">IF($Q1128&gt;0,$O1128*$I1128/$Q1128/1000000,"")</f>
        <v>220.549612989066</v>
      </c>
      <c r="AF1128" s="49" t="n">
        <f aca="false">IF($R1128&gt;0,$P1128*$I1128/$R1128/1000000,"")</f>
        <v>246.587346150183</v>
      </c>
      <c r="AG1128" s="50" t="n">
        <f aca="false">IF(AND(ISNUMBER($AE1128),ISNUMBER($AF1128),$AF1128&gt;0),$AE1128/$AF1128,"")</f>
        <v>0.894407667029035</v>
      </c>
      <c r="AH1128" s="48" t="n">
        <f aca="false">IF($U1128&gt;=5,SUM(INDEX($AD$1098:$AD1128,32-5):$AD1128),"")</f>
        <v>21928174616</v>
      </c>
      <c r="AI1128" s="48" t="n">
        <f aca="false">IF($U1128&gt;=STRUCT_S,MAX(INDEX($G$978:$G1128,152-STRUCT_S):$G1128),"")</f>
        <v>5876</v>
      </c>
      <c r="AJ1128" s="48" t="n">
        <f aca="false">IF($U1128&gt;=STRUCT_S,MIN(INDEX($H$978:$H1128,152-STRUCT_S):$H1128),"")</f>
        <v>4912</v>
      </c>
      <c r="AK1128" s="48" t="n">
        <f aca="false">IF($U1128&gt;=STRUCT_L,MAX(INDEX($G$878:$G1128,252-STRUCT_L):$G1128),"")</f>
        <v>5876</v>
      </c>
      <c r="AL1128" s="48" t="n">
        <f aca="false">IF($U1128&gt;=STRUCT_L,MIN(INDEX($H$878:$H1128,252-STRUCT_L):$H1128),"")</f>
        <v>4682</v>
      </c>
      <c r="AM1128" s="46" t="n">
        <f aca="false">IF($A1128&lt;&gt;$A1129,1,0)</f>
        <v>0</v>
      </c>
      <c r="AN1128" s="47" t="str">
        <f aca="false">IF($AM1128=1,$A1128,"")</f>
        <v/>
      </c>
    </row>
    <row r="1129" customFormat="false" ht="15" hidden="false" customHeight="false" outlineLevel="0" collapsed="false">
      <c r="A1129" s="43" t="s">
        <v>152</v>
      </c>
      <c r="B1129" s="44" t="s">
        <v>154</v>
      </c>
      <c r="C1129" s="45" t="n">
        <v>46022</v>
      </c>
      <c r="D1129" s="46" t="n">
        <v>20251231</v>
      </c>
      <c r="E1129" s="47" t="s">
        <v>372</v>
      </c>
      <c r="F1129" s="48" t="n">
        <v>5839</v>
      </c>
      <c r="G1129" s="48" t="n">
        <v>5854</v>
      </c>
      <c r="H1129" s="48" t="n">
        <v>5717</v>
      </c>
      <c r="I1129" s="48" t="n">
        <v>5767</v>
      </c>
      <c r="J1129" s="48" t="n">
        <v>5792</v>
      </c>
      <c r="K1129" s="48" t="n">
        <v>5804</v>
      </c>
      <c r="L1129" s="48" t="n">
        <v>96373634</v>
      </c>
      <c r="M1129" s="48" t="n">
        <v>555786747278</v>
      </c>
      <c r="N1129" s="48" t="n">
        <v>4845</v>
      </c>
      <c r="O1129" s="48" t="n">
        <v>38057891</v>
      </c>
      <c r="P1129" s="48" t="n">
        <v>54311184</v>
      </c>
      <c r="Q1129" s="48" t="n">
        <v>1538</v>
      </c>
      <c r="R1129" s="48" t="n">
        <v>2447</v>
      </c>
      <c r="S1129" s="48" t="n">
        <v>58315743</v>
      </c>
      <c r="T1129" s="48" t="n">
        <v>42062450</v>
      </c>
      <c r="U1129" s="46" t="n">
        <f aca="false">IF($A1129=$A1128,$U1128+1,1)</f>
        <v>85</v>
      </c>
      <c r="V1129" s="48" t="n">
        <f aca="false">IF($U1129&gt;=MA_SHORT,AVERAGE(INDEX($I$729:$I1129,402-MA_SHORT):$I1129),"")</f>
        <v>5389.1</v>
      </c>
      <c r="W1129" s="48" t="n">
        <f aca="false">IF($U1129&gt;=MA_MED,AVERAGE(INDEX($I$729:$I1129,402-MA_MED):$I1129),"")</f>
        <v>5286.34</v>
      </c>
      <c r="X1129" s="48" t="str">
        <f aca="false">IF($U1129&gt;=MA_LONG1,AVERAGE(INDEX($I$729:$I1129,402-MA_LONG1):$I1129),"")</f>
        <v/>
      </c>
      <c r="Y1129" s="48" t="str">
        <f aca="false">IF($U1129&gt;=MA_LONG2,AVERAGE(INDEX($I$729:$I1129,402-MA_LONG2):$I1129),"")</f>
        <v/>
      </c>
      <c r="Z1129" s="48" t="n">
        <f aca="false">IF($U1129&gt;=MA_SHORT,AVERAGE(INDEX($L$1009:$L1129,122-MA_SHORT):$L1129),"")</f>
        <v>93292091.95</v>
      </c>
      <c r="AA1129" s="48" t="n">
        <f aca="false">IF($U1129=1,$G1129-$H1129,MAX($G1129-$H1129,ABS($G1129-$I1128),ABS($H1129-$I1128)))</f>
        <v>137</v>
      </c>
      <c r="AB1129" s="48" t="n">
        <f aca="false">IF($U1129&gt;=ATR_PER,AVERAGE(INDEX($AA$1009:$AA1129,122-ATR_PER):$AA1129),"")</f>
        <v>222.571428571429</v>
      </c>
      <c r="AC1129" s="48" t="n">
        <f aca="false">$O1129-$P1129</f>
        <v>-16253293</v>
      </c>
      <c r="AD1129" s="48" t="n">
        <f aca="false">$AC1129*$I1129</f>
        <v>-93732740731</v>
      </c>
      <c r="AE1129" s="49" t="n">
        <f aca="false">IF($Q1129&gt;0,$O1129*$I1129/$Q1129/1000000,"")</f>
        <v>142.704718723667</v>
      </c>
      <c r="AF1129" s="49" t="n">
        <f aca="false">IF($R1129&gt;0,$P1129*$I1129/$R1129/1000000,"")</f>
        <v>127.998609778504</v>
      </c>
      <c r="AG1129" s="50" t="n">
        <f aca="false">IF(AND(ISNUMBER($AE1129),ISNUMBER($AF1129),$AF1129&gt;0),$AE1129/$AF1129,"")</f>
        <v>1.11489272399607</v>
      </c>
      <c r="AH1129" s="48" t="n">
        <f aca="false">IF($U1129&gt;=5,SUM(INDEX($AD$1099:$AD1129,32-5):$AD1129),"")</f>
        <v>-107836202992</v>
      </c>
      <c r="AI1129" s="48" t="n">
        <f aca="false">IF($U1129&gt;=STRUCT_S,MAX(INDEX($G$979:$G1129,152-STRUCT_S):$G1129),"")</f>
        <v>5876</v>
      </c>
      <c r="AJ1129" s="48" t="n">
        <f aca="false">IF($U1129&gt;=STRUCT_S,MIN(INDEX($H$979:$H1129,152-STRUCT_S):$H1129),"")</f>
        <v>4912</v>
      </c>
      <c r="AK1129" s="48" t="n">
        <f aca="false">IF($U1129&gt;=STRUCT_L,MAX(INDEX($G$879:$G1129,252-STRUCT_L):$G1129),"")</f>
        <v>5876</v>
      </c>
      <c r="AL1129" s="48" t="n">
        <f aca="false">IF($U1129&gt;=STRUCT_L,MIN(INDEX($H$879:$H1129,252-STRUCT_L):$H1129),"")</f>
        <v>4682</v>
      </c>
      <c r="AM1129" s="46" t="n">
        <f aca="false">IF($A1129&lt;&gt;$A1130,1,0)</f>
        <v>0</v>
      </c>
      <c r="AN1129" s="47" t="str">
        <f aca="false">IF($AM1129=1,$A1129,"")</f>
        <v/>
      </c>
    </row>
    <row r="1130" customFormat="false" ht="15" hidden="false" customHeight="false" outlineLevel="0" collapsed="false">
      <c r="A1130" s="43" t="s">
        <v>152</v>
      </c>
      <c r="B1130" s="44" t="s">
        <v>154</v>
      </c>
      <c r="C1130" s="45" t="n">
        <v>46025</v>
      </c>
      <c r="D1130" s="46" t="n">
        <v>20260103</v>
      </c>
      <c r="E1130" s="47" t="s">
        <v>373</v>
      </c>
      <c r="F1130" s="48" t="n">
        <v>5728</v>
      </c>
      <c r="G1130" s="48" t="n">
        <v>5820</v>
      </c>
      <c r="H1130" s="48" t="n">
        <v>5718</v>
      </c>
      <c r="I1130" s="48" t="n">
        <v>5771</v>
      </c>
      <c r="J1130" s="48" t="n">
        <v>5736</v>
      </c>
      <c r="K1130" s="48" t="n">
        <v>5767</v>
      </c>
      <c r="L1130" s="48" t="n">
        <v>79454447</v>
      </c>
      <c r="M1130" s="48" t="n">
        <v>458531613637</v>
      </c>
      <c r="N1130" s="48" t="n">
        <v>2936</v>
      </c>
      <c r="O1130" s="48" t="n">
        <v>38279366</v>
      </c>
      <c r="P1130" s="48" t="n">
        <v>39934817</v>
      </c>
      <c r="Q1130" s="48" t="n">
        <v>1044</v>
      </c>
      <c r="R1130" s="48" t="n">
        <v>845</v>
      </c>
      <c r="S1130" s="48" t="n">
        <v>41175081</v>
      </c>
      <c r="T1130" s="48" t="n">
        <v>39519630</v>
      </c>
      <c r="U1130" s="46" t="n">
        <f aca="false">IF($A1130=$A1129,$U1129+1,1)</f>
        <v>86</v>
      </c>
      <c r="V1130" s="48" t="n">
        <f aca="false">IF($U1130&gt;=MA_SHORT,AVERAGE(INDEX($I$730:$I1130,402-MA_SHORT):$I1130),"")</f>
        <v>5425</v>
      </c>
      <c r="W1130" s="48" t="n">
        <f aca="false">IF($U1130&gt;=MA_MED,AVERAGE(INDEX($I$730:$I1130,402-MA_MED):$I1130),"")</f>
        <v>5301.7</v>
      </c>
      <c r="X1130" s="48" t="str">
        <f aca="false">IF($U1130&gt;=MA_LONG1,AVERAGE(INDEX($I$730:$I1130,402-MA_LONG1):$I1130),"")</f>
        <v/>
      </c>
      <c r="Y1130" s="48" t="str">
        <f aca="false">IF($U1130&gt;=MA_LONG2,AVERAGE(INDEX($I$730:$I1130,402-MA_LONG2):$I1130),"")</f>
        <v/>
      </c>
      <c r="Z1130" s="48" t="n">
        <f aca="false">IF($U1130&gt;=MA_SHORT,AVERAGE(INDEX($L$1010:$L1130,122-MA_SHORT):$L1130),"")</f>
        <v>92943072.7</v>
      </c>
      <c r="AA1130" s="48" t="n">
        <f aca="false">IF($U1130=1,$G1130-$H1130,MAX($G1130-$H1130,ABS($G1130-$I1129),ABS($H1130-$I1129)))</f>
        <v>102</v>
      </c>
      <c r="AB1130" s="48" t="n">
        <f aca="false">IF($U1130&gt;=ATR_PER,AVERAGE(INDEX($AA$1010:$AA1130,122-ATR_PER):$AA1130),"")</f>
        <v>212.428571428571</v>
      </c>
      <c r="AC1130" s="48" t="n">
        <f aca="false">$O1130-$P1130</f>
        <v>-1655451</v>
      </c>
      <c r="AD1130" s="48" t="n">
        <f aca="false">$AC1130*$I1130</f>
        <v>-9553607721</v>
      </c>
      <c r="AE1130" s="49" t="n">
        <f aca="false">IF($Q1130&gt;0,$O1130*$I1130/$Q1130/1000000,"")</f>
        <v>211.599828722222</v>
      </c>
      <c r="AF1130" s="49" t="n">
        <f aca="false">IF($R1130&gt;0,$P1130*$I1130/$R1130/1000000,"")</f>
        <v>272.738259061539</v>
      </c>
      <c r="AG1130" s="50" t="n">
        <f aca="false">IF(AND(ISNUMBER($AE1130),ISNUMBER($AF1130),$AF1130&gt;0),$AE1130/$AF1130,"")</f>
        <v>0.775834785520423</v>
      </c>
      <c r="AH1130" s="48" t="n">
        <f aca="false">IF($U1130&gt;=5,SUM(INDEX($AD$1100:$AD1130,32-5):$AD1130),"")</f>
        <v>112634794877</v>
      </c>
      <c r="AI1130" s="48" t="n">
        <f aca="false">IF($U1130&gt;=STRUCT_S,MAX(INDEX($G$980:$G1130,152-STRUCT_S):$G1130),"")</f>
        <v>5876</v>
      </c>
      <c r="AJ1130" s="48" t="n">
        <f aca="false">IF($U1130&gt;=STRUCT_S,MIN(INDEX($H$980:$H1130,152-STRUCT_S):$H1130),"")</f>
        <v>4912</v>
      </c>
      <c r="AK1130" s="48" t="n">
        <f aca="false">IF($U1130&gt;=STRUCT_L,MAX(INDEX($G$880:$G1130,252-STRUCT_L):$G1130),"")</f>
        <v>5876</v>
      </c>
      <c r="AL1130" s="48" t="n">
        <f aca="false">IF($U1130&gt;=STRUCT_L,MIN(INDEX($H$880:$H1130,252-STRUCT_L):$H1130),"")</f>
        <v>4682</v>
      </c>
      <c r="AM1130" s="46" t="n">
        <f aca="false">IF($A1130&lt;&gt;$A1131,1,0)</f>
        <v>0</v>
      </c>
      <c r="AN1130" s="47" t="str">
        <f aca="false">IF($AM1130=1,$A1130,"")</f>
        <v/>
      </c>
    </row>
    <row r="1131" customFormat="false" ht="15" hidden="false" customHeight="false" outlineLevel="0" collapsed="false">
      <c r="A1131" s="43" t="s">
        <v>152</v>
      </c>
      <c r="B1131" s="44" t="s">
        <v>154</v>
      </c>
      <c r="C1131" s="45" t="n">
        <v>46026</v>
      </c>
      <c r="D1131" s="46" t="n">
        <v>20260104</v>
      </c>
      <c r="E1131" s="47" t="s">
        <v>374</v>
      </c>
      <c r="F1131" s="48" t="n">
        <v>5763</v>
      </c>
      <c r="G1131" s="48" t="n">
        <v>5982</v>
      </c>
      <c r="H1131" s="48" t="n">
        <v>5681</v>
      </c>
      <c r="I1131" s="48" t="n">
        <v>5890</v>
      </c>
      <c r="J1131" s="48" t="n">
        <v>5732</v>
      </c>
      <c r="K1131" s="48" t="n">
        <v>5771</v>
      </c>
      <c r="L1131" s="48" t="n">
        <v>87266739</v>
      </c>
      <c r="M1131" s="48" t="n">
        <v>514001092710</v>
      </c>
      <c r="N1131" s="48" t="n">
        <v>4646</v>
      </c>
      <c r="O1131" s="48" t="n">
        <v>57387684</v>
      </c>
      <c r="P1131" s="48" t="n">
        <v>30808060</v>
      </c>
      <c r="Q1131" s="48" t="n">
        <v>1853</v>
      </c>
      <c r="R1131" s="48" t="n">
        <v>1699</v>
      </c>
      <c r="S1131" s="48" t="n">
        <v>29879055</v>
      </c>
      <c r="T1131" s="48" t="n">
        <v>56458679</v>
      </c>
      <c r="U1131" s="46" t="n">
        <f aca="false">IF($A1131=$A1130,$U1130+1,1)</f>
        <v>87</v>
      </c>
      <c r="V1131" s="48" t="n">
        <f aca="false">IF($U1131&gt;=MA_SHORT,AVERAGE(INDEX($I$731:$I1131,402-MA_SHORT):$I1131),"")</f>
        <v>5464.95</v>
      </c>
      <c r="W1131" s="48" t="n">
        <f aca="false">IF($U1131&gt;=MA_MED,AVERAGE(INDEX($I$731:$I1131,402-MA_MED):$I1131),"")</f>
        <v>5320.92</v>
      </c>
      <c r="X1131" s="48" t="str">
        <f aca="false">IF($U1131&gt;=MA_LONG1,AVERAGE(INDEX($I$731:$I1131,402-MA_LONG1):$I1131),"")</f>
        <v/>
      </c>
      <c r="Y1131" s="48" t="str">
        <f aca="false">IF($U1131&gt;=MA_LONG2,AVERAGE(INDEX($I$731:$I1131,402-MA_LONG2):$I1131),"")</f>
        <v/>
      </c>
      <c r="Z1131" s="48" t="n">
        <f aca="false">IF($U1131&gt;=MA_SHORT,AVERAGE(INDEX($L$1011:$L1131,122-MA_SHORT):$L1131),"")</f>
        <v>93248272.55</v>
      </c>
      <c r="AA1131" s="48" t="n">
        <f aca="false">IF($U1131=1,$G1131-$H1131,MAX($G1131-$H1131,ABS($G1131-$I1130),ABS($H1131-$I1130)))</f>
        <v>301</v>
      </c>
      <c r="AB1131" s="48" t="n">
        <f aca="false">IF($U1131&gt;=ATR_PER,AVERAGE(INDEX($AA$1011:$AA1131,122-ATR_PER):$AA1131),"")</f>
        <v>210.5</v>
      </c>
      <c r="AC1131" s="48" t="n">
        <f aca="false">$O1131-$P1131</f>
        <v>26579624</v>
      </c>
      <c r="AD1131" s="48" t="n">
        <f aca="false">$AC1131*$I1131</f>
        <v>156553985360</v>
      </c>
      <c r="AE1131" s="49" t="n">
        <f aca="false">IF($Q1131&gt;0,$O1131*$I1131/$Q1131/1000000,"")</f>
        <v>182.414170944414</v>
      </c>
      <c r="AF1131" s="49" t="n">
        <f aca="false">IF($R1131&gt;0,$P1131*$I1131/$R1131/1000000,"")</f>
        <v>106.803692407298</v>
      </c>
      <c r="AG1131" s="50" t="n">
        <f aca="false">IF(AND(ISNUMBER($AE1131),ISNUMBER($AF1131),$AF1131&gt;0),$AE1131/$AF1131,"")</f>
        <v>1.70793880654213</v>
      </c>
      <c r="AH1131" s="48" t="n">
        <f aca="false">IF($U1131&gt;=5,SUM(INDEX($AD$1101:$AD1131,32-5):$AD1131),"")</f>
        <v>262672356426</v>
      </c>
      <c r="AI1131" s="48" t="n">
        <f aca="false">IF($U1131&gt;=STRUCT_S,MAX(INDEX($G$981:$G1131,152-STRUCT_S):$G1131),"")</f>
        <v>5982</v>
      </c>
      <c r="AJ1131" s="48" t="n">
        <f aca="false">IF($U1131&gt;=STRUCT_S,MIN(INDEX($H$981:$H1131,152-STRUCT_S):$H1131),"")</f>
        <v>4912</v>
      </c>
      <c r="AK1131" s="48" t="n">
        <f aca="false">IF($U1131&gt;=STRUCT_L,MAX(INDEX($G$881:$G1131,252-STRUCT_L):$G1131),"")</f>
        <v>5982</v>
      </c>
      <c r="AL1131" s="48" t="n">
        <f aca="false">IF($U1131&gt;=STRUCT_L,MIN(INDEX($H$881:$H1131,252-STRUCT_L):$H1131),"")</f>
        <v>4682</v>
      </c>
      <c r="AM1131" s="46" t="n">
        <f aca="false">IF($A1131&lt;&gt;$A1132,1,0)</f>
        <v>0</v>
      </c>
      <c r="AN1131" s="47" t="str">
        <f aca="false">IF($AM1131=1,$A1131,"")</f>
        <v/>
      </c>
    </row>
    <row r="1132" customFormat="false" ht="15" hidden="false" customHeight="false" outlineLevel="0" collapsed="false">
      <c r="A1132" s="43" t="s">
        <v>152</v>
      </c>
      <c r="B1132" s="44" t="s">
        <v>154</v>
      </c>
      <c r="C1132" s="45" t="n">
        <v>46027</v>
      </c>
      <c r="D1132" s="46" t="n">
        <v>20260105</v>
      </c>
      <c r="E1132" s="47" t="s">
        <v>375</v>
      </c>
      <c r="F1132" s="48" t="n">
        <v>5922</v>
      </c>
      <c r="G1132" s="48" t="n">
        <v>6055</v>
      </c>
      <c r="H1132" s="48" t="n">
        <v>5821</v>
      </c>
      <c r="I1132" s="48" t="n">
        <v>5985</v>
      </c>
      <c r="J1132" s="48" t="n">
        <v>6027</v>
      </c>
      <c r="K1132" s="48" t="n">
        <v>5890</v>
      </c>
      <c r="L1132" s="48" t="n">
        <v>106511825</v>
      </c>
      <c r="M1132" s="48" t="n">
        <v>637473272625</v>
      </c>
      <c r="N1132" s="48" t="n">
        <v>2689</v>
      </c>
      <c r="O1132" s="48" t="n">
        <v>61344380</v>
      </c>
      <c r="P1132" s="48" t="n">
        <v>42000778</v>
      </c>
      <c r="Q1132" s="48" t="n">
        <v>1296</v>
      </c>
      <c r="R1132" s="48" t="n">
        <v>1186</v>
      </c>
      <c r="S1132" s="48" t="n">
        <v>45167445</v>
      </c>
      <c r="T1132" s="48" t="n">
        <v>64511047</v>
      </c>
      <c r="U1132" s="46" t="n">
        <f aca="false">IF($A1132=$A1131,$U1131+1,1)</f>
        <v>88</v>
      </c>
      <c r="V1132" s="48" t="n">
        <f aca="false">IF($U1132&gt;=MA_SHORT,AVERAGE(INDEX($I$732:$I1132,402-MA_SHORT):$I1132),"")</f>
        <v>5509.25</v>
      </c>
      <c r="W1132" s="48" t="n">
        <f aca="false">IF($U1132&gt;=MA_MED,AVERAGE(INDEX($I$732:$I1132,402-MA_MED):$I1132),"")</f>
        <v>5340.44</v>
      </c>
      <c r="X1132" s="48" t="str">
        <f aca="false">IF($U1132&gt;=MA_LONG1,AVERAGE(INDEX($I$732:$I1132,402-MA_LONG1):$I1132),"")</f>
        <v/>
      </c>
      <c r="Y1132" s="48" t="str">
        <f aca="false">IF($U1132&gt;=MA_LONG2,AVERAGE(INDEX($I$732:$I1132,402-MA_LONG2):$I1132),"")</f>
        <v/>
      </c>
      <c r="Z1132" s="48" t="n">
        <f aca="false">IF($U1132&gt;=MA_SHORT,AVERAGE(INDEX($L$1012:$L1132,122-MA_SHORT):$L1132),"")</f>
        <v>94654321.45</v>
      </c>
      <c r="AA1132" s="48" t="n">
        <f aca="false">IF($U1132=1,$G1132-$H1132,MAX($G1132-$H1132,ABS($G1132-$I1131),ABS($H1132-$I1131)))</f>
        <v>234</v>
      </c>
      <c r="AB1132" s="48" t="n">
        <f aca="false">IF($U1132&gt;=ATR_PER,AVERAGE(INDEX($AA$1012:$AA1132,122-ATR_PER):$AA1132),"")</f>
        <v>213.357142857143</v>
      </c>
      <c r="AC1132" s="48" t="n">
        <f aca="false">$O1132-$P1132</f>
        <v>19343602</v>
      </c>
      <c r="AD1132" s="48" t="n">
        <f aca="false">$AC1132*$I1132</f>
        <v>115771457970</v>
      </c>
      <c r="AE1132" s="49" t="n">
        <f aca="false">IF($Q1132&gt;0,$O1132*$I1132/$Q1132/1000000,"")</f>
        <v>283.291754861111</v>
      </c>
      <c r="AF1132" s="49" t="n">
        <f aca="false">IF($R1132&gt;0,$P1132*$I1132/$R1132/1000000,"")</f>
        <v>211.951649519393</v>
      </c>
      <c r="AG1132" s="50" t="n">
        <f aca="false">IF(AND(ISNUMBER($AE1132),ISNUMBER($AF1132),$AF1132&gt;0),$AE1132/$AF1132,"")</f>
        <v>1.33658669561423</v>
      </c>
      <c r="AH1132" s="48" t="n">
        <f aca="false">IF($U1132&gt;=5,SUM(INDEX($AD$1102:$AD1132,32-5):$AD1132),"")</f>
        <v>161999202726</v>
      </c>
      <c r="AI1132" s="48" t="n">
        <f aca="false">IF($U1132&gt;=STRUCT_S,MAX(INDEX($G$982:$G1132,152-STRUCT_S):$G1132),"")</f>
        <v>6055</v>
      </c>
      <c r="AJ1132" s="48" t="n">
        <f aca="false">IF($U1132&gt;=STRUCT_S,MIN(INDEX($H$982:$H1132,152-STRUCT_S):$H1132),"")</f>
        <v>4912</v>
      </c>
      <c r="AK1132" s="48" t="n">
        <f aca="false">IF($U1132&gt;=STRUCT_L,MAX(INDEX($G$882:$G1132,252-STRUCT_L):$G1132),"")</f>
        <v>6055</v>
      </c>
      <c r="AL1132" s="48" t="n">
        <f aca="false">IF($U1132&gt;=STRUCT_L,MIN(INDEX($H$882:$H1132,252-STRUCT_L):$H1132),"")</f>
        <v>4682</v>
      </c>
      <c r="AM1132" s="46" t="n">
        <f aca="false">IF($A1132&lt;&gt;$A1133,1,0)</f>
        <v>0</v>
      </c>
      <c r="AN1132" s="47" t="str">
        <f aca="false">IF($AM1132=1,$A1132,"")</f>
        <v/>
      </c>
    </row>
    <row r="1133" customFormat="false" ht="15" hidden="false" customHeight="false" outlineLevel="0" collapsed="false">
      <c r="A1133" s="43" t="s">
        <v>152</v>
      </c>
      <c r="B1133" s="44" t="s">
        <v>154</v>
      </c>
      <c r="C1133" s="45" t="n">
        <v>46028</v>
      </c>
      <c r="D1133" s="46" t="n">
        <v>20260106</v>
      </c>
      <c r="E1133" s="47" t="s">
        <v>376</v>
      </c>
      <c r="F1133" s="48" t="n">
        <v>5902</v>
      </c>
      <c r="G1133" s="48" t="n">
        <v>6133</v>
      </c>
      <c r="H1133" s="48" t="n">
        <v>5900</v>
      </c>
      <c r="I1133" s="48" t="n">
        <v>6047</v>
      </c>
      <c r="J1133" s="48" t="n">
        <v>5934</v>
      </c>
      <c r="K1133" s="48" t="n">
        <v>5985</v>
      </c>
      <c r="L1133" s="48" t="n">
        <v>82485554</v>
      </c>
      <c r="M1133" s="48" t="n">
        <v>498790145038</v>
      </c>
      <c r="N1133" s="48" t="n">
        <v>3898</v>
      </c>
      <c r="O1133" s="48" t="n">
        <v>34525981</v>
      </c>
      <c r="P1133" s="48" t="n">
        <v>48465462</v>
      </c>
      <c r="Q1133" s="48" t="n">
        <v>1737</v>
      </c>
      <c r="R1133" s="48" t="n">
        <v>1369</v>
      </c>
      <c r="S1133" s="48" t="n">
        <v>47959573</v>
      </c>
      <c r="T1133" s="48" t="n">
        <v>34020092</v>
      </c>
      <c r="U1133" s="46" t="n">
        <f aca="false">IF($A1133=$A1132,$U1132+1,1)</f>
        <v>89</v>
      </c>
      <c r="V1133" s="48" t="n">
        <f aca="false">IF($U1133&gt;=MA_SHORT,AVERAGE(INDEX($I$733:$I1133,402-MA_SHORT):$I1133),"")</f>
        <v>5560.9</v>
      </c>
      <c r="W1133" s="48" t="n">
        <f aca="false">IF($U1133&gt;=MA_MED,AVERAGE(INDEX($I$733:$I1133,402-MA_MED):$I1133),"")</f>
        <v>5359.34</v>
      </c>
      <c r="X1133" s="48" t="str">
        <f aca="false">IF($U1133&gt;=MA_LONG1,AVERAGE(INDEX($I$733:$I1133,402-MA_LONG1):$I1133),"")</f>
        <v/>
      </c>
      <c r="Y1133" s="48" t="str">
        <f aca="false">IF($U1133&gt;=MA_LONG2,AVERAGE(INDEX($I$733:$I1133,402-MA_LONG2):$I1133),"")</f>
        <v/>
      </c>
      <c r="Z1133" s="48" t="n">
        <f aca="false">IF($U1133&gt;=MA_SHORT,AVERAGE(INDEX($L$1013:$L1133,122-MA_SHORT):$L1133),"")</f>
        <v>94338950.05</v>
      </c>
      <c r="AA1133" s="48" t="n">
        <f aca="false">IF($U1133=1,$G1133-$H1133,MAX($G1133-$H1133,ABS($G1133-$I1132),ABS($H1133-$I1132)))</f>
        <v>233</v>
      </c>
      <c r="AB1133" s="48" t="n">
        <f aca="false">IF($U1133&gt;=ATR_PER,AVERAGE(INDEX($AA$1013:$AA1133,122-ATR_PER):$AA1133),"")</f>
        <v>220.357142857143</v>
      </c>
      <c r="AC1133" s="48" t="n">
        <f aca="false">$O1133-$P1133</f>
        <v>-13939481</v>
      </c>
      <c r="AD1133" s="48" t="n">
        <f aca="false">$AC1133*$I1133</f>
        <v>-84292041607</v>
      </c>
      <c r="AE1133" s="49" t="n">
        <f aca="false">IF($Q1133&gt;0,$O1133*$I1133/$Q1133/1000000,"")</f>
        <v>120.194937885435</v>
      </c>
      <c r="AF1133" s="49" t="n">
        <f aca="false">IF($R1133&gt;0,$P1133*$I1133/$R1133/1000000,"")</f>
        <v>214.076441719503</v>
      </c>
      <c r="AG1133" s="50" t="n">
        <f aca="false">IF(AND(ISNUMBER($AE1133),ISNUMBER($AF1133),$AF1133&gt;0),$AE1133/$AF1133,"")</f>
        <v>0.561458033027856</v>
      </c>
      <c r="AH1133" s="48" t="n">
        <f aca="false">IF($U1133&gt;=5,SUM(INDEX($AD$1103:$AD1133,32-5):$AD1133),"")</f>
        <v>84747053271</v>
      </c>
      <c r="AI1133" s="48" t="n">
        <f aca="false">IF($U1133&gt;=STRUCT_S,MAX(INDEX($G$983:$G1133,152-STRUCT_S):$G1133),"")</f>
        <v>6133</v>
      </c>
      <c r="AJ1133" s="48" t="n">
        <f aca="false">IF($U1133&gt;=STRUCT_S,MIN(INDEX($H$983:$H1133,152-STRUCT_S):$H1133),"")</f>
        <v>4912</v>
      </c>
      <c r="AK1133" s="48" t="n">
        <f aca="false">IF($U1133&gt;=STRUCT_L,MAX(INDEX($G$883:$G1133,252-STRUCT_L):$G1133),"")</f>
        <v>6133</v>
      </c>
      <c r="AL1133" s="48" t="n">
        <f aca="false">IF($U1133&gt;=STRUCT_L,MIN(INDEX($H$883:$H1133,252-STRUCT_L):$H1133),"")</f>
        <v>4682</v>
      </c>
      <c r="AM1133" s="46" t="n">
        <f aca="false">IF($A1133&lt;&gt;$A1134,1,0)</f>
        <v>0</v>
      </c>
      <c r="AN1133" s="47" t="str">
        <f aca="false">IF($AM1133=1,$A1133,"")</f>
        <v/>
      </c>
    </row>
    <row r="1134" customFormat="false" ht="15" hidden="false" customHeight="false" outlineLevel="0" collapsed="false">
      <c r="A1134" s="43" t="s">
        <v>152</v>
      </c>
      <c r="B1134" s="44" t="s">
        <v>154</v>
      </c>
      <c r="C1134" s="45" t="n">
        <v>46029</v>
      </c>
      <c r="D1134" s="46" t="n">
        <v>20260107</v>
      </c>
      <c r="E1134" s="47" t="s">
        <v>377</v>
      </c>
      <c r="F1134" s="48" t="n">
        <v>6102</v>
      </c>
      <c r="G1134" s="48" t="n">
        <v>6105</v>
      </c>
      <c r="H1134" s="48" t="n">
        <v>5769</v>
      </c>
      <c r="I1134" s="48" t="n">
        <v>5825</v>
      </c>
      <c r="J1134" s="48" t="n">
        <v>6002</v>
      </c>
      <c r="K1134" s="48" t="n">
        <v>6047</v>
      </c>
      <c r="L1134" s="48" t="n">
        <v>153297514</v>
      </c>
      <c r="M1134" s="48" t="n">
        <v>892958019050</v>
      </c>
      <c r="N1134" s="48" t="n">
        <v>7646</v>
      </c>
      <c r="O1134" s="48" t="n">
        <v>50004463</v>
      </c>
      <c r="P1134" s="48" t="n">
        <v>114872464</v>
      </c>
      <c r="Q1134" s="48" t="n">
        <v>2556</v>
      </c>
      <c r="R1134" s="48" t="n">
        <v>4350</v>
      </c>
      <c r="S1134" s="48" t="n">
        <v>103293051</v>
      </c>
      <c r="T1134" s="48" t="n">
        <v>38425050</v>
      </c>
      <c r="U1134" s="46" t="n">
        <f aca="false">IF($A1134=$A1133,$U1133+1,1)</f>
        <v>90</v>
      </c>
      <c r="V1134" s="48" t="n">
        <f aca="false">IF($U1134&gt;=MA_SHORT,AVERAGE(INDEX($I$734:$I1134,402-MA_SHORT):$I1134),"")</f>
        <v>5597.3</v>
      </c>
      <c r="W1134" s="48" t="n">
        <f aca="false">IF($U1134&gt;=MA_MED,AVERAGE(INDEX($I$734:$I1134,402-MA_MED):$I1134),"")</f>
        <v>5374.1</v>
      </c>
      <c r="X1134" s="48" t="str">
        <f aca="false">IF($U1134&gt;=MA_LONG1,AVERAGE(INDEX($I$734:$I1134,402-MA_LONG1):$I1134),"")</f>
        <v/>
      </c>
      <c r="Y1134" s="48" t="str">
        <f aca="false">IF($U1134&gt;=MA_LONG2,AVERAGE(INDEX($I$734:$I1134,402-MA_LONG2):$I1134),"")</f>
        <v/>
      </c>
      <c r="Z1134" s="48" t="n">
        <f aca="false">IF($U1134&gt;=MA_SHORT,AVERAGE(INDEX($L$1014:$L1134,122-MA_SHORT):$L1134),"")</f>
        <v>95571271.3</v>
      </c>
      <c r="AA1134" s="48" t="n">
        <f aca="false">IF($U1134=1,$G1134-$H1134,MAX($G1134-$H1134,ABS($G1134-$I1133),ABS($H1134-$I1133)))</f>
        <v>336</v>
      </c>
      <c r="AB1134" s="48" t="n">
        <f aca="false">IF($U1134&gt;=ATR_PER,AVERAGE(INDEX($AA$1014:$AA1134,122-ATR_PER):$AA1134),"")</f>
        <v>237.785714285714</v>
      </c>
      <c r="AC1134" s="48" t="n">
        <f aca="false">$O1134-$P1134</f>
        <v>-64868001</v>
      </c>
      <c r="AD1134" s="48" t="n">
        <f aca="false">$AC1134*$I1134</f>
        <v>-377856105825</v>
      </c>
      <c r="AE1134" s="49" t="n">
        <f aca="false">IF($Q1134&gt;0,$O1134*$I1134/$Q1134/1000000,"")</f>
        <v>113.957745295383</v>
      </c>
      <c r="AF1134" s="49" t="n">
        <f aca="false">IF($R1134&gt;0,$P1134*$I1134/$R1134/1000000,"")</f>
        <v>153.823471908046</v>
      </c>
      <c r="AG1134" s="50" t="n">
        <f aca="false">IF(AND(ISNUMBER($AE1134),ISNUMBER($AF1134),$AF1134&gt;0),$AE1134/$AF1134,"")</f>
        <v>0.740834567584758</v>
      </c>
      <c r="AH1134" s="48" t="n">
        <f aca="false">IF($U1134&gt;=5,SUM(INDEX($AD$1104:$AD1134,32-5):$AD1134),"")</f>
        <v>-199376311823</v>
      </c>
      <c r="AI1134" s="48" t="n">
        <f aca="false">IF($U1134&gt;=STRUCT_S,MAX(INDEX($G$984:$G1134,152-STRUCT_S):$G1134),"")</f>
        <v>6133</v>
      </c>
      <c r="AJ1134" s="48" t="n">
        <f aca="false">IF($U1134&gt;=STRUCT_S,MIN(INDEX($H$984:$H1134,152-STRUCT_S):$H1134),"")</f>
        <v>5008</v>
      </c>
      <c r="AK1134" s="48" t="n">
        <f aca="false">IF($U1134&gt;=STRUCT_L,MAX(INDEX($G$884:$G1134,252-STRUCT_L):$G1134),"")</f>
        <v>6133</v>
      </c>
      <c r="AL1134" s="48" t="n">
        <f aca="false">IF($U1134&gt;=STRUCT_L,MIN(INDEX($H$884:$H1134,252-STRUCT_L):$H1134),"")</f>
        <v>4682</v>
      </c>
      <c r="AM1134" s="46" t="n">
        <f aca="false">IF($A1134&lt;&gt;$A1135,1,0)</f>
        <v>0</v>
      </c>
      <c r="AN1134" s="47" t="str">
        <f aca="false">IF($AM1134=1,$A1134,"")</f>
        <v/>
      </c>
    </row>
    <row r="1135" customFormat="false" ht="15" hidden="false" customHeight="false" outlineLevel="0" collapsed="false">
      <c r="A1135" s="43" t="s">
        <v>152</v>
      </c>
      <c r="B1135" s="44" t="s">
        <v>154</v>
      </c>
      <c r="C1135" s="45" t="n">
        <v>46032</v>
      </c>
      <c r="D1135" s="46" t="n">
        <v>20260110</v>
      </c>
      <c r="E1135" s="47" t="s">
        <v>378</v>
      </c>
      <c r="F1135" s="48" t="n">
        <v>5753</v>
      </c>
      <c r="G1135" s="48" t="n">
        <v>5870</v>
      </c>
      <c r="H1135" s="48" t="n">
        <v>5746</v>
      </c>
      <c r="I1135" s="48" t="n">
        <v>5791</v>
      </c>
      <c r="J1135" s="48" t="n">
        <v>5823</v>
      </c>
      <c r="K1135" s="48" t="n">
        <v>5825</v>
      </c>
      <c r="L1135" s="48" t="n">
        <v>80378370</v>
      </c>
      <c r="M1135" s="48" t="n">
        <v>465471140670</v>
      </c>
      <c r="N1135" s="48" t="n">
        <v>2219</v>
      </c>
      <c r="O1135" s="48" t="n">
        <v>33775523</v>
      </c>
      <c r="P1135" s="48" t="n">
        <v>49581075</v>
      </c>
      <c r="Q1135" s="48" t="n">
        <v>678</v>
      </c>
      <c r="R1135" s="48" t="n">
        <v>1327</v>
      </c>
      <c r="S1135" s="48" t="n">
        <v>46602847</v>
      </c>
      <c r="T1135" s="48" t="n">
        <v>30797295</v>
      </c>
      <c r="U1135" s="46" t="n">
        <f aca="false">IF($A1135=$A1134,$U1134+1,1)</f>
        <v>91</v>
      </c>
      <c r="V1135" s="48" t="n">
        <f aca="false">IF($U1135&gt;=MA_SHORT,AVERAGE(INDEX($I$735:$I1135,402-MA_SHORT):$I1135),"")</f>
        <v>5631.2</v>
      </c>
      <c r="W1135" s="48" t="n">
        <f aca="false">IF($U1135&gt;=MA_MED,AVERAGE(INDEX($I$735:$I1135,402-MA_MED):$I1135),"")</f>
        <v>5384.76</v>
      </c>
      <c r="X1135" s="48" t="str">
        <f aca="false">IF($U1135&gt;=MA_LONG1,AVERAGE(INDEX($I$735:$I1135,402-MA_LONG1):$I1135),"")</f>
        <v/>
      </c>
      <c r="Y1135" s="48" t="str">
        <f aca="false">IF($U1135&gt;=MA_LONG2,AVERAGE(INDEX($I$735:$I1135,402-MA_LONG2):$I1135),"")</f>
        <v/>
      </c>
      <c r="Z1135" s="48" t="n">
        <f aca="false">IF($U1135&gt;=MA_SHORT,AVERAGE(INDEX($L$1015:$L1135,122-MA_SHORT):$L1135),"")</f>
        <v>95634123.75</v>
      </c>
      <c r="AA1135" s="48" t="n">
        <f aca="false">IF($U1135=1,$G1135-$H1135,MAX($G1135-$H1135,ABS($G1135-$I1134),ABS($H1135-$I1134)))</f>
        <v>124</v>
      </c>
      <c r="AB1135" s="48" t="n">
        <f aca="false">IF($U1135&gt;=ATR_PER,AVERAGE(INDEX($AA$1015:$AA1135,122-ATR_PER):$AA1135),"")</f>
        <v>239.571428571429</v>
      </c>
      <c r="AC1135" s="48" t="n">
        <f aca="false">$O1135-$P1135</f>
        <v>-15805552</v>
      </c>
      <c r="AD1135" s="48" t="n">
        <f aca="false">$AC1135*$I1135</f>
        <v>-91529951632</v>
      </c>
      <c r="AE1135" s="49" t="n">
        <f aca="false">IF($Q1135&gt;0,$O1135*$I1135/$Q1135/1000000,"")</f>
        <v>288.486804856932</v>
      </c>
      <c r="AF1135" s="49" t="n">
        <f aca="false">IF($R1135&gt;0,$P1135*$I1135/$R1135/1000000,"")</f>
        <v>216.370765128109</v>
      </c>
      <c r="AG1135" s="50" t="n">
        <f aca="false">IF(AND(ISNUMBER($AE1135),ISNUMBER($AF1135),$AF1135&gt;0),$AE1135/$AF1135,"")</f>
        <v>1.33329844577721</v>
      </c>
      <c r="AH1135" s="48" t="n">
        <f aca="false">IF($U1135&gt;=5,SUM(INDEX($AD$1105:$AD1135,32-5):$AD1135),"")</f>
        <v>-281352655734</v>
      </c>
      <c r="AI1135" s="48" t="n">
        <f aca="false">IF($U1135&gt;=STRUCT_S,MAX(INDEX($G$985:$G1135,152-STRUCT_S):$G1135),"")</f>
        <v>6133</v>
      </c>
      <c r="AJ1135" s="48" t="n">
        <f aca="false">IF($U1135&gt;=STRUCT_S,MIN(INDEX($H$985:$H1135,152-STRUCT_S):$H1135),"")</f>
        <v>5043</v>
      </c>
      <c r="AK1135" s="48" t="n">
        <f aca="false">IF($U1135&gt;=STRUCT_L,MAX(INDEX($G$885:$G1135,252-STRUCT_L):$G1135),"")</f>
        <v>6133</v>
      </c>
      <c r="AL1135" s="48" t="n">
        <f aca="false">IF($U1135&gt;=STRUCT_L,MIN(INDEX($H$885:$H1135,252-STRUCT_L):$H1135),"")</f>
        <v>4748</v>
      </c>
      <c r="AM1135" s="46" t="n">
        <f aca="false">IF($A1135&lt;&gt;$A1136,1,0)</f>
        <v>0</v>
      </c>
      <c r="AN1135" s="47" t="str">
        <f aca="false">IF($AM1135=1,$A1135,"")</f>
        <v/>
      </c>
    </row>
    <row r="1136" customFormat="false" ht="15" hidden="false" customHeight="false" outlineLevel="0" collapsed="false">
      <c r="A1136" s="43" t="s">
        <v>152</v>
      </c>
      <c r="B1136" s="44" t="s">
        <v>154</v>
      </c>
      <c r="C1136" s="45" t="n">
        <v>46033</v>
      </c>
      <c r="D1136" s="46" t="n">
        <v>20260111</v>
      </c>
      <c r="E1136" s="47" t="s">
        <v>379</v>
      </c>
      <c r="F1136" s="48" t="n">
        <v>5745</v>
      </c>
      <c r="G1136" s="48" t="n">
        <v>5827</v>
      </c>
      <c r="H1136" s="48" t="n">
        <v>5540</v>
      </c>
      <c r="I1136" s="48" t="n">
        <v>5574</v>
      </c>
      <c r="J1136" s="48" t="n">
        <v>5790</v>
      </c>
      <c r="K1136" s="48" t="n">
        <v>5791</v>
      </c>
      <c r="L1136" s="48" t="n">
        <v>100391125</v>
      </c>
      <c r="M1136" s="48" t="n">
        <v>559580130750</v>
      </c>
      <c r="N1136" s="48" t="n">
        <v>6373</v>
      </c>
      <c r="O1136" s="48" t="n">
        <v>40014899</v>
      </c>
      <c r="P1136" s="48" t="n">
        <v>59149140</v>
      </c>
      <c r="Q1136" s="48" t="n">
        <v>1795</v>
      </c>
      <c r="R1136" s="48" t="n">
        <v>3414</v>
      </c>
      <c r="S1136" s="48" t="n">
        <v>60376226</v>
      </c>
      <c r="T1136" s="48" t="n">
        <v>41241985</v>
      </c>
      <c r="U1136" s="46" t="n">
        <f aca="false">IF($A1136=$A1135,$U1135+1,1)</f>
        <v>92</v>
      </c>
      <c r="V1136" s="48" t="n">
        <f aca="false">IF($U1136&gt;=MA_SHORT,AVERAGE(INDEX($I$736:$I1136,402-MA_SHORT):$I1136),"")</f>
        <v>5649.15</v>
      </c>
      <c r="W1136" s="48" t="n">
        <f aca="false">IF($U1136&gt;=MA_MED,AVERAGE(INDEX($I$736:$I1136,402-MA_MED):$I1136),"")</f>
        <v>5391.16</v>
      </c>
      <c r="X1136" s="48" t="str">
        <f aca="false">IF($U1136&gt;=MA_LONG1,AVERAGE(INDEX($I$736:$I1136,402-MA_LONG1):$I1136),"")</f>
        <v/>
      </c>
      <c r="Y1136" s="48" t="str">
        <f aca="false">IF($U1136&gt;=MA_LONG2,AVERAGE(INDEX($I$736:$I1136,402-MA_LONG2):$I1136),"")</f>
        <v/>
      </c>
      <c r="Z1136" s="48" t="n">
        <f aca="false">IF($U1136&gt;=MA_SHORT,AVERAGE(INDEX($L$1016:$L1136,122-MA_SHORT):$L1136),"")</f>
        <v>96305980.25</v>
      </c>
      <c r="AA1136" s="48" t="n">
        <f aca="false">IF($U1136=1,$G1136-$H1136,MAX($G1136-$H1136,ABS($G1136-$I1135),ABS($H1136-$I1135)))</f>
        <v>287</v>
      </c>
      <c r="AB1136" s="48" t="n">
        <f aca="false">IF($U1136&gt;=ATR_PER,AVERAGE(INDEX($AA$1016:$AA1136,122-ATR_PER):$AA1136),"")</f>
        <v>241.142857142857</v>
      </c>
      <c r="AC1136" s="48" t="n">
        <f aca="false">$O1136-$P1136</f>
        <v>-19134241</v>
      </c>
      <c r="AD1136" s="48" t="n">
        <f aca="false">$AC1136*$I1136</f>
        <v>-106654259334</v>
      </c>
      <c r="AE1136" s="49" t="n">
        <f aca="false">IF($Q1136&gt;0,$O1136*$I1136/$Q1136/1000000,"")</f>
        <v>124.257964916992</v>
      </c>
      <c r="AF1136" s="49" t="n">
        <f aca="false">IF($R1136&gt;0,$P1136*$I1136/$R1136/1000000,"")</f>
        <v>96.5721459753954</v>
      </c>
      <c r="AG1136" s="50" t="n">
        <f aca="false">IF(AND(ISNUMBER($AE1136),ISNUMBER($AF1136),$AF1136&gt;0),$AE1136/$AF1136,"")</f>
        <v>1.28668534453661</v>
      </c>
      <c r="AH1136" s="48" t="n">
        <f aca="false">IF($U1136&gt;=5,SUM(INDEX($AD$1106:$AD1136,32-5):$AD1136),"")</f>
        <v>-544560900428</v>
      </c>
      <c r="AI1136" s="48" t="n">
        <f aca="false">IF($U1136&gt;=STRUCT_S,MAX(INDEX($G$986:$G1136,152-STRUCT_S):$G1136),"")</f>
        <v>6133</v>
      </c>
      <c r="AJ1136" s="48" t="n">
        <f aca="false">IF($U1136&gt;=STRUCT_S,MIN(INDEX($H$986:$H1136,152-STRUCT_S):$H1136),"")</f>
        <v>5158</v>
      </c>
      <c r="AK1136" s="48" t="n">
        <f aca="false">IF($U1136&gt;=STRUCT_L,MAX(INDEX($G$886:$G1136,252-STRUCT_L):$G1136),"")</f>
        <v>6133</v>
      </c>
      <c r="AL1136" s="48" t="n">
        <f aca="false">IF($U1136&gt;=STRUCT_L,MIN(INDEX($H$886:$H1136,252-STRUCT_L):$H1136),"")</f>
        <v>4781</v>
      </c>
      <c r="AM1136" s="46" t="n">
        <f aca="false">IF($A1136&lt;&gt;$A1137,1,0)</f>
        <v>0</v>
      </c>
      <c r="AN1136" s="47" t="str">
        <f aca="false">IF($AM1136=1,$A1136,"")</f>
        <v/>
      </c>
    </row>
    <row r="1137" customFormat="false" ht="15" hidden="false" customHeight="false" outlineLevel="0" collapsed="false">
      <c r="A1137" s="43" t="s">
        <v>152</v>
      </c>
      <c r="B1137" s="44" t="s">
        <v>154</v>
      </c>
      <c r="C1137" s="45" t="n">
        <v>46034</v>
      </c>
      <c r="D1137" s="46" t="n">
        <v>20260112</v>
      </c>
      <c r="E1137" s="47" t="s">
        <v>380</v>
      </c>
      <c r="F1137" s="48" t="n">
        <v>5694</v>
      </c>
      <c r="G1137" s="48" t="n">
        <v>5714</v>
      </c>
      <c r="H1137" s="48" t="n">
        <v>5489</v>
      </c>
      <c r="I1137" s="48" t="n">
        <v>5628</v>
      </c>
      <c r="J1137" s="48" t="n">
        <v>5663</v>
      </c>
      <c r="K1137" s="48" t="n">
        <v>5574</v>
      </c>
      <c r="L1137" s="48" t="n">
        <v>82172716</v>
      </c>
      <c r="M1137" s="48" t="n">
        <v>462468045648</v>
      </c>
      <c r="N1137" s="48" t="n">
        <v>2546</v>
      </c>
      <c r="O1137" s="48" t="n">
        <v>41326540</v>
      </c>
      <c r="P1137" s="48" t="n">
        <v>44857683</v>
      </c>
      <c r="Q1137" s="48" t="n">
        <v>902</v>
      </c>
      <c r="R1137" s="48" t="n">
        <v>1077</v>
      </c>
      <c r="S1137" s="48" t="n">
        <v>40846176</v>
      </c>
      <c r="T1137" s="48" t="n">
        <v>37315033</v>
      </c>
      <c r="U1137" s="46" t="n">
        <f aca="false">IF($A1137=$A1136,$U1136+1,1)</f>
        <v>93</v>
      </c>
      <c r="V1137" s="48" t="n">
        <f aca="false">IF($U1137&gt;=MA_SHORT,AVERAGE(INDEX($I$737:$I1137,402-MA_SHORT):$I1137),"")</f>
        <v>5659.2</v>
      </c>
      <c r="W1137" s="48" t="n">
        <f aca="false">IF($U1137&gt;=MA_MED,AVERAGE(INDEX($I$737:$I1137,402-MA_MED):$I1137),"")</f>
        <v>5398.7</v>
      </c>
      <c r="X1137" s="48" t="str">
        <f aca="false">IF($U1137&gt;=MA_LONG1,AVERAGE(INDEX($I$737:$I1137,402-MA_LONG1):$I1137),"")</f>
        <v/>
      </c>
      <c r="Y1137" s="48" t="str">
        <f aca="false">IF($U1137&gt;=MA_LONG2,AVERAGE(INDEX($I$737:$I1137,402-MA_LONG2):$I1137),"")</f>
        <v/>
      </c>
      <c r="Z1137" s="48" t="n">
        <f aca="false">IF($U1137&gt;=MA_SHORT,AVERAGE(INDEX($L$1017:$L1137,122-MA_SHORT):$L1137),"")</f>
        <v>95584590.5</v>
      </c>
      <c r="AA1137" s="48" t="n">
        <f aca="false">IF($U1137=1,$G1137-$H1137,MAX($G1137-$H1137,ABS($G1137-$I1136),ABS($H1137-$I1136)))</f>
        <v>225</v>
      </c>
      <c r="AB1137" s="48" t="n">
        <f aca="false">IF($U1137&gt;=ATR_PER,AVERAGE(INDEX($AA$1017:$AA1137,122-ATR_PER):$AA1137),"")</f>
        <v>235.785714285714</v>
      </c>
      <c r="AC1137" s="48" t="n">
        <f aca="false">$O1137-$P1137</f>
        <v>-3531143</v>
      </c>
      <c r="AD1137" s="48" t="n">
        <f aca="false">$AC1137*$I1137</f>
        <v>-19873272804</v>
      </c>
      <c r="AE1137" s="49" t="n">
        <f aca="false">IF($Q1137&gt;0,$O1137*$I1137/$Q1137/1000000,"")</f>
        <v>257.855617649667</v>
      </c>
      <c r="AF1137" s="49" t="n">
        <f aca="false">IF($R1137&gt;0,$P1137*$I1137/$R1137/1000000,"")</f>
        <v>234.409507821727</v>
      </c>
      <c r="AG1137" s="50" t="n">
        <f aca="false">IF(AND(ISNUMBER($AE1137),ISNUMBER($AF1137),$AF1137&gt;0),$AE1137/$AF1137,"")</f>
        <v>1.1000220086882</v>
      </c>
      <c r="AH1137" s="48" t="n">
        <f aca="false">IF($U1137&gt;=5,SUM(INDEX($AD$1107:$AD1137,32-5):$AD1137),"")</f>
        <v>-680205631202</v>
      </c>
      <c r="AI1137" s="48" t="n">
        <f aca="false">IF($U1137&gt;=STRUCT_S,MAX(INDEX($G$987:$G1137,152-STRUCT_S):$G1137),"")</f>
        <v>6133</v>
      </c>
      <c r="AJ1137" s="48" t="n">
        <f aca="false">IF($U1137&gt;=STRUCT_S,MIN(INDEX($H$987:$H1137,152-STRUCT_S):$H1137),"")</f>
        <v>5349</v>
      </c>
      <c r="AK1137" s="48" t="n">
        <f aca="false">IF($U1137&gt;=STRUCT_L,MAX(INDEX($G$887:$G1137,252-STRUCT_L):$G1137),"")</f>
        <v>6133</v>
      </c>
      <c r="AL1137" s="48" t="n">
        <f aca="false">IF($U1137&gt;=STRUCT_L,MIN(INDEX($H$887:$H1137,252-STRUCT_L):$H1137),"")</f>
        <v>4837</v>
      </c>
      <c r="AM1137" s="46" t="n">
        <f aca="false">IF($A1137&lt;&gt;$A1138,1,0)</f>
        <v>0</v>
      </c>
      <c r="AN1137" s="47" t="str">
        <f aca="false">IF($AM1137=1,$A1137,"")</f>
        <v/>
      </c>
    </row>
    <row r="1138" customFormat="false" ht="15" hidden="false" customHeight="false" outlineLevel="0" collapsed="false">
      <c r="A1138" s="43" t="s">
        <v>152</v>
      </c>
      <c r="B1138" s="44" t="s">
        <v>154</v>
      </c>
      <c r="C1138" s="45" t="n">
        <v>46035</v>
      </c>
      <c r="D1138" s="46" t="n">
        <v>20260113</v>
      </c>
      <c r="E1138" s="47" t="s">
        <v>381</v>
      </c>
      <c r="F1138" s="48" t="n">
        <v>5666</v>
      </c>
      <c r="G1138" s="48" t="n">
        <v>5758</v>
      </c>
      <c r="H1138" s="48" t="n">
        <v>5604</v>
      </c>
      <c r="I1138" s="48" t="n">
        <v>5734</v>
      </c>
      <c r="J1138" s="48" t="n">
        <v>5729</v>
      </c>
      <c r="K1138" s="48" t="n">
        <v>5628</v>
      </c>
      <c r="L1138" s="48" t="n">
        <v>86434575</v>
      </c>
      <c r="M1138" s="48" t="n">
        <v>495615853050</v>
      </c>
      <c r="N1138" s="48" t="n">
        <v>7313</v>
      </c>
      <c r="O1138" s="48" t="n">
        <v>44366206</v>
      </c>
      <c r="P1138" s="48" t="n">
        <v>44071933</v>
      </c>
      <c r="Q1138" s="48" t="n">
        <v>3876</v>
      </c>
      <c r="R1138" s="48" t="n">
        <v>2629</v>
      </c>
      <c r="S1138" s="48" t="n">
        <v>42068369</v>
      </c>
      <c r="T1138" s="48" t="n">
        <v>42362642</v>
      </c>
      <c r="U1138" s="46" t="n">
        <f aca="false">IF($A1138=$A1137,$U1137+1,1)</f>
        <v>94</v>
      </c>
      <c r="V1138" s="48" t="n">
        <f aca="false">IF($U1138&gt;=MA_SHORT,AVERAGE(INDEX($I$738:$I1138,402-MA_SHORT):$I1138),"")</f>
        <v>5669.6</v>
      </c>
      <c r="W1138" s="48" t="n">
        <f aca="false">IF($U1138&gt;=MA_MED,AVERAGE(INDEX($I$738:$I1138,402-MA_MED):$I1138),"")</f>
        <v>5404.48</v>
      </c>
      <c r="X1138" s="48" t="str">
        <f aca="false">IF($U1138&gt;=MA_LONG1,AVERAGE(INDEX($I$738:$I1138,402-MA_LONG1):$I1138),"")</f>
        <v/>
      </c>
      <c r="Y1138" s="48" t="str">
        <f aca="false">IF($U1138&gt;=MA_LONG2,AVERAGE(INDEX($I$738:$I1138,402-MA_LONG2):$I1138),"")</f>
        <v/>
      </c>
      <c r="Z1138" s="48" t="n">
        <f aca="false">IF($U1138&gt;=MA_SHORT,AVERAGE(INDEX($L$1018:$L1138,122-MA_SHORT):$L1138),"")</f>
        <v>95598389.15</v>
      </c>
      <c r="AA1138" s="48" t="n">
        <f aca="false">IF($U1138=1,$G1138-$H1138,MAX($G1138-$H1138,ABS($G1138-$I1137),ABS($H1138-$I1137)))</f>
        <v>154</v>
      </c>
      <c r="AB1138" s="48" t="n">
        <f aca="false">IF($U1138&gt;=ATR_PER,AVERAGE(INDEX($AA$1018:$AA1138,122-ATR_PER):$AA1138),"")</f>
        <v>227.5</v>
      </c>
      <c r="AC1138" s="48" t="n">
        <f aca="false">$O1138-$P1138</f>
        <v>294273</v>
      </c>
      <c r="AD1138" s="48" t="n">
        <f aca="false">$AC1138*$I1138</f>
        <v>1687361382</v>
      </c>
      <c r="AE1138" s="49" t="n">
        <f aca="false">IF($Q1138&gt;0,$O1138*$I1138/$Q1138/1000000,"")</f>
        <v>65.6335978338493</v>
      </c>
      <c r="AF1138" s="49" t="n">
        <f aca="false">IF($R1138&gt;0,$P1138*$I1138/$R1138/1000000,"")</f>
        <v>96.1234172012172</v>
      </c>
      <c r="AG1138" s="50" t="n">
        <f aca="false">IF(AND(ISNUMBER($AE1138),ISNUMBER($AF1138),$AF1138&gt;0),$AE1138/$AF1138,"")</f>
        <v>0.6828054988563</v>
      </c>
      <c r="AH1138" s="48" t="n">
        <f aca="false">IF($U1138&gt;=5,SUM(INDEX($AD$1108:$AD1138,32-5):$AD1138),"")</f>
        <v>-594226228213</v>
      </c>
      <c r="AI1138" s="48" t="n">
        <f aca="false">IF($U1138&gt;=STRUCT_S,MAX(INDEX($G$988:$G1138,152-STRUCT_S):$G1138),"")</f>
        <v>6133</v>
      </c>
      <c r="AJ1138" s="48" t="n">
        <f aca="false">IF($U1138&gt;=STRUCT_S,MIN(INDEX($H$988:$H1138,152-STRUCT_S):$H1138),"")</f>
        <v>5349</v>
      </c>
      <c r="AK1138" s="48" t="n">
        <f aca="false">IF($U1138&gt;=STRUCT_L,MAX(INDEX($G$888:$G1138,252-STRUCT_L):$G1138),"")</f>
        <v>6133</v>
      </c>
      <c r="AL1138" s="48" t="n">
        <f aca="false">IF($U1138&gt;=STRUCT_L,MIN(INDEX($H$888:$H1138,252-STRUCT_L):$H1138),"")</f>
        <v>4837</v>
      </c>
      <c r="AM1138" s="46" t="n">
        <f aca="false">IF($A1138&lt;&gt;$A1139,1,0)</f>
        <v>0</v>
      </c>
      <c r="AN1138" s="47" t="str">
        <f aca="false">IF($AM1138=1,$A1138,"")</f>
        <v/>
      </c>
    </row>
    <row r="1139" customFormat="false" ht="15" hidden="false" customHeight="false" outlineLevel="0" collapsed="false">
      <c r="A1139" s="43" t="s">
        <v>152</v>
      </c>
      <c r="B1139" s="44" t="s">
        <v>154</v>
      </c>
      <c r="C1139" s="45" t="n">
        <v>46036</v>
      </c>
      <c r="D1139" s="46" t="n">
        <v>20260114</v>
      </c>
      <c r="E1139" s="47" t="s">
        <v>382</v>
      </c>
      <c r="F1139" s="48" t="n">
        <v>5751</v>
      </c>
      <c r="G1139" s="48" t="n">
        <v>5824</v>
      </c>
      <c r="H1139" s="48" t="n">
        <v>5637</v>
      </c>
      <c r="I1139" s="48" t="n">
        <v>5727</v>
      </c>
      <c r="J1139" s="48" t="n">
        <v>5803</v>
      </c>
      <c r="K1139" s="48" t="n">
        <v>5734</v>
      </c>
      <c r="L1139" s="48" t="n">
        <v>85877195</v>
      </c>
      <c r="M1139" s="48" t="n">
        <v>491818695765</v>
      </c>
      <c r="N1139" s="48" t="n">
        <v>4566</v>
      </c>
      <c r="O1139" s="48" t="n">
        <v>37666265</v>
      </c>
      <c r="P1139" s="48" t="n">
        <v>49944874</v>
      </c>
      <c r="Q1139" s="48" t="n">
        <v>1808</v>
      </c>
      <c r="R1139" s="48" t="n">
        <v>2617</v>
      </c>
      <c r="S1139" s="48" t="n">
        <v>48210930</v>
      </c>
      <c r="T1139" s="48" t="n">
        <v>35932321</v>
      </c>
      <c r="U1139" s="46" t="n">
        <f aca="false">IF($A1139=$A1138,$U1138+1,1)</f>
        <v>95</v>
      </c>
      <c r="V1139" s="48" t="n">
        <f aca="false">IF($U1139&gt;=MA_SHORT,AVERAGE(INDEX($I$739:$I1139,402-MA_SHORT):$I1139),"")</f>
        <v>5683.8</v>
      </c>
      <c r="W1139" s="48" t="n">
        <f aca="false">IF($U1139&gt;=MA_MED,AVERAGE(INDEX($I$739:$I1139,402-MA_MED):$I1139),"")</f>
        <v>5414.72</v>
      </c>
      <c r="X1139" s="48" t="str">
        <f aca="false">IF($U1139&gt;=MA_LONG1,AVERAGE(INDEX($I$739:$I1139,402-MA_LONG1):$I1139),"")</f>
        <v/>
      </c>
      <c r="Y1139" s="48" t="str">
        <f aca="false">IF($U1139&gt;=MA_LONG2,AVERAGE(INDEX($I$739:$I1139,402-MA_LONG2):$I1139),"")</f>
        <v/>
      </c>
      <c r="Z1139" s="48" t="n">
        <f aca="false">IF($U1139&gt;=MA_SHORT,AVERAGE(INDEX($L$1019:$L1139,122-MA_SHORT):$L1139),"")</f>
        <v>95659388.7</v>
      </c>
      <c r="AA1139" s="48" t="n">
        <f aca="false">IF($U1139=1,$G1139-$H1139,MAX($G1139-$H1139,ABS($G1139-$I1138),ABS($H1139-$I1138)))</f>
        <v>187</v>
      </c>
      <c r="AB1139" s="48" t="n">
        <f aca="false">IF($U1139&gt;=ATR_PER,AVERAGE(INDEX($AA$1019:$AA1139,122-ATR_PER):$AA1139),"")</f>
        <v>221.071428571429</v>
      </c>
      <c r="AC1139" s="48" t="n">
        <f aca="false">$O1139-$P1139</f>
        <v>-12278609</v>
      </c>
      <c r="AD1139" s="48" t="n">
        <f aca="false">$AC1139*$I1139</f>
        <v>-70319593743</v>
      </c>
      <c r="AE1139" s="49" t="n">
        <f aca="false">IF($Q1139&gt;0,$O1139*$I1139/$Q1139/1000000,"")</f>
        <v>119.311227685288</v>
      </c>
      <c r="AF1139" s="49" t="n">
        <f aca="false">IF($R1139&gt;0,$P1139*$I1139/$R1139/1000000,"")</f>
        <v>109.298545432938</v>
      </c>
      <c r="AG1139" s="50" t="n">
        <f aca="false">IF(AND(ISNUMBER($AE1139),ISNUMBER($AF1139),$AF1139&gt;0),$AE1139/$AF1139,"")</f>
        <v>1.09160855904064</v>
      </c>
      <c r="AH1139" s="48" t="n">
        <f aca="false">IF($U1139&gt;=5,SUM(INDEX($AD$1109:$AD1139,32-5):$AD1139),"")</f>
        <v>-286689716131</v>
      </c>
      <c r="AI1139" s="48" t="n">
        <f aca="false">IF($U1139&gt;=STRUCT_S,MAX(INDEX($G$989:$G1139,152-STRUCT_S):$G1139),"")</f>
        <v>6133</v>
      </c>
      <c r="AJ1139" s="48" t="n">
        <f aca="false">IF($U1139&gt;=STRUCT_S,MIN(INDEX($H$989:$H1139,152-STRUCT_S):$H1139),"")</f>
        <v>5349</v>
      </c>
      <c r="AK1139" s="48" t="n">
        <f aca="false">IF($U1139&gt;=STRUCT_L,MAX(INDEX($G$889:$G1139,252-STRUCT_L):$G1139),"")</f>
        <v>6133</v>
      </c>
      <c r="AL1139" s="48" t="n">
        <f aca="false">IF($U1139&gt;=STRUCT_L,MIN(INDEX($H$889:$H1139,252-STRUCT_L):$H1139),"")</f>
        <v>4837</v>
      </c>
      <c r="AM1139" s="46" t="n">
        <f aca="false">IF($A1139&lt;&gt;$A1140,1,0)</f>
        <v>0</v>
      </c>
      <c r="AN1139" s="47" t="str">
        <f aca="false">IF($AM1139=1,$A1139,"")</f>
        <v/>
      </c>
    </row>
    <row r="1140" customFormat="false" ht="15" hidden="false" customHeight="false" outlineLevel="0" collapsed="false">
      <c r="A1140" s="43" t="s">
        <v>152</v>
      </c>
      <c r="B1140" s="44" t="s">
        <v>154</v>
      </c>
      <c r="C1140" s="45" t="n">
        <v>46039</v>
      </c>
      <c r="D1140" s="46" t="n">
        <v>20260117</v>
      </c>
      <c r="E1140" s="47" t="s">
        <v>383</v>
      </c>
      <c r="F1140" s="48" t="n">
        <v>5752</v>
      </c>
      <c r="G1140" s="48" t="n">
        <v>5832</v>
      </c>
      <c r="H1140" s="48" t="n">
        <v>5670</v>
      </c>
      <c r="I1140" s="48" t="n">
        <v>5775</v>
      </c>
      <c r="J1140" s="48" t="n">
        <v>5819</v>
      </c>
      <c r="K1140" s="48" t="n">
        <v>5727</v>
      </c>
      <c r="L1140" s="48" t="n">
        <v>83654317</v>
      </c>
      <c r="M1140" s="48" t="n">
        <v>483103680675</v>
      </c>
      <c r="N1140" s="48" t="n">
        <v>3837</v>
      </c>
      <c r="O1140" s="48" t="n">
        <v>36602944</v>
      </c>
      <c r="P1140" s="48" t="n">
        <v>50699821</v>
      </c>
      <c r="Q1140" s="48" t="n">
        <v>2329</v>
      </c>
      <c r="R1140" s="48" t="n">
        <v>1396</v>
      </c>
      <c r="S1140" s="48" t="n">
        <v>47051373</v>
      </c>
      <c r="T1140" s="48" t="n">
        <v>32954496</v>
      </c>
      <c r="U1140" s="46" t="n">
        <f aca="false">IF($A1140=$A1139,$U1139+1,1)</f>
        <v>96</v>
      </c>
      <c r="V1140" s="48" t="n">
        <f aca="false">IF($U1140&gt;=MA_SHORT,AVERAGE(INDEX($I$740:$I1140,402-MA_SHORT):$I1140),"")</f>
        <v>5698.3</v>
      </c>
      <c r="W1140" s="48" t="n">
        <f aca="false">IF($U1140&gt;=MA_MED,AVERAGE(INDEX($I$740:$I1140,402-MA_MED):$I1140),"")</f>
        <v>5423.78</v>
      </c>
      <c r="X1140" s="48" t="str">
        <f aca="false">IF($U1140&gt;=MA_LONG1,AVERAGE(INDEX($I$740:$I1140,402-MA_LONG1):$I1140),"")</f>
        <v/>
      </c>
      <c r="Y1140" s="48" t="str">
        <f aca="false">IF($U1140&gt;=MA_LONG2,AVERAGE(INDEX($I$740:$I1140,402-MA_LONG2):$I1140),"")</f>
        <v/>
      </c>
      <c r="Z1140" s="48" t="n">
        <f aca="false">IF($U1140&gt;=MA_SHORT,AVERAGE(INDEX($L$1020:$L1140,122-MA_SHORT):$L1140),"")</f>
        <v>95779400.05</v>
      </c>
      <c r="AA1140" s="48" t="n">
        <f aca="false">IF($U1140=1,$G1140-$H1140,MAX($G1140-$H1140,ABS($G1140-$I1139),ABS($H1140-$I1139)))</f>
        <v>162</v>
      </c>
      <c r="AB1140" s="48" t="n">
        <f aca="false">IF($U1140&gt;=ATR_PER,AVERAGE(INDEX($AA$1020:$AA1140,122-ATR_PER):$AA1140),"")</f>
        <v>222</v>
      </c>
      <c r="AC1140" s="48" t="n">
        <f aca="false">$O1140-$P1140</f>
        <v>-14096877</v>
      </c>
      <c r="AD1140" s="48" t="n">
        <f aca="false">$AC1140*$I1140</f>
        <v>-81409464675</v>
      </c>
      <c r="AE1140" s="49" t="n">
        <f aca="false">IF($Q1140&gt;0,$O1140*$I1140/$Q1140/1000000,"")</f>
        <v>90.7608422498927</v>
      </c>
      <c r="AF1140" s="49" t="n">
        <f aca="false">IF($R1140&gt;0,$P1140*$I1140/$R1140/1000000,"")</f>
        <v>209.736007360315</v>
      </c>
      <c r="AG1140" s="50" t="n">
        <f aca="false">IF(AND(ISNUMBER($AE1140),ISNUMBER($AF1140),$AF1140&gt;0),$AE1140/$AF1140,"")</f>
        <v>0.432738485833624</v>
      </c>
      <c r="AH1140" s="48" t="n">
        <f aca="false">IF($U1140&gt;=5,SUM(INDEX($AD$1110:$AD1140,32-5):$AD1140),"")</f>
        <v>-276569229174</v>
      </c>
      <c r="AI1140" s="48" t="n">
        <f aca="false">IF($U1140&gt;=STRUCT_S,MAX(INDEX($G$990:$G1140,152-STRUCT_S):$G1140),"")</f>
        <v>6133</v>
      </c>
      <c r="AJ1140" s="48" t="n">
        <f aca="false">IF($U1140&gt;=STRUCT_S,MIN(INDEX($H$990:$H1140,152-STRUCT_S):$H1140),"")</f>
        <v>5349</v>
      </c>
      <c r="AK1140" s="48" t="n">
        <f aca="false">IF($U1140&gt;=STRUCT_L,MAX(INDEX($G$890:$G1140,252-STRUCT_L):$G1140),"")</f>
        <v>6133</v>
      </c>
      <c r="AL1140" s="48" t="n">
        <f aca="false">IF($U1140&gt;=STRUCT_L,MIN(INDEX($H$890:$H1140,252-STRUCT_L):$H1140),"")</f>
        <v>4837</v>
      </c>
      <c r="AM1140" s="46" t="n">
        <f aca="false">IF($A1140&lt;&gt;$A1141,1,0)</f>
        <v>0</v>
      </c>
      <c r="AN1140" s="47" t="str">
        <f aca="false">IF($AM1140=1,$A1140,"")</f>
        <v/>
      </c>
    </row>
    <row r="1141" customFormat="false" ht="15" hidden="false" customHeight="false" outlineLevel="0" collapsed="false">
      <c r="A1141" s="43" t="s">
        <v>152</v>
      </c>
      <c r="B1141" s="44" t="s">
        <v>154</v>
      </c>
      <c r="C1141" s="45" t="n">
        <v>46040</v>
      </c>
      <c r="D1141" s="46" t="n">
        <v>20260118</v>
      </c>
      <c r="E1141" s="47" t="s">
        <v>384</v>
      </c>
      <c r="F1141" s="48" t="n">
        <v>5838</v>
      </c>
      <c r="G1141" s="48" t="n">
        <v>5854</v>
      </c>
      <c r="H1141" s="48" t="n">
        <v>5717</v>
      </c>
      <c r="I1141" s="48" t="n">
        <v>5796</v>
      </c>
      <c r="J1141" s="48" t="n">
        <v>5796</v>
      </c>
      <c r="K1141" s="48" t="n">
        <v>5775</v>
      </c>
      <c r="L1141" s="48" t="n">
        <v>79353021</v>
      </c>
      <c r="M1141" s="48" t="n">
        <v>459930109716</v>
      </c>
      <c r="N1141" s="48" t="n">
        <v>2207</v>
      </c>
      <c r="O1141" s="48" t="n">
        <v>39726689</v>
      </c>
      <c r="P1141" s="48" t="n">
        <v>38659594</v>
      </c>
      <c r="Q1141" s="48" t="n">
        <v>862</v>
      </c>
      <c r="R1141" s="48" t="n">
        <v>1015</v>
      </c>
      <c r="S1141" s="48" t="n">
        <v>39626332</v>
      </c>
      <c r="T1141" s="48" t="n">
        <v>40693427</v>
      </c>
      <c r="U1141" s="46" t="n">
        <f aca="false">IF($A1141=$A1140,$U1140+1,1)</f>
        <v>97</v>
      </c>
      <c r="V1141" s="48" t="n">
        <f aca="false">IF($U1141&gt;=MA_SHORT,AVERAGE(INDEX($I$741:$I1141,402-MA_SHORT):$I1141),"")</f>
        <v>5711.7</v>
      </c>
      <c r="W1141" s="48" t="n">
        <f aca="false">IF($U1141&gt;=MA_MED,AVERAGE(INDEX($I$741:$I1141,402-MA_MED):$I1141),"")</f>
        <v>5433.36</v>
      </c>
      <c r="X1141" s="48" t="str">
        <f aca="false">IF($U1141&gt;=MA_LONG1,AVERAGE(INDEX($I$741:$I1141,402-MA_LONG1):$I1141),"")</f>
        <v/>
      </c>
      <c r="Y1141" s="48" t="str">
        <f aca="false">IF($U1141&gt;=MA_LONG2,AVERAGE(INDEX($I$741:$I1141,402-MA_LONG2):$I1141),"")</f>
        <v/>
      </c>
      <c r="Z1141" s="48" t="n">
        <f aca="false">IF($U1141&gt;=MA_SHORT,AVERAGE(INDEX($L$1021:$L1141,122-MA_SHORT):$L1141),"")</f>
        <v>95681475.65</v>
      </c>
      <c r="AA1141" s="48" t="n">
        <f aca="false">IF($U1141=1,$G1141-$H1141,MAX($G1141-$H1141,ABS($G1141-$I1140),ABS($H1141-$I1140)))</f>
        <v>137</v>
      </c>
      <c r="AB1141" s="48" t="n">
        <f aca="false">IF($U1141&gt;=ATR_PER,AVERAGE(INDEX($AA$1021:$AA1141,122-ATR_PER):$AA1141),"")</f>
        <v>207.714285714286</v>
      </c>
      <c r="AC1141" s="48" t="n">
        <f aca="false">$O1141-$P1141</f>
        <v>1067095</v>
      </c>
      <c r="AD1141" s="48" t="n">
        <f aca="false">$AC1141*$I1141</f>
        <v>6184882620</v>
      </c>
      <c r="AE1141" s="49" t="n">
        <f aca="false">IF($Q1141&gt;0,$O1141*$I1141/$Q1141/1000000,"")</f>
        <v>267.118201211137</v>
      </c>
      <c r="AF1141" s="49" t="n">
        <f aca="false">IF($R1141&gt;0,$P1141*$I1141/$R1141/1000000,"")</f>
        <v>220.759612634483</v>
      </c>
      <c r="AG1141" s="50" t="n">
        <f aca="false">IF(AND(ISNUMBER($AE1141),ISNUMBER($AF1141),$AF1141&gt;0),$AE1141/$AF1141,"")</f>
        <v>1.20999578692599</v>
      </c>
      <c r="AH1141" s="48" t="n">
        <f aca="false">IF($U1141&gt;=5,SUM(INDEX($AD$1111:$AD1141,32-5):$AD1141),"")</f>
        <v>-163730087220</v>
      </c>
      <c r="AI1141" s="48" t="n">
        <f aca="false">IF($U1141&gt;=STRUCT_S,MAX(INDEX($G$991:$G1141,152-STRUCT_S):$G1141),"")</f>
        <v>6133</v>
      </c>
      <c r="AJ1141" s="48" t="n">
        <f aca="false">IF($U1141&gt;=STRUCT_S,MIN(INDEX($H$991:$H1141,152-STRUCT_S):$H1141),"")</f>
        <v>5349</v>
      </c>
      <c r="AK1141" s="48" t="n">
        <f aca="false">IF($U1141&gt;=STRUCT_L,MAX(INDEX($G$891:$G1141,252-STRUCT_L):$G1141),"")</f>
        <v>6133</v>
      </c>
      <c r="AL1141" s="48" t="n">
        <f aca="false">IF($U1141&gt;=STRUCT_L,MIN(INDEX($H$891:$H1141,252-STRUCT_L):$H1141),"")</f>
        <v>4842</v>
      </c>
      <c r="AM1141" s="46" t="n">
        <f aca="false">IF($A1141&lt;&gt;$A1142,1,0)</f>
        <v>0</v>
      </c>
      <c r="AN1141" s="47" t="str">
        <f aca="false">IF($AM1141=1,$A1141,"")</f>
        <v/>
      </c>
    </row>
    <row r="1142" customFormat="false" ht="15" hidden="false" customHeight="false" outlineLevel="0" collapsed="false">
      <c r="A1142" s="43" t="s">
        <v>152</v>
      </c>
      <c r="B1142" s="44" t="s">
        <v>154</v>
      </c>
      <c r="C1142" s="45" t="n">
        <v>46041</v>
      </c>
      <c r="D1142" s="46" t="n">
        <v>20260119</v>
      </c>
      <c r="E1142" s="47" t="s">
        <v>385</v>
      </c>
      <c r="F1142" s="48" t="n">
        <v>5783</v>
      </c>
      <c r="G1142" s="48" t="n">
        <v>5834</v>
      </c>
      <c r="H1142" s="48" t="n">
        <v>5763</v>
      </c>
      <c r="I1142" s="48" t="n">
        <v>5801</v>
      </c>
      <c r="J1142" s="48" t="n">
        <v>5815</v>
      </c>
      <c r="K1142" s="48" t="n">
        <v>5796</v>
      </c>
      <c r="L1142" s="48" t="n">
        <v>78060610</v>
      </c>
      <c r="M1142" s="48" t="n">
        <v>452829598610</v>
      </c>
      <c r="N1142" s="48" t="n">
        <v>8580</v>
      </c>
      <c r="O1142" s="48" t="n">
        <v>27798124</v>
      </c>
      <c r="P1142" s="48" t="n">
        <v>42301353</v>
      </c>
      <c r="Q1142" s="48" t="n">
        <v>5065</v>
      </c>
      <c r="R1142" s="48" t="n">
        <v>3617</v>
      </c>
      <c r="S1142" s="48" t="n">
        <v>50262486</v>
      </c>
      <c r="T1142" s="48" t="n">
        <v>35759257</v>
      </c>
      <c r="U1142" s="46" t="n">
        <f aca="false">IF($A1142=$A1141,$U1141+1,1)</f>
        <v>98</v>
      </c>
      <c r="V1142" s="48" t="n">
        <f aca="false">IF($U1142&gt;=MA_SHORT,AVERAGE(INDEX($I$742:$I1142,402-MA_SHORT):$I1142),"")</f>
        <v>5724.1</v>
      </c>
      <c r="W1142" s="48" t="n">
        <f aca="false">IF($U1142&gt;=MA_MED,AVERAGE(INDEX($I$742:$I1142,402-MA_MED):$I1142),"")</f>
        <v>5441.94</v>
      </c>
      <c r="X1142" s="48" t="str">
        <f aca="false">IF($U1142&gt;=MA_LONG1,AVERAGE(INDEX($I$742:$I1142,402-MA_LONG1):$I1142),"")</f>
        <v/>
      </c>
      <c r="Y1142" s="48" t="str">
        <f aca="false">IF($U1142&gt;=MA_LONG2,AVERAGE(INDEX($I$742:$I1142,402-MA_LONG2):$I1142),"")</f>
        <v/>
      </c>
      <c r="Z1142" s="48" t="n">
        <f aca="false">IF($U1142&gt;=MA_SHORT,AVERAGE(INDEX($L$1022:$L1142,122-MA_SHORT):$L1142),"")</f>
        <v>93864400.35</v>
      </c>
      <c r="AA1142" s="48" t="n">
        <f aca="false">IF($U1142=1,$G1142-$H1142,MAX($G1142-$H1142,ABS($G1142-$I1141),ABS($H1142-$I1141)))</f>
        <v>71</v>
      </c>
      <c r="AB1142" s="48" t="n">
        <f aca="false">IF($U1142&gt;=ATR_PER,AVERAGE(INDEX($AA$1022:$AA1142,122-ATR_PER):$AA1142),"")</f>
        <v>192.142857142857</v>
      </c>
      <c r="AC1142" s="48" t="n">
        <f aca="false">$O1142-$P1142</f>
        <v>-14503229</v>
      </c>
      <c r="AD1142" s="48" t="n">
        <f aca="false">$AC1142*$I1142</f>
        <v>-84133231429</v>
      </c>
      <c r="AE1142" s="49" t="n">
        <f aca="false">IF($Q1142&gt;0,$O1142*$I1142/$Q1142/1000000,"")</f>
        <v>31.8374960165844</v>
      </c>
      <c r="AF1142" s="49" t="n">
        <f aca="false">IF($R1142&gt;0,$P1142*$I1142/$R1142/1000000,"")</f>
        <v>67.8435578526403</v>
      </c>
      <c r="AG1142" s="50" t="n">
        <f aca="false">IF(AND(ISNUMBER($AE1142),ISNUMBER($AF1142),$AF1142&gt;0),$AE1142/$AF1142,"")</f>
        <v>0.469278101330374</v>
      </c>
      <c r="AH1142" s="48" t="n">
        <f aca="false">IF($U1142&gt;=5,SUM(INDEX($AD$1112:$AD1142,32-5):$AD1142),"")</f>
        <v>-227990045845</v>
      </c>
      <c r="AI1142" s="48" t="n">
        <f aca="false">IF($U1142&gt;=STRUCT_S,MAX(INDEX($G$992:$G1142,152-STRUCT_S):$G1142),"")</f>
        <v>6133</v>
      </c>
      <c r="AJ1142" s="48" t="n">
        <f aca="false">IF($U1142&gt;=STRUCT_S,MIN(INDEX($H$992:$H1142,152-STRUCT_S):$H1142),"")</f>
        <v>5349</v>
      </c>
      <c r="AK1142" s="48" t="n">
        <f aca="false">IF($U1142&gt;=STRUCT_L,MAX(INDEX($G$892:$G1142,252-STRUCT_L):$G1142),"")</f>
        <v>6133</v>
      </c>
      <c r="AL1142" s="48" t="n">
        <f aca="false">IF($U1142&gt;=STRUCT_L,MIN(INDEX($H$892:$H1142,252-STRUCT_L):$H1142),"")</f>
        <v>4912</v>
      </c>
      <c r="AM1142" s="46" t="n">
        <f aca="false">IF($A1142&lt;&gt;$A1143,1,0)</f>
        <v>0</v>
      </c>
      <c r="AN1142" s="47" t="str">
        <f aca="false">IF($AM1142=1,$A1142,"")</f>
        <v/>
      </c>
    </row>
    <row r="1143" customFormat="false" ht="15" hidden="false" customHeight="false" outlineLevel="0" collapsed="false">
      <c r="A1143" s="43" t="s">
        <v>152</v>
      </c>
      <c r="B1143" s="44" t="s">
        <v>154</v>
      </c>
      <c r="C1143" s="45" t="n">
        <v>46042</v>
      </c>
      <c r="D1143" s="46" t="n">
        <v>20260120</v>
      </c>
      <c r="E1143" s="47" t="s">
        <v>386</v>
      </c>
      <c r="F1143" s="48" t="n">
        <v>5734</v>
      </c>
      <c r="G1143" s="48" t="n">
        <v>5928</v>
      </c>
      <c r="H1143" s="48" t="n">
        <v>5713</v>
      </c>
      <c r="I1143" s="48" t="n">
        <v>5839</v>
      </c>
      <c r="J1143" s="48" t="n">
        <v>5812</v>
      </c>
      <c r="K1143" s="48" t="n">
        <v>5801</v>
      </c>
      <c r="L1143" s="48" t="n">
        <v>100869016</v>
      </c>
      <c r="M1143" s="48" t="n">
        <v>588974184424</v>
      </c>
      <c r="N1143" s="48" t="n">
        <v>5244</v>
      </c>
      <c r="O1143" s="48" t="n">
        <v>49633902</v>
      </c>
      <c r="P1143" s="48" t="n">
        <v>50805121</v>
      </c>
      <c r="Q1143" s="48" t="n">
        <v>2216</v>
      </c>
      <c r="R1143" s="48" t="n">
        <v>1809</v>
      </c>
      <c r="S1143" s="48" t="n">
        <v>51235114</v>
      </c>
      <c r="T1143" s="48" t="n">
        <v>50063895</v>
      </c>
      <c r="U1143" s="46" t="n">
        <f aca="false">IF($A1143=$A1142,$U1142+1,1)</f>
        <v>99</v>
      </c>
      <c r="V1143" s="48" t="n">
        <f aca="false">IF($U1143&gt;=MA_SHORT,AVERAGE(INDEX($I$743:$I1143,402-MA_SHORT):$I1143),"")</f>
        <v>5743.9</v>
      </c>
      <c r="W1143" s="48" t="n">
        <f aca="false">IF($U1143&gt;=MA_MED,AVERAGE(INDEX($I$743:$I1143,402-MA_MED):$I1143),"")</f>
        <v>5454.44</v>
      </c>
      <c r="X1143" s="48" t="str">
        <f aca="false">IF($U1143&gt;=MA_LONG1,AVERAGE(INDEX($I$743:$I1143,402-MA_LONG1):$I1143),"")</f>
        <v/>
      </c>
      <c r="Y1143" s="48" t="str">
        <f aca="false">IF($U1143&gt;=MA_LONG2,AVERAGE(INDEX($I$743:$I1143,402-MA_LONG2):$I1143),"")</f>
        <v/>
      </c>
      <c r="Z1143" s="48" t="n">
        <f aca="false">IF($U1143&gt;=MA_SHORT,AVERAGE(INDEX($L$1023:$L1143,122-MA_SHORT):$L1143),"")</f>
        <v>94563413.95</v>
      </c>
      <c r="AA1143" s="48" t="n">
        <f aca="false">IF($U1143=1,$G1143-$H1143,MAX($G1143-$H1143,ABS($G1143-$I1142),ABS($H1143-$I1142)))</f>
        <v>215</v>
      </c>
      <c r="AB1143" s="48" t="n">
        <f aca="false">IF($U1143&gt;=ATR_PER,AVERAGE(INDEX($AA$1023:$AA1143,122-ATR_PER):$AA1143),"")</f>
        <v>197.714285714286</v>
      </c>
      <c r="AC1143" s="48" t="n">
        <f aca="false">$O1143-$P1143</f>
        <v>-1171219</v>
      </c>
      <c r="AD1143" s="48" t="n">
        <f aca="false">$AC1143*$I1143</f>
        <v>-6838747741</v>
      </c>
      <c r="AE1143" s="49" t="n">
        <f aca="false">IF($Q1143&gt;0,$O1143*$I1143/$Q1143/1000000,"")</f>
        <v>130.781748094765</v>
      </c>
      <c r="AF1143" s="49" t="n">
        <f aca="false">IF($R1143&gt;0,$P1143*$I1143/$R1143/1000000,"")</f>
        <v>163.986236328911</v>
      </c>
      <c r="AG1143" s="50" t="n">
        <f aca="false">IF(AND(ISNUMBER($AE1143),ISNUMBER($AF1143),$AF1143&gt;0),$AE1143/$AF1143,"")</f>
        <v>0.797516614945985</v>
      </c>
      <c r="AH1143" s="48" t="n">
        <f aca="false">IF($U1143&gt;=5,SUM(INDEX($AD$1113:$AD1143,32-5):$AD1143),"")</f>
        <v>-236516154968</v>
      </c>
      <c r="AI1143" s="48" t="n">
        <f aca="false">IF($U1143&gt;=STRUCT_S,MAX(INDEX($G$993:$G1143,152-STRUCT_S):$G1143),"")</f>
        <v>6133</v>
      </c>
      <c r="AJ1143" s="48" t="n">
        <f aca="false">IF($U1143&gt;=STRUCT_S,MIN(INDEX($H$993:$H1143,152-STRUCT_S):$H1143),"")</f>
        <v>5353</v>
      </c>
      <c r="AK1143" s="48" t="n">
        <f aca="false">IF($U1143&gt;=STRUCT_L,MAX(INDEX($G$893:$G1143,252-STRUCT_L):$G1143),"")</f>
        <v>6133</v>
      </c>
      <c r="AL1143" s="48" t="n">
        <f aca="false">IF($U1143&gt;=STRUCT_L,MIN(INDEX($H$893:$H1143,252-STRUCT_L):$H1143),"")</f>
        <v>4912</v>
      </c>
      <c r="AM1143" s="46" t="n">
        <f aca="false">IF($A1143&lt;&gt;$A1144,1,0)</f>
        <v>0</v>
      </c>
      <c r="AN1143" s="47" t="str">
        <f aca="false">IF($AM1143=1,$A1143,"")</f>
        <v/>
      </c>
    </row>
    <row r="1144" customFormat="false" ht="15" hidden="false" customHeight="false" outlineLevel="0" collapsed="false">
      <c r="A1144" s="43" t="s">
        <v>152</v>
      </c>
      <c r="B1144" s="44" t="s">
        <v>154</v>
      </c>
      <c r="C1144" s="45" t="n">
        <v>46043</v>
      </c>
      <c r="D1144" s="46" t="n">
        <v>20260121</v>
      </c>
      <c r="E1144" s="47" t="s">
        <v>387</v>
      </c>
      <c r="F1144" s="48" t="n">
        <v>5668</v>
      </c>
      <c r="G1144" s="48" t="n">
        <v>5899</v>
      </c>
      <c r="H1144" s="48" t="n">
        <v>5654</v>
      </c>
      <c r="I1144" s="48" t="n">
        <v>5713</v>
      </c>
      <c r="J1144" s="48" t="n">
        <v>5811</v>
      </c>
      <c r="K1144" s="48" t="n">
        <v>5839</v>
      </c>
      <c r="L1144" s="48" t="n">
        <v>88594771</v>
      </c>
      <c r="M1144" s="48" t="n">
        <v>506141926723</v>
      </c>
      <c r="N1144" s="48" t="n">
        <v>2780</v>
      </c>
      <c r="O1144" s="48" t="n">
        <v>41701836</v>
      </c>
      <c r="P1144" s="48" t="n">
        <v>47220260</v>
      </c>
      <c r="Q1144" s="48" t="n">
        <v>1212</v>
      </c>
      <c r="R1144" s="48" t="n">
        <v>1106</v>
      </c>
      <c r="S1144" s="48" t="n">
        <v>46892935</v>
      </c>
      <c r="T1144" s="48" t="n">
        <v>41374511</v>
      </c>
      <c r="U1144" s="46" t="n">
        <f aca="false">IF($A1144=$A1143,$U1143+1,1)</f>
        <v>100</v>
      </c>
      <c r="V1144" s="48" t="n">
        <f aca="false">IF($U1144&gt;=MA_SHORT,AVERAGE(INDEX($I$744:$I1144,402-MA_SHORT):$I1144),"")</f>
        <v>5749</v>
      </c>
      <c r="W1144" s="48" t="n">
        <f aca="false">IF($U1144&gt;=MA_MED,AVERAGE(INDEX($I$744:$I1144,402-MA_MED):$I1144),"")</f>
        <v>5464.08</v>
      </c>
      <c r="X1144" s="48" t="n">
        <f aca="false">IF($U1144&gt;=MA_LONG1,AVERAGE(INDEX($I$744:$I1144,402-MA_LONG1):$I1144),"")</f>
        <v>5231.11</v>
      </c>
      <c r="Y1144" s="48" t="str">
        <f aca="false">IF($U1144&gt;=MA_LONG2,AVERAGE(INDEX($I$744:$I1144,402-MA_LONG2):$I1144),"")</f>
        <v/>
      </c>
      <c r="Z1144" s="48" t="n">
        <f aca="false">IF($U1144&gt;=MA_SHORT,AVERAGE(INDEX($L$1024:$L1144,122-MA_SHORT):$L1144),"")</f>
        <v>92810450.35</v>
      </c>
      <c r="AA1144" s="48" t="n">
        <f aca="false">IF($U1144=1,$G1144-$H1144,MAX($G1144-$H1144,ABS($G1144-$I1143),ABS($H1144-$I1143)))</f>
        <v>245</v>
      </c>
      <c r="AB1144" s="48" t="n">
        <f aca="false">IF($U1144&gt;=ATR_PER,AVERAGE(INDEX($AA$1024:$AA1144,122-ATR_PER):$AA1144),"")</f>
        <v>207.928571428571</v>
      </c>
      <c r="AC1144" s="48" t="n">
        <f aca="false">$O1144-$P1144</f>
        <v>-5518424</v>
      </c>
      <c r="AD1144" s="48" t="n">
        <f aca="false">$AC1144*$I1144</f>
        <v>-31526756312</v>
      </c>
      <c r="AE1144" s="49" t="n">
        <f aca="false">IF($Q1144&gt;0,$O1144*$I1144/$Q1144/1000000,"")</f>
        <v>196.569792960396</v>
      </c>
      <c r="AF1144" s="49" t="n">
        <f aca="false">IF($R1144&gt;0,$P1144*$I1144/$R1144/1000000,"")</f>
        <v>243.91441716094</v>
      </c>
      <c r="AG1144" s="50" t="n">
        <f aca="false">IF(AND(ISNUMBER($AE1144),ISNUMBER($AF1144),$AF1144&gt;0),$AE1144/$AF1144,"")</f>
        <v>0.805896573266904</v>
      </c>
      <c r="AH1144" s="48" t="n">
        <f aca="false">IF($U1144&gt;=5,SUM(INDEX($AD$1114:$AD1144,32-5):$AD1144),"")</f>
        <v>-197723317537</v>
      </c>
      <c r="AI1144" s="48" t="n">
        <f aca="false">IF($U1144&gt;=STRUCT_S,MAX(INDEX($G$994:$G1144,152-STRUCT_S):$G1144),"")</f>
        <v>6133</v>
      </c>
      <c r="AJ1144" s="48" t="n">
        <f aca="false">IF($U1144&gt;=STRUCT_S,MIN(INDEX($H$994:$H1144,152-STRUCT_S):$H1144),"")</f>
        <v>5353</v>
      </c>
      <c r="AK1144" s="48" t="n">
        <f aca="false">IF($U1144&gt;=STRUCT_L,MAX(INDEX($G$894:$G1144,252-STRUCT_L):$G1144),"")</f>
        <v>6133</v>
      </c>
      <c r="AL1144" s="48" t="n">
        <f aca="false">IF($U1144&gt;=STRUCT_L,MIN(INDEX($H$894:$H1144,252-STRUCT_L):$H1144),"")</f>
        <v>4912</v>
      </c>
      <c r="AM1144" s="46" t="n">
        <f aca="false">IF($A1144&lt;&gt;$A1145,1,0)</f>
        <v>0</v>
      </c>
      <c r="AN1144" s="47" t="str">
        <f aca="false">IF($AM1144=1,$A1144,"")</f>
        <v/>
      </c>
    </row>
    <row r="1145" customFormat="false" ht="15" hidden="false" customHeight="false" outlineLevel="0" collapsed="false">
      <c r="A1145" s="43" t="s">
        <v>152</v>
      </c>
      <c r="B1145" s="44" t="s">
        <v>154</v>
      </c>
      <c r="C1145" s="45" t="n">
        <v>46046</v>
      </c>
      <c r="D1145" s="46" t="n">
        <v>20260124</v>
      </c>
      <c r="E1145" s="47" t="s">
        <v>388</v>
      </c>
      <c r="F1145" s="48" t="n">
        <v>5778</v>
      </c>
      <c r="G1145" s="48" t="n">
        <v>5797</v>
      </c>
      <c r="H1145" s="48" t="n">
        <v>5694</v>
      </c>
      <c r="I1145" s="48" t="n">
        <v>5777</v>
      </c>
      <c r="J1145" s="48" t="n">
        <v>5796</v>
      </c>
      <c r="K1145" s="48" t="n">
        <v>5713</v>
      </c>
      <c r="L1145" s="48" t="n">
        <v>215236617</v>
      </c>
      <c r="M1145" s="48" t="n">
        <v>1243421936409</v>
      </c>
      <c r="N1145" s="48" t="n">
        <v>5179</v>
      </c>
      <c r="O1145" s="48" t="n">
        <v>106820102</v>
      </c>
      <c r="P1145" s="48" t="n">
        <v>105974593</v>
      </c>
      <c r="Q1145" s="48" t="n">
        <v>1967</v>
      </c>
      <c r="R1145" s="48" t="n">
        <v>1531</v>
      </c>
      <c r="S1145" s="48" t="n">
        <v>108416515</v>
      </c>
      <c r="T1145" s="48" t="n">
        <v>109262024</v>
      </c>
      <c r="U1145" s="46" t="n">
        <f aca="false">IF($A1145=$A1144,$U1144+1,1)</f>
        <v>101</v>
      </c>
      <c r="V1145" s="48" t="n">
        <f aca="false">IF($U1145&gt;=MA_SHORT,AVERAGE(INDEX($I$745:$I1145,402-MA_SHORT):$I1145),"")</f>
        <v>5765.75</v>
      </c>
      <c r="W1145" s="48" t="n">
        <f aca="false">IF($U1145&gt;=MA_MED,AVERAGE(INDEX($I$745:$I1145,402-MA_MED):$I1145),"")</f>
        <v>5476.44</v>
      </c>
      <c r="X1145" s="48" t="n">
        <f aca="false">IF($U1145&gt;=MA_LONG1,AVERAGE(INDEX($I$745:$I1145,402-MA_LONG1):$I1145),"")</f>
        <v>5239.04</v>
      </c>
      <c r="Y1145" s="48" t="str">
        <f aca="false">IF($U1145&gt;=MA_LONG2,AVERAGE(INDEX($I$745:$I1145,402-MA_LONG2):$I1145),"")</f>
        <v/>
      </c>
      <c r="Z1145" s="48" t="n">
        <f aca="false">IF($U1145&gt;=MA_SHORT,AVERAGE(INDEX($L$1025:$L1145,122-MA_SHORT):$L1145),"")</f>
        <v>98987638.9</v>
      </c>
      <c r="AA1145" s="48" t="n">
        <f aca="false">IF($U1145=1,$G1145-$H1145,MAX($G1145-$H1145,ABS($G1145-$I1144),ABS($H1145-$I1144)))</f>
        <v>103</v>
      </c>
      <c r="AB1145" s="48" t="n">
        <f aca="false">IF($U1145&gt;=ATR_PER,AVERAGE(INDEX($AA$1025:$AA1145,122-ATR_PER):$AA1145),"")</f>
        <v>193.785714285714</v>
      </c>
      <c r="AC1145" s="48" t="n">
        <f aca="false">$O1145-$P1145</f>
        <v>845509</v>
      </c>
      <c r="AD1145" s="48" t="n">
        <f aca="false">$AC1145*$I1145</f>
        <v>4884505493</v>
      </c>
      <c r="AE1145" s="49" t="n">
        <f aca="false">IF($Q1145&gt;0,$O1145*$I1145/$Q1145/1000000,"")</f>
        <v>313.726349391967</v>
      </c>
      <c r="AF1145" s="49" t="n">
        <f aca="false">IF($R1145&gt;0,$P1145*$I1145/$R1145/1000000,"")</f>
        <v>399.879310098628</v>
      </c>
      <c r="AG1145" s="50" t="n">
        <f aca="false">IF(AND(ISNUMBER($AE1145),ISNUMBER($AF1145),$AF1145&gt;0),$AE1145/$AF1145,"")</f>
        <v>0.784552592417418</v>
      </c>
      <c r="AH1145" s="48" t="n">
        <f aca="false">IF($U1145&gt;=5,SUM(INDEX($AD$1115:$AD1145,32-5):$AD1145),"")</f>
        <v>-111429347369</v>
      </c>
      <c r="AI1145" s="48" t="n">
        <f aca="false">IF($U1145&gt;=STRUCT_S,MAX(INDEX($G$995:$G1145,152-STRUCT_S):$G1145),"")</f>
        <v>6133</v>
      </c>
      <c r="AJ1145" s="48" t="n">
        <f aca="false">IF($U1145&gt;=STRUCT_S,MIN(INDEX($H$995:$H1145,152-STRUCT_S):$H1145),"")</f>
        <v>5353</v>
      </c>
      <c r="AK1145" s="48" t="n">
        <f aca="false">IF($U1145&gt;=STRUCT_L,MAX(INDEX($G$895:$G1145,252-STRUCT_L):$G1145),"")</f>
        <v>6133</v>
      </c>
      <c r="AL1145" s="48" t="n">
        <f aca="false">IF($U1145&gt;=STRUCT_L,MIN(INDEX($H$895:$H1145,252-STRUCT_L):$H1145),"")</f>
        <v>4912</v>
      </c>
      <c r="AM1145" s="46" t="n">
        <f aca="false">IF($A1145&lt;&gt;$A1146,1,0)</f>
        <v>0</v>
      </c>
      <c r="AN1145" s="47" t="str">
        <f aca="false">IF($AM1145=1,$A1145,"")</f>
        <v/>
      </c>
    </row>
    <row r="1146" customFormat="false" ht="15" hidden="false" customHeight="false" outlineLevel="0" collapsed="false">
      <c r="A1146" s="43" t="s">
        <v>152</v>
      </c>
      <c r="B1146" s="44" t="s">
        <v>154</v>
      </c>
      <c r="C1146" s="45" t="n">
        <v>46047</v>
      </c>
      <c r="D1146" s="46" t="n">
        <v>20260125</v>
      </c>
      <c r="E1146" s="47" t="s">
        <v>389</v>
      </c>
      <c r="F1146" s="48" t="n">
        <v>5710</v>
      </c>
      <c r="G1146" s="48" t="n">
        <v>5870</v>
      </c>
      <c r="H1146" s="48" t="n">
        <v>5672</v>
      </c>
      <c r="I1146" s="48" t="n">
        <v>5765</v>
      </c>
      <c r="J1146" s="48" t="n">
        <v>5824</v>
      </c>
      <c r="K1146" s="48" t="n">
        <v>5777</v>
      </c>
      <c r="L1146" s="48" t="n">
        <v>88161970</v>
      </c>
      <c r="M1146" s="48" t="n">
        <v>508253757050</v>
      </c>
      <c r="N1146" s="48" t="n">
        <v>3507</v>
      </c>
      <c r="O1146" s="48" t="n">
        <v>41561315</v>
      </c>
      <c r="P1146" s="48" t="n">
        <v>45197588</v>
      </c>
      <c r="Q1146" s="48" t="n">
        <v>1120</v>
      </c>
      <c r="R1146" s="48" t="n">
        <v>1346</v>
      </c>
      <c r="S1146" s="48" t="n">
        <v>46600655</v>
      </c>
      <c r="T1146" s="48" t="n">
        <v>42964382</v>
      </c>
      <c r="U1146" s="46" t="n">
        <f aca="false">IF($A1146=$A1145,$U1145+1,1)</f>
        <v>102</v>
      </c>
      <c r="V1146" s="48" t="n">
        <f aca="false">IF($U1146&gt;=MA_SHORT,AVERAGE(INDEX($I$746:$I1146,402-MA_SHORT):$I1146),"")</f>
        <v>5783.35</v>
      </c>
      <c r="W1146" s="48" t="n">
        <f aca="false">IF($U1146&gt;=MA_MED,AVERAGE(INDEX($I$746:$I1146,402-MA_MED):$I1146),"")</f>
        <v>5490.52</v>
      </c>
      <c r="X1146" s="48" t="n">
        <f aca="false">IF($U1146&gt;=MA_LONG1,AVERAGE(INDEX($I$746:$I1146,402-MA_LONG1):$I1146),"")</f>
        <v>5248.47</v>
      </c>
      <c r="Y1146" s="48" t="str">
        <f aca="false">IF($U1146&gt;=MA_LONG2,AVERAGE(INDEX($I$746:$I1146,402-MA_LONG2):$I1146),"")</f>
        <v/>
      </c>
      <c r="Z1146" s="48" t="n">
        <f aca="false">IF($U1146&gt;=MA_SHORT,AVERAGE(INDEX($L$1026:$L1146,122-MA_SHORT):$L1146),"")</f>
        <v>98150222.95</v>
      </c>
      <c r="AA1146" s="48" t="n">
        <f aca="false">IF($U1146=1,$G1146-$H1146,MAX($G1146-$H1146,ABS($G1146-$I1145),ABS($H1146-$I1145)))</f>
        <v>198</v>
      </c>
      <c r="AB1146" s="48" t="n">
        <f aca="false">IF($U1146&gt;=ATR_PER,AVERAGE(INDEX($AA$1026:$AA1146,122-ATR_PER):$AA1146),"")</f>
        <v>191.214285714286</v>
      </c>
      <c r="AC1146" s="48" t="n">
        <f aca="false">$O1146-$P1146</f>
        <v>-3636273</v>
      </c>
      <c r="AD1146" s="48" t="n">
        <f aca="false">$AC1146*$I1146</f>
        <v>-20963113845</v>
      </c>
      <c r="AE1146" s="49" t="n">
        <f aca="false">IF($Q1146&gt;0,$O1146*$I1146/$Q1146/1000000,"")</f>
        <v>213.929447299107</v>
      </c>
      <c r="AF1146" s="49" t="n">
        <f aca="false">IF($R1146&gt;0,$P1146*$I1146/$R1146/1000000,"")</f>
        <v>193.584022897474</v>
      </c>
      <c r="AG1146" s="50" t="n">
        <f aca="false">IF(AND(ISNUMBER($AE1146),ISNUMBER($AF1146),$AF1146&gt;0),$AE1146/$AF1146,"")</f>
        <v>1.10509867548526</v>
      </c>
      <c r="AH1146" s="48" t="n">
        <f aca="false">IF($U1146&gt;=5,SUM(INDEX($AD$1116:$AD1146,32-5):$AD1146),"")</f>
        <v>-138577343834</v>
      </c>
      <c r="AI1146" s="48" t="n">
        <f aca="false">IF($U1146&gt;=STRUCT_S,MAX(INDEX($G$996:$G1146,152-STRUCT_S):$G1146),"")</f>
        <v>6133</v>
      </c>
      <c r="AJ1146" s="48" t="n">
        <f aca="false">IF($U1146&gt;=STRUCT_S,MIN(INDEX($H$996:$H1146,152-STRUCT_S):$H1146),"")</f>
        <v>5368</v>
      </c>
      <c r="AK1146" s="48" t="n">
        <f aca="false">IF($U1146&gt;=STRUCT_L,MAX(INDEX($G$896:$G1146,252-STRUCT_L):$G1146),"")</f>
        <v>6133</v>
      </c>
      <c r="AL1146" s="48" t="n">
        <f aca="false">IF($U1146&gt;=STRUCT_L,MIN(INDEX($H$896:$H1146,252-STRUCT_L):$H1146),"")</f>
        <v>4912</v>
      </c>
      <c r="AM1146" s="46" t="n">
        <f aca="false">IF($A1146&lt;&gt;$A1147,1,0)</f>
        <v>0</v>
      </c>
      <c r="AN1146" s="47" t="str">
        <f aca="false">IF($AM1146=1,$A1146,"")</f>
        <v/>
      </c>
    </row>
    <row r="1147" customFormat="false" ht="15" hidden="false" customHeight="false" outlineLevel="0" collapsed="false">
      <c r="A1147" s="43" t="s">
        <v>152</v>
      </c>
      <c r="B1147" s="44" t="s">
        <v>154</v>
      </c>
      <c r="C1147" s="45" t="n">
        <v>46048</v>
      </c>
      <c r="D1147" s="46" t="n">
        <v>20260126</v>
      </c>
      <c r="E1147" s="47" t="s">
        <v>390</v>
      </c>
      <c r="F1147" s="48" t="n">
        <v>5647</v>
      </c>
      <c r="G1147" s="48" t="n">
        <v>5944</v>
      </c>
      <c r="H1147" s="48" t="n">
        <v>5614</v>
      </c>
      <c r="I1147" s="48" t="n">
        <v>5793</v>
      </c>
      <c r="J1147" s="48" t="n">
        <v>5840</v>
      </c>
      <c r="K1147" s="48" t="n">
        <v>5765</v>
      </c>
      <c r="L1147" s="48" t="n">
        <v>80875003</v>
      </c>
      <c r="M1147" s="48" t="n">
        <v>468508892379</v>
      </c>
      <c r="N1147" s="48" t="n">
        <v>6348</v>
      </c>
      <c r="O1147" s="48" t="n">
        <v>35328260</v>
      </c>
      <c r="P1147" s="48" t="n">
        <v>44512702</v>
      </c>
      <c r="Q1147" s="48" t="n">
        <v>3965</v>
      </c>
      <c r="R1147" s="48" t="n">
        <v>2262</v>
      </c>
      <c r="S1147" s="48" t="n">
        <v>45546743</v>
      </c>
      <c r="T1147" s="48" t="n">
        <v>36362301</v>
      </c>
      <c r="U1147" s="46" t="n">
        <f aca="false">IF($A1147=$A1146,$U1146+1,1)</f>
        <v>103</v>
      </c>
      <c r="V1147" s="48" t="n">
        <f aca="false">IF($U1147&gt;=MA_SHORT,AVERAGE(INDEX($I$747:$I1147,402-MA_SHORT):$I1147),"")</f>
        <v>5790.1</v>
      </c>
      <c r="W1147" s="48" t="n">
        <f aca="false">IF($U1147&gt;=MA_MED,AVERAGE(INDEX($I$747:$I1147,402-MA_MED):$I1147),"")</f>
        <v>5504.04</v>
      </c>
      <c r="X1147" s="48" t="n">
        <f aca="false">IF($U1147&gt;=MA_LONG1,AVERAGE(INDEX($I$747:$I1147,402-MA_LONG1):$I1147),"")</f>
        <v>5258.93</v>
      </c>
      <c r="Y1147" s="48" t="str">
        <f aca="false">IF($U1147&gt;=MA_LONG2,AVERAGE(INDEX($I$747:$I1147,402-MA_LONG2):$I1147),"")</f>
        <v/>
      </c>
      <c r="Z1147" s="48" t="n">
        <f aca="false">IF($U1147&gt;=MA_SHORT,AVERAGE(INDEX($L$1027:$L1147,122-MA_SHORT):$L1147),"")</f>
        <v>97256558.6</v>
      </c>
      <c r="AA1147" s="48" t="n">
        <f aca="false">IF($U1147=1,$G1147-$H1147,MAX($G1147-$H1147,ABS($G1147-$I1146),ABS($H1147-$I1146)))</f>
        <v>330</v>
      </c>
      <c r="AB1147" s="48" t="n">
        <f aca="false">IF($U1147&gt;=ATR_PER,AVERAGE(INDEX($AA$1027:$AA1147,122-ATR_PER):$AA1147),"")</f>
        <v>198.142857142857</v>
      </c>
      <c r="AC1147" s="48" t="n">
        <f aca="false">$O1147-$P1147</f>
        <v>-9184442</v>
      </c>
      <c r="AD1147" s="48" t="n">
        <f aca="false">$AC1147*$I1147</f>
        <v>-53205472506</v>
      </c>
      <c r="AE1147" s="49" t="n">
        <f aca="false">IF($Q1147&gt;0,$O1147*$I1147/$Q1147/1000000,"")</f>
        <v>51.6157907137453</v>
      </c>
      <c r="AF1147" s="49" t="n">
        <f aca="false">IF($R1147&gt;0,$P1147*$I1147/$R1147/1000000,"")</f>
        <v>113.997384034483</v>
      </c>
      <c r="AG1147" s="50" t="n">
        <f aca="false">IF(AND(ISNUMBER($AE1147),ISNUMBER($AF1147),$AF1147&gt;0),$AE1147/$AF1147,"")</f>
        <v>0.452780483963844</v>
      </c>
      <c r="AH1147" s="48" t="n">
        <f aca="false">IF($U1147&gt;=5,SUM(INDEX($AD$1117:$AD1147,32-5):$AD1147),"")</f>
        <v>-107649584911</v>
      </c>
      <c r="AI1147" s="48" t="n">
        <f aca="false">IF($U1147&gt;=STRUCT_S,MAX(INDEX($G$997:$G1147,152-STRUCT_S):$G1147),"")</f>
        <v>6133</v>
      </c>
      <c r="AJ1147" s="48" t="n">
        <f aca="false">IF($U1147&gt;=STRUCT_S,MIN(INDEX($H$997:$H1147,152-STRUCT_S):$H1147),"")</f>
        <v>5489</v>
      </c>
      <c r="AK1147" s="48" t="n">
        <f aca="false">IF($U1147&gt;=STRUCT_L,MAX(INDEX($G$897:$G1147,252-STRUCT_L):$G1147),"")</f>
        <v>6133</v>
      </c>
      <c r="AL1147" s="48" t="n">
        <f aca="false">IF($U1147&gt;=STRUCT_L,MIN(INDEX($H$897:$H1147,252-STRUCT_L):$H1147),"")</f>
        <v>4912</v>
      </c>
      <c r="AM1147" s="46" t="n">
        <f aca="false">IF($A1147&lt;&gt;$A1148,1,0)</f>
        <v>0</v>
      </c>
      <c r="AN1147" s="47" t="str">
        <f aca="false">IF($AM1147=1,$A1147,"")</f>
        <v/>
      </c>
    </row>
    <row r="1148" customFormat="false" ht="15" hidden="false" customHeight="false" outlineLevel="0" collapsed="false">
      <c r="A1148" s="43" t="s">
        <v>152</v>
      </c>
      <c r="B1148" s="44" t="s">
        <v>154</v>
      </c>
      <c r="C1148" s="45" t="n">
        <v>46049</v>
      </c>
      <c r="D1148" s="46" t="n">
        <v>20260127</v>
      </c>
      <c r="E1148" s="47" t="s">
        <v>391</v>
      </c>
      <c r="F1148" s="48" t="n">
        <v>5946</v>
      </c>
      <c r="G1148" s="48" t="n">
        <v>6014</v>
      </c>
      <c r="H1148" s="48" t="n">
        <v>5751</v>
      </c>
      <c r="I1148" s="48" t="n">
        <v>5970</v>
      </c>
      <c r="J1148" s="48" t="n">
        <v>5799</v>
      </c>
      <c r="K1148" s="48" t="n">
        <v>5793</v>
      </c>
      <c r="L1148" s="48" t="n">
        <v>91895399</v>
      </c>
      <c r="M1148" s="48" t="n">
        <v>548615532030</v>
      </c>
      <c r="N1148" s="48" t="n">
        <v>3650</v>
      </c>
      <c r="O1148" s="48" t="n">
        <v>46920536</v>
      </c>
      <c r="P1148" s="48" t="n">
        <v>48272688</v>
      </c>
      <c r="Q1148" s="48" t="n">
        <v>2323</v>
      </c>
      <c r="R1148" s="48" t="n">
        <v>974</v>
      </c>
      <c r="S1148" s="48" t="n">
        <v>44974863</v>
      </c>
      <c r="T1148" s="48" t="n">
        <v>43622711</v>
      </c>
      <c r="U1148" s="46" t="n">
        <f aca="false">IF($A1148=$A1147,$U1147+1,1)</f>
        <v>104</v>
      </c>
      <c r="V1148" s="48" t="n">
        <f aca="false">IF($U1148&gt;=MA_SHORT,AVERAGE(INDEX($I$748:$I1148,402-MA_SHORT):$I1148),"")</f>
        <v>5798.4</v>
      </c>
      <c r="W1148" s="48" t="n">
        <f aca="false">IF($U1148&gt;=MA_MED,AVERAGE(INDEX($I$748:$I1148,402-MA_MED):$I1148),"")</f>
        <v>5519.38</v>
      </c>
      <c r="X1148" s="48" t="n">
        <f aca="false">IF($U1148&gt;=MA_LONG1,AVERAGE(INDEX($I$748:$I1148,402-MA_LONG1):$I1148),"")</f>
        <v>5273.45</v>
      </c>
      <c r="Y1148" s="48" t="str">
        <f aca="false">IF($U1148&gt;=MA_LONG2,AVERAGE(INDEX($I$748:$I1148,402-MA_LONG2):$I1148),"")</f>
        <v/>
      </c>
      <c r="Z1148" s="48" t="n">
        <f aca="false">IF($U1148&gt;=MA_SHORT,AVERAGE(INDEX($L$1028:$L1148,122-MA_SHORT):$L1148),"")</f>
        <v>97367220.9</v>
      </c>
      <c r="AA1148" s="48" t="n">
        <f aca="false">IF($U1148=1,$G1148-$H1148,MAX($G1148-$H1148,ABS($G1148-$I1147),ABS($H1148-$I1147)))</f>
        <v>263</v>
      </c>
      <c r="AB1148" s="48" t="n">
        <f aca="false">IF($U1148&gt;=ATR_PER,AVERAGE(INDEX($AA$1028:$AA1148,122-ATR_PER):$AA1148),"")</f>
        <v>192.928571428571</v>
      </c>
      <c r="AC1148" s="48" t="n">
        <f aca="false">$O1148-$P1148</f>
        <v>-1352152</v>
      </c>
      <c r="AD1148" s="48" t="n">
        <f aca="false">$AC1148*$I1148</f>
        <v>-8072347440</v>
      </c>
      <c r="AE1148" s="49" t="n">
        <f aca="false">IF($Q1148&gt;0,$O1148*$I1148/$Q1148/1000000,"")</f>
        <v>120.583555712441</v>
      </c>
      <c r="AF1148" s="49" t="n">
        <f aca="false">IF($R1148&gt;0,$P1148*$I1148/$R1148/1000000,"")</f>
        <v>295.880849445585</v>
      </c>
      <c r="AG1148" s="50" t="n">
        <f aca="false">IF(AND(ISNUMBER($AE1148),ISNUMBER($AF1148),$AF1148&gt;0),$AE1148/$AF1148,"")</f>
        <v>0.407540927161685</v>
      </c>
      <c r="AH1148" s="48" t="n">
        <f aca="false">IF($U1148&gt;=5,SUM(INDEX($AD$1118:$AD1148,32-5):$AD1148),"")</f>
        <v>-108883184610</v>
      </c>
      <c r="AI1148" s="48" t="n">
        <f aca="false">IF($U1148&gt;=STRUCT_S,MAX(INDEX($G$998:$G1148,152-STRUCT_S):$G1148),"")</f>
        <v>6133</v>
      </c>
      <c r="AJ1148" s="48" t="n">
        <f aca="false">IF($U1148&gt;=STRUCT_S,MIN(INDEX($H$998:$H1148,152-STRUCT_S):$H1148),"")</f>
        <v>5489</v>
      </c>
      <c r="AK1148" s="48" t="n">
        <f aca="false">IF($U1148&gt;=STRUCT_L,MAX(INDEX($G$898:$G1148,252-STRUCT_L):$G1148),"")</f>
        <v>6133</v>
      </c>
      <c r="AL1148" s="48" t="n">
        <f aca="false">IF($U1148&gt;=STRUCT_L,MIN(INDEX($H$898:$H1148,252-STRUCT_L):$H1148),"")</f>
        <v>4912</v>
      </c>
      <c r="AM1148" s="46" t="n">
        <f aca="false">IF($A1148&lt;&gt;$A1149,1,0)</f>
        <v>0</v>
      </c>
      <c r="AN1148" s="47" t="str">
        <f aca="false">IF($AM1148=1,$A1148,"")</f>
        <v/>
      </c>
    </row>
    <row r="1149" customFormat="false" ht="15" hidden="false" customHeight="false" outlineLevel="0" collapsed="false">
      <c r="A1149" s="43" t="s">
        <v>152</v>
      </c>
      <c r="B1149" s="44" t="s">
        <v>154</v>
      </c>
      <c r="C1149" s="45" t="n">
        <v>46050</v>
      </c>
      <c r="D1149" s="46" t="n">
        <v>20260128</v>
      </c>
      <c r="E1149" s="47" t="s">
        <v>392</v>
      </c>
      <c r="F1149" s="48" t="n">
        <v>5868</v>
      </c>
      <c r="G1149" s="48" t="n">
        <v>6047</v>
      </c>
      <c r="H1149" s="48" t="n">
        <v>5758</v>
      </c>
      <c r="I1149" s="48" t="n">
        <v>5833</v>
      </c>
      <c r="J1149" s="48" t="n">
        <v>5859</v>
      </c>
      <c r="K1149" s="48" t="n">
        <v>5970</v>
      </c>
      <c r="L1149" s="48" t="n">
        <v>88351349</v>
      </c>
      <c r="M1149" s="48" t="n">
        <v>515353418717</v>
      </c>
      <c r="N1149" s="48" t="n">
        <v>2858</v>
      </c>
      <c r="O1149" s="48" t="n">
        <v>33887720</v>
      </c>
      <c r="P1149" s="48" t="n">
        <v>48147579</v>
      </c>
      <c r="Q1149" s="48" t="n">
        <v>1297</v>
      </c>
      <c r="R1149" s="48" t="n">
        <v>1221</v>
      </c>
      <c r="S1149" s="48" t="n">
        <v>54463629</v>
      </c>
      <c r="T1149" s="48" t="n">
        <v>40203770</v>
      </c>
      <c r="U1149" s="46" t="n">
        <f aca="false">IF($A1149=$A1148,$U1148+1,1)</f>
        <v>105</v>
      </c>
      <c r="V1149" s="48" t="n">
        <f aca="false">IF($U1149&gt;=MA_SHORT,AVERAGE(INDEX($I$749:$I1149,402-MA_SHORT):$I1149),"")</f>
        <v>5801.7</v>
      </c>
      <c r="W1149" s="48" t="n">
        <f aca="false">IF($U1149&gt;=MA_MED,AVERAGE(INDEX($I$749:$I1149,402-MA_MED):$I1149),"")</f>
        <v>5529.18</v>
      </c>
      <c r="X1149" s="48" t="n">
        <f aca="false">IF($U1149&gt;=MA_LONG1,AVERAGE(INDEX($I$749:$I1149,402-MA_LONG1):$I1149),"")</f>
        <v>5287.64</v>
      </c>
      <c r="Y1149" s="48" t="str">
        <f aca="false">IF($U1149&gt;=MA_LONG2,AVERAGE(INDEX($I$749:$I1149,402-MA_LONG2):$I1149),"")</f>
        <v/>
      </c>
      <c r="Z1149" s="48" t="n">
        <f aca="false">IF($U1149&gt;=MA_SHORT,AVERAGE(INDEX($L$1029:$L1149,122-MA_SHORT):$L1149),"")</f>
        <v>96966106.65</v>
      </c>
      <c r="AA1149" s="48" t="n">
        <f aca="false">IF($U1149=1,$G1149-$H1149,MAX($G1149-$H1149,ABS($G1149-$I1148),ABS($H1149-$I1148)))</f>
        <v>289</v>
      </c>
      <c r="AB1149" s="48" t="n">
        <f aca="false">IF($U1149&gt;=ATR_PER,AVERAGE(INDEX($AA$1029:$AA1149,122-ATR_PER):$AA1149),"")</f>
        <v>204.714285714286</v>
      </c>
      <c r="AC1149" s="48" t="n">
        <f aca="false">$O1149-$P1149</f>
        <v>-14259859</v>
      </c>
      <c r="AD1149" s="48" t="n">
        <f aca="false">$AC1149*$I1149</f>
        <v>-83177757547</v>
      </c>
      <c r="AE1149" s="49" t="n">
        <f aca="false">IF($Q1149&gt;0,$O1149*$I1149/$Q1149/1000000,"")</f>
        <v>152.403292798766</v>
      </c>
      <c r="AF1149" s="49" t="n">
        <f aca="false">IF($R1149&gt;0,$P1149*$I1149/$R1149/1000000,"")</f>
        <v>230.012144395577</v>
      </c>
      <c r="AG1149" s="50" t="n">
        <f aca="false">IF(AND(ISNUMBER($AE1149),ISNUMBER($AF1149),$AF1149&gt;0),$AE1149/$AF1149,"")</f>
        <v>0.66258802638117</v>
      </c>
      <c r="AH1149" s="48" t="n">
        <f aca="false">IF($U1149&gt;=5,SUM(INDEX($AD$1119:$AD1149,32-5):$AD1149),"")</f>
        <v>-160534185845</v>
      </c>
      <c r="AI1149" s="48" t="n">
        <f aca="false">IF($U1149&gt;=STRUCT_S,MAX(INDEX($G$999:$G1149,152-STRUCT_S):$G1149),"")</f>
        <v>6133</v>
      </c>
      <c r="AJ1149" s="48" t="n">
        <f aca="false">IF($U1149&gt;=STRUCT_S,MIN(INDEX($H$999:$H1149,152-STRUCT_S):$H1149),"")</f>
        <v>5489</v>
      </c>
      <c r="AK1149" s="48" t="n">
        <f aca="false">IF($U1149&gt;=STRUCT_L,MAX(INDEX($G$899:$G1149,252-STRUCT_L):$G1149),"")</f>
        <v>6133</v>
      </c>
      <c r="AL1149" s="48" t="n">
        <f aca="false">IF($U1149&gt;=STRUCT_L,MIN(INDEX($H$899:$H1149,252-STRUCT_L):$H1149),"")</f>
        <v>4912</v>
      </c>
      <c r="AM1149" s="46" t="n">
        <f aca="false">IF($A1149&lt;&gt;$A1150,1,0)</f>
        <v>0</v>
      </c>
      <c r="AN1149" s="47" t="str">
        <f aca="false">IF($AM1149=1,$A1149,"")</f>
        <v/>
      </c>
    </row>
    <row r="1150" customFormat="false" ht="15" hidden="false" customHeight="false" outlineLevel="0" collapsed="false">
      <c r="A1150" s="43" t="s">
        <v>152</v>
      </c>
      <c r="B1150" s="44" t="s">
        <v>154</v>
      </c>
      <c r="C1150" s="45" t="n">
        <v>46053</v>
      </c>
      <c r="D1150" s="46" t="n">
        <v>20260131</v>
      </c>
      <c r="E1150" s="47" t="s">
        <v>393</v>
      </c>
      <c r="F1150" s="48" t="n">
        <v>5764</v>
      </c>
      <c r="G1150" s="48" t="n">
        <v>5876</v>
      </c>
      <c r="H1150" s="48" t="n">
        <v>5760</v>
      </c>
      <c r="I1150" s="48" t="n">
        <v>5803</v>
      </c>
      <c r="J1150" s="48" t="n">
        <v>5860</v>
      </c>
      <c r="K1150" s="48" t="n">
        <v>5833</v>
      </c>
      <c r="L1150" s="48" t="n">
        <v>80055111</v>
      </c>
      <c r="M1150" s="48" t="n">
        <v>464559809133</v>
      </c>
      <c r="N1150" s="48" t="n">
        <v>4159</v>
      </c>
      <c r="O1150" s="48" t="n">
        <v>37853374</v>
      </c>
      <c r="P1150" s="48" t="n">
        <v>41044445</v>
      </c>
      <c r="Q1150" s="48" t="n">
        <v>1506</v>
      </c>
      <c r="R1150" s="48" t="n">
        <v>1985</v>
      </c>
      <c r="S1150" s="48" t="n">
        <v>42201737</v>
      </c>
      <c r="T1150" s="48" t="n">
        <v>39010666</v>
      </c>
      <c r="U1150" s="46" t="n">
        <f aca="false">IF($A1150=$A1149,$U1149+1,1)</f>
        <v>106</v>
      </c>
      <c r="V1150" s="48" t="n">
        <f aca="false">IF($U1150&gt;=MA_SHORT,AVERAGE(INDEX($I$750:$I1150,402-MA_SHORT):$I1150),"")</f>
        <v>5803.3</v>
      </c>
      <c r="W1150" s="48" t="n">
        <f aca="false">IF($U1150&gt;=MA_MED,AVERAGE(INDEX($I$750:$I1150,402-MA_MED):$I1150),"")</f>
        <v>5539.22</v>
      </c>
      <c r="X1150" s="48" t="n">
        <f aca="false">IF($U1150&gt;=MA_LONG1,AVERAGE(INDEX($I$750:$I1150,402-MA_LONG1):$I1150),"")</f>
        <v>5301.24</v>
      </c>
      <c r="Y1150" s="48" t="str">
        <f aca="false">IF($U1150&gt;=MA_LONG2,AVERAGE(INDEX($I$750:$I1150,402-MA_LONG2):$I1150),"")</f>
        <v/>
      </c>
      <c r="Z1150" s="48" t="n">
        <f aca="false">IF($U1150&gt;=MA_SHORT,AVERAGE(INDEX($L$1030:$L1150,122-MA_SHORT):$L1150),"")</f>
        <v>96996139.85</v>
      </c>
      <c r="AA1150" s="48" t="n">
        <f aca="false">IF($U1150=1,$G1150-$H1150,MAX($G1150-$H1150,ABS($G1150-$I1149),ABS($H1150-$I1149)))</f>
        <v>116</v>
      </c>
      <c r="AB1150" s="48" t="n">
        <f aca="false">IF($U1150&gt;=ATR_PER,AVERAGE(INDEX($AA$1030:$AA1150,122-ATR_PER):$AA1150),"")</f>
        <v>192.5</v>
      </c>
      <c r="AC1150" s="48" t="n">
        <f aca="false">$O1150-$P1150</f>
        <v>-3191071</v>
      </c>
      <c r="AD1150" s="48" t="n">
        <f aca="false">$AC1150*$I1150</f>
        <v>-18517785013</v>
      </c>
      <c r="AE1150" s="49" t="n">
        <f aca="false">IF($Q1150&gt;0,$O1150*$I1150/$Q1150/1000000,"")</f>
        <v>145.858651608234</v>
      </c>
      <c r="AF1150" s="49" t="n">
        <f aca="false">IF($R1150&gt;0,$P1150*$I1150/$R1150/1000000,"")</f>
        <v>119.990385055416</v>
      </c>
      <c r="AG1150" s="50" t="n">
        <f aca="false">IF(AND(ISNUMBER($AE1150),ISNUMBER($AF1150),$AF1150&gt;0),$AE1150/$AF1150,"")</f>
        <v>1.2155861616818</v>
      </c>
      <c r="AH1150" s="48" t="n">
        <f aca="false">IF($U1150&gt;=5,SUM(INDEX($AD$1120:$AD1150,32-5):$AD1150),"")</f>
        <v>-183936476351</v>
      </c>
      <c r="AI1150" s="48" t="n">
        <f aca="false">IF($U1150&gt;=STRUCT_S,MAX(INDEX($G$1000:$G1150,152-STRUCT_S):$G1150),"")</f>
        <v>6133</v>
      </c>
      <c r="AJ1150" s="48" t="n">
        <f aca="false">IF($U1150&gt;=STRUCT_S,MIN(INDEX($H$1000:$H1150,152-STRUCT_S):$H1150),"")</f>
        <v>5489</v>
      </c>
      <c r="AK1150" s="48" t="n">
        <f aca="false">IF($U1150&gt;=STRUCT_L,MAX(INDEX($G$900:$G1150,252-STRUCT_L):$G1150),"")</f>
        <v>6133</v>
      </c>
      <c r="AL1150" s="48" t="n">
        <f aca="false">IF($U1150&gt;=STRUCT_L,MIN(INDEX($H$900:$H1150,252-STRUCT_L):$H1150),"")</f>
        <v>4912</v>
      </c>
      <c r="AM1150" s="46" t="n">
        <f aca="false">IF($A1150&lt;&gt;$A1151,1,0)</f>
        <v>0</v>
      </c>
      <c r="AN1150" s="47" t="str">
        <f aca="false">IF($AM1150=1,$A1150,"")</f>
        <v/>
      </c>
    </row>
    <row r="1151" customFormat="false" ht="15" hidden="false" customHeight="false" outlineLevel="0" collapsed="false">
      <c r="A1151" s="43" t="s">
        <v>152</v>
      </c>
      <c r="B1151" s="44" t="s">
        <v>154</v>
      </c>
      <c r="C1151" s="45" t="n">
        <v>46054</v>
      </c>
      <c r="D1151" s="46" t="n">
        <v>20260201</v>
      </c>
      <c r="E1151" s="47" t="s">
        <v>394</v>
      </c>
      <c r="F1151" s="48" t="n">
        <v>5814</v>
      </c>
      <c r="G1151" s="48" t="n">
        <v>5917</v>
      </c>
      <c r="H1151" s="48" t="n">
        <v>5703</v>
      </c>
      <c r="I1151" s="48" t="n">
        <v>5817</v>
      </c>
      <c r="J1151" s="48" t="n">
        <v>5770</v>
      </c>
      <c r="K1151" s="48" t="n">
        <v>5803</v>
      </c>
      <c r="L1151" s="48" t="n">
        <v>78782780</v>
      </c>
      <c r="M1151" s="48" t="n">
        <v>458279431260</v>
      </c>
      <c r="N1151" s="48" t="n">
        <v>5779</v>
      </c>
      <c r="O1151" s="48" t="n">
        <v>37003016</v>
      </c>
      <c r="P1151" s="48" t="n">
        <v>38995156</v>
      </c>
      <c r="Q1151" s="48" t="n">
        <v>2414</v>
      </c>
      <c r="R1151" s="48" t="n">
        <v>2623</v>
      </c>
      <c r="S1151" s="48" t="n">
        <v>41779764</v>
      </c>
      <c r="T1151" s="48" t="n">
        <v>39787624</v>
      </c>
      <c r="U1151" s="46" t="n">
        <f aca="false">IF($A1151=$A1150,$U1150+1,1)</f>
        <v>107</v>
      </c>
      <c r="V1151" s="48" t="n">
        <f aca="false">IF($U1151&gt;=MA_SHORT,AVERAGE(INDEX($I$751:$I1151,402-MA_SHORT):$I1151),"")</f>
        <v>5799.65</v>
      </c>
      <c r="W1151" s="48" t="n">
        <f aca="false">IF($U1151&gt;=MA_MED,AVERAGE(INDEX($I$751:$I1151,402-MA_MED):$I1151),"")</f>
        <v>5549.1</v>
      </c>
      <c r="X1151" s="48" t="n">
        <f aca="false">IF($U1151&gt;=MA_LONG1,AVERAGE(INDEX($I$751:$I1151,402-MA_LONG1):$I1151),"")</f>
        <v>5313.8</v>
      </c>
      <c r="Y1151" s="48" t="str">
        <f aca="false">IF($U1151&gt;=MA_LONG2,AVERAGE(INDEX($I$751:$I1151,402-MA_LONG2):$I1151),"")</f>
        <v/>
      </c>
      <c r="Z1151" s="48" t="n">
        <f aca="false">IF($U1151&gt;=MA_SHORT,AVERAGE(INDEX($L$1031:$L1151,122-MA_SHORT):$L1151),"")</f>
        <v>96571941.9</v>
      </c>
      <c r="AA1151" s="48" t="n">
        <f aca="false">IF($U1151=1,$G1151-$H1151,MAX($G1151-$H1151,ABS($G1151-$I1150),ABS($H1151-$I1150)))</f>
        <v>214</v>
      </c>
      <c r="AB1151" s="48" t="n">
        <f aca="false">IF($U1151&gt;=ATR_PER,AVERAGE(INDEX($AA$1031:$AA1151,122-ATR_PER):$AA1151),"")</f>
        <v>191.714285714286</v>
      </c>
      <c r="AC1151" s="48" t="n">
        <f aca="false">$O1151-$P1151</f>
        <v>-1992140</v>
      </c>
      <c r="AD1151" s="48" t="n">
        <f aca="false">$AC1151*$I1151</f>
        <v>-11588278380</v>
      </c>
      <c r="AE1151" s="49" t="n">
        <f aca="false">IF($Q1151&gt;0,$O1151*$I1151/$Q1151/1000000,"")</f>
        <v>89.1659254647887</v>
      </c>
      <c r="AF1151" s="49" t="n">
        <f aca="false">IF($R1151&gt;0,$P1151*$I1151/$R1151/1000000,"")</f>
        <v>86.4791545756767</v>
      </c>
      <c r="AG1151" s="50" t="n">
        <f aca="false">IF(AND(ISNUMBER($AE1151),ISNUMBER($AF1151),$AF1151&gt;0),$AE1151/$AF1151,"")</f>
        <v>1.03106842223765</v>
      </c>
      <c r="AH1151" s="48" t="n">
        <f aca="false">IF($U1151&gt;=5,SUM(INDEX($AD$1121:$AD1151,32-5):$AD1151),"")</f>
        <v>-174561640886</v>
      </c>
      <c r="AI1151" s="48" t="n">
        <f aca="false">IF($U1151&gt;=STRUCT_S,MAX(INDEX($G$1001:$G1151,152-STRUCT_S):$G1151),"")</f>
        <v>6133</v>
      </c>
      <c r="AJ1151" s="48" t="n">
        <f aca="false">IF($U1151&gt;=STRUCT_S,MIN(INDEX($H$1001:$H1151,152-STRUCT_S):$H1151),"")</f>
        <v>5489</v>
      </c>
      <c r="AK1151" s="48" t="n">
        <f aca="false">IF($U1151&gt;=STRUCT_L,MAX(INDEX($G$901:$G1151,252-STRUCT_L):$G1151),"")</f>
        <v>6133</v>
      </c>
      <c r="AL1151" s="48" t="n">
        <f aca="false">IF($U1151&gt;=STRUCT_L,MIN(INDEX($H$901:$H1151,252-STRUCT_L):$H1151),"")</f>
        <v>4912</v>
      </c>
      <c r="AM1151" s="46" t="n">
        <f aca="false">IF($A1151&lt;&gt;$A1152,1,0)</f>
        <v>0</v>
      </c>
      <c r="AN1151" s="47" t="str">
        <f aca="false">IF($AM1151=1,$A1151,"")</f>
        <v/>
      </c>
    </row>
    <row r="1152" customFormat="false" ht="15" hidden="false" customHeight="false" outlineLevel="0" collapsed="false">
      <c r="A1152" s="43" t="s">
        <v>152</v>
      </c>
      <c r="B1152" s="44" t="s">
        <v>154</v>
      </c>
      <c r="C1152" s="45" t="n">
        <v>46055</v>
      </c>
      <c r="D1152" s="46" t="n">
        <v>20260202</v>
      </c>
      <c r="E1152" s="47" t="s">
        <v>395</v>
      </c>
      <c r="F1152" s="48" t="n">
        <v>5850</v>
      </c>
      <c r="G1152" s="48" t="n">
        <v>6044</v>
      </c>
      <c r="H1152" s="48" t="n">
        <v>5743</v>
      </c>
      <c r="I1152" s="48" t="n">
        <v>5968</v>
      </c>
      <c r="J1152" s="48" t="n">
        <v>5977</v>
      </c>
      <c r="K1152" s="48" t="n">
        <v>5817</v>
      </c>
      <c r="L1152" s="48" t="n">
        <v>106722696</v>
      </c>
      <c r="M1152" s="48" t="n">
        <v>636921049728</v>
      </c>
      <c r="N1152" s="48" t="n">
        <v>7613</v>
      </c>
      <c r="O1152" s="48" t="n">
        <v>52067368</v>
      </c>
      <c r="P1152" s="48" t="n">
        <v>56351549</v>
      </c>
      <c r="Q1152" s="48" t="n">
        <v>4009</v>
      </c>
      <c r="R1152" s="48" t="n">
        <v>2166</v>
      </c>
      <c r="S1152" s="48" t="n">
        <v>54655328</v>
      </c>
      <c r="T1152" s="48" t="n">
        <v>50371147</v>
      </c>
      <c r="U1152" s="46" t="n">
        <f aca="false">IF($A1152=$A1151,$U1151+1,1)</f>
        <v>108</v>
      </c>
      <c r="V1152" s="48" t="n">
        <f aca="false">IF($U1152&gt;=MA_SHORT,AVERAGE(INDEX($I$752:$I1152,402-MA_SHORT):$I1152),"")</f>
        <v>5798.8</v>
      </c>
      <c r="W1152" s="48" t="n">
        <f aca="false">IF($U1152&gt;=MA_MED,AVERAGE(INDEX($I$752:$I1152,402-MA_MED):$I1152),"")</f>
        <v>5563.14</v>
      </c>
      <c r="X1152" s="48" t="n">
        <f aca="false">IF($U1152&gt;=MA_LONG1,AVERAGE(INDEX($I$752:$I1152,402-MA_LONG1):$I1152),"")</f>
        <v>5327.32</v>
      </c>
      <c r="Y1152" s="48" t="str">
        <f aca="false">IF($U1152&gt;=MA_LONG2,AVERAGE(INDEX($I$752:$I1152,402-MA_LONG2):$I1152),"")</f>
        <v/>
      </c>
      <c r="Z1152" s="48" t="n">
        <f aca="false">IF($U1152&gt;=MA_SHORT,AVERAGE(INDEX($L$1032:$L1152,122-MA_SHORT):$L1152),"")</f>
        <v>96582485.45</v>
      </c>
      <c r="AA1152" s="48" t="n">
        <f aca="false">IF($U1152=1,$G1152-$H1152,MAX($G1152-$H1152,ABS($G1152-$I1151),ABS($H1152-$I1151)))</f>
        <v>301</v>
      </c>
      <c r="AB1152" s="48" t="n">
        <f aca="false">IF($U1152&gt;=ATR_PER,AVERAGE(INDEX($AA$1032:$AA1152,122-ATR_PER):$AA1152),"")</f>
        <v>202.214285714286</v>
      </c>
      <c r="AC1152" s="48" t="n">
        <f aca="false">$O1152-$P1152</f>
        <v>-4284181</v>
      </c>
      <c r="AD1152" s="48" t="n">
        <f aca="false">$AC1152*$I1152</f>
        <v>-25567992208</v>
      </c>
      <c r="AE1152" s="49" t="n">
        <f aca="false">IF($Q1152&gt;0,$O1152*$I1152/$Q1152/1000000,"")</f>
        <v>77.5101152965827</v>
      </c>
      <c r="AF1152" s="49" t="n">
        <f aca="false">IF($R1152&gt;0,$P1152*$I1152/$R1152/1000000,"")</f>
        <v>155.265948491228</v>
      </c>
      <c r="AG1152" s="50" t="n">
        <f aca="false">IF(AND(ISNUMBER($AE1152),ISNUMBER($AF1152),$AF1152&gt;0),$AE1152/$AF1152,"")</f>
        <v>0.499208719295987</v>
      </c>
      <c r="AH1152" s="48" t="n">
        <f aca="false">IF($U1152&gt;=5,SUM(INDEX($AD$1122:$AD1152,32-5):$AD1152),"")</f>
        <v>-146924160588</v>
      </c>
      <c r="AI1152" s="48" t="n">
        <f aca="false">IF($U1152&gt;=STRUCT_S,MAX(INDEX($G$1002:$G1152,152-STRUCT_S):$G1152),"")</f>
        <v>6133</v>
      </c>
      <c r="AJ1152" s="48" t="n">
        <f aca="false">IF($U1152&gt;=STRUCT_S,MIN(INDEX($H$1002:$H1152,152-STRUCT_S):$H1152),"")</f>
        <v>5489</v>
      </c>
      <c r="AK1152" s="48" t="n">
        <f aca="false">IF($U1152&gt;=STRUCT_L,MAX(INDEX($G$902:$G1152,252-STRUCT_L):$G1152),"")</f>
        <v>6133</v>
      </c>
      <c r="AL1152" s="48" t="n">
        <f aca="false">IF($U1152&gt;=STRUCT_L,MIN(INDEX($H$902:$H1152,252-STRUCT_L):$H1152),"")</f>
        <v>4912</v>
      </c>
      <c r="AM1152" s="46" t="n">
        <f aca="false">IF($A1152&lt;&gt;$A1153,1,0)</f>
        <v>0</v>
      </c>
      <c r="AN1152" s="47" t="str">
        <f aca="false">IF($AM1152=1,$A1152,"")</f>
        <v/>
      </c>
    </row>
    <row r="1153" customFormat="false" ht="15" hidden="false" customHeight="false" outlineLevel="0" collapsed="false">
      <c r="A1153" s="43" t="s">
        <v>152</v>
      </c>
      <c r="B1153" s="44" t="s">
        <v>154</v>
      </c>
      <c r="C1153" s="45" t="n">
        <v>46056</v>
      </c>
      <c r="D1153" s="46" t="n">
        <v>20260203</v>
      </c>
      <c r="E1153" s="47" t="s">
        <v>396</v>
      </c>
      <c r="F1153" s="48" t="n">
        <v>6088</v>
      </c>
      <c r="G1153" s="48" t="n">
        <v>6176</v>
      </c>
      <c r="H1153" s="48" t="n">
        <v>5894</v>
      </c>
      <c r="I1153" s="48" t="n">
        <v>6101</v>
      </c>
      <c r="J1153" s="48" t="n">
        <v>6138</v>
      </c>
      <c r="K1153" s="48" t="n">
        <v>5968</v>
      </c>
      <c r="L1153" s="48" t="n">
        <v>94931062</v>
      </c>
      <c r="M1153" s="48" t="n">
        <v>579174409262</v>
      </c>
      <c r="N1153" s="48" t="n">
        <v>2153</v>
      </c>
      <c r="O1153" s="48" t="n">
        <v>55960318</v>
      </c>
      <c r="P1153" s="48" t="n">
        <v>38192482</v>
      </c>
      <c r="Q1153" s="48" t="n">
        <v>914</v>
      </c>
      <c r="R1153" s="48" t="n">
        <v>821</v>
      </c>
      <c r="S1153" s="48" t="n">
        <v>38970744</v>
      </c>
      <c r="T1153" s="48" t="n">
        <v>56738580</v>
      </c>
      <c r="U1153" s="46" t="n">
        <f aca="false">IF($A1153=$A1152,$U1152+1,1)</f>
        <v>109</v>
      </c>
      <c r="V1153" s="48" t="n">
        <f aca="false">IF($U1153&gt;=MA_SHORT,AVERAGE(INDEX($I$753:$I1153,402-MA_SHORT):$I1153),"")</f>
        <v>5801.5</v>
      </c>
      <c r="W1153" s="48" t="n">
        <f aca="false">IF($U1153&gt;=MA_MED,AVERAGE(INDEX($I$753:$I1153,402-MA_MED):$I1153),"")</f>
        <v>5577.16</v>
      </c>
      <c r="X1153" s="48" t="n">
        <f aca="false">IF($U1153&gt;=MA_LONG1,AVERAGE(INDEX($I$753:$I1153,402-MA_LONG1):$I1153),"")</f>
        <v>5341.71</v>
      </c>
      <c r="Y1153" s="48" t="str">
        <f aca="false">IF($U1153&gt;=MA_LONG2,AVERAGE(INDEX($I$753:$I1153,402-MA_LONG2):$I1153),"")</f>
        <v/>
      </c>
      <c r="Z1153" s="48" t="n">
        <f aca="false">IF($U1153&gt;=MA_SHORT,AVERAGE(INDEX($L$1033:$L1153,122-MA_SHORT):$L1153),"")</f>
        <v>97204760.85</v>
      </c>
      <c r="AA1153" s="48" t="n">
        <f aca="false">IF($U1153=1,$G1153-$H1153,MAX($G1153-$H1153,ABS($G1153-$I1152),ABS($H1153-$I1152)))</f>
        <v>282</v>
      </c>
      <c r="AB1153" s="48" t="n">
        <f aca="false">IF($U1153&gt;=ATR_PER,AVERAGE(INDEX($AA$1033:$AA1153,122-ATR_PER):$AA1153),"")</f>
        <v>209</v>
      </c>
      <c r="AC1153" s="48" t="n">
        <f aca="false">$O1153-$P1153</f>
        <v>17767836</v>
      </c>
      <c r="AD1153" s="48" t="n">
        <f aca="false">$AC1153*$I1153</f>
        <v>108401567436</v>
      </c>
      <c r="AE1153" s="49" t="n">
        <f aca="false">IF($Q1153&gt;0,$O1153*$I1153/$Q1153/1000000,"")</f>
        <v>373.538183936543</v>
      </c>
      <c r="AF1153" s="49" t="n">
        <f aca="false">IF($R1153&gt;0,$P1153*$I1153/$R1153/1000000,"")</f>
        <v>283.815265142509</v>
      </c>
      <c r="AG1153" s="50" t="n">
        <f aca="false">IF(AND(ISNUMBER($AE1153),ISNUMBER($AF1153),$AF1153&gt;0),$AE1153/$AF1153,"")</f>
        <v>1.31613140593048</v>
      </c>
      <c r="AH1153" s="48" t="n">
        <f aca="false">IF($U1153&gt;=5,SUM(INDEX($AD$1123:$AD1153,32-5):$AD1153),"")</f>
        <v>-30450245712</v>
      </c>
      <c r="AI1153" s="48" t="n">
        <f aca="false">IF($U1153&gt;=STRUCT_S,MAX(INDEX($G$1003:$G1153,152-STRUCT_S):$G1153),"")</f>
        <v>6176</v>
      </c>
      <c r="AJ1153" s="48" t="n">
        <f aca="false">IF($U1153&gt;=STRUCT_S,MIN(INDEX($H$1003:$H1153,152-STRUCT_S):$H1153),"")</f>
        <v>5489</v>
      </c>
      <c r="AK1153" s="48" t="n">
        <f aca="false">IF($U1153&gt;=STRUCT_L,MAX(INDEX($G$903:$G1153,252-STRUCT_L):$G1153),"")</f>
        <v>6176</v>
      </c>
      <c r="AL1153" s="48" t="n">
        <f aca="false">IF($U1153&gt;=STRUCT_L,MIN(INDEX($H$903:$H1153,252-STRUCT_L):$H1153),"")</f>
        <v>4912</v>
      </c>
      <c r="AM1153" s="46" t="n">
        <f aca="false">IF($A1153&lt;&gt;$A1154,1,0)</f>
        <v>0</v>
      </c>
      <c r="AN1153" s="47" t="str">
        <f aca="false">IF($AM1153=1,$A1153,"")</f>
        <v/>
      </c>
    </row>
    <row r="1154" customFormat="false" ht="15" hidden="false" customHeight="false" outlineLevel="0" collapsed="false">
      <c r="A1154" s="43" t="s">
        <v>152</v>
      </c>
      <c r="B1154" s="44" t="s">
        <v>154</v>
      </c>
      <c r="C1154" s="45" t="n">
        <v>46057</v>
      </c>
      <c r="D1154" s="46" t="n">
        <v>20260204</v>
      </c>
      <c r="E1154" s="47" t="s">
        <v>397</v>
      </c>
      <c r="F1154" s="48" t="n">
        <v>6086</v>
      </c>
      <c r="G1154" s="48" t="n">
        <v>6217</v>
      </c>
      <c r="H1154" s="48" t="n">
        <v>6058</v>
      </c>
      <c r="I1154" s="48" t="n">
        <v>6174</v>
      </c>
      <c r="J1154" s="48" t="n">
        <v>6081</v>
      </c>
      <c r="K1154" s="48" t="n">
        <v>6101</v>
      </c>
      <c r="L1154" s="48" t="n">
        <v>104747585</v>
      </c>
      <c r="M1154" s="48" t="n">
        <v>646711589790</v>
      </c>
      <c r="N1154" s="48" t="n">
        <v>2750</v>
      </c>
      <c r="O1154" s="48" t="n">
        <v>51762612</v>
      </c>
      <c r="P1154" s="48" t="n">
        <v>56875140</v>
      </c>
      <c r="Q1154" s="48" t="n">
        <v>1602</v>
      </c>
      <c r="R1154" s="48" t="n">
        <v>1260</v>
      </c>
      <c r="S1154" s="48" t="n">
        <v>52984973</v>
      </c>
      <c r="T1154" s="48" t="n">
        <v>47872445</v>
      </c>
      <c r="U1154" s="46" t="n">
        <f aca="false">IF($A1154=$A1153,$U1153+1,1)</f>
        <v>110</v>
      </c>
      <c r="V1154" s="48" t="n">
        <f aca="false">IF($U1154&gt;=MA_SHORT,AVERAGE(INDEX($I$754:$I1154,402-MA_SHORT):$I1154),"")</f>
        <v>5818.95</v>
      </c>
      <c r="W1154" s="48" t="n">
        <f aca="false">IF($U1154&gt;=MA_MED,AVERAGE(INDEX($I$754:$I1154,402-MA_MED):$I1154),"")</f>
        <v>5595.02</v>
      </c>
      <c r="X1154" s="48" t="n">
        <f aca="false">IF($U1154&gt;=MA_LONG1,AVERAGE(INDEX($I$754:$I1154,402-MA_LONG1):$I1154),"")</f>
        <v>5355.87</v>
      </c>
      <c r="Y1154" s="48" t="str">
        <f aca="false">IF($U1154&gt;=MA_LONG2,AVERAGE(INDEX($I$754:$I1154,402-MA_LONG2):$I1154),"")</f>
        <v/>
      </c>
      <c r="Z1154" s="48" t="n">
        <f aca="false">IF($U1154&gt;=MA_SHORT,AVERAGE(INDEX($L$1034:$L1154,122-MA_SHORT):$L1154),"")</f>
        <v>94777264.4</v>
      </c>
      <c r="AA1154" s="48" t="n">
        <f aca="false">IF($U1154=1,$G1154-$H1154,MAX($G1154-$H1154,ABS($G1154-$I1153),ABS($H1154-$I1153)))</f>
        <v>159</v>
      </c>
      <c r="AB1154" s="48" t="n">
        <f aca="false">IF($U1154&gt;=ATR_PER,AVERAGE(INDEX($AA$1034:$AA1154,122-ATR_PER):$AA1154),"")</f>
        <v>208.785714285714</v>
      </c>
      <c r="AC1154" s="48" t="n">
        <f aca="false">$O1154-$P1154</f>
        <v>-5112528</v>
      </c>
      <c r="AD1154" s="48" t="n">
        <f aca="false">$AC1154*$I1154</f>
        <v>-31564747872</v>
      </c>
      <c r="AE1154" s="49" t="n">
        <f aca="false">IF($Q1154&gt;0,$O1154*$I1154/$Q1154/1000000,"")</f>
        <v>199.489617033708</v>
      </c>
      <c r="AF1154" s="49" t="n">
        <f aca="false">IF($R1154&gt;0,$P1154*$I1154/$R1154/1000000,"")</f>
        <v>278.688186</v>
      </c>
      <c r="AG1154" s="50" t="n">
        <f aca="false">IF(AND(ISNUMBER($AE1154),ISNUMBER($AF1154),$AF1154&gt;0),$AE1154/$AF1154,"")</f>
        <v>0.71581655432537</v>
      </c>
      <c r="AH1154" s="48" t="n">
        <f aca="false">IF($U1154&gt;=5,SUM(INDEX($AD$1124:$AD1154,32-5):$AD1154),"")</f>
        <v>21162763963</v>
      </c>
      <c r="AI1154" s="48" t="n">
        <f aca="false">IF($U1154&gt;=STRUCT_S,MAX(INDEX($G$1004:$G1154,152-STRUCT_S):$G1154),"")</f>
        <v>6217</v>
      </c>
      <c r="AJ1154" s="48" t="n">
        <f aca="false">IF($U1154&gt;=STRUCT_S,MIN(INDEX($H$1004:$H1154,152-STRUCT_S):$H1154),"")</f>
        <v>5489</v>
      </c>
      <c r="AK1154" s="48" t="n">
        <f aca="false">IF($U1154&gt;=STRUCT_L,MAX(INDEX($G$904:$G1154,252-STRUCT_L):$G1154),"")</f>
        <v>6217</v>
      </c>
      <c r="AL1154" s="48" t="n">
        <f aca="false">IF($U1154&gt;=STRUCT_L,MIN(INDEX($H$904:$H1154,252-STRUCT_L):$H1154),"")</f>
        <v>4912</v>
      </c>
      <c r="AM1154" s="46" t="n">
        <f aca="false">IF($A1154&lt;&gt;$A1155,1,0)</f>
        <v>0</v>
      </c>
      <c r="AN1154" s="47" t="str">
        <f aca="false">IF($AM1154=1,$A1154,"")</f>
        <v/>
      </c>
    </row>
    <row r="1155" customFormat="false" ht="15" hidden="false" customHeight="false" outlineLevel="0" collapsed="false">
      <c r="A1155" s="43" t="s">
        <v>152</v>
      </c>
      <c r="B1155" s="44" t="s">
        <v>154</v>
      </c>
      <c r="C1155" s="45" t="n">
        <v>46060</v>
      </c>
      <c r="D1155" s="46" t="n">
        <v>20260207</v>
      </c>
      <c r="E1155" s="47" t="s">
        <v>398</v>
      </c>
      <c r="F1155" s="48" t="n">
        <v>6136</v>
      </c>
      <c r="G1155" s="48" t="n">
        <v>6208</v>
      </c>
      <c r="H1155" s="48" t="n">
        <v>6089</v>
      </c>
      <c r="I1155" s="48" t="n">
        <v>6123</v>
      </c>
      <c r="J1155" s="48" t="n">
        <v>6134</v>
      </c>
      <c r="K1155" s="48" t="n">
        <v>6174</v>
      </c>
      <c r="L1155" s="48" t="n">
        <v>81507621</v>
      </c>
      <c r="M1155" s="48" t="n">
        <v>499071163383</v>
      </c>
      <c r="N1155" s="48" t="n">
        <v>1956</v>
      </c>
      <c r="O1155" s="48" t="n">
        <v>32507779</v>
      </c>
      <c r="P1155" s="48" t="n">
        <v>49593518</v>
      </c>
      <c r="Q1155" s="48" t="n">
        <v>819</v>
      </c>
      <c r="R1155" s="48" t="n">
        <v>781</v>
      </c>
      <c r="S1155" s="48" t="n">
        <v>48999842</v>
      </c>
      <c r="T1155" s="48" t="n">
        <v>31914103</v>
      </c>
      <c r="U1155" s="46" t="n">
        <f aca="false">IF($A1155=$A1154,$U1154+1,1)</f>
        <v>111</v>
      </c>
      <c r="V1155" s="48" t="n">
        <f aca="false">IF($U1155&gt;=MA_SHORT,AVERAGE(INDEX($I$755:$I1155,402-MA_SHORT):$I1155),"")</f>
        <v>5835.55</v>
      </c>
      <c r="W1155" s="48" t="n">
        <f aca="false">IF($U1155&gt;=MA_MED,AVERAGE(INDEX($I$755:$I1155,402-MA_MED):$I1155),"")</f>
        <v>5613.5</v>
      </c>
      <c r="X1155" s="48" t="n">
        <f aca="false">IF($U1155&gt;=MA_LONG1,AVERAGE(INDEX($I$755:$I1155,402-MA_LONG1):$I1155),"")</f>
        <v>5369.75</v>
      </c>
      <c r="Y1155" s="48" t="str">
        <f aca="false">IF($U1155&gt;=MA_LONG2,AVERAGE(INDEX($I$755:$I1155,402-MA_LONG2):$I1155),"")</f>
        <v/>
      </c>
      <c r="Z1155" s="48" t="n">
        <f aca="false">IF($U1155&gt;=MA_SHORT,AVERAGE(INDEX($L$1035:$L1155,122-MA_SHORT):$L1155),"")</f>
        <v>94833726.95</v>
      </c>
      <c r="AA1155" s="48" t="n">
        <f aca="false">IF($U1155=1,$G1155-$H1155,MAX($G1155-$H1155,ABS($G1155-$I1154),ABS($H1155-$I1154)))</f>
        <v>119</v>
      </c>
      <c r="AB1155" s="48" t="n">
        <f aca="false">IF($U1155&gt;=ATR_PER,AVERAGE(INDEX($AA$1035:$AA1155,122-ATR_PER):$AA1155),"")</f>
        <v>207.5</v>
      </c>
      <c r="AC1155" s="48" t="n">
        <f aca="false">$O1155-$P1155</f>
        <v>-17085739</v>
      </c>
      <c r="AD1155" s="48" t="n">
        <f aca="false">$AC1155*$I1155</f>
        <v>-104615979897</v>
      </c>
      <c r="AE1155" s="49" t="n">
        <f aca="false">IF($Q1155&gt;0,$O1155*$I1155/$Q1155/1000000,"")</f>
        <v>243.034347761905</v>
      </c>
      <c r="AF1155" s="49" t="n">
        <f aca="false">IF($R1155&gt;0,$P1155*$I1155/$R1155/1000000,"")</f>
        <v>388.810641119078</v>
      </c>
      <c r="AG1155" s="50" t="n">
        <f aca="false">IF(AND(ISNUMBER($AE1155),ISNUMBER($AF1155),$AF1155&gt;0),$AE1155/$AF1155,"")</f>
        <v>0.62507123535097</v>
      </c>
      <c r="AH1155" s="48" t="n">
        <f aca="false">IF($U1155&gt;=5,SUM(INDEX($AD$1125:$AD1155,32-5):$AD1155),"")</f>
        <v>-64935430921</v>
      </c>
      <c r="AI1155" s="48" t="n">
        <f aca="false">IF($U1155&gt;=STRUCT_S,MAX(INDEX($G$1005:$G1155,152-STRUCT_S):$G1155),"")</f>
        <v>6217</v>
      </c>
      <c r="AJ1155" s="48" t="n">
        <f aca="false">IF($U1155&gt;=STRUCT_S,MIN(INDEX($H$1005:$H1155,152-STRUCT_S):$H1155),"")</f>
        <v>5489</v>
      </c>
      <c r="AK1155" s="48" t="n">
        <f aca="false">IF($U1155&gt;=STRUCT_L,MAX(INDEX($G$905:$G1155,252-STRUCT_L):$G1155),"")</f>
        <v>6217</v>
      </c>
      <c r="AL1155" s="48" t="n">
        <f aca="false">IF($U1155&gt;=STRUCT_L,MIN(INDEX($H$905:$H1155,252-STRUCT_L):$H1155),"")</f>
        <v>4912</v>
      </c>
      <c r="AM1155" s="46" t="n">
        <f aca="false">IF($A1155&lt;&gt;$A1156,1,0)</f>
        <v>0</v>
      </c>
      <c r="AN1155" s="47" t="str">
        <f aca="false">IF($AM1155=1,$A1155,"")</f>
        <v/>
      </c>
    </row>
    <row r="1156" customFormat="false" ht="15" hidden="false" customHeight="false" outlineLevel="0" collapsed="false">
      <c r="A1156" s="43" t="s">
        <v>152</v>
      </c>
      <c r="B1156" s="44" t="s">
        <v>154</v>
      </c>
      <c r="C1156" s="45" t="n">
        <v>46061</v>
      </c>
      <c r="D1156" s="46" t="n">
        <v>20260208</v>
      </c>
      <c r="E1156" s="47" t="s">
        <v>399</v>
      </c>
      <c r="F1156" s="48" t="n">
        <v>5963</v>
      </c>
      <c r="G1156" s="48" t="n">
        <v>6161</v>
      </c>
      <c r="H1156" s="48" t="n">
        <v>5809</v>
      </c>
      <c r="I1156" s="48" t="n">
        <v>5845</v>
      </c>
      <c r="J1156" s="48" t="n">
        <v>6008</v>
      </c>
      <c r="K1156" s="48" t="n">
        <v>6123</v>
      </c>
      <c r="L1156" s="48" t="n">
        <v>98814069</v>
      </c>
      <c r="M1156" s="48" t="n">
        <v>577568233305</v>
      </c>
      <c r="N1156" s="48" t="n">
        <v>7821</v>
      </c>
      <c r="O1156" s="48" t="n">
        <v>28022267</v>
      </c>
      <c r="P1156" s="48" t="n">
        <v>70225214</v>
      </c>
      <c r="Q1156" s="48" t="n">
        <v>2385</v>
      </c>
      <c r="R1156" s="48" t="n">
        <v>2960</v>
      </c>
      <c r="S1156" s="48" t="n">
        <v>70791802</v>
      </c>
      <c r="T1156" s="48" t="n">
        <v>28588855</v>
      </c>
      <c r="U1156" s="46" t="n">
        <f aca="false">IF($A1156=$A1155,$U1155+1,1)</f>
        <v>112</v>
      </c>
      <c r="V1156" s="48" t="n">
        <f aca="false">IF($U1156&gt;=MA_SHORT,AVERAGE(INDEX($I$756:$I1156,402-MA_SHORT):$I1156),"")</f>
        <v>5849.1</v>
      </c>
      <c r="W1156" s="48" t="n">
        <f aca="false">IF($U1156&gt;=MA_MED,AVERAGE(INDEX($I$756:$I1156,402-MA_MED):$I1156),"")</f>
        <v>5623.96</v>
      </c>
      <c r="X1156" s="48" t="n">
        <f aca="false">IF($U1156&gt;=MA_LONG1,AVERAGE(INDEX($I$756:$I1156,402-MA_LONG1):$I1156),"")</f>
        <v>5379.67</v>
      </c>
      <c r="Y1156" s="48" t="str">
        <f aca="false">IF($U1156&gt;=MA_LONG2,AVERAGE(INDEX($I$756:$I1156,402-MA_LONG2):$I1156),"")</f>
        <v/>
      </c>
      <c r="Z1156" s="48" t="n">
        <f aca="false">IF($U1156&gt;=MA_SHORT,AVERAGE(INDEX($L$1036:$L1156,122-MA_SHORT):$L1156),"")</f>
        <v>94754874.15</v>
      </c>
      <c r="AA1156" s="48" t="n">
        <f aca="false">IF($U1156=1,$G1156-$H1156,MAX($G1156-$H1156,ABS($G1156-$I1155),ABS($H1156-$I1155)))</f>
        <v>352</v>
      </c>
      <c r="AB1156" s="48" t="n">
        <f aca="false">IF($U1156&gt;=ATR_PER,AVERAGE(INDEX($AA$1036:$AA1156,122-ATR_PER):$AA1156),"")</f>
        <v>227.571428571429</v>
      </c>
      <c r="AC1156" s="48" t="n">
        <f aca="false">$O1156-$P1156</f>
        <v>-42202947</v>
      </c>
      <c r="AD1156" s="48" t="n">
        <f aca="false">$AC1156*$I1156</f>
        <v>-246676225215</v>
      </c>
      <c r="AE1156" s="49" t="n">
        <f aca="false">IF($Q1156&gt;0,$O1156*$I1156/$Q1156/1000000,"")</f>
        <v>68.6751155618449</v>
      </c>
      <c r="AF1156" s="49" t="n">
        <f aca="false">IF($R1156&gt;0,$P1156*$I1156/$R1156/1000000,"")</f>
        <v>138.671072915541</v>
      </c>
      <c r="AG1156" s="50" t="n">
        <f aca="false">IF(AND(ISNUMBER($AE1156),ISNUMBER($AF1156),$AF1156&gt;0),$AE1156/$AF1156,"")</f>
        <v>0.495237500640616</v>
      </c>
      <c r="AH1156" s="48" t="n">
        <f aca="false">IF($U1156&gt;=5,SUM(INDEX($AD$1126:$AD1156,32-5):$AD1156),"")</f>
        <v>-300023377756</v>
      </c>
      <c r="AI1156" s="48" t="n">
        <f aca="false">IF($U1156&gt;=STRUCT_S,MAX(INDEX($G$1006:$G1156,152-STRUCT_S):$G1156),"")</f>
        <v>6217</v>
      </c>
      <c r="AJ1156" s="48" t="n">
        <f aca="false">IF($U1156&gt;=STRUCT_S,MIN(INDEX($H$1006:$H1156,152-STRUCT_S):$H1156),"")</f>
        <v>5489</v>
      </c>
      <c r="AK1156" s="48" t="n">
        <f aca="false">IF($U1156&gt;=STRUCT_L,MAX(INDEX($G$906:$G1156,252-STRUCT_L):$G1156),"")</f>
        <v>6217</v>
      </c>
      <c r="AL1156" s="48" t="n">
        <f aca="false">IF($U1156&gt;=STRUCT_L,MIN(INDEX($H$906:$H1156,252-STRUCT_L):$H1156),"")</f>
        <v>4912</v>
      </c>
      <c r="AM1156" s="46" t="n">
        <f aca="false">IF($A1156&lt;&gt;$A1157,1,0)</f>
        <v>0</v>
      </c>
      <c r="AN1156" s="47" t="str">
        <f aca="false">IF($AM1156=1,$A1156,"")</f>
        <v/>
      </c>
    </row>
    <row r="1157" customFormat="false" ht="15" hidden="false" customHeight="false" outlineLevel="0" collapsed="false">
      <c r="A1157" s="43" t="s">
        <v>152</v>
      </c>
      <c r="B1157" s="44" t="s">
        <v>154</v>
      </c>
      <c r="C1157" s="45" t="n">
        <v>46062</v>
      </c>
      <c r="D1157" s="46" t="n">
        <v>20260209</v>
      </c>
      <c r="E1157" s="47" t="s">
        <v>400</v>
      </c>
      <c r="F1157" s="48" t="n">
        <v>5733</v>
      </c>
      <c r="G1157" s="48" t="n">
        <v>5925</v>
      </c>
      <c r="H1157" s="48" t="n">
        <v>5709</v>
      </c>
      <c r="I1157" s="48" t="n">
        <v>5788</v>
      </c>
      <c r="J1157" s="48" t="n">
        <v>5717</v>
      </c>
      <c r="K1157" s="48" t="n">
        <v>5845</v>
      </c>
      <c r="L1157" s="48" t="n">
        <v>116769919</v>
      </c>
      <c r="M1157" s="48" t="n">
        <v>675864291172</v>
      </c>
      <c r="N1157" s="48" t="n">
        <v>4167</v>
      </c>
      <c r="O1157" s="48" t="n">
        <v>43338333</v>
      </c>
      <c r="P1157" s="48" t="n">
        <v>69260659</v>
      </c>
      <c r="Q1157" s="48" t="n">
        <v>1499</v>
      </c>
      <c r="R1157" s="48" t="n">
        <v>2259</v>
      </c>
      <c r="S1157" s="48" t="n">
        <v>73431586</v>
      </c>
      <c r="T1157" s="48" t="n">
        <v>47509260</v>
      </c>
      <c r="U1157" s="46" t="n">
        <f aca="false">IF($A1157=$A1156,$U1156+1,1)</f>
        <v>113</v>
      </c>
      <c r="V1157" s="48" t="n">
        <f aca="false">IF($U1157&gt;=MA_SHORT,AVERAGE(INDEX($I$757:$I1157,402-MA_SHORT):$I1157),"")</f>
        <v>5857.1</v>
      </c>
      <c r="W1157" s="48" t="n">
        <f aca="false">IF($U1157&gt;=MA_MED,AVERAGE(INDEX($I$757:$I1157,402-MA_MED):$I1157),"")</f>
        <v>5634.9</v>
      </c>
      <c r="X1157" s="48" t="n">
        <f aca="false">IF($U1157&gt;=MA_LONG1,AVERAGE(INDEX($I$757:$I1157,402-MA_LONG1):$I1157),"")</f>
        <v>5388.41</v>
      </c>
      <c r="Y1157" s="48" t="str">
        <f aca="false">IF($U1157&gt;=MA_LONG2,AVERAGE(INDEX($I$757:$I1157,402-MA_LONG2):$I1157),"")</f>
        <v/>
      </c>
      <c r="Z1157" s="48" t="n">
        <f aca="false">IF($U1157&gt;=MA_SHORT,AVERAGE(INDEX($L$1037:$L1157,122-MA_SHORT):$L1157),"")</f>
        <v>96484734.3</v>
      </c>
      <c r="AA1157" s="48" t="n">
        <f aca="false">IF($U1157=1,$G1157-$H1157,MAX($G1157-$H1157,ABS($G1157-$I1156),ABS($H1157-$I1156)))</f>
        <v>216</v>
      </c>
      <c r="AB1157" s="48" t="n">
        <f aca="false">IF($U1157&gt;=ATR_PER,AVERAGE(INDEX($AA$1037:$AA1157,122-ATR_PER):$AA1157),"")</f>
        <v>227.642857142857</v>
      </c>
      <c r="AC1157" s="48" t="n">
        <f aca="false">$O1157-$P1157</f>
        <v>-25922326</v>
      </c>
      <c r="AD1157" s="48" t="n">
        <f aca="false">$AC1157*$I1157</f>
        <v>-150038422888</v>
      </c>
      <c r="AE1157" s="49" t="n">
        <f aca="false">IF($Q1157&gt;0,$O1157*$I1157/$Q1157/1000000,"")</f>
        <v>167.339740763175</v>
      </c>
      <c r="AF1157" s="49" t="n">
        <f aca="false">IF($R1157&gt;0,$P1157*$I1157/$R1157/1000000,"")</f>
        <v>177.459360023019</v>
      </c>
      <c r="AG1157" s="50" t="n">
        <f aca="false">IF(AND(ISNUMBER($AE1157),ISNUMBER($AF1157),$AF1157&gt;0),$AE1157/$AF1157,"")</f>
        <v>0.942975004200788</v>
      </c>
      <c r="AH1157" s="48" t="n">
        <f aca="false">IF($U1157&gt;=5,SUM(INDEX($AD$1127:$AD1157,32-5):$AD1157),"")</f>
        <v>-424493808436</v>
      </c>
      <c r="AI1157" s="48" t="n">
        <f aca="false">IF($U1157&gt;=STRUCT_S,MAX(INDEX($G$1007:$G1157,152-STRUCT_S):$G1157),"")</f>
        <v>6217</v>
      </c>
      <c r="AJ1157" s="48" t="n">
        <f aca="false">IF($U1157&gt;=STRUCT_S,MIN(INDEX($H$1007:$H1157,152-STRUCT_S):$H1157),"")</f>
        <v>5604</v>
      </c>
      <c r="AK1157" s="48" t="n">
        <f aca="false">IF($U1157&gt;=STRUCT_L,MAX(INDEX($G$907:$G1157,252-STRUCT_L):$G1157),"")</f>
        <v>6217</v>
      </c>
      <c r="AL1157" s="48" t="n">
        <f aca="false">IF($U1157&gt;=STRUCT_L,MIN(INDEX($H$907:$H1157,252-STRUCT_L):$H1157),"")</f>
        <v>4912</v>
      </c>
      <c r="AM1157" s="46" t="n">
        <f aca="false">IF($A1157&lt;&gt;$A1158,1,0)</f>
        <v>0</v>
      </c>
      <c r="AN1157" s="47" t="str">
        <f aca="false">IF($AM1157=1,$A1157,"")</f>
        <v/>
      </c>
    </row>
    <row r="1158" customFormat="false" ht="15" hidden="false" customHeight="false" outlineLevel="0" collapsed="false">
      <c r="A1158" s="43" t="s">
        <v>152</v>
      </c>
      <c r="B1158" s="44" t="s">
        <v>154</v>
      </c>
      <c r="C1158" s="45" t="n">
        <v>46063</v>
      </c>
      <c r="D1158" s="46" t="n">
        <v>20260210</v>
      </c>
      <c r="E1158" s="47" t="s">
        <v>401</v>
      </c>
      <c r="F1158" s="48" t="n">
        <v>5852</v>
      </c>
      <c r="G1158" s="48" t="n">
        <v>5939</v>
      </c>
      <c r="H1158" s="48" t="n">
        <v>5755</v>
      </c>
      <c r="I1158" s="48" t="n">
        <v>5905</v>
      </c>
      <c r="J1158" s="48" t="n">
        <v>5773</v>
      </c>
      <c r="K1158" s="48" t="n">
        <v>5788</v>
      </c>
      <c r="L1158" s="48" t="n">
        <v>93320710</v>
      </c>
      <c r="M1158" s="48" t="n">
        <v>551058792550</v>
      </c>
      <c r="N1158" s="48" t="n">
        <v>5546</v>
      </c>
      <c r="O1158" s="48" t="n">
        <v>41559146</v>
      </c>
      <c r="P1158" s="48" t="n">
        <v>55873394</v>
      </c>
      <c r="Q1158" s="48" t="n">
        <v>2156</v>
      </c>
      <c r="R1158" s="48" t="n">
        <v>1745</v>
      </c>
      <c r="S1158" s="48" t="n">
        <v>51761564</v>
      </c>
      <c r="T1158" s="48" t="n">
        <v>37447316</v>
      </c>
      <c r="U1158" s="46" t="n">
        <f aca="false">IF($A1158=$A1157,$U1157+1,1)</f>
        <v>114</v>
      </c>
      <c r="V1158" s="48" t="n">
        <f aca="false">IF($U1158&gt;=MA_SHORT,AVERAGE(INDEX($I$758:$I1158,402-MA_SHORT):$I1158),"")</f>
        <v>5865.65</v>
      </c>
      <c r="W1158" s="48" t="n">
        <f aca="false">IF($U1158&gt;=MA_MED,AVERAGE(INDEX($I$758:$I1158,402-MA_MED):$I1158),"")</f>
        <v>5649.8</v>
      </c>
      <c r="X1158" s="48" t="n">
        <f aca="false">IF($U1158&gt;=MA_LONG1,AVERAGE(INDEX($I$758:$I1158,402-MA_LONG1):$I1158),"")</f>
        <v>5397.81</v>
      </c>
      <c r="Y1158" s="48" t="str">
        <f aca="false">IF($U1158&gt;=MA_LONG2,AVERAGE(INDEX($I$758:$I1158,402-MA_LONG2):$I1158),"")</f>
        <v/>
      </c>
      <c r="Z1158" s="48" t="n">
        <f aca="false">IF($U1158&gt;=MA_SHORT,AVERAGE(INDEX($L$1038:$L1158,122-MA_SHORT):$L1158),"")</f>
        <v>96829041.05</v>
      </c>
      <c r="AA1158" s="48" t="n">
        <f aca="false">IF($U1158=1,$G1158-$H1158,MAX($G1158-$H1158,ABS($G1158-$I1157),ABS($H1158-$I1157)))</f>
        <v>184</v>
      </c>
      <c r="AB1158" s="48" t="n">
        <f aca="false">IF($U1158&gt;=ATR_PER,AVERAGE(INDEX($AA$1038:$AA1158,122-ATR_PER):$AA1158),"")</f>
        <v>223.285714285714</v>
      </c>
      <c r="AC1158" s="48" t="n">
        <f aca="false">$O1158-$P1158</f>
        <v>-14314248</v>
      </c>
      <c r="AD1158" s="48" t="n">
        <f aca="false">$AC1158*$I1158</f>
        <v>-84525634440</v>
      </c>
      <c r="AE1158" s="49" t="n">
        <f aca="false">IF($Q1158&gt;0,$O1158*$I1158/$Q1158/1000000,"")</f>
        <v>113.825026498145</v>
      </c>
      <c r="AF1158" s="49" t="n">
        <f aca="false">IF($R1158&gt;0,$P1158*$I1158/$R1158/1000000,"")</f>
        <v>189.073003765043</v>
      </c>
      <c r="AG1158" s="50" t="n">
        <f aca="false">IF(AND(ISNUMBER($AE1158),ISNUMBER($AF1158),$AF1158&gt;0),$AE1158/$AF1158,"")</f>
        <v>0.602016280651005</v>
      </c>
      <c r="AH1158" s="48" t="n">
        <f aca="false">IF($U1158&gt;=5,SUM(INDEX($AD$1128:$AD1158,32-5):$AD1158),"")</f>
        <v>-617421010312</v>
      </c>
      <c r="AI1158" s="48" t="n">
        <f aca="false">IF($U1158&gt;=STRUCT_S,MAX(INDEX($G$1008:$G1158,152-STRUCT_S):$G1158),"")</f>
        <v>6217</v>
      </c>
      <c r="AJ1158" s="48" t="n">
        <f aca="false">IF($U1158&gt;=STRUCT_S,MIN(INDEX($H$1008:$H1158,152-STRUCT_S):$H1158),"")</f>
        <v>5614</v>
      </c>
      <c r="AK1158" s="48" t="n">
        <f aca="false">IF($U1158&gt;=STRUCT_L,MAX(INDEX($G$908:$G1158,252-STRUCT_L):$G1158),"")</f>
        <v>6217</v>
      </c>
      <c r="AL1158" s="48" t="n">
        <f aca="false">IF($U1158&gt;=STRUCT_L,MIN(INDEX($H$908:$H1158,252-STRUCT_L):$H1158),"")</f>
        <v>4912</v>
      </c>
      <c r="AM1158" s="46" t="n">
        <f aca="false">IF($A1158&lt;&gt;$A1159,1,0)</f>
        <v>0</v>
      </c>
      <c r="AN1158" s="47" t="str">
        <f aca="false">IF($AM1158=1,$A1158,"")</f>
        <v/>
      </c>
    </row>
    <row r="1159" customFormat="false" ht="15" hidden="false" customHeight="false" outlineLevel="0" collapsed="false">
      <c r="A1159" s="43" t="s">
        <v>152</v>
      </c>
      <c r="B1159" s="44" t="s">
        <v>154</v>
      </c>
      <c r="C1159" s="45" t="n">
        <v>46064</v>
      </c>
      <c r="D1159" s="46" t="n">
        <v>20260211</v>
      </c>
      <c r="E1159" s="47" t="s">
        <v>402</v>
      </c>
      <c r="F1159" s="48" t="n">
        <v>5984</v>
      </c>
      <c r="G1159" s="48" t="n">
        <v>6051</v>
      </c>
      <c r="H1159" s="48" t="n">
        <v>5674</v>
      </c>
      <c r="I1159" s="48" t="n">
        <v>5818</v>
      </c>
      <c r="J1159" s="48" t="n">
        <v>5953</v>
      </c>
      <c r="K1159" s="48" t="n">
        <v>5905</v>
      </c>
      <c r="L1159" s="48" t="n">
        <v>86158263</v>
      </c>
      <c r="M1159" s="48" t="n">
        <v>501268774134</v>
      </c>
      <c r="N1159" s="48" t="n">
        <v>2636</v>
      </c>
      <c r="O1159" s="48" t="n">
        <v>34936220</v>
      </c>
      <c r="P1159" s="48" t="n">
        <v>51304717</v>
      </c>
      <c r="Q1159" s="48" t="n">
        <v>852</v>
      </c>
      <c r="R1159" s="48" t="n">
        <v>1670</v>
      </c>
      <c r="S1159" s="48" t="n">
        <v>51222043</v>
      </c>
      <c r="T1159" s="48" t="n">
        <v>34853546</v>
      </c>
      <c r="U1159" s="46" t="n">
        <f aca="false">IF($A1159=$A1158,$U1158+1,1)</f>
        <v>115</v>
      </c>
      <c r="V1159" s="48" t="n">
        <f aca="false">IF($U1159&gt;=MA_SHORT,AVERAGE(INDEX($I$759:$I1159,402-MA_SHORT):$I1159),"")</f>
        <v>5870.2</v>
      </c>
      <c r="W1159" s="48" t="n">
        <f aca="false">IF($U1159&gt;=MA_MED,AVERAGE(INDEX($I$759:$I1159,402-MA_MED):$I1159),"")</f>
        <v>5663.16</v>
      </c>
      <c r="X1159" s="48" t="n">
        <f aca="false">IF($U1159&gt;=MA_LONG1,AVERAGE(INDEX($I$759:$I1159,402-MA_LONG1):$I1159),"")</f>
        <v>5406.52</v>
      </c>
      <c r="Y1159" s="48" t="str">
        <f aca="false">IF($U1159&gt;=MA_LONG2,AVERAGE(INDEX($I$759:$I1159,402-MA_LONG2):$I1159),"")</f>
        <v/>
      </c>
      <c r="Z1159" s="48" t="n">
        <f aca="false">IF($U1159&gt;=MA_SHORT,AVERAGE(INDEX($L$1039:$L1159,122-MA_SHORT):$L1159),"")</f>
        <v>96843094.45</v>
      </c>
      <c r="AA1159" s="48" t="n">
        <f aca="false">IF($U1159=1,$G1159-$H1159,MAX($G1159-$H1159,ABS($G1159-$I1158),ABS($H1159-$I1158)))</f>
        <v>377</v>
      </c>
      <c r="AB1159" s="48" t="n">
        <f aca="false">IF($U1159&gt;=ATR_PER,AVERAGE(INDEX($AA$1039:$AA1159,122-ATR_PER):$AA1159),"")</f>
        <v>242.857142857143</v>
      </c>
      <c r="AC1159" s="48" t="n">
        <f aca="false">$O1159-$P1159</f>
        <v>-16368497</v>
      </c>
      <c r="AD1159" s="48" t="n">
        <f aca="false">$AC1159*$I1159</f>
        <v>-95231915546</v>
      </c>
      <c r="AE1159" s="49" t="n">
        <f aca="false">IF($Q1159&gt;0,$O1159*$I1159/$Q1159/1000000,"")</f>
        <v>238.56681685446</v>
      </c>
      <c r="AF1159" s="49" t="n">
        <f aca="false">IF($R1159&gt;0,$P1159*$I1159/$R1159/1000000,"")</f>
        <v>178.737032039521</v>
      </c>
      <c r="AG1159" s="50" t="n">
        <f aca="false">IF(AND(ISNUMBER($AE1159),ISNUMBER($AF1159),$AF1159&gt;0),$AE1159/$AF1159,"")</f>
        <v>1.33473636734502</v>
      </c>
      <c r="AH1159" s="48" t="n">
        <f aca="false">IF($U1159&gt;=5,SUM(INDEX($AD$1129:$AD1159,32-5):$AD1159),"")</f>
        <v>-681088177986</v>
      </c>
      <c r="AI1159" s="48" t="n">
        <f aca="false">IF($U1159&gt;=STRUCT_S,MAX(INDEX($G$1009:$G1159,152-STRUCT_S):$G1159),"")</f>
        <v>6217</v>
      </c>
      <c r="AJ1159" s="48" t="n">
        <f aca="false">IF($U1159&gt;=STRUCT_S,MIN(INDEX($H$1009:$H1159,152-STRUCT_S):$H1159),"")</f>
        <v>5614</v>
      </c>
      <c r="AK1159" s="48" t="n">
        <f aca="false">IF($U1159&gt;=STRUCT_L,MAX(INDEX($G$909:$G1159,252-STRUCT_L):$G1159),"")</f>
        <v>6217</v>
      </c>
      <c r="AL1159" s="48" t="n">
        <f aca="false">IF($U1159&gt;=STRUCT_L,MIN(INDEX($H$909:$H1159,252-STRUCT_L):$H1159),"")</f>
        <v>4912</v>
      </c>
      <c r="AM1159" s="46" t="n">
        <f aca="false">IF($A1159&lt;&gt;$A1160,1,0)</f>
        <v>0</v>
      </c>
      <c r="AN1159" s="47" t="str">
        <f aca="false">IF($AM1159=1,$A1159,"")</f>
        <v/>
      </c>
    </row>
    <row r="1160" customFormat="false" ht="15" hidden="false" customHeight="false" outlineLevel="0" collapsed="false">
      <c r="A1160" s="43" t="s">
        <v>152</v>
      </c>
      <c r="B1160" s="44" t="s">
        <v>154</v>
      </c>
      <c r="C1160" s="45" t="n">
        <v>46067</v>
      </c>
      <c r="D1160" s="46" t="n">
        <v>20260214</v>
      </c>
      <c r="E1160" s="47" t="s">
        <v>403</v>
      </c>
      <c r="F1160" s="48" t="n">
        <v>5880</v>
      </c>
      <c r="G1160" s="48" t="n">
        <v>5885</v>
      </c>
      <c r="H1160" s="48" t="n">
        <v>5704</v>
      </c>
      <c r="I1160" s="48" t="n">
        <v>5771</v>
      </c>
      <c r="J1160" s="48" t="n">
        <v>5759</v>
      </c>
      <c r="K1160" s="48" t="n">
        <v>5818</v>
      </c>
      <c r="L1160" s="48" t="n">
        <v>81422786</v>
      </c>
      <c r="M1160" s="48" t="n">
        <v>469890898006</v>
      </c>
      <c r="N1160" s="48" t="n">
        <v>7935</v>
      </c>
      <c r="O1160" s="48" t="n">
        <v>35013104</v>
      </c>
      <c r="P1160" s="48" t="n">
        <v>51956883</v>
      </c>
      <c r="Q1160" s="48" t="n">
        <v>2135</v>
      </c>
      <c r="R1160" s="48" t="n">
        <v>3977</v>
      </c>
      <c r="S1160" s="48" t="n">
        <v>46409682</v>
      </c>
      <c r="T1160" s="48" t="n">
        <v>29465903</v>
      </c>
      <c r="U1160" s="46" t="n">
        <f aca="false">IF($A1160=$A1159,$U1159+1,1)</f>
        <v>116</v>
      </c>
      <c r="V1160" s="48" t="n">
        <f aca="false">IF($U1160&gt;=MA_SHORT,AVERAGE(INDEX($I$760:$I1160,402-MA_SHORT):$I1160),"")</f>
        <v>5870</v>
      </c>
      <c r="W1160" s="48" t="n">
        <f aca="false">IF($U1160&gt;=MA_MED,AVERAGE(INDEX($I$760:$I1160,402-MA_MED):$I1160),"")</f>
        <v>5677.52</v>
      </c>
      <c r="X1160" s="48" t="n">
        <f aca="false">IF($U1160&gt;=MA_LONG1,AVERAGE(INDEX($I$760:$I1160,402-MA_LONG1):$I1160),"")</f>
        <v>5414.59</v>
      </c>
      <c r="Y1160" s="48" t="str">
        <f aca="false">IF($U1160&gt;=MA_LONG2,AVERAGE(INDEX($I$760:$I1160,402-MA_LONG2):$I1160),"")</f>
        <v/>
      </c>
      <c r="Z1160" s="48" t="n">
        <f aca="false">IF($U1160&gt;=MA_SHORT,AVERAGE(INDEX($L$1040:$L1160,122-MA_SHORT):$L1160),"")</f>
        <v>96731517.9</v>
      </c>
      <c r="AA1160" s="48" t="n">
        <f aca="false">IF($U1160=1,$G1160-$H1160,MAX($G1160-$H1160,ABS($G1160-$I1159),ABS($H1160-$I1159)))</f>
        <v>181</v>
      </c>
      <c r="AB1160" s="48" t="n">
        <f aca="false">IF($U1160&gt;=ATR_PER,AVERAGE(INDEX($AA$1040:$AA1160,122-ATR_PER):$AA1160),"")</f>
        <v>241.642857142857</v>
      </c>
      <c r="AC1160" s="48" t="n">
        <f aca="false">$O1160-$P1160</f>
        <v>-16943779</v>
      </c>
      <c r="AD1160" s="48" t="n">
        <f aca="false">$AC1160*$I1160</f>
        <v>-97782548609</v>
      </c>
      <c r="AE1160" s="49" t="n">
        <f aca="false">IF($Q1160&gt;0,$O1160*$I1160/$Q1160/1000000,"")</f>
        <v>94.6419780721311</v>
      </c>
      <c r="AF1160" s="49" t="n">
        <f aca="false">IF($R1160&gt;0,$P1160*$I1160/$R1160/1000000,"")</f>
        <v>75.3943102320845</v>
      </c>
      <c r="AG1160" s="50" t="n">
        <f aca="false">IF(AND(ISNUMBER($AE1160),ISNUMBER($AF1160),$AF1160&gt;0),$AE1160/$AF1160,"")</f>
        <v>1.25529337400657</v>
      </c>
      <c r="AH1160" s="48" t="n">
        <f aca="false">IF($U1160&gt;=5,SUM(INDEX($AD$1130:$AD1160,32-5):$AD1160),"")</f>
        <v>-674254746698</v>
      </c>
      <c r="AI1160" s="48" t="n">
        <f aca="false">IF($U1160&gt;=STRUCT_S,MAX(INDEX($G$1010:$G1160,152-STRUCT_S):$G1160),"")</f>
        <v>6217</v>
      </c>
      <c r="AJ1160" s="48" t="n">
        <f aca="false">IF($U1160&gt;=STRUCT_S,MIN(INDEX($H$1010:$H1160,152-STRUCT_S):$H1160),"")</f>
        <v>5614</v>
      </c>
      <c r="AK1160" s="48" t="n">
        <f aca="false">IF($U1160&gt;=STRUCT_L,MAX(INDEX($G$910:$G1160,252-STRUCT_L):$G1160),"")</f>
        <v>6217</v>
      </c>
      <c r="AL1160" s="48" t="n">
        <f aca="false">IF($U1160&gt;=STRUCT_L,MIN(INDEX($H$910:$H1160,252-STRUCT_L):$H1160),"")</f>
        <v>4912</v>
      </c>
      <c r="AM1160" s="46" t="n">
        <f aca="false">IF($A1160&lt;&gt;$A1161,1,0)</f>
        <v>0</v>
      </c>
      <c r="AN1160" s="47" t="str">
        <f aca="false">IF($AM1160=1,$A1160,"")</f>
        <v/>
      </c>
    </row>
    <row r="1161" customFormat="false" ht="15" hidden="false" customHeight="false" outlineLevel="0" collapsed="false">
      <c r="A1161" s="43" t="s">
        <v>152</v>
      </c>
      <c r="B1161" s="44" t="s">
        <v>154</v>
      </c>
      <c r="C1161" s="45" t="n">
        <v>46068</v>
      </c>
      <c r="D1161" s="46" t="n">
        <v>20260215</v>
      </c>
      <c r="E1161" s="47" t="s">
        <v>404</v>
      </c>
      <c r="F1161" s="48" t="n">
        <v>5760</v>
      </c>
      <c r="G1161" s="48" t="n">
        <v>5842</v>
      </c>
      <c r="H1161" s="48" t="n">
        <v>5543</v>
      </c>
      <c r="I1161" s="48" t="n">
        <v>5612</v>
      </c>
      <c r="J1161" s="48" t="n">
        <v>5733</v>
      </c>
      <c r="K1161" s="48" t="n">
        <v>5771</v>
      </c>
      <c r="L1161" s="48" t="n">
        <v>139810970</v>
      </c>
      <c r="M1161" s="48" t="n">
        <v>784619163640</v>
      </c>
      <c r="N1161" s="48" t="n">
        <v>4360</v>
      </c>
      <c r="O1161" s="48" t="n">
        <v>43669231</v>
      </c>
      <c r="P1161" s="48" t="n">
        <v>91777975</v>
      </c>
      <c r="Q1161" s="48" t="n">
        <v>1580</v>
      </c>
      <c r="R1161" s="48" t="n">
        <v>2481</v>
      </c>
      <c r="S1161" s="48" t="n">
        <v>96141739</v>
      </c>
      <c r="T1161" s="48" t="n">
        <v>48032995</v>
      </c>
      <c r="U1161" s="46" t="n">
        <f aca="false">IF($A1161=$A1160,$U1160+1,1)</f>
        <v>117</v>
      </c>
      <c r="V1161" s="48" t="n">
        <f aca="false">IF($U1161&gt;=MA_SHORT,AVERAGE(INDEX($I$761:$I1161,402-MA_SHORT):$I1161),"")</f>
        <v>5860.8</v>
      </c>
      <c r="W1161" s="48" t="n">
        <f aca="false">IF($U1161&gt;=MA_MED,AVERAGE(INDEX($I$761:$I1161,402-MA_MED):$I1161),"")</f>
        <v>5687.94</v>
      </c>
      <c r="X1161" s="48" t="n">
        <f aca="false">IF($U1161&gt;=MA_LONG1,AVERAGE(INDEX($I$761:$I1161,402-MA_LONG1):$I1161),"")</f>
        <v>5420.12</v>
      </c>
      <c r="Y1161" s="48" t="str">
        <f aca="false">IF($U1161&gt;=MA_LONG2,AVERAGE(INDEX($I$761:$I1161,402-MA_LONG2):$I1161),"")</f>
        <v/>
      </c>
      <c r="Z1161" s="48" t="n">
        <f aca="false">IF($U1161&gt;=MA_SHORT,AVERAGE(INDEX($L$1041:$L1161,122-MA_SHORT):$L1161),"")</f>
        <v>99754415.35</v>
      </c>
      <c r="AA1161" s="48" t="n">
        <f aca="false">IF($U1161=1,$G1161-$H1161,MAX($G1161-$H1161,ABS($G1161-$I1160),ABS($H1161-$I1160)))</f>
        <v>299</v>
      </c>
      <c r="AB1161" s="48" t="n">
        <f aca="false">IF($U1161&gt;=ATR_PER,AVERAGE(INDEX($AA$1041:$AA1161,122-ATR_PER):$AA1161),"")</f>
        <v>239.428571428571</v>
      </c>
      <c r="AC1161" s="48" t="n">
        <f aca="false">$O1161-$P1161</f>
        <v>-48108744</v>
      </c>
      <c r="AD1161" s="48" t="n">
        <f aca="false">$AC1161*$I1161</f>
        <v>-269986271328</v>
      </c>
      <c r="AE1161" s="49" t="n">
        <f aca="false">IF($Q1161&gt;0,$O1161*$I1161/$Q1161/1000000,"")</f>
        <v>155.108686311392</v>
      </c>
      <c r="AF1161" s="49" t="n">
        <f aca="false">IF($R1161&gt;0,$P1161*$I1161/$R1161/1000000,"")</f>
        <v>207.600965618702</v>
      </c>
      <c r="AG1161" s="50" t="n">
        <f aca="false">IF(AND(ISNUMBER($AE1161),ISNUMBER($AF1161),$AF1161&gt;0),$AE1161/$AF1161,"")</f>
        <v>0.74714819292449</v>
      </c>
      <c r="AH1161" s="48" t="n">
        <f aca="false">IF($U1161&gt;=5,SUM(INDEX($AD$1131:$AD1161,32-5):$AD1161),"")</f>
        <v>-697564792811</v>
      </c>
      <c r="AI1161" s="48" t="n">
        <f aca="false">IF($U1161&gt;=STRUCT_S,MAX(INDEX($G$1011:$G1161,152-STRUCT_S):$G1161),"")</f>
        <v>6217</v>
      </c>
      <c r="AJ1161" s="48" t="n">
        <f aca="false">IF($U1161&gt;=STRUCT_S,MIN(INDEX($H$1011:$H1161,152-STRUCT_S):$H1161),"")</f>
        <v>5543</v>
      </c>
      <c r="AK1161" s="48" t="n">
        <f aca="false">IF($U1161&gt;=STRUCT_L,MAX(INDEX($G$911:$G1161,252-STRUCT_L):$G1161),"")</f>
        <v>6217</v>
      </c>
      <c r="AL1161" s="48" t="n">
        <f aca="false">IF($U1161&gt;=STRUCT_L,MIN(INDEX($H$911:$H1161,252-STRUCT_L):$H1161),"")</f>
        <v>4912</v>
      </c>
      <c r="AM1161" s="46" t="n">
        <f aca="false">IF($A1161&lt;&gt;$A1162,1,0)</f>
        <v>0</v>
      </c>
      <c r="AN1161" s="47" t="str">
        <f aca="false">IF($AM1161=1,$A1161,"")</f>
        <v/>
      </c>
    </row>
    <row r="1162" customFormat="false" ht="15" hidden="false" customHeight="false" outlineLevel="0" collapsed="false">
      <c r="A1162" s="43" t="s">
        <v>152</v>
      </c>
      <c r="B1162" s="44" t="s">
        <v>154</v>
      </c>
      <c r="C1162" s="45" t="n">
        <v>46069</v>
      </c>
      <c r="D1162" s="46" t="n">
        <v>20260216</v>
      </c>
      <c r="E1162" s="47" t="s">
        <v>405</v>
      </c>
      <c r="F1162" s="48" t="n">
        <v>5539</v>
      </c>
      <c r="G1162" s="48" t="n">
        <v>5748</v>
      </c>
      <c r="H1162" s="48" t="n">
        <v>5286</v>
      </c>
      <c r="I1162" s="48" t="n">
        <v>5418</v>
      </c>
      <c r="J1162" s="48" t="n">
        <v>5318</v>
      </c>
      <c r="K1162" s="48" t="n">
        <v>5612</v>
      </c>
      <c r="L1162" s="48" t="n">
        <v>93766040</v>
      </c>
      <c r="M1162" s="48" t="n">
        <v>508024404720</v>
      </c>
      <c r="N1162" s="48" t="n">
        <v>5483</v>
      </c>
      <c r="O1162" s="48" t="n">
        <v>21645597</v>
      </c>
      <c r="P1162" s="48" t="n">
        <v>69321397</v>
      </c>
      <c r="Q1162" s="48" t="n">
        <v>2311</v>
      </c>
      <c r="R1162" s="48" t="n">
        <v>2523</v>
      </c>
      <c r="S1162" s="48" t="n">
        <v>72120443</v>
      </c>
      <c r="T1162" s="48" t="n">
        <v>24444643</v>
      </c>
      <c r="U1162" s="46" t="n">
        <f aca="false">IF($A1162=$A1161,$U1161+1,1)</f>
        <v>118</v>
      </c>
      <c r="V1162" s="48" t="n">
        <f aca="false">IF($U1162&gt;=MA_SHORT,AVERAGE(INDEX($I$762:$I1162,402-MA_SHORT):$I1162),"")</f>
        <v>5841.65</v>
      </c>
      <c r="W1162" s="48" t="n">
        <f aca="false">IF($U1162&gt;=MA_MED,AVERAGE(INDEX($I$762:$I1162,402-MA_MED):$I1162),"")</f>
        <v>5694.32</v>
      </c>
      <c r="X1162" s="48" t="n">
        <f aca="false">IF($U1162&gt;=MA_LONG1,AVERAGE(INDEX($I$762:$I1162,402-MA_LONG1):$I1162),"")</f>
        <v>5423.67</v>
      </c>
      <c r="Y1162" s="48" t="str">
        <f aca="false">IF($U1162&gt;=MA_LONG2,AVERAGE(INDEX($I$762:$I1162,402-MA_LONG2):$I1162),"")</f>
        <v/>
      </c>
      <c r="Z1162" s="48" t="n">
        <f aca="false">IF($U1162&gt;=MA_SHORT,AVERAGE(INDEX($L$1042:$L1162,122-MA_SHORT):$L1162),"")</f>
        <v>100539686.85</v>
      </c>
      <c r="AA1162" s="48" t="n">
        <f aca="false">IF($U1162=1,$G1162-$H1162,MAX($G1162-$H1162,ABS($G1162-$I1161),ABS($H1162-$I1161)))</f>
        <v>462</v>
      </c>
      <c r="AB1162" s="48" t="n">
        <f aca="false">IF($U1162&gt;=ATR_PER,AVERAGE(INDEX($AA$1042:$AA1162,122-ATR_PER):$AA1162),"")</f>
        <v>253.642857142857</v>
      </c>
      <c r="AC1162" s="48" t="n">
        <f aca="false">$O1162-$P1162</f>
        <v>-47675800</v>
      </c>
      <c r="AD1162" s="48" t="n">
        <f aca="false">$AC1162*$I1162</f>
        <v>-258307484400</v>
      </c>
      <c r="AE1162" s="49" t="n">
        <f aca="false">IF($Q1162&gt;0,$O1162*$I1162/$Q1162/1000000,"")</f>
        <v>50.7467955629598</v>
      </c>
      <c r="AF1162" s="49" t="n">
        <f aca="false">IF($R1162&gt;0,$P1162*$I1162/$R1162/1000000,"")</f>
        <v>148.863784758621</v>
      </c>
      <c r="AG1162" s="50" t="n">
        <f aca="false">IF(AND(ISNUMBER($AE1162),ISNUMBER($AF1162),$AF1162&gt;0),$AE1162/$AF1162,"")</f>
        <v>0.34089416472411</v>
      </c>
      <c r="AH1162" s="48" t="n">
        <f aca="false">IF($U1162&gt;=5,SUM(INDEX($AD$1132:$AD1162,32-5):$AD1162),"")</f>
        <v>-805833854323</v>
      </c>
      <c r="AI1162" s="48" t="n">
        <f aca="false">IF($U1162&gt;=STRUCT_S,MAX(INDEX($G$1012:$G1162,152-STRUCT_S):$G1162),"")</f>
        <v>6217</v>
      </c>
      <c r="AJ1162" s="48" t="n">
        <f aca="false">IF($U1162&gt;=STRUCT_S,MIN(INDEX($H$1012:$H1162,152-STRUCT_S):$H1162),"")</f>
        <v>5286</v>
      </c>
      <c r="AK1162" s="48" t="n">
        <f aca="false">IF($U1162&gt;=STRUCT_L,MAX(INDEX($G$912:$G1162,252-STRUCT_L):$G1162),"")</f>
        <v>6217</v>
      </c>
      <c r="AL1162" s="48" t="n">
        <f aca="false">IF($U1162&gt;=STRUCT_L,MIN(INDEX($H$912:$H1162,252-STRUCT_L):$H1162),"")</f>
        <v>4912</v>
      </c>
      <c r="AM1162" s="46" t="n">
        <f aca="false">IF($A1162&lt;&gt;$A1163,1,0)</f>
        <v>0</v>
      </c>
      <c r="AN1162" s="47" t="str">
        <f aca="false">IF($AM1162=1,$A1162,"")</f>
        <v/>
      </c>
    </row>
    <row r="1163" customFormat="false" ht="15" hidden="false" customHeight="false" outlineLevel="0" collapsed="false">
      <c r="A1163" s="43" t="s">
        <v>152</v>
      </c>
      <c r="B1163" s="44" t="s">
        <v>154</v>
      </c>
      <c r="C1163" s="45" t="n">
        <v>46070</v>
      </c>
      <c r="D1163" s="46" t="n">
        <v>20260217</v>
      </c>
      <c r="E1163" s="47" t="s">
        <v>406</v>
      </c>
      <c r="F1163" s="48" t="n">
        <v>5483</v>
      </c>
      <c r="G1163" s="48" t="n">
        <v>5491</v>
      </c>
      <c r="H1163" s="48" t="n">
        <v>5343</v>
      </c>
      <c r="I1163" s="48" t="n">
        <v>5416</v>
      </c>
      <c r="J1163" s="48" t="n">
        <v>5445</v>
      </c>
      <c r="K1163" s="48" t="n">
        <v>5418</v>
      </c>
      <c r="L1163" s="48" t="n">
        <v>136579736</v>
      </c>
      <c r="M1163" s="48" t="n">
        <v>739715850176</v>
      </c>
      <c r="N1163" s="48" t="n">
        <v>3592</v>
      </c>
      <c r="O1163" s="48" t="n">
        <v>67183090</v>
      </c>
      <c r="P1163" s="48" t="n">
        <v>73926525</v>
      </c>
      <c r="Q1163" s="48" t="n">
        <v>1489</v>
      </c>
      <c r="R1163" s="48" t="n">
        <v>1999</v>
      </c>
      <c r="S1163" s="48" t="n">
        <v>69396646</v>
      </c>
      <c r="T1163" s="48" t="n">
        <v>62653211</v>
      </c>
      <c r="U1163" s="46" t="n">
        <f aca="false">IF($A1163=$A1162,$U1162+1,1)</f>
        <v>119</v>
      </c>
      <c r="V1163" s="48" t="n">
        <f aca="false">IF($U1163&gt;=MA_SHORT,AVERAGE(INDEX($I$763:$I1163,402-MA_SHORT):$I1163),"")</f>
        <v>5820.5</v>
      </c>
      <c r="W1163" s="48" t="n">
        <f aca="false">IF($U1163&gt;=MA_MED,AVERAGE(INDEX($I$763:$I1163,402-MA_MED):$I1163),"")</f>
        <v>5702.36</v>
      </c>
      <c r="X1163" s="48" t="n">
        <f aca="false">IF($U1163&gt;=MA_LONG1,AVERAGE(INDEX($I$763:$I1163,402-MA_LONG1):$I1163),"")</f>
        <v>5426.72</v>
      </c>
      <c r="Y1163" s="48" t="str">
        <f aca="false">IF($U1163&gt;=MA_LONG2,AVERAGE(INDEX($I$763:$I1163,402-MA_LONG2):$I1163),"")</f>
        <v/>
      </c>
      <c r="Z1163" s="48" t="n">
        <f aca="false">IF($U1163&gt;=MA_SHORT,AVERAGE(INDEX($L$1043:$L1163,122-MA_SHORT):$L1163),"")</f>
        <v>102325222.85</v>
      </c>
      <c r="AA1163" s="48" t="n">
        <f aca="false">IF($U1163=1,$G1163-$H1163,MAX($G1163-$H1163,ABS($G1163-$I1162),ABS($H1163-$I1162)))</f>
        <v>148</v>
      </c>
      <c r="AB1163" s="48" t="n">
        <f aca="false">IF($U1163&gt;=ATR_PER,AVERAGE(INDEX($AA$1043:$AA1163,122-ATR_PER):$AA1163),"")</f>
        <v>243.571428571429</v>
      </c>
      <c r="AC1163" s="48" t="n">
        <f aca="false">$O1163-$P1163</f>
        <v>-6743435</v>
      </c>
      <c r="AD1163" s="48" t="n">
        <f aca="false">$AC1163*$I1163</f>
        <v>-36522443960</v>
      </c>
      <c r="AE1163" s="49" t="n">
        <f aca="false">IF($Q1163&gt;0,$O1163*$I1163/$Q1163/1000000,"")</f>
        <v>244.367773969107</v>
      </c>
      <c r="AF1163" s="49" t="n">
        <f aca="false">IF($R1163&gt;0,$P1163*$I1163/$R1163/1000000,"")</f>
        <v>200.293176288144</v>
      </c>
      <c r="AG1163" s="50" t="n">
        <f aca="false">IF(AND(ISNUMBER($AE1163),ISNUMBER($AF1163),$AF1163&gt;0),$AE1163/$AF1163,"")</f>
        <v>1.22005042057727</v>
      </c>
      <c r="AH1163" s="48" t="n">
        <f aca="false">IF($U1163&gt;=5,SUM(INDEX($AD$1133:$AD1163,32-5):$AD1163),"")</f>
        <v>-757830663843</v>
      </c>
      <c r="AI1163" s="48" t="n">
        <f aca="false">IF($U1163&gt;=STRUCT_S,MAX(INDEX($G$1013:$G1163,152-STRUCT_S):$G1163),"")</f>
        <v>6217</v>
      </c>
      <c r="AJ1163" s="48" t="n">
        <f aca="false">IF($U1163&gt;=STRUCT_S,MIN(INDEX($H$1013:$H1163,152-STRUCT_S):$H1163),"")</f>
        <v>5286</v>
      </c>
      <c r="AK1163" s="48" t="n">
        <f aca="false">IF($U1163&gt;=STRUCT_L,MAX(INDEX($G$913:$G1163,252-STRUCT_L):$G1163),"")</f>
        <v>6217</v>
      </c>
      <c r="AL1163" s="48" t="n">
        <f aca="false">IF($U1163&gt;=STRUCT_L,MIN(INDEX($H$913:$H1163,252-STRUCT_L):$H1163),"")</f>
        <v>4912</v>
      </c>
      <c r="AM1163" s="46" t="n">
        <f aca="false">IF($A1163&lt;&gt;$A1164,1,0)</f>
        <v>0</v>
      </c>
      <c r="AN1163" s="47" t="str">
        <f aca="false">IF($AM1163=1,$A1163,"")</f>
        <v/>
      </c>
    </row>
    <row r="1164" customFormat="false" ht="15" hidden="false" customHeight="false" outlineLevel="0" collapsed="false">
      <c r="A1164" s="43" t="s">
        <v>152</v>
      </c>
      <c r="B1164" s="44" t="s">
        <v>154</v>
      </c>
      <c r="C1164" s="45" t="n">
        <v>46071</v>
      </c>
      <c r="D1164" s="46" t="n">
        <v>20260218</v>
      </c>
      <c r="E1164" s="47" t="s">
        <v>407</v>
      </c>
      <c r="F1164" s="48" t="n">
        <v>5284</v>
      </c>
      <c r="G1164" s="48" t="n">
        <v>5439</v>
      </c>
      <c r="H1164" s="48" t="n">
        <v>5262</v>
      </c>
      <c r="I1164" s="48" t="n">
        <v>5285</v>
      </c>
      <c r="J1164" s="48" t="n">
        <v>5304</v>
      </c>
      <c r="K1164" s="48" t="n">
        <v>5416</v>
      </c>
      <c r="L1164" s="48" t="n">
        <v>88928905</v>
      </c>
      <c r="M1164" s="48" t="n">
        <v>469989262925</v>
      </c>
      <c r="N1164" s="48" t="n">
        <v>2152</v>
      </c>
      <c r="O1164" s="48" t="n">
        <v>30142207</v>
      </c>
      <c r="P1164" s="48" t="n">
        <v>57290685</v>
      </c>
      <c r="Q1164" s="48" t="n">
        <v>735</v>
      </c>
      <c r="R1164" s="48" t="n">
        <v>1190</v>
      </c>
      <c r="S1164" s="48" t="n">
        <v>58786698</v>
      </c>
      <c r="T1164" s="48" t="n">
        <v>31638220</v>
      </c>
      <c r="U1164" s="46" t="n">
        <f aca="false">IF($A1164=$A1163,$U1163+1,1)</f>
        <v>120</v>
      </c>
      <c r="V1164" s="48" t="n">
        <f aca="false">IF($U1164&gt;=MA_SHORT,AVERAGE(INDEX($I$764:$I1164,402-MA_SHORT):$I1164),"")</f>
        <v>5799.1</v>
      </c>
      <c r="W1164" s="48" t="n">
        <f aca="false">IF($U1164&gt;=MA_MED,AVERAGE(INDEX($I$764:$I1164,402-MA_MED):$I1164),"")</f>
        <v>5706.12</v>
      </c>
      <c r="X1164" s="48" t="n">
        <f aca="false">IF($U1164&gt;=MA_LONG1,AVERAGE(INDEX($I$764:$I1164,402-MA_LONG1):$I1164),"")</f>
        <v>5427.47</v>
      </c>
      <c r="Y1164" s="48" t="str">
        <f aca="false">IF($U1164&gt;=MA_LONG2,AVERAGE(INDEX($I$764:$I1164,402-MA_LONG2):$I1164),"")</f>
        <v/>
      </c>
      <c r="Z1164" s="48" t="n">
        <f aca="false">IF($U1164&gt;=MA_SHORT,AVERAGE(INDEX($L$1044:$L1164,122-MA_SHORT):$L1164),"")</f>
        <v>102341929.55</v>
      </c>
      <c r="AA1164" s="48" t="n">
        <f aca="false">IF($U1164=1,$G1164-$H1164,MAX($G1164-$H1164,ABS($G1164-$I1163),ABS($H1164-$I1163)))</f>
        <v>177</v>
      </c>
      <c r="AB1164" s="48" t="n">
        <f aca="false">IF($U1164&gt;=ATR_PER,AVERAGE(INDEX($AA$1044:$AA1164,122-ATR_PER):$AA1164),"")</f>
        <v>247.928571428571</v>
      </c>
      <c r="AC1164" s="48" t="n">
        <f aca="false">$O1164-$P1164</f>
        <v>-27148478</v>
      </c>
      <c r="AD1164" s="48" t="n">
        <f aca="false">$AC1164*$I1164</f>
        <v>-143479706230</v>
      </c>
      <c r="AE1164" s="49" t="n">
        <f aca="false">IF($Q1164&gt;0,$O1164*$I1164/$Q1164/1000000,"")</f>
        <v>216.736821761905</v>
      </c>
      <c r="AF1164" s="49" t="n">
        <f aca="false">IF($R1164&gt;0,$P1164*$I1164/$R1164/1000000,"")</f>
        <v>254.438042205882</v>
      </c>
      <c r="AG1164" s="50" t="n">
        <f aca="false">IF(AND(ISNUMBER($AE1164),ISNUMBER($AF1164),$AF1164&gt;0),$AE1164/$AF1164,"")</f>
        <v>0.851825536318696</v>
      </c>
      <c r="AH1164" s="48" t="n">
        <f aca="false">IF($U1164&gt;=5,SUM(INDEX($AD$1134:$AD1164,32-5):$AD1164),"")</f>
        <v>-806078454527</v>
      </c>
      <c r="AI1164" s="48" t="n">
        <f aca="false">IF($U1164&gt;=STRUCT_S,MAX(INDEX($G$1014:$G1164,152-STRUCT_S):$G1164),"")</f>
        <v>6217</v>
      </c>
      <c r="AJ1164" s="48" t="n">
        <f aca="false">IF($U1164&gt;=STRUCT_S,MIN(INDEX($H$1014:$H1164,152-STRUCT_S):$H1164),"")</f>
        <v>5262</v>
      </c>
      <c r="AK1164" s="48" t="n">
        <f aca="false">IF($U1164&gt;=STRUCT_L,MAX(INDEX($G$914:$G1164,252-STRUCT_L):$G1164),"")</f>
        <v>6217</v>
      </c>
      <c r="AL1164" s="48" t="n">
        <f aca="false">IF($U1164&gt;=STRUCT_L,MIN(INDEX($H$914:$H1164,252-STRUCT_L):$H1164),"")</f>
        <v>4912</v>
      </c>
      <c r="AM1164" s="46" t="n">
        <f aca="false">IF($A1164&lt;&gt;$A1165,1,0)</f>
        <v>0</v>
      </c>
      <c r="AN1164" s="47" t="str">
        <f aca="false">IF($AM1164=1,$A1164,"")</f>
        <v/>
      </c>
    </row>
    <row r="1165" customFormat="false" ht="15" hidden="false" customHeight="false" outlineLevel="0" collapsed="false">
      <c r="A1165" s="43" t="s">
        <v>152</v>
      </c>
      <c r="B1165" s="44" t="s">
        <v>154</v>
      </c>
      <c r="C1165" s="45" t="n">
        <v>46074</v>
      </c>
      <c r="D1165" s="46" t="n">
        <v>20260221</v>
      </c>
      <c r="E1165" s="47" t="s">
        <v>408</v>
      </c>
      <c r="F1165" s="48" t="n">
        <v>5294</v>
      </c>
      <c r="G1165" s="48" t="n">
        <v>5333</v>
      </c>
      <c r="H1165" s="48" t="n">
        <v>5216</v>
      </c>
      <c r="I1165" s="48" t="n">
        <v>5264</v>
      </c>
      <c r="J1165" s="48" t="n">
        <v>5256</v>
      </c>
      <c r="K1165" s="48" t="n">
        <v>5285</v>
      </c>
      <c r="L1165" s="48" t="n">
        <v>79510115</v>
      </c>
      <c r="M1165" s="48" t="n">
        <v>418541245360</v>
      </c>
      <c r="N1165" s="48" t="n">
        <v>2526</v>
      </c>
      <c r="O1165" s="48" t="n">
        <v>33379082</v>
      </c>
      <c r="P1165" s="48" t="n">
        <v>48595922</v>
      </c>
      <c r="Q1165" s="48" t="n">
        <v>700</v>
      </c>
      <c r="R1165" s="48" t="n">
        <v>1120</v>
      </c>
      <c r="S1165" s="48" t="n">
        <v>46131033</v>
      </c>
      <c r="T1165" s="48" t="n">
        <v>30914193</v>
      </c>
      <c r="U1165" s="46" t="n">
        <f aca="false">IF($A1165=$A1164,$U1164+1,1)</f>
        <v>121</v>
      </c>
      <c r="V1165" s="48" t="n">
        <f aca="false">IF($U1165&gt;=MA_SHORT,AVERAGE(INDEX($I$765:$I1165,402-MA_SHORT):$I1165),"")</f>
        <v>5773.45</v>
      </c>
      <c r="W1165" s="48" t="n">
        <f aca="false">IF($U1165&gt;=MA_MED,AVERAGE(INDEX($I$765:$I1165,402-MA_MED):$I1165),"")</f>
        <v>5709.14</v>
      </c>
      <c r="X1165" s="48" t="n">
        <f aca="false">IF($U1165&gt;=MA_LONG1,AVERAGE(INDEX($I$765:$I1165,402-MA_LONG1):$I1165),"")</f>
        <v>5426.11</v>
      </c>
      <c r="Y1165" s="48" t="str">
        <f aca="false">IF($U1165&gt;=MA_LONG2,AVERAGE(INDEX($I$765:$I1165,402-MA_LONG2):$I1165),"")</f>
        <v/>
      </c>
      <c r="Z1165" s="48" t="n">
        <f aca="false">IF($U1165&gt;=MA_SHORT,AVERAGE(INDEX($L$1045:$L1165,122-MA_SHORT):$L1165),"")</f>
        <v>95555604.45</v>
      </c>
      <c r="AA1165" s="48" t="n">
        <f aca="false">IF($U1165=1,$G1165-$H1165,MAX($G1165-$H1165,ABS($G1165-$I1164),ABS($H1165-$I1164)))</f>
        <v>117</v>
      </c>
      <c r="AB1165" s="48" t="n">
        <f aca="false">IF($U1165&gt;=ATR_PER,AVERAGE(INDEX($AA$1045:$AA1165,122-ATR_PER):$AA1165),"")</f>
        <v>241</v>
      </c>
      <c r="AC1165" s="48" t="n">
        <f aca="false">$O1165-$P1165</f>
        <v>-15216840</v>
      </c>
      <c r="AD1165" s="48" t="n">
        <f aca="false">$AC1165*$I1165</f>
        <v>-80101445760</v>
      </c>
      <c r="AE1165" s="49" t="n">
        <f aca="false">IF($Q1165&gt;0,$O1165*$I1165/$Q1165/1000000,"")</f>
        <v>251.01069664</v>
      </c>
      <c r="AF1165" s="49" t="n">
        <f aca="false">IF($R1165&gt;0,$P1165*$I1165/$R1165/1000000,"")</f>
        <v>228.4008334</v>
      </c>
      <c r="AG1165" s="50" t="n">
        <f aca="false">IF(AND(ISNUMBER($AE1165),ISNUMBER($AF1165),$AF1165&gt;0),$AE1165/$AF1165,"")</f>
        <v>1.09899203476374</v>
      </c>
      <c r="AH1165" s="48" t="n">
        <f aca="false">IF($U1165&gt;=5,SUM(INDEX($AD$1135:$AD1165,32-5):$AD1165),"")</f>
        <v>-788397351678</v>
      </c>
      <c r="AI1165" s="48" t="n">
        <f aca="false">IF($U1165&gt;=STRUCT_S,MAX(INDEX($G$1015:$G1165,152-STRUCT_S):$G1165),"")</f>
        <v>6217</v>
      </c>
      <c r="AJ1165" s="48" t="n">
        <f aca="false">IF($U1165&gt;=STRUCT_S,MIN(INDEX($H$1015:$H1165,152-STRUCT_S):$H1165),"")</f>
        <v>5216</v>
      </c>
      <c r="AK1165" s="48" t="n">
        <f aca="false">IF($U1165&gt;=STRUCT_L,MAX(INDEX($G$915:$G1165,252-STRUCT_L):$G1165),"")</f>
        <v>6217</v>
      </c>
      <c r="AL1165" s="48" t="n">
        <f aca="false">IF($U1165&gt;=STRUCT_L,MIN(INDEX($H$915:$H1165,252-STRUCT_L):$H1165),"")</f>
        <v>4912</v>
      </c>
      <c r="AM1165" s="46" t="n">
        <f aca="false">IF($A1165&lt;&gt;$A1166,1,0)</f>
        <v>0</v>
      </c>
      <c r="AN1165" s="47" t="str">
        <f aca="false">IF($AM1165=1,$A1165,"")</f>
        <v/>
      </c>
    </row>
    <row r="1166" customFormat="false" ht="15" hidden="false" customHeight="false" outlineLevel="0" collapsed="false">
      <c r="A1166" s="43" t="s">
        <v>152</v>
      </c>
      <c r="B1166" s="44" t="s">
        <v>154</v>
      </c>
      <c r="C1166" s="45" t="n">
        <v>46075</v>
      </c>
      <c r="D1166" s="46" t="n">
        <v>20260222</v>
      </c>
      <c r="E1166" s="47" t="s">
        <v>409</v>
      </c>
      <c r="F1166" s="48" t="n">
        <v>5154</v>
      </c>
      <c r="G1166" s="48" t="n">
        <v>5326</v>
      </c>
      <c r="H1166" s="48" t="n">
        <v>5131</v>
      </c>
      <c r="I1166" s="48" t="n">
        <v>5192</v>
      </c>
      <c r="J1166" s="48" t="n">
        <v>5309</v>
      </c>
      <c r="K1166" s="48" t="n">
        <v>5264</v>
      </c>
      <c r="L1166" s="48" t="n">
        <v>84031853</v>
      </c>
      <c r="M1166" s="48" t="n">
        <v>436293380776</v>
      </c>
      <c r="N1166" s="48" t="n">
        <v>3960</v>
      </c>
      <c r="O1166" s="48" t="n">
        <v>29674897</v>
      </c>
      <c r="P1166" s="48" t="n">
        <v>49788454</v>
      </c>
      <c r="Q1166" s="48" t="n">
        <v>1263</v>
      </c>
      <c r="R1166" s="48" t="n">
        <v>2507</v>
      </c>
      <c r="S1166" s="48" t="n">
        <v>54356956</v>
      </c>
      <c r="T1166" s="48" t="n">
        <v>34243399</v>
      </c>
      <c r="U1166" s="46" t="n">
        <f aca="false">IF($A1166=$A1165,$U1165+1,1)</f>
        <v>122</v>
      </c>
      <c r="V1166" s="48" t="n">
        <f aca="false">IF($U1166&gt;=MA_SHORT,AVERAGE(INDEX($I$766:$I1166,402-MA_SHORT):$I1166),"")</f>
        <v>5744.8</v>
      </c>
      <c r="W1166" s="48" t="n">
        <f aca="false">IF($U1166&gt;=MA_MED,AVERAGE(INDEX($I$766:$I1166,402-MA_MED):$I1166),"")</f>
        <v>5708.68</v>
      </c>
      <c r="X1166" s="48" t="n">
        <f aca="false">IF($U1166&gt;=MA_LONG1,AVERAGE(INDEX($I$766:$I1166,402-MA_LONG1):$I1166),"")</f>
        <v>5424.74</v>
      </c>
      <c r="Y1166" s="48" t="str">
        <f aca="false">IF($U1166&gt;=MA_LONG2,AVERAGE(INDEX($I$766:$I1166,402-MA_LONG2):$I1166),"")</f>
        <v/>
      </c>
      <c r="Z1166" s="48" t="n">
        <f aca="false">IF($U1166&gt;=MA_SHORT,AVERAGE(INDEX($L$1046:$L1166,122-MA_SHORT):$L1166),"")</f>
        <v>95349098.6</v>
      </c>
      <c r="AA1166" s="48" t="n">
        <f aca="false">IF($U1166=1,$G1166-$H1166,MAX($G1166-$H1166,ABS($G1166-$I1165),ABS($H1166-$I1165)))</f>
        <v>195</v>
      </c>
      <c r="AB1166" s="48" t="n">
        <f aca="false">IF($U1166&gt;=ATR_PER,AVERAGE(INDEX($AA$1046:$AA1166,122-ATR_PER):$AA1166),"")</f>
        <v>233.428571428571</v>
      </c>
      <c r="AC1166" s="48" t="n">
        <f aca="false">$O1166-$P1166</f>
        <v>-20113557</v>
      </c>
      <c r="AD1166" s="48" t="n">
        <f aca="false">$AC1166*$I1166</f>
        <v>-104429587944</v>
      </c>
      <c r="AE1166" s="49" t="n">
        <f aca="false">IF($Q1166&gt;0,$O1166*$I1166/$Q1166/1000000,"")</f>
        <v>121.988966923199</v>
      </c>
      <c r="AF1166" s="49" t="n">
        <f aca="false">IF($R1166&gt;0,$P1166*$I1166/$R1166/1000000,"")</f>
        <v>103.111947813323</v>
      </c>
      <c r="AG1166" s="50" t="n">
        <f aca="false">IF(AND(ISNUMBER($AE1166),ISNUMBER($AF1166),$AF1166&gt;0),$AE1166/$AF1166,"")</f>
        <v>1.18307305322223</v>
      </c>
      <c r="AH1166" s="48" t="n">
        <f aca="false">IF($U1166&gt;=5,SUM(INDEX($AD$1136:$AD1166,32-5):$AD1166),"")</f>
        <v>-622840668294</v>
      </c>
      <c r="AI1166" s="48" t="n">
        <f aca="false">IF($U1166&gt;=STRUCT_S,MAX(INDEX($G$1016:$G1166,152-STRUCT_S):$G1166),"")</f>
        <v>6217</v>
      </c>
      <c r="AJ1166" s="48" t="n">
        <f aca="false">IF($U1166&gt;=STRUCT_S,MIN(INDEX($H$1016:$H1166,152-STRUCT_S):$H1166),"")</f>
        <v>5131</v>
      </c>
      <c r="AK1166" s="48" t="n">
        <f aca="false">IF($U1166&gt;=STRUCT_L,MAX(INDEX($G$916:$G1166,252-STRUCT_L):$G1166),"")</f>
        <v>6217</v>
      </c>
      <c r="AL1166" s="48" t="n">
        <f aca="false">IF($U1166&gt;=STRUCT_L,MIN(INDEX($H$916:$H1166,252-STRUCT_L):$H1166),"")</f>
        <v>4912</v>
      </c>
      <c r="AM1166" s="46" t="n">
        <f aca="false">IF($A1166&lt;&gt;$A1167,1,0)</f>
        <v>0</v>
      </c>
      <c r="AN1166" s="47" t="str">
        <f aca="false">IF($AM1166=1,$A1166,"")</f>
        <v/>
      </c>
    </row>
    <row r="1167" customFormat="false" ht="15" hidden="false" customHeight="false" outlineLevel="0" collapsed="false">
      <c r="A1167" s="43" t="s">
        <v>152</v>
      </c>
      <c r="B1167" s="44" t="s">
        <v>154</v>
      </c>
      <c r="C1167" s="45" t="n">
        <v>46076</v>
      </c>
      <c r="D1167" s="46" t="n">
        <v>20260223</v>
      </c>
      <c r="E1167" s="47" t="s">
        <v>410</v>
      </c>
      <c r="F1167" s="48" t="n">
        <v>5309</v>
      </c>
      <c r="G1167" s="48" t="n">
        <v>5370</v>
      </c>
      <c r="H1167" s="48" t="n">
        <v>5124</v>
      </c>
      <c r="I1167" s="48" t="n">
        <v>5300</v>
      </c>
      <c r="J1167" s="48" t="n">
        <v>5330</v>
      </c>
      <c r="K1167" s="48" t="n">
        <v>5192</v>
      </c>
      <c r="L1167" s="48" t="n">
        <v>124395163</v>
      </c>
      <c r="M1167" s="48" t="n">
        <v>659294363900</v>
      </c>
      <c r="N1167" s="48" t="n">
        <v>2949</v>
      </c>
      <c r="O1167" s="48" t="n">
        <v>56876129</v>
      </c>
      <c r="P1167" s="48" t="n">
        <v>65308370</v>
      </c>
      <c r="Q1167" s="48" t="n">
        <v>1147</v>
      </c>
      <c r="R1167" s="48" t="n">
        <v>1351</v>
      </c>
      <c r="S1167" s="48" t="n">
        <v>67519034</v>
      </c>
      <c r="T1167" s="48" t="n">
        <v>59086793</v>
      </c>
      <c r="U1167" s="46" t="n">
        <f aca="false">IF($A1167=$A1166,$U1166+1,1)</f>
        <v>123</v>
      </c>
      <c r="V1167" s="48" t="n">
        <f aca="false">IF($U1167&gt;=MA_SHORT,AVERAGE(INDEX($I$767:$I1167,402-MA_SHORT):$I1167),"")</f>
        <v>5720.15</v>
      </c>
      <c r="W1167" s="48" t="n">
        <f aca="false">IF($U1167&gt;=MA_MED,AVERAGE(INDEX($I$767:$I1167,402-MA_MED):$I1167),"")</f>
        <v>5706.14</v>
      </c>
      <c r="X1167" s="48" t="n">
        <f aca="false">IF($U1167&gt;=MA_LONG1,AVERAGE(INDEX($I$767:$I1167,402-MA_LONG1):$I1167),"")</f>
        <v>5425.93</v>
      </c>
      <c r="Y1167" s="48" t="str">
        <f aca="false">IF($U1167&gt;=MA_LONG2,AVERAGE(INDEX($I$767:$I1167,402-MA_LONG2):$I1167),"")</f>
        <v/>
      </c>
      <c r="Z1167" s="48" t="n">
        <f aca="false">IF($U1167&gt;=MA_SHORT,AVERAGE(INDEX($L$1047:$L1167,122-MA_SHORT):$L1167),"")</f>
        <v>97525106.6</v>
      </c>
      <c r="AA1167" s="48" t="n">
        <f aca="false">IF($U1167=1,$G1167-$H1167,MAX($G1167-$H1167,ABS($G1167-$I1166),ABS($H1167-$I1166)))</f>
        <v>246</v>
      </c>
      <c r="AB1167" s="48" t="n">
        <f aca="false">IF($U1167&gt;=ATR_PER,AVERAGE(INDEX($AA$1047:$AA1167,122-ATR_PER):$AA1167),"")</f>
        <v>230.857142857143</v>
      </c>
      <c r="AC1167" s="48" t="n">
        <f aca="false">$O1167-$P1167</f>
        <v>-8432241</v>
      </c>
      <c r="AD1167" s="48" t="n">
        <f aca="false">$AC1167*$I1167</f>
        <v>-44690877300</v>
      </c>
      <c r="AE1167" s="49" t="n">
        <f aca="false">IF($Q1167&gt;0,$O1167*$I1167/$Q1167/1000000,"")</f>
        <v>262.810360680035</v>
      </c>
      <c r="AF1167" s="49" t="n">
        <f aca="false">IF($R1167&gt;0,$P1167*$I1167/$R1167/1000000,"")</f>
        <v>256.206040710585</v>
      </c>
      <c r="AG1167" s="50" t="n">
        <f aca="false">IF(AND(ISNUMBER($AE1167),ISNUMBER($AF1167),$AF1167&gt;0),$AE1167/$AF1167,"")</f>
        <v>1.0257773780475</v>
      </c>
      <c r="AH1167" s="48" t="n">
        <f aca="false">IF($U1167&gt;=5,SUM(INDEX($AD$1137:$AD1167,32-5):$AD1167),"")</f>
        <v>-409224061194</v>
      </c>
      <c r="AI1167" s="48" t="n">
        <f aca="false">IF($U1167&gt;=STRUCT_S,MAX(INDEX($G$1017:$G1167,152-STRUCT_S):$G1167),"")</f>
        <v>6217</v>
      </c>
      <c r="AJ1167" s="48" t="n">
        <f aca="false">IF($U1167&gt;=STRUCT_S,MIN(INDEX($H$1017:$H1167,152-STRUCT_S):$H1167),"")</f>
        <v>5124</v>
      </c>
      <c r="AK1167" s="48" t="n">
        <f aca="false">IF($U1167&gt;=STRUCT_L,MAX(INDEX($G$917:$G1167,252-STRUCT_L):$G1167),"")</f>
        <v>6217</v>
      </c>
      <c r="AL1167" s="48" t="n">
        <f aca="false">IF($U1167&gt;=STRUCT_L,MIN(INDEX($H$917:$H1167,252-STRUCT_L):$H1167),"")</f>
        <v>4912</v>
      </c>
      <c r="AM1167" s="46" t="n">
        <f aca="false">IF($A1167&lt;&gt;$A1168,1,0)</f>
        <v>0</v>
      </c>
      <c r="AN1167" s="47" t="str">
        <f aca="false">IF($AM1167=1,$A1167,"")</f>
        <v/>
      </c>
    </row>
    <row r="1168" customFormat="false" ht="15" hidden="false" customHeight="false" outlineLevel="0" collapsed="false">
      <c r="A1168" s="43" t="s">
        <v>152</v>
      </c>
      <c r="B1168" s="44" t="s">
        <v>154</v>
      </c>
      <c r="C1168" s="45" t="n">
        <v>46077</v>
      </c>
      <c r="D1168" s="46" t="n">
        <v>20260224</v>
      </c>
      <c r="E1168" s="47" t="s">
        <v>411</v>
      </c>
      <c r="F1168" s="48" t="n">
        <v>5276</v>
      </c>
      <c r="G1168" s="48" t="n">
        <v>5409</v>
      </c>
      <c r="H1168" s="48" t="n">
        <v>5267</v>
      </c>
      <c r="I1168" s="48" t="n">
        <v>5376</v>
      </c>
      <c r="J1168" s="48" t="n">
        <v>5383</v>
      </c>
      <c r="K1168" s="48" t="n">
        <v>5300</v>
      </c>
      <c r="L1168" s="48" t="n">
        <v>109696298</v>
      </c>
      <c r="M1168" s="48" t="n">
        <v>589727298048</v>
      </c>
      <c r="N1168" s="48" t="n">
        <v>6238</v>
      </c>
      <c r="O1168" s="48" t="n">
        <v>51180070</v>
      </c>
      <c r="P1168" s="48" t="n">
        <v>53303609</v>
      </c>
      <c r="Q1168" s="48" t="n">
        <v>3246</v>
      </c>
      <c r="R1168" s="48" t="n">
        <v>2876</v>
      </c>
      <c r="S1168" s="48" t="n">
        <v>58516228</v>
      </c>
      <c r="T1168" s="48" t="n">
        <v>56392689</v>
      </c>
      <c r="U1168" s="46" t="n">
        <f aca="false">IF($A1168=$A1167,$U1167+1,1)</f>
        <v>124</v>
      </c>
      <c r="V1168" s="48" t="n">
        <f aca="false">IF($U1168&gt;=MA_SHORT,AVERAGE(INDEX($I$768:$I1168,402-MA_SHORT):$I1168),"")</f>
        <v>5690.45</v>
      </c>
      <c r="W1168" s="48" t="n">
        <f aca="false">IF($U1168&gt;=MA_MED,AVERAGE(INDEX($I$768:$I1168,402-MA_MED):$I1168),"")</f>
        <v>5703.14</v>
      </c>
      <c r="X1168" s="48" t="n">
        <f aca="false">IF($U1168&gt;=MA_LONG1,AVERAGE(INDEX($I$768:$I1168,402-MA_LONG1):$I1168),"")</f>
        <v>5429.01</v>
      </c>
      <c r="Y1168" s="48" t="str">
        <f aca="false">IF($U1168&gt;=MA_LONG2,AVERAGE(INDEX($I$768:$I1168,402-MA_LONG2):$I1168),"")</f>
        <v/>
      </c>
      <c r="Z1168" s="48" t="n">
        <f aca="false">IF($U1168&gt;=MA_SHORT,AVERAGE(INDEX($L$1048:$L1168,122-MA_SHORT):$L1168),"")</f>
        <v>98415151.55</v>
      </c>
      <c r="AA1168" s="48" t="n">
        <f aca="false">IF($U1168=1,$G1168-$H1168,MAX($G1168-$H1168,ABS($G1168-$I1167),ABS($H1168-$I1167)))</f>
        <v>142</v>
      </c>
      <c r="AB1168" s="48" t="n">
        <f aca="false">IF($U1168&gt;=ATR_PER,AVERAGE(INDEX($AA$1048:$AA1168,122-ATR_PER):$AA1168),"")</f>
        <v>229.642857142857</v>
      </c>
      <c r="AC1168" s="48" t="n">
        <f aca="false">$O1168-$P1168</f>
        <v>-2123539</v>
      </c>
      <c r="AD1168" s="48" t="n">
        <f aca="false">$AC1168*$I1168</f>
        <v>-11416145664</v>
      </c>
      <c r="AE1168" s="49" t="n">
        <f aca="false">IF($Q1168&gt;0,$O1168*$I1168/$Q1168/1000000,"")</f>
        <v>84.7640346025878</v>
      </c>
      <c r="AF1168" s="49" t="n">
        <f aca="false">IF($R1168&gt;0,$P1168*$I1168/$R1168/1000000,"")</f>
        <v>99.6384568789986</v>
      </c>
      <c r="AG1168" s="50" t="n">
        <f aca="false">IF(AND(ISNUMBER($AE1168),ISNUMBER($AF1168),$AF1168&gt;0),$AE1168/$AF1168,"")</f>
        <v>0.850716051388929</v>
      </c>
      <c r="AH1168" s="48" t="n">
        <f aca="false">IF($U1168&gt;=5,SUM(INDEX($AD$1138:$AD1168,32-5):$AD1168),"")</f>
        <v>-384117762898</v>
      </c>
      <c r="AI1168" s="48" t="n">
        <f aca="false">IF($U1168&gt;=STRUCT_S,MAX(INDEX($G$1018:$G1168,152-STRUCT_S):$G1168),"")</f>
        <v>6217</v>
      </c>
      <c r="AJ1168" s="48" t="n">
        <f aca="false">IF($U1168&gt;=STRUCT_S,MIN(INDEX($H$1018:$H1168,152-STRUCT_S):$H1168),"")</f>
        <v>5124</v>
      </c>
      <c r="AK1168" s="48" t="n">
        <f aca="false">IF($U1168&gt;=STRUCT_L,MAX(INDEX($G$918:$G1168,252-STRUCT_L):$G1168),"")</f>
        <v>6217</v>
      </c>
      <c r="AL1168" s="48" t="n">
        <f aca="false">IF($U1168&gt;=STRUCT_L,MIN(INDEX($H$918:$H1168,252-STRUCT_L):$H1168),"")</f>
        <v>4912</v>
      </c>
      <c r="AM1168" s="46" t="n">
        <f aca="false">IF($A1168&lt;&gt;$A1169,1,0)</f>
        <v>0</v>
      </c>
      <c r="AN1168" s="47" t="str">
        <f aca="false">IF($AM1168=1,$A1168,"")</f>
        <v/>
      </c>
    </row>
    <row r="1169" customFormat="false" ht="15" hidden="false" customHeight="false" outlineLevel="0" collapsed="false">
      <c r="A1169" s="43" t="s">
        <v>152</v>
      </c>
      <c r="B1169" s="44" t="s">
        <v>154</v>
      </c>
      <c r="C1169" s="45" t="n">
        <v>46078</v>
      </c>
      <c r="D1169" s="46" t="n">
        <v>20260225</v>
      </c>
      <c r="E1169" s="47" t="s">
        <v>412</v>
      </c>
      <c r="F1169" s="48" t="n">
        <v>5372</v>
      </c>
      <c r="G1169" s="48" t="n">
        <v>5484</v>
      </c>
      <c r="H1169" s="48" t="n">
        <v>5255</v>
      </c>
      <c r="I1169" s="48" t="n">
        <v>5363</v>
      </c>
      <c r="J1169" s="48" t="n">
        <v>5275</v>
      </c>
      <c r="K1169" s="48" t="n">
        <v>5376</v>
      </c>
      <c r="L1169" s="48" t="n">
        <v>78785394</v>
      </c>
      <c r="M1169" s="48" t="n">
        <v>422526068022</v>
      </c>
      <c r="N1169" s="48" t="n">
        <v>1811</v>
      </c>
      <c r="O1169" s="48" t="n">
        <v>38259982</v>
      </c>
      <c r="P1169" s="48" t="n">
        <v>40720195</v>
      </c>
      <c r="Q1169" s="48" t="n">
        <v>818</v>
      </c>
      <c r="R1169" s="48" t="n">
        <v>980</v>
      </c>
      <c r="S1169" s="48" t="n">
        <v>40525412</v>
      </c>
      <c r="T1169" s="48" t="n">
        <v>38065199</v>
      </c>
      <c r="U1169" s="46" t="n">
        <f aca="false">IF($A1169=$A1168,$U1168+1,1)</f>
        <v>125</v>
      </c>
      <c r="V1169" s="48" t="n">
        <f aca="false">IF($U1169&gt;=MA_SHORT,AVERAGE(INDEX($I$769:$I1169,402-MA_SHORT):$I1169),"")</f>
        <v>5666.95</v>
      </c>
      <c r="W1169" s="48" t="n">
        <f aca="false">IF($U1169&gt;=MA_MED,AVERAGE(INDEX($I$769:$I1169,402-MA_MED):$I1169),"")</f>
        <v>5701.54</v>
      </c>
      <c r="X1169" s="48" t="n">
        <f aca="false">IF($U1169&gt;=MA_LONG1,AVERAGE(INDEX($I$769:$I1169,402-MA_LONG1):$I1169),"")</f>
        <v>5430.89</v>
      </c>
      <c r="Y1169" s="48" t="str">
        <f aca="false">IF($U1169&gt;=MA_LONG2,AVERAGE(INDEX($I$769:$I1169,402-MA_LONG2):$I1169),"")</f>
        <v/>
      </c>
      <c r="Z1169" s="48" t="n">
        <f aca="false">IF($U1169&gt;=MA_SHORT,AVERAGE(INDEX($L$1049:$L1169,122-MA_SHORT):$L1169),"")</f>
        <v>97936853.8</v>
      </c>
      <c r="AA1169" s="48" t="n">
        <f aca="false">IF($U1169=1,$G1169-$H1169,MAX($G1169-$H1169,ABS($G1169-$I1168),ABS($H1169-$I1168)))</f>
        <v>229</v>
      </c>
      <c r="AB1169" s="48" t="n">
        <f aca="false">IF($U1169&gt;=ATR_PER,AVERAGE(INDEX($AA$1049:$AA1169,122-ATR_PER):$AA1169),"")</f>
        <v>237.5</v>
      </c>
      <c r="AC1169" s="48" t="n">
        <f aca="false">$O1169-$P1169</f>
        <v>-2460213</v>
      </c>
      <c r="AD1169" s="48" t="n">
        <f aca="false">$AC1169*$I1169</f>
        <v>-13194122319</v>
      </c>
      <c r="AE1169" s="49" t="n">
        <f aca="false">IF($Q1169&gt;0,$O1169*$I1169/$Q1169/1000000,"")</f>
        <v>250.841422330073</v>
      </c>
      <c r="AF1169" s="49" t="n">
        <f aca="false">IF($R1169&gt;0,$P1169*$I1169/$R1169/1000000,"")</f>
        <v>222.839189576531</v>
      </c>
      <c r="AG1169" s="50" t="n">
        <f aca="false">IF(AND(ISNUMBER($AE1169),ISNUMBER($AF1169),$AF1169&gt;0),$AE1169/$AF1169,"")</f>
        <v>1.12566116761938</v>
      </c>
      <c r="AH1169" s="48" t="n">
        <f aca="false">IF($U1169&gt;=5,SUM(INDEX($AD$1139:$AD1169,32-5):$AD1169),"")</f>
        <v>-253832178987</v>
      </c>
      <c r="AI1169" s="48" t="n">
        <f aca="false">IF($U1169&gt;=STRUCT_S,MAX(INDEX($G$1019:$G1169,152-STRUCT_S):$G1169),"")</f>
        <v>6217</v>
      </c>
      <c r="AJ1169" s="48" t="n">
        <f aca="false">IF($U1169&gt;=STRUCT_S,MIN(INDEX($H$1019:$H1169,152-STRUCT_S):$H1169),"")</f>
        <v>5124</v>
      </c>
      <c r="AK1169" s="48" t="n">
        <f aca="false">IF($U1169&gt;=STRUCT_L,MAX(INDEX($G$919:$G1169,252-STRUCT_L):$G1169),"")</f>
        <v>6217</v>
      </c>
      <c r="AL1169" s="48" t="n">
        <f aca="false">IF($U1169&gt;=STRUCT_L,MIN(INDEX($H$919:$H1169,252-STRUCT_L):$H1169),"")</f>
        <v>4912</v>
      </c>
      <c r="AM1169" s="46" t="n">
        <f aca="false">IF($A1169&lt;&gt;$A1170,1,0)</f>
        <v>0</v>
      </c>
      <c r="AN1169" s="47" t="str">
        <f aca="false">IF($AM1169=1,$A1169,"")</f>
        <v/>
      </c>
    </row>
    <row r="1170" customFormat="false" ht="15" hidden="false" customHeight="false" outlineLevel="0" collapsed="false">
      <c r="A1170" s="43" t="s">
        <v>152</v>
      </c>
      <c r="B1170" s="44" t="s">
        <v>154</v>
      </c>
      <c r="C1170" s="45" t="n">
        <v>46081</v>
      </c>
      <c r="D1170" s="46" t="n">
        <v>20260228</v>
      </c>
      <c r="E1170" s="47" t="s">
        <v>413</v>
      </c>
      <c r="F1170" s="48" t="n">
        <v>5380</v>
      </c>
      <c r="G1170" s="48" t="n">
        <v>5396</v>
      </c>
      <c r="H1170" s="48" t="n">
        <v>5348</v>
      </c>
      <c r="I1170" s="48" t="n">
        <v>5381</v>
      </c>
      <c r="J1170" s="48" t="n">
        <v>5370</v>
      </c>
      <c r="K1170" s="48" t="n">
        <v>5363</v>
      </c>
      <c r="L1170" s="48" t="n">
        <v>79222539</v>
      </c>
      <c r="M1170" s="48" t="n">
        <v>426296482359</v>
      </c>
      <c r="N1170" s="48" t="n">
        <v>1926</v>
      </c>
      <c r="O1170" s="48" t="n">
        <v>35154898</v>
      </c>
      <c r="P1170" s="48" t="n">
        <v>43077727</v>
      </c>
      <c r="Q1170" s="48" t="n">
        <v>929</v>
      </c>
      <c r="R1170" s="48" t="n">
        <v>592</v>
      </c>
      <c r="S1170" s="48" t="n">
        <v>44067641</v>
      </c>
      <c r="T1170" s="48" t="n">
        <v>36144812</v>
      </c>
      <c r="U1170" s="46" t="n">
        <f aca="false">IF($A1170=$A1169,$U1169+1,1)</f>
        <v>126</v>
      </c>
      <c r="V1170" s="48" t="n">
        <f aca="false">IF($U1170&gt;=MA_SHORT,AVERAGE(INDEX($I$770:$I1170,402-MA_SHORT):$I1170),"")</f>
        <v>5645.85</v>
      </c>
      <c r="W1170" s="48" t="n">
        <f aca="false">IF($U1170&gt;=MA_MED,AVERAGE(INDEX($I$770:$I1170,402-MA_MED):$I1170),"")</f>
        <v>5699.46</v>
      </c>
      <c r="X1170" s="48" t="n">
        <f aca="false">IF($U1170&gt;=MA_LONG1,AVERAGE(INDEX($I$770:$I1170,402-MA_LONG1):$I1170),"")</f>
        <v>5433.78</v>
      </c>
      <c r="Y1170" s="48" t="str">
        <f aca="false">IF($U1170&gt;=MA_LONG2,AVERAGE(INDEX($I$770:$I1170,402-MA_LONG2):$I1170),"")</f>
        <v/>
      </c>
      <c r="Z1170" s="48" t="n">
        <f aca="false">IF($U1170&gt;=MA_SHORT,AVERAGE(INDEX($L$1050:$L1170,122-MA_SHORT):$L1170),"")</f>
        <v>97895225.2</v>
      </c>
      <c r="AA1170" s="48" t="n">
        <f aca="false">IF($U1170=1,$G1170-$H1170,MAX($G1170-$H1170,ABS($G1170-$I1169),ABS($H1170-$I1169)))</f>
        <v>48</v>
      </c>
      <c r="AB1170" s="48" t="n">
        <f aca="false">IF($U1170&gt;=ATR_PER,AVERAGE(INDEX($AA$1050:$AA1170,122-ATR_PER):$AA1170),"")</f>
        <v>215.785714285714</v>
      </c>
      <c r="AC1170" s="48" t="n">
        <f aca="false">$O1170-$P1170</f>
        <v>-7922829</v>
      </c>
      <c r="AD1170" s="48" t="n">
        <f aca="false">$AC1170*$I1170</f>
        <v>-42632742849</v>
      </c>
      <c r="AE1170" s="49" t="n">
        <f aca="false">IF($Q1170&gt;0,$O1170*$I1170/$Q1170/1000000,"")</f>
        <v>203.625948480086</v>
      </c>
      <c r="AF1170" s="49" t="n">
        <f aca="false">IF($R1170&gt;0,$P1170*$I1170/$R1170/1000000,"")</f>
        <v>391.556163829392</v>
      </c>
      <c r="AG1170" s="50" t="n">
        <f aca="false">IF(AND(ISNUMBER($AE1170),ISNUMBER($AF1170),$AF1170&gt;0),$AE1170/$AF1170,"")</f>
        <v>0.520042760886813</v>
      </c>
      <c r="AH1170" s="48" t="n">
        <f aca="false">IF($U1170&gt;=5,SUM(INDEX($AD$1140:$AD1170,32-5):$AD1170),"")</f>
        <v>-216363476076</v>
      </c>
      <c r="AI1170" s="48" t="n">
        <f aca="false">IF($U1170&gt;=STRUCT_S,MAX(INDEX($G$1020:$G1170,152-STRUCT_S):$G1170),"")</f>
        <v>6217</v>
      </c>
      <c r="AJ1170" s="48" t="n">
        <f aca="false">IF($U1170&gt;=STRUCT_S,MIN(INDEX($H$1020:$H1170,152-STRUCT_S):$H1170),"")</f>
        <v>5124</v>
      </c>
      <c r="AK1170" s="48" t="n">
        <f aca="false">IF($U1170&gt;=STRUCT_L,MAX(INDEX($G$920:$G1170,252-STRUCT_L):$G1170),"")</f>
        <v>6217</v>
      </c>
      <c r="AL1170" s="48" t="n">
        <f aca="false">IF($U1170&gt;=STRUCT_L,MIN(INDEX($H$920:$H1170,252-STRUCT_L):$H1170),"")</f>
        <v>4912</v>
      </c>
      <c r="AM1170" s="46" t="n">
        <f aca="false">IF($A1170&lt;&gt;$A1171,1,0)</f>
        <v>0</v>
      </c>
      <c r="AN1170" s="47" t="str">
        <f aca="false">IF($AM1170=1,$A1170,"")</f>
        <v/>
      </c>
    </row>
    <row r="1171" customFormat="false" ht="15" hidden="false" customHeight="false" outlineLevel="0" collapsed="false">
      <c r="A1171" s="43" t="s">
        <v>152</v>
      </c>
      <c r="B1171" s="44" t="s">
        <v>154</v>
      </c>
      <c r="C1171" s="45" t="n">
        <v>46082</v>
      </c>
      <c r="D1171" s="46" t="n">
        <v>20260301</v>
      </c>
      <c r="E1171" s="47" t="s">
        <v>414</v>
      </c>
      <c r="F1171" s="48" t="n">
        <v>5346</v>
      </c>
      <c r="G1171" s="48" t="n">
        <v>5483</v>
      </c>
      <c r="H1171" s="48" t="n">
        <v>5337</v>
      </c>
      <c r="I1171" s="48" t="n">
        <v>5438</v>
      </c>
      <c r="J1171" s="48" t="n">
        <v>5358</v>
      </c>
      <c r="K1171" s="48" t="n">
        <v>5381</v>
      </c>
      <c r="L1171" s="48" t="n">
        <v>91683589</v>
      </c>
      <c r="M1171" s="48" t="n">
        <v>498575356982</v>
      </c>
      <c r="N1171" s="48" t="n">
        <v>6470</v>
      </c>
      <c r="O1171" s="48" t="n">
        <v>52609296</v>
      </c>
      <c r="P1171" s="48" t="n">
        <v>36388341</v>
      </c>
      <c r="Q1171" s="48" t="n">
        <v>3094</v>
      </c>
      <c r="R1171" s="48" t="n">
        <v>2330</v>
      </c>
      <c r="S1171" s="48" t="n">
        <v>39074293</v>
      </c>
      <c r="T1171" s="48" t="n">
        <v>55295248</v>
      </c>
      <c r="U1171" s="46" t="n">
        <f aca="false">IF($A1171=$A1170,$U1170+1,1)</f>
        <v>127</v>
      </c>
      <c r="V1171" s="48" t="n">
        <f aca="false">IF($U1171&gt;=MA_SHORT,AVERAGE(INDEX($I$771:$I1171,402-MA_SHORT):$I1171),"")</f>
        <v>5626.9</v>
      </c>
      <c r="W1171" s="48" t="n">
        <f aca="false">IF($U1171&gt;=MA_MED,AVERAGE(INDEX($I$771:$I1171,402-MA_MED):$I1171),"")</f>
        <v>5697.66</v>
      </c>
      <c r="X1171" s="48" t="n">
        <f aca="false">IF($U1171&gt;=MA_LONG1,AVERAGE(INDEX($I$771:$I1171,402-MA_LONG1):$I1171),"")</f>
        <v>5437.74</v>
      </c>
      <c r="Y1171" s="48" t="str">
        <f aca="false">IF($U1171&gt;=MA_LONG2,AVERAGE(INDEX($I$771:$I1171,402-MA_LONG2):$I1171),"")</f>
        <v/>
      </c>
      <c r="Z1171" s="48" t="n">
        <f aca="false">IF($U1171&gt;=MA_SHORT,AVERAGE(INDEX($L$1051:$L1171,122-MA_SHORT):$L1171),"")</f>
        <v>98540265.65</v>
      </c>
      <c r="AA1171" s="48" t="n">
        <f aca="false">IF($U1171=1,$G1171-$H1171,MAX($G1171-$H1171,ABS($G1171-$I1170),ABS($H1171-$I1170)))</f>
        <v>146</v>
      </c>
      <c r="AB1171" s="48" t="n">
        <f aca="false">IF($U1171&gt;=ATR_PER,AVERAGE(INDEX($AA$1051:$AA1171,122-ATR_PER):$AA1171),"")</f>
        <v>210.785714285714</v>
      </c>
      <c r="AC1171" s="48" t="n">
        <f aca="false">$O1171-$P1171</f>
        <v>16220955</v>
      </c>
      <c r="AD1171" s="48" t="n">
        <f aca="false">$AC1171*$I1171</f>
        <v>88209553290</v>
      </c>
      <c r="AE1171" s="49" t="n">
        <f aca="false">IF($Q1171&gt;0,$O1171*$I1171/$Q1171/1000000,"")</f>
        <v>92.4658537970265</v>
      </c>
      <c r="AF1171" s="49" t="n">
        <f aca="false">IF($R1171&gt;0,$P1171*$I1171/$R1171/1000000,"")</f>
        <v>84.9269520849785</v>
      </c>
      <c r="AG1171" s="50" t="n">
        <f aca="false">IF(AND(ISNUMBER($AE1171),ISNUMBER($AF1171),$AF1171&gt;0),$AE1171/$AF1171,"")</f>
        <v>1.08876924847726</v>
      </c>
      <c r="AH1171" s="48" t="n">
        <f aca="false">IF($U1171&gt;=5,SUM(INDEX($AD$1141:$AD1171,32-5):$AD1171),"")</f>
        <v>-23724334842</v>
      </c>
      <c r="AI1171" s="48" t="n">
        <f aca="false">IF($U1171&gt;=STRUCT_S,MAX(INDEX($G$1021:$G1171,152-STRUCT_S):$G1171),"")</f>
        <v>6217</v>
      </c>
      <c r="AJ1171" s="48" t="n">
        <f aca="false">IF($U1171&gt;=STRUCT_S,MIN(INDEX($H$1021:$H1171,152-STRUCT_S):$H1171),"")</f>
        <v>5124</v>
      </c>
      <c r="AK1171" s="48" t="n">
        <f aca="false">IF($U1171&gt;=STRUCT_L,MAX(INDEX($G$921:$G1171,252-STRUCT_L):$G1171),"")</f>
        <v>6217</v>
      </c>
      <c r="AL1171" s="48" t="n">
        <f aca="false">IF($U1171&gt;=STRUCT_L,MIN(INDEX($H$921:$H1171,252-STRUCT_L):$H1171),"")</f>
        <v>4912</v>
      </c>
      <c r="AM1171" s="46" t="n">
        <f aca="false">IF($A1171&lt;&gt;$A1172,1,0)</f>
        <v>0</v>
      </c>
      <c r="AN1171" s="47" t="str">
        <f aca="false">IF($AM1171=1,$A1171,"")</f>
        <v/>
      </c>
    </row>
    <row r="1172" customFormat="false" ht="15" hidden="false" customHeight="false" outlineLevel="0" collapsed="false">
      <c r="A1172" s="43" t="s">
        <v>152</v>
      </c>
      <c r="B1172" s="44" t="s">
        <v>154</v>
      </c>
      <c r="C1172" s="45" t="n">
        <v>46083</v>
      </c>
      <c r="D1172" s="46" t="n">
        <v>20260302</v>
      </c>
      <c r="E1172" s="47" t="s">
        <v>415</v>
      </c>
      <c r="F1172" s="48" t="n">
        <v>5387</v>
      </c>
      <c r="G1172" s="48" t="n">
        <v>5516</v>
      </c>
      <c r="H1172" s="48" t="n">
        <v>5273</v>
      </c>
      <c r="I1172" s="48" t="n">
        <v>5350</v>
      </c>
      <c r="J1172" s="48" t="n">
        <v>5469</v>
      </c>
      <c r="K1172" s="48" t="n">
        <v>5438</v>
      </c>
      <c r="L1172" s="48" t="n">
        <v>85198880</v>
      </c>
      <c r="M1172" s="48" t="n">
        <v>455814008000</v>
      </c>
      <c r="N1172" s="48" t="n">
        <v>2726</v>
      </c>
      <c r="O1172" s="48" t="n">
        <v>37806373</v>
      </c>
      <c r="P1172" s="48" t="n">
        <v>55581653</v>
      </c>
      <c r="Q1172" s="48" t="n">
        <v>1021</v>
      </c>
      <c r="R1172" s="48" t="n">
        <v>1216</v>
      </c>
      <c r="S1172" s="48" t="n">
        <v>47392507</v>
      </c>
      <c r="T1172" s="48" t="n">
        <v>29617227</v>
      </c>
      <c r="U1172" s="46" t="n">
        <f aca="false">IF($A1172=$A1171,$U1171+1,1)</f>
        <v>128</v>
      </c>
      <c r="V1172" s="48" t="n">
        <f aca="false">IF($U1172&gt;=MA_SHORT,AVERAGE(INDEX($I$772:$I1172,402-MA_SHORT):$I1172),"")</f>
        <v>5596</v>
      </c>
      <c r="W1172" s="48" t="n">
        <f aca="false">IF($U1172&gt;=MA_MED,AVERAGE(INDEX($I$772:$I1172,402-MA_MED):$I1172),"")</f>
        <v>5693.6</v>
      </c>
      <c r="X1172" s="48" t="n">
        <f aca="false">IF($U1172&gt;=MA_LONG1,AVERAGE(INDEX($I$772:$I1172,402-MA_LONG1):$I1172),"")</f>
        <v>5441.17</v>
      </c>
      <c r="Y1172" s="48" t="str">
        <f aca="false">IF($U1172&gt;=MA_LONG2,AVERAGE(INDEX($I$772:$I1172,402-MA_LONG2):$I1172),"")</f>
        <v/>
      </c>
      <c r="Z1172" s="48" t="n">
        <f aca="false">IF($U1172&gt;=MA_SHORT,AVERAGE(INDEX($L$1052:$L1172,122-MA_SHORT):$L1172),"")</f>
        <v>97464074.85</v>
      </c>
      <c r="AA1172" s="48" t="n">
        <f aca="false">IF($U1172=1,$G1172-$H1172,MAX($G1172-$H1172,ABS($G1172-$I1171),ABS($H1172-$I1171)))</f>
        <v>243</v>
      </c>
      <c r="AB1172" s="48" t="n">
        <f aca="false">IF($U1172&gt;=ATR_PER,AVERAGE(INDEX($AA$1052:$AA1172,122-ATR_PER):$AA1172),"")</f>
        <v>215</v>
      </c>
      <c r="AC1172" s="48" t="n">
        <f aca="false">$O1172-$P1172</f>
        <v>-17775280</v>
      </c>
      <c r="AD1172" s="48" t="n">
        <f aca="false">$AC1172*$I1172</f>
        <v>-95097748000</v>
      </c>
      <c r="AE1172" s="49" t="n">
        <f aca="false">IF($Q1172&gt;0,$O1172*$I1172/$Q1172/1000000,"")</f>
        <v>198.103913369246</v>
      </c>
      <c r="AF1172" s="49" t="n">
        <f aca="false">IF($R1172&gt;0,$P1172*$I1172/$R1172/1000000,"")</f>
        <v>244.540989761513</v>
      </c>
      <c r="AG1172" s="50" t="n">
        <f aca="false">IF(AND(ISNUMBER($AE1172),ISNUMBER($AF1172),$AF1172&gt;0),$AE1172/$AF1172,"")</f>
        <v>0.810105142546635</v>
      </c>
      <c r="AH1172" s="48" t="n">
        <f aca="false">IF($U1172&gt;=5,SUM(INDEX($AD$1142:$AD1172,32-5):$AD1172),"")</f>
        <v>-74131205542</v>
      </c>
      <c r="AI1172" s="48" t="n">
        <f aca="false">IF($U1172&gt;=STRUCT_S,MAX(INDEX($G$1022:$G1172,152-STRUCT_S):$G1172),"")</f>
        <v>6217</v>
      </c>
      <c r="AJ1172" s="48" t="n">
        <f aca="false">IF($U1172&gt;=STRUCT_S,MIN(INDEX($H$1022:$H1172,152-STRUCT_S):$H1172),"")</f>
        <v>5124</v>
      </c>
      <c r="AK1172" s="48" t="n">
        <f aca="false">IF($U1172&gt;=STRUCT_L,MAX(INDEX($G$922:$G1172,252-STRUCT_L):$G1172),"")</f>
        <v>6217</v>
      </c>
      <c r="AL1172" s="48" t="n">
        <f aca="false">IF($U1172&gt;=STRUCT_L,MIN(INDEX($H$922:$H1172,252-STRUCT_L):$H1172),"")</f>
        <v>4912</v>
      </c>
      <c r="AM1172" s="46" t="n">
        <f aca="false">IF($A1172&lt;&gt;$A1173,1,0)</f>
        <v>0</v>
      </c>
      <c r="AN1172" s="47" t="str">
        <f aca="false">IF($AM1172=1,$A1172,"")</f>
        <v/>
      </c>
    </row>
    <row r="1173" customFormat="false" ht="15" hidden="false" customHeight="false" outlineLevel="0" collapsed="false">
      <c r="A1173" s="43" t="s">
        <v>152</v>
      </c>
      <c r="B1173" s="44" t="s">
        <v>154</v>
      </c>
      <c r="C1173" s="45" t="n">
        <v>46084</v>
      </c>
      <c r="D1173" s="46" t="n">
        <v>20260303</v>
      </c>
      <c r="E1173" s="47" t="s">
        <v>416</v>
      </c>
      <c r="F1173" s="48" t="n">
        <v>5358</v>
      </c>
      <c r="G1173" s="48" t="n">
        <v>5365</v>
      </c>
      <c r="H1173" s="48" t="n">
        <v>5250</v>
      </c>
      <c r="I1173" s="48" t="n">
        <v>5264</v>
      </c>
      <c r="J1173" s="48" t="n">
        <v>5281</v>
      </c>
      <c r="K1173" s="48" t="n">
        <v>5350</v>
      </c>
      <c r="L1173" s="48" t="n">
        <v>107733001</v>
      </c>
      <c r="M1173" s="48" t="n">
        <v>567106517264</v>
      </c>
      <c r="N1173" s="48" t="n">
        <v>2847</v>
      </c>
      <c r="O1173" s="48" t="n">
        <v>38081623</v>
      </c>
      <c r="P1173" s="48" t="n">
        <v>71213227</v>
      </c>
      <c r="Q1173" s="48" t="n">
        <v>1261</v>
      </c>
      <c r="R1173" s="48" t="n">
        <v>1455</v>
      </c>
      <c r="S1173" s="48" t="n">
        <v>69651378</v>
      </c>
      <c r="T1173" s="48" t="n">
        <v>36519774</v>
      </c>
      <c r="U1173" s="46" t="n">
        <f aca="false">IF($A1173=$A1172,$U1172+1,1)</f>
        <v>129</v>
      </c>
      <c r="V1173" s="48" t="n">
        <f aca="false">IF($U1173&gt;=MA_SHORT,AVERAGE(INDEX($I$773:$I1173,402-MA_SHORT):$I1173),"")</f>
        <v>5554.15</v>
      </c>
      <c r="W1173" s="48" t="n">
        <f aca="false">IF($U1173&gt;=MA_MED,AVERAGE(INDEX($I$773:$I1173,402-MA_MED):$I1173),"")</f>
        <v>5690.02</v>
      </c>
      <c r="X1173" s="48" t="n">
        <f aca="false">IF($U1173&gt;=MA_LONG1,AVERAGE(INDEX($I$773:$I1173,402-MA_LONG1):$I1173),"")</f>
        <v>5444.76</v>
      </c>
      <c r="Y1173" s="48" t="str">
        <f aca="false">IF($U1173&gt;=MA_LONG2,AVERAGE(INDEX($I$773:$I1173,402-MA_LONG2):$I1173),"")</f>
        <v/>
      </c>
      <c r="Z1173" s="48" t="n">
        <f aca="false">IF($U1173&gt;=MA_SHORT,AVERAGE(INDEX($L$1053:$L1173,122-MA_SHORT):$L1173),"")</f>
        <v>98104171.8</v>
      </c>
      <c r="AA1173" s="48" t="n">
        <f aca="false">IF($U1173=1,$G1173-$H1173,MAX($G1173-$H1173,ABS($G1173-$I1172),ABS($H1173-$I1172)))</f>
        <v>115</v>
      </c>
      <c r="AB1173" s="48" t="n">
        <f aca="false">IF($U1173&gt;=ATR_PER,AVERAGE(INDEX($AA$1053:$AA1173,122-ATR_PER):$AA1173),"")</f>
        <v>196.285714285714</v>
      </c>
      <c r="AC1173" s="48" t="n">
        <f aca="false">$O1173-$P1173</f>
        <v>-33131604</v>
      </c>
      <c r="AD1173" s="48" t="n">
        <f aca="false">$AC1173*$I1173</f>
        <v>-174404763456</v>
      </c>
      <c r="AE1173" s="49" t="n">
        <f aca="false">IF($Q1173&gt;0,$O1173*$I1173/$Q1173/1000000,"")</f>
        <v>158.970391333862</v>
      </c>
      <c r="AF1173" s="49" t="n">
        <f aca="false">IF($R1173&gt;0,$P1173*$I1173/$R1173/1000000,"")</f>
        <v>257.640155964261</v>
      </c>
      <c r="AG1173" s="50" t="n">
        <f aca="false">IF(AND(ISNUMBER($AE1173),ISNUMBER($AF1173),$AF1173&gt;0),$AE1173/$AF1173,"")</f>
        <v>0.617024899472246</v>
      </c>
      <c r="AH1173" s="48" t="n">
        <f aca="false">IF($U1173&gt;=5,SUM(INDEX($AD$1143:$AD1173,32-5):$AD1173),"")</f>
        <v>-237119823334</v>
      </c>
      <c r="AI1173" s="48" t="n">
        <f aca="false">IF($U1173&gt;=STRUCT_S,MAX(INDEX($G$1023:$G1173,152-STRUCT_S):$G1173),"")</f>
        <v>6217</v>
      </c>
      <c r="AJ1173" s="48" t="n">
        <f aca="false">IF($U1173&gt;=STRUCT_S,MIN(INDEX($H$1023:$H1173,152-STRUCT_S):$H1173),"")</f>
        <v>5124</v>
      </c>
      <c r="AK1173" s="48" t="n">
        <f aca="false">IF($U1173&gt;=STRUCT_L,MAX(INDEX($G$923:$G1173,252-STRUCT_L):$G1173),"")</f>
        <v>6217</v>
      </c>
      <c r="AL1173" s="48" t="n">
        <f aca="false">IF($U1173&gt;=STRUCT_L,MIN(INDEX($H$923:$H1173,252-STRUCT_L):$H1173),"")</f>
        <v>4912</v>
      </c>
      <c r="AM1173" s="46" t="n">
        <f aca="false">IF($A1173&lt;&gt;$A1174,1,0)</f>
        <v>0</v>
      </c>
      <c r="AN1173" s="47" t="str">
        <f aca="false">IF($AM1173=1,$A1173,"")</f>
        <v/>
      </c>
    </row>
    <row r="1174" customFormat="false" ht="15" hidden="false" customHeight="false" outlineLevel="0" collapsed="false">
      <c r="A1174" s="43" t="s">
        <v>152</v>
      </c>
      <c r="B1174" s="44" t="s">
        <v>154</v>
      </c>
      <c r="C1174" s="45" t="n">
        <v>46085</v>
      </c>
      <c r="D1174" s="46" t="n">
        <v>20260304</v>
      </c>
      <c r="E1174" s="47" t="s">
        <v>417</v>
      </c>
      <c r="F1174" s="48" t="n">
        <v>5263</v>
      </c>
      <c r="G1174" s="48" t="n">
        <v>5305</v>
      </c>
      <c r="H1174" s="48" t="n">
        <v>5200</v>
      </c>
      <c r="I1174" s="48" t="n">
        <v>5241</v>
      </c>
      <c r="J1174" s="48" t="n">
        <v>5220</v>
      </c>
      <c r="K1174" s="48" t="n">
        <v>5264</v>
      </c>
      <c r="L1174" s="48" t="n">
        <v>79694535</v>
      </c>
      <c r="M1174" s="48" t="n">
        <v>417679057935</v>
      </c>
      <c r="N1174" s="48" t="n">
        <v>2358</v>
      </c>
      <c r="O1174" s="48" t="n">
        <v>33817800</v>
      </c>
      <c r="P1174" s="48" t="n">
        <v>43108222</v>
      </c>
      <c r="Q1174" s="48" t="n">
        <v>746</v>
      </c>
      <c r="R1174" s="48" t="n">
        <v>1384</v>
      </c>
      <c r="S1174" s="48" t="n">
        <v>45876735</v>
      </c>
      <c r="T1174" s="48" t="n">
        <v>36586313</v>
      </c>
      <c r="U1174" s="46" t="n">
        <f aca="false">IF($A1174=$A1173,$U1173+1,1)</f>
        <v>130</v>
      </c>
      <c r="V1174" s="48" t="n">
        <f aca="false">IF($U1174&gt;=MA_SHORT,AVERAGE(INDEX($I$774:$I1174,402-MA_SHORT):$I1174),"")</f>
        <v>5507.5</v>
      </c>
      <c r="W1174" s="48" t="n">
        <f aca="false">IF($U1174&gt;=MA_MED,AVERAGE(INDEX($I$774:$I1174,402-MA_MED):$I1174),"")</f>
        <v>5682.62</v>
      </c>
      <c r="X1174" s="48" t="n">
        <f aca="false">IF($U1174&gt;=MA_LONG1,AVERAGE(INDEX($I$774:$I1174,402-MA_LONG1):$I1174),"")</f>
        <v>5449.51</v>
      </c>
      <c r="Y1174" s="48" t="str">
        <f aca="false">IF($U1174&gt;=MA_LONG2,AVERAGE(INDEX($I$774:$I1174,402-MA_LONG2):$I1174),"")</f>
        <v/>
      </c>
      <c r="Z1174" s="48" t="n">
        <f aca="false">IF($U1174&gt;=MA_SHORT,AVERAGE(INDEX($L$1054:$L1174,122-MA_SHORT):$L1174),"")</f>
        <v>96851519.3</v>
      </c>
      <c r="AA1174" s="48" t="n">
        <f aca="false">IF($U1174=1,$G1174-$H1174,MAX($G1174-$H1174,ABS($G1174-$I1173),ABS($H1174-$I1173)))</f>
        <v>105</v>
      </c>
      <c r="AB1174" s="48" t="n">
        <f aca="false">IF($U1174&gt;=ATR_PER,AVERAGE(INDEX($AA$1054:$AA1174,122-ATR_PER):$AA1174),"")</f>
        <v>190.857142857143</v>
      </c>
      <c r="AC1174" s="48" t="n">
        <f aca="false">$O1174-$P1174</f>
        <v>-9290422</v>
      </c>
      <c r="AD1174" s="48" t="n">
        <f aca="false">$AC1174*$I1174</f>
        <v>-48691101702</v>
      </c>
      <c r="AE1174" s="49" t="n">
        <f aca="false">IF($Q1174&gt;0,$O1174*$I1174/$Q1174/1000000,"")</f>
        <v>237.585911260054</v>
      </c>
      <c r="AF1174" s="49" t="n">
        <f aca="false">IF($R1174&gt;0,$P1174*$I1174/$R1174/1000000,"")</f>
        <v>163.244358021676</v>
      </c>
      <c r="AG1174" s="50" t="n">
        <f aca="false">IF(AND(ISNUMBER($AE1174),ISNUMBER($AF1174),$AF1174&gt;0),$AE1174/$AF1174,"")</f>
        <v>1.45540044470331</v>
      </c>
      <c r="AH1174" s="48" t="n">
        <f aca="false">IF($U1174&gt;=5,SUM(INDEX($AD$1144:$AD1174,32-5):$AD1174),"")</f>
        <v>-272616802717</v>
      </c>
      <c r="AI1174" s="48" t="n">
        <f aca="false">IF($U1174&gt;=STRUCT_S,MAX(INDEX($G$1024:$G1174,152-STRUCT_S):$G1174),"")</f>
        <v>6208</v>
      </c>
      <c r="AJ1174" s="48" t="n">
        <f aca="false">IF($U1174&gt;=STRUCT_S,MIN(INDEX($H$1024:$H1174,152-STRUCT_S):$H1174),"")</f>
        <v>5124</v>
      </c>
      <c r="AK1174" s="48" t="n">
        <f aca="false">IF($U1174&gt;=STRUCT_L,MAX(INDEX($G$924:$G1174,252-STRUCT_L):$G1174),"")</f>
        <v>6217</v>
      </c>
      <c r="AL1174" s="48" t="n">
        <f aca="false">IF($U1174&gt;=STRUCT_L,MIN(INDEX($H$924:$H1174,252-STRUCT_L):$H1174),"")</f>
        <v>5008</v>
      </c>
      <c r="AM1174" s="46" t="n">
        <f aca="false">IF($A1174&lt;&gt;$A1175,1,0)</f>
        <v>0</v>
      </c>
      <c r="AN1174" s="47" t="str">
        <f aca="false">IF($AM1174=1,$A1174,"")</f>
        <v/>
      </c>
    </row>
    <row r="1175" customFormat="false" ht="15" hidden="false" customHeight="false" outlineLevel="0" collapsed="false">
      <c r="A1175" s="43" t="s">
        <v>152</v>
      </c>
      <c r="B1175" s="44" t="s">
        <v>154</v>
      </c>
      <c r="C1175" s="45" t="n">
        <v>46088</v>
      </c>
      <c r="D1175" s="46" t="n">
        <v>20260307</v>
      </c>
      <c r="E1175" s="47" t="s">
        <v>418</v>
      </c>
      <c r="F1175" s="48" t="n">
        <v>5256</v>
      </c>
      <c r="G1175" s="48" t="n">
        <v>5406</v>
      </c>
      <c r="H1175" s="48" t="n">
        <v>5191</v>
      </c>
      <c r="I1175" s="48" t="n">
        <v>5355</v>
      </c>
      <c r="J1175" s="48" t="n">
        <v>5325</v>
      </c>
      <c r="K1175" s="48" t="n">
        <v>5241</v>
      </c>
      <c r="L1175" s="48" t="n">
        <v>87793838</v>
      </c>
      <c r="M1175" s="48" t="n">
        <v>470136002490</v>
      </c>
      <c r="N1175" s="48" t="n">
        <v>4252</v>
      </c>
      <c r="O1175" s="48" t="n">
        <v>55274650</v>
      </c>
      <c r="P1175" s="48" t="n">
        <v>28176823</v>
      </c>
      <c r="Q1175" s="48" t="n">
        <v>2082</v>
      </c>
      <c r="R1175" s="48" t="n">
        <v>1780</v>
      </c>
      <c r="S1175" s="48" t="n">
        <v>32519188</v>
      </c>
      <c r="T1175" s="48" t="n">
        <v>59617015</v>
      </c>
      <c r="U1175" s="46" t="n">
        <f aca="false">IF($A1175=$A1174,$U1174+1,1)</f>
        <v>131</v>
      </c>
      <c r="V1175" s="48" t="n">
        <f aca="false">IF($U1175&gt;=MA_SHORT,AVERAGE(INDEX($I$775:$I1175,402-MA_SHORT):$I1175),"")</f>
        <v>5469.1</v>
      </c>
      <c r="W1175" s="48" t="n">
        <f aca="false">IF($U1175&gt;=MA_MED,AVERAGE(INDEX($I$775:$I1175,402-MA_MED):$I1175),"")</f>
        <v>5680.88</v>
      </c>
      <c r="X1175" s="48" t="n">
        <f aca="false">IF($U1175&gt;=MA_LONG1,AVERAGE(INDEX($I$775:$I1175,402-MA_LONG1):$I1175),"")</f>
        <v>5455.31</v>
      </c>
      <c r="Y1175" s="48" t="str">
        <f aca="false">IF($U1175&gt;=MA_LONG2,AVERAGE(INDEX($I$775:$I1175,402-MA_LONG2):$I1175),"")</f>
        <v/>
      </c>
      <c r="Z1175" s="48" t="n">
        <f aca="false">IF($U1175&gt;=MA_SHORT,AVERAGE(INDEX($L$1055:$L1175,122-MA_SHORT):$L1175),"")</f>
        <v>97165830.15</v>
      </c>
      <c r="AA1175" s="48" t="n">
        <f aca="false">IF($U1175=1,$G1175-$H1175,MAX($G1175-$H1175,ABS($G1175-$I1174),ABS($H1175-$I1174)))</f>
        <v>215</v>
      </c>
      <c r="AB1175" s="48" t="n">
        <f aca="false">IF($U1175&gt;=ATR_PER,AVERAGE(INDEX($AA$1055:$AA1175,122-ATR_PER):$AA1175),"")</f>
        <v>184.857142857143</v>
      </c>
      <c r="AC1175" s="48" t="n">
        <f aca="false">$O1175-$P1175</f>
        <v>27097827</v>
      </c>
      <c r="AD1175" s="48" t="n">
        <f aca="false">$AC1175*$I1175</f>
        <v>145108863585</v>
      </c>
      <c r="AE1175" s="49" t="n">
        <f aca="false">IF($Q1175&gt;0,$O1175*$I1175/$Q1175/1000000,"")</f>
        <v>142.168948487032</v>
      </c>
      <c r="AF1175" s="49" t="n">
        <f aca="false">IF($R1175&gt;0,$P1175*$I1175/$R1175/1000000,"")</f>
        <v>84.7679141376405</v>
      </c>
      <c r="AG1175" s="50" t="n">
        <f aca="false">IF(AND(ISNUMBER($AE1175),ISNUMBER($AF1175),$AF1175&gt;0),$AE1175/$AF1175,"")</f>
        <v>1.67715520587409</v>
      </c>
      <c r="AH1175" s="48" t="n">
        <f aca="false">IF($U1175&gt;=5,SUM(INDEX($AD$1145:$AD1175,32-5):$AD1175),"")</f>
        <v>-84875196283</v>
      </c>
      <c r="AI1175" s="48" t="n">
        <f aca="false">IF($U1175&gt;=STRUCT_S,MAX(INDEX($G$1025:$G1175,152-STRUCT_S):$G1175),"")</f>
        <v>6161</v>
      </c>
      <c r="AJ1175" s="48" t="n">
        <f aca="false">IF($U1175&gt;=STRUCT_S,MIN(INDEX($H$1025:$H1175,152-STRUCT_S):$H1175),"")</f>
        <v>5124</v>
      </c>
      <c r="AK1175" s="48" t="n">
        <f aca="false">IF($U1175&gt;=STRUCT_L,MAX(INDEX($G$925:$G1175,252-STRUCT_L):$G1175),"")</f>
        <v>6217</v>
      </c>
      <c r="AL1175" s="48" t="n">
        <f aca="false">IF($U1175&gt;=STRUCT_L,MIN(INDEX($H$925:$H1175,252-STRUCT_L):$H1175),"")</f>
        <v>5043</v>
      </c>
      <c r="AM1175" s="46" t="n">
        <f aca="false">IF($A1175&lt;&gt;$A1176,1,0)</f>
        <v>0</v>
      </c>
      <c r="AN1175" s="47" t="str">
        <f aca="false">IF($AM1175=1,$A1175,"")</f>
        <v/>
      </c>
    </row>
    <row r="1176" customFormat="false" ht="15" hidden="false" customHeight="false" outlineLevel="0" collapsed="false">
      <c r="A1176" s="43" t="s">
        <v>152</v>
      </c>
      <c r="B1176" s="44" t="s">
        <v>154</v>
      </c>
      <c r="C1176" s="45" t="n">
        <v>46089</v>
      </c>
      <c r="D1176" s="46" t="n">
        <v>20260308</v>
      </c>
      <c r="E1176" s="47" t="s">
        <v>419</v>
      </c>
      <c r="F1176" s="48" t="n">
        <v>5277</v>
      </c>
      <c r="G1176" s="48" t="n">
        <v>5396</v>
      </c>
      <c r="H1176" s="48" t="n">
        <v>5200</v>
      </c>
      <c r="I1176" s="48" t="n">
        <v>5240</v>
      </c>
      <c r="J1176" s="48" t="n">
        <v>5307</v>
      </c>
      <c r="K1176" s="48" t="n">
        <v>5355</v>
      </c>
      <c r="L1176" s="48" t="n">
        <v>87665087</v>
      </c>
      <c r="M1176" s="48" t="n">
        <v>459365055880</v>
      </c>
      <c r="N1176" s="48" t="n">
        <v>5403</v>
      </c>
      <c r="O1176" s="48" t="n">
        <v>33029141</v>
      </c>
      <c r="P1176" s="48" t="n">
        <v>57741590</v>
      </c>
      <c r="Q1176" s="48" t="n">
        <v>1385</v>
      </c>
      <c r="R1176" s="48" t="n">
        <v>2114</v>
      </c>
      <c r="S1176" s="48" t="n">
        <v>54635946</v>
      </c>
      <c r="T1176" s="48" t="n">
        <v>29923497</v>
      </c>
      <c r="U1176" s="46" t="n">
        <f aca="false">IF($A1176=$A1175,$U1175+1,1)</f>
        <v>132</v>
      </c>
      <c r="V1176" s="48" t="n">
        <f aca="false">IF($U1176&gt;=MA_SHORT,AVERAGE(INDEX($I$776:$I1176,402-MA_SHORT):$I1176),"")</f>
        <v>5438.85</v>
      </c>
      <c r="W1176" s="48" t="n">
        <f aca="false">IF($U1176&gt;=MA_MED,AVERAGE(INDEX($I$776:$I1176,402-MA_MED):$I1176),"")</f>
        <v>5677.42</v>
      </c>
      <c r="X1176" s="48" t="n">
        <f aca="false">IF($U1176&gt;=MA_LONG1,AVERAGE(INDEX($I$776:$I1176,402-MA_LONG1):$I1176),"")</f>
        <v>5459.55</v>
      </c>
      <c r="Y1176" s="48" t="str">
        <f aca="false">IF($U1176&gt;=MA_LONG2,AVERAGE(INDEX($I$776:$I1176,402-MA_LONG2):$I1176),"")</f>
        <v/>
      </c>
      <c r="Z1176" s="48" t="n">
        <f aca="false">IF($U1176&gt;=MA_SHORT,AVERAGE(INDEX($L$1056:$L1176,122-MA_SHORT):$L1176),"")</f>
        <v>96608381.05</v>
      </c>
      <c r="AA1176" s="48" t="n">
        <f aca="false">IF($U1176=1,$G1176-$H1176,MAX($G1176-$H1176,ABS($G1176-$I1175),ABS($H1176-$I1175)))</f>
        <v>196</v>
      </c>
      <c r="AB1176" s="48" t="n">
        <f aca="false">IF($U1176&gt;=ATR_PER,AVERAGE(INDEX($AA$1056:$AA1176,122-ATR_PER):$AA1176),"")</f>
        <v>165.857142857143</v>
      </c>
      <c r="AC1176" s="48" t="n">
        <f aca="false">$O1176-$P1176</f>
        <v>-24712449</v>
      </c>
      <c r="AD1176" s="48" t="n">
        <f aca="false">$AC1176*$I1176</f>
        <v>-129493232760</v>
      </c>
      <c r="AE1176" s="49" t="n">
        <f aca="false">IF($Q1176&gt;0,$O1176*$I1176/$Q1176/1000000,"")</f>
        <v>124.962237429603</v>
      </c>
      <c r="AF1176" s="49" t="n">
        <f aca="false">IF($R1176&gt;0,$P1176*$I1176/$R1176/1000000,"")</f>
        <v>143.124849385052</v>
      </c>
      <c r="AG1176" s="50" t="n">
        <f aca="false">IF(AND(ISNUMBER($AE1176),ISNUMBER($AF1176),$AF1176&gt;0),$AE1176/$AF1176,"")</f>
        <v>0.873099520918371</v>
      </c>
      <c r="AH1176" s="48" t="n">
        <f aca="false">IF($U1176&gt;=5,SUM(INDEX($AD$1146:$AD1176,32-5):$AD1176),"")</f>
        <v>-302577982333</v>
      </c>
      <c r="AI1176" s="48" t="n">
        <f aca="false">IF($U1176&gt;=STRUCT_S,MAX(INDEX($G$1026:$G1176,152-STRUCT_S):$G1176),"")</f>
        <v>6051</v>
      </c>
      <c r="AJ1176" s="48" t="n">
        <f aca="false">IF($U1176&gt;=STRUCT_S,MIN(INDEX($H$1026:$H1176,152-STRUCT_S):$H1176),"")</f>
        <v>5124</v>
      </c>
      <c r="AK1176" s="48" t="n">
        <f aca="false">IF($U1176&gt;=STRUCT_L,MAX(INDEX($G$926:$G1176,252-STRUCT_L):$G1176),"")</f>
        <v>6217</v>
      </c>
      <c r="AL1176" s="48" t="n">
        <f aca="false">IF($U1176&gt;=STRUCT_L,MIN(INDEX($H$926:$H1176,252-STRUCT_L):$H1176),"")</f>
        <v>5124</v>
      </c>
      <c r="AM1176" s="46" t="n">
        <f aca="false">IF($A1176&lt;&gt;$A1177,1,0)</f>
        <v>0</v>
      </c>
      <c r="AN1176" s="47" t="str">
        <f aca="false">IF($AM1176=1,$A1176,"")</f>
        <v/>
      </c>
    </row>
    <row r="1177" customFormat="false" ht="15" hidden="false" customHeight="false" outlineLevel="0" collapsed="false">
      <c r="A1177" s="43" t="s">
        <v>152</v>
      </c>
      <c r="B1177" s="44" t="s">
        <v>154</v>
      </c>
      <c r="C1177" s="45" t="n">
        <v>46090</v>
      </c>
      <c r="D1177" s="46" t="n">
        <v>20260309</v>
      </c>
      <c r="E1177" s="47" t="s">
        <v>420</v>
      </c>
      <c r="F1177" s="48" t="n">
        <v>5324</v>
      </c>
      <c r="G1177" s="48" t="n">
        <v>5365</v>
      </c>
      <c r="H1177" s="48" t="n">
        <v>5201</v>
      </c>
      <c r="I1177" s="48" t="n">
        <v>5325</v>
      </c>
      <c r="J1177" s="48" t="n">
        <v>5279</v>
      </c>
      <c r="K1177" s="48" t="n">
        <v>5240</v>
      </c>
      <c r="L1177" s="48" t="n">
        <v>85217031</v>
      </c>
      <c r="M1177" s="48" t="n">
        <v>453780690075</v>
      </c>
      <c r="N1177" s="48" t="n">
        <v>3010</v>
      </c>
      <c r="O1177" s="48" t="n">
        <v>35600192</v>
      </c>
      <c r="P1177" s="48" t="n">
        <v>46360373</v>
      </c>
      <c r="Q1177" s="48" t="n">
        <v>1247</v>
      </c>
      <c r="R1177" s="48" t="n">
        <v>1183</v>
      </c>
      <c r="S1177" s="48" t="n">
        <v>49616839</v>
      </c>
      <c r="T1177" s="48" t="n">
        <v>38856658</v>
      </c>
      <c r="U1177" s="46" t="n">
        <f aca="false">IF($A1177=$A1176,$U1176+1,1)</f>
        <v>133</v>
      </c>
      <c r="V1177" s="48" t="n">
        <f aca="false">IF($U1177&gt;=MA_SHORT,AVERAGE(INDEX($I$777:$I1177,402-MA_SHORT):$I1177),"")</f>
        <v>5415.7</v>
      </c>
      <c r="W1177" s="48" t="n">
        <f aca="false">IF($U1177&gt;=MA_MED,AVERAGE(INDEX($I$777:$I1177,402-MA_MED):$I1177),"")</f>
        <v>5670.76</v>
      </c>
      <c r="X1177" s="48" t="n">
        <f aca="false">IF($U1177&gt;=MA_LONG1,AVERAGE(INDEX($I$777:$I1177,402-MA_LONG1):$I1177),"")</f>
        <v>5463.43</v>
      </c>
      <c r="Y1177" s="48" t="str">
        <f aca="false">IF($U1177&gt;=MA_LONG2,AVERAGE(INDEX($I$777:$I1177,402-MA_LONG2):$I1177),"")</f>
        <v/>
      </c>
      <c r="Z1177" s="48" t="n">
        <f aca="false">IF($U1177&gt;=MA_SHORT,AVERAGE(INDEX($L$1057:$L1177,122-MA_SHORT):$L1177),"")</f>
        <v>95030736.65</v>
      </c>
      <c r="AA1177" s="48" t="n">
        <f aca="false">IF($U1177=1,$G1177-$H1177,MAX($G1177-$H1177,ABS($G1177-$I1176),ABS($H1177-$I1176)))</f>
        <v>164</v>
      </c>
      <c r="AB1177" s="48" t="n">
        <f aca="false">IF($U1177&gt;=ATR_PER,AVERAGE(INDEX($AA$1057:$AA1177,122-ATR_PER):$AA1177),"")</f>
        <v>167</v>
      </c>
      <c r="AC1177" s="48" t="n">
        <f aca="false">$O1177-$P1177</f>
        <v>-10760181</v>
      </c>
      <c r="AD1177" s="48" t="n">
        <f aca="false">$AC1177*$I1177</f>
        <v>-57297963825</v>
      </c>
      <c r="AE1177" s="49" t="n">
        <f aca="false">IF($Q1177&gt;0,$O1177*$I1177/$Q1177/1000000,"")</f>
        <v>152.021669927827</v>
      </c>
      <c r="AF1177" s="49" t="n">
        <f aca="false">IF($R1177&gt;0,$P1177*$I1177/$R1177/1000000,"")</f>
        <v>208.680461728656</v>
      </c>
      <c r="AG1177" s="50" t="n">
        <f aca="false">IF(AND(ISNUMBER($AE1177),ISNUMBER($AF1177),$AF1177&gt;0),$AE1177/$AF1177,"")</f>
        <v>0.728490193420687</v>
      </c>
      <c r="AH1177" s="48" t="n">
        <f aca="false">IF($U1177&gt;=5,SUM(INDEX($AD$1147:$AD1177,32-5):$AD1177),"")</f>
        <v>-264778198158</v>
      </c>
      <c r="AI1177" s="48" t="n">
        <f aca="false">IF($U1177&gt;=STRUCT_S,MAX(INDEX($G$1027:$G1177,152-STRUCT_S):$G1177),"")</f>
        <v>6051</v>
      </c>
      <c r="AJ1177" s="48" t="n">
        <f aca="false">IF($U1177&gt;=STRUCT_S,MIN(INDEX($H$1027:$H1177,152-STRUCT_S):$H1177),"")</f>
        <v>5124</v>
      </c>
      <c r="AK1177" s="48" t="n">
        <f aca="false">IF($U1177&gt;=STRUCT_L,MAX(INDEX($G$927:$G1177,252-STRUCT_L):$G1177),"")</f>
        <v>6217</v>
      </c>
      <c r="AL1177" s="48" t="n">
        <f aca="false">IF($U1177&gt;=STRUCT_L,MIN(INDEX($H$927:$H1177,252-STRUCT_L):$H1177),"")</f>
        <v>5124</v>
      </c>
      <c r="AM1177" s="46" t="n">
        <f aca="false">IF($A1177&lt;&gt;$A1178,1,0)</f>
        <v>0</v>
      </c>
      <c r="AN1177" s="47" t="str">
        <f aca="false">IF($AM1177=1,$A1177,"")</f>
        <v/>
      </c>
    </row>
    <row r="1178" customFormat="false" ht="15" hidden="false" customHeight="false" outlineLevel="0" collapsed="false">
      <c r="A1178" s="43" t="s">
        <v>152</v>
      </c>
      <c r="B1178" s="44" t="s">
        <v>154</v>
      </c>
      <c r="C1178" s="45" t="n">
        <v>46091</v>
      </c>
      <c r="D1178" s="46" t="n">
        <v>20260310</v>
      </c>
      <c r="E1178" s="47" t="s">
        <v>421</v>
      </c>
      <c r="F1178" s="48" t="n">
        <v>5394</v>
      </c>
      <c r="G1178" s="48" t="n">
        <v>5402</v>
      </c>
      <c r="H1178" s="48" t="n">
        <v>4991</v>
      </c>
      <c r="I1178" s="48" t="n">
        <v>5064</v>
      </c>
      <c r="J1178" s="48" t="n">
        <v>5221</v>
      </c>
      <c r="K1178" s="48" t="n">
        <v>5325</v>
      </c>
      <c r="L1178" s="48" t="n">
        <v>100496856</v>
      </c>
      <c r="M1178" s="48" t="n">
        <v>508916078784</v>
      </c>
      <c r="N1178" s="48" t="n">
        <v>8359</v>
      </c>
      <c r="O1178" s="48" t="n">
        <v>30008019</v>
      </c>
      <c r="P1178" s="48" t="n">
        <v>69288675</v>
      </c>
      <c r="Q1178" s="48" t="n">
        <v>2538</v>
      </c>
      <c r="R1178" s="48" t="n">
        <v>5118</v>
      </c>
      <c r="S1178" s="48" t="n">
        <v>70488837</v>
      </c>
      <c r="T1178" s="48" t="n">
        <v>31208181</v>
      </c>
      <c r="U1178" s="46" t="n">
        <f aca="false">IF($A1178=$A1177,$U1177+1,1)</f>
        <v>134</v>
      </c>
      <c r="V1178" s="48" t="n">
        <f aca="false">IF($U1178&gt;=MA_SHORT,AVERAGE(INDEX($I$778:$I1178,402-MA_SHORT):$I1178),"")</f>
        <v>5373.65</v>
      </c>
      <c r="W1178" s="48" t="n">
        <f aca="false">IF($U1178&gt;=MA_MED,AVERAGE(INDEX($I$778:$I1178,402-MA_MED):$I1178),"")</f>
        <v>5655.96</v>
      </c>
      <c r="X1178" s="48" t="n">
        <f aca="false">IF($U1178&gt;=MA_LONG1,AVERAGE(INDEX($I$778:$I1178,402-MA_LONG1):$I1178),"")</f>
        <v>5464.27</v>
      </c>
      <c r="Y1178" s="48" t="str">
        <f aca="false">IF($U1178&gt;=MA_LONG2,AVERAGE(INDEX($I$778:$I1178,402-MA_LONG2):$I1178),"")</f>
        <v/>
      </c>
      <c r="Z1178" s="48" t="n">
        <f aca="false">IF($U1178&gt;=MA_SHORT,AVERAGE(INDEX($L$1058:$L1178,122-MA_SHORT):$L1178),"")</f>
        <v>95389543.95</v>
      </c>
      <c r="AA1178" s="48" t="n">
        <f aca="false">IF($U1178=1,$G1178-$H1178,MAX($G1178-$H1178,ABS($G1178-$I1177),ABS($H1178-$I1177)))</f>
        <v>411</v>
      </c>
      <c r="AB1178" s="48" t="n">
        <f aca="false">IF($U1178&gt;=ATR_PER,AVERAGE(INDEX($AA$1058:$AA1178,122-ATR_PER):$AA1178),"")</f>
        <v>183.714285714286</v>
      </c>
      <c r="AC1178" s="48" t="n">
        <f aca="false">$O1178-$P1178</f>
        <v>-39280656</v>
      </c>
      <c r="AD1178" s="48" t="n">
        <f aca="false">$AC1178*$I1178</f>
        <v>-198917241984</v>
      </c>
      <c r="AE1178" s="49" t="n">
        <f aca="false">IF($Q1178&gt;0,$O1178*$I1178/$Q1178/1000000,"")</f>
        <v>59.8741561134752</v>
      </c>
      <c r="AF1178" s="49" t="n">
        <f aca="false">IF($R1178&gt;0,$P1178*$I1178/$R1178/1000000,"")</f>
        <v>68.5576104337632</v>
      </c>
      <c r="AG1178" s="50" t="n">
        <f aca="false">IF(AND(ISNUMBER($AE1178),ISNUMBER($AF1178),$AF1178&gt;0),$AE1178/$AF1178,"")</f>
        <v>0.873340767489592</v>
      </c>
      <c r="AH1178" s="48" t="n">
        <f aca="false">IF($U1178&gt;=5,SUM(INDEX($AD$1148:$AD1178,32-5):$AD1178),"")</f>
        <v>-289290676686</v>
      </c>
      <c r="AI1178" s="48" t="n">
        <f aca="false">IF($U1178&gt;=STRUCT_S,MAX(INDEX($G$1028:$G1178,152-STRUCT_S):$G1178),"")</f>
        <v>6051</v>
      </c>
      <c r="AJ1178" s="48" t="n">
        <f aca="false">IF($U1178&gt;=STRUCT_S,MIN(INDEX($H$1028:$H1178,152-STRUCT_S):$H1178),"")</f>
        <v>4991</v>
      </c>
      <c r="AK1178" s="48" t="n">
        <f aca="false">IF($U1178&gt;=STRUCT_L,MAX(INDEX($G$928:$G1178,252-STRUCT_L):$G1178),"")</f>
        <v>6217</v>
      </c>
      <c r="AL1178" s="48" t="n">
        <f aca="false">IF($U1178&gt;=STRUCT_L,MIN(INDEX($H$928:$H1178,252-STRUCT_L):$H1178),"")</f>
        <v>4991</v>
      </c>
      <c r="AM1178" s="46" t="n">
        <f aca="false">IF($A1178&lt;&gt;$A1179,1,0)</f>
        <v>0</v>
      </c>
      <c r="AN1178" s="47" t="str">
        <f aca="false">IF($AM1178=1,$A1178,"")</f>
        <v/>
      </c>
    </row>
    <row r="1179" customFormat="false" ht="15" hidden="false" customHeight="false" outlineLevel="0" collapsed="false">
      <c r="A1179" s="43" t="s">
        <v>152</v>
      </c>
      <c r="B1179" s="44" t="s">
        <v>154</v>
      </c>
      <c r="C1179" s="45" t="n">
        <v>46092</v>
      </c>
      <c r="D1179" s="46" t="n">
        <v>20260311</v>
      </c>
      <c r="E1179" s="47" t="s">
        <v>422</v>
      </c>
      <c r="F1179" s="48" t="n">
        <v>5099</v>
      </c>
      <c r="G1179" s="48" t="n">
        <v>5125</v>
      </c>
      <c r="H1179" s="48" t="n">
        <v>5015</v>
      </c>
      <c r="I1179" s="48" t="n">
        <v>5076</v>
      </c>
      <c r="J1179" s="48" t="n">
        <v>5068</v>
      </c>
      <c r="K1179" s="48" t="n">
        <v>5064</v>
      </c>
      <c r="L1179" s="48" t="n">
        <v>78762802</v>
      </c>
      <c r="M1179" s="48" t="n">
        <v>399799982952</v>
      </c>
      <c r="N1179" s="48" t="n">
        <v>2823</v>
      </c>
      <c r="O1179" s="48" t="n">
        <v>42452480</v>
      </c>
      <c r="P1179" s="48" t="n">
        <v>33403665</v>
      </c>
      <c r="Q1179" s="48" t="n">
        <v>1091</v>
      </c>
      <c r="R1179" s="48" t="n">
        <v>1077</v>
      </c>
      <c r="S1179" s="48" t="n">
        <v>36310322</v>
      </c>
      <c r="T1179" s="48" t="n">
        <v>45359137</v>
      </c>
      <c r="U1179" s="46" t="n">
        <f aca="false">IF($A1179=$A1178,$U1178+1,1)</f>
        <v>135</v>
      </c>
      <c r="V1179" s="48" t="n">
        <f aca="false">IF($U1179&gt;=MA_SHORT,AVERAGE(INDEX($I$779:$I1179,402-MA_SHORT):$I1179),"")</f>
        <v>5336.55</v>
      </c>
      <c r="W1179" s="48" t="n">
        <f aca="false">IF($U1179&gt;=MA_MED,AVERAGE(INDEX($I$779:$I1179,402-MA_MED):$I1179),"")</f>
        <v>5642.14</v>
      </c>
      <c r="X1179" s="48" t="n">
        <f aca="false">IF($U1179&gt;=MA_LONG1,AVERAGE(INDEX($I$779:$I1179,402-MA_LONG1):$I1179),"")</f>
        <v>5464.24</v>
      </c>
      <c r="Y1179" s="48" t="str">
        <f aca="false">IF($U1179&gt;=MA_LONG2,AVERAGE(INDEX($I$779:$I1179,402-MA_LONG2):$I1179),"")</f>
        <v/>
      </c>
      <c r="Z1179" s="48" t="n">
        <f aca="false">IF($U1179&gt;=MA_SHORT,AVERAGE(INDEX($L$1059:$L1179,122-MA_SHORT):$L1179),"")</f>
        <v>95019770.9</v>
      </c>
      <c r="AA1179" s="48" t="n">
        <f aca="false">IF($U1179=1,$G1179-$H1179,MAX($G1179-$H1179,ABS($G1179-$I1178),ABS($H1179-$I1178)))</f>
        <v>110</v>
      </c>
      <c r="AB1179" s="48" t="n">
        <f aca="false">IF($U1179&gt;=ATR_PER,AVERAGE(INDEX($AA$1059:$AA1179,122-ATR_PER):$AA1179),"")</f>
        <v>183.214285714286</v>
      </c>
      <c r="AC1179" s="48" t="n">
        <f aca="false">$O1179-$P1179</f>
        <v>9048815</v>
      </c>
      <c r="AD1179" s="48" t="n">
        <f aca="false">$AC1179*$I1179</f>
        <v>45931784940</v>
      </c>
      <c r="AE1179" s="49" t="n">
        <f aca="false">IF($Q1179&gt;0,$O1179*$I1179/$Q1179/1000000,"")</f>
        <v>197.514929862511</v>
      </c>
      <c r="AF1179" s="49" t="n">
        <f aca="false">IF($R1179&gt;0,$P1179*$I1179/$R1179/1000000,"")</f>
        <v>157.43454367688</v>
      </c>
      <c r="AG1179" s="50" t="n">
        <f aca="false">IF(AND(ISNUMBER($AE1179),ISNUMBER($AF1179),$AF1179&gt;0),$AE1179/$AF1179,"")</f>
        <v>1.25458444665036</v>
      </c>
      <c r="AH1179" s="48" t="n">
        <f aca="false">IF($U1179&gt;=5,SUM(INDEX($AD$1149:$AD1179,32-5):$AD1179),"")</f>
        <v>-194667790044</v>
      </c>
      <c r="AI1179" s="48" t="n">
        <f aca="false">IF($U1179&gt;=STRUCT_S,MAX(INDEX($G$1029:$G1179,152-STRUCT_S):$G1179),"")</f>
        <v>5885</v>
      </c>
      <c r="AJ1179" s="48" t="n">
        <f aca="false">IF($U1179&gt;=STRUCT_S,MIN(INDEX($H$1029:$H1179,152-STRUCT_S):$H1179),"")</f>
        <v>4991</v>
      </c>
      <c r="AK1179" s="48" t="n">
        <f aca="false">IF($U1179&gt;=STRUCT_L,MAX(INDEX($G$929:$G1179,252-STRUCT_L):$G1179),"")</f>
        <v>6217</v>
      </c>
      <c r="AL1179" s="48" t="n">
        <f aca="false">IF($U1179&gt;=STRUCT_L,MIN(INDEX($H$929:$H1179,252-STRUCT_L):$H1179),"")</f>
        <v>4991</v>
      </c>
      <c r="AM1179" s="46" t="n">
        <f aca="false">IF($A1179&lt;&gt;$A1180,1,0)</f>
        <v>0</v>
      </c>
      <c r="AN1179" s="47" t="str">
        <f aca="false">IF($AM1179=1,$A1179,"")</f>
        <v/>
      </c>
    </row>
    <row r="1180" customFormat="false" ht="15" hidden="false" customHeight="false" outlineLevel="0" collapsed="false">
      <c r="A1180" s="43" t="s">
        <v>152</v>
      </c>
      <c r="B1180" s="44" t="s">
        <v>154</v>
      </c>
      <c r="C1180" s="45" t="n">
        <v>46095</v>
      </c>
      <c r="D1180" s="46" t="n">
        <v>20260314</v>
      </c>
      <c r="E1180" s="47" t="s">
        <v>423</v>
      </c>
      <c r="F1180" s="48" t="n">
        <v>5141</v>
      </c>
      <c r="G1180" s="48" t="n">
        <v>5204</v>
      </c>
      <c r="H1180" s="48" t="n">
        <v>5041</v>
      </c>
      <c r="I1180" s="48" t="n">
        <v>5168</v>
      </c>
      <c r="J1180" s="48" t="n">
        <v>5176</v>
      </c>
      <c r="K1180" s="48" t="n">
        <v>5076</v>
      </c>
      <c r="L1180" s="48" t="n">
        <v>86103799</v>
      </c>
      <c r="M1180" s="48" t="n">
        <v>444984433232</v>
      </c>
      <c r="N1180" s="48" t="n">
        <v>3165</v>
      </c>
      <c r="O1180" s="48" t="n">
        <v>40013593</v>
      </c>
      <c r="P1180" s="48" t="n">
        <v>48548897</v>
      </c>
      <c r="Q1180" s="48" t="n">
        <v>1298</v>
      </c>
      <c r="R1180" s="48" t="n">
        <v>1181</v>
      </c>
      <c r="S1180" s="48" t="n">
        <v>46090206</v>
      </c>
      <c r="T1180" s="48" t="n">
        <v>37554902</v>
      </c>
      <c r="U1180" s="46" t="n">
        <f aca="false">IF($A1180=$A1179,$U1179+1,1)</f>
        <v>136</v>
      </c>
      <c r="V1180" s="48" t="n">
        <f aca="false">IF($U1180&gt;=MA_SHORT,AVERAGE(INDEX($I$780:$I1180,402-MA_SHORT):$I1180),"")</f>
        <v>5306.4</v>
      </c>
      <c r="W1180" s="48" t="n">
        <f aca="false">IF($U1180&gt;=MA_MED,AVERAGE(INDEX($I$780:$I1180,402-MA_MED):$I1180),"")</f>
        <v>5630.08</v>
      </c>
      <c r="X1180" s="48" t="n">
        <f aca="false">IF($U1180&gt;=MA_LONG1,AVERAGE(INDEX($I$780:$I1180,402-MA_LONG1):$I1180),"")</f>
        <v>5465.89</v>
      </c>
      <c r="Y1180" s="48" t="str">
        <f aca="false">IF($U1180&gt;=MA_LONG2,AVERAGE(INDEX($I$780:$I1180,402-MA_LONG2):$I1180),"")</f>
        <v/>
      </c>
      <c r="Z1180" s="48" t="n">
        <f aca="false">IF($U1180&gt;=MA_SHORT,AVERAGE(INDEX($L$1060:$L1180,122-MA_SHORT):$L1180),"")</f>
        <v>95253821.55</v>
      </c>
      <c r="AA1180" s="48" t="n">
        <f aca="false">IF($U1180=1,$G1180-$H1180,MAX($G1180-$H1180,ABS($G1180-$I1179),ABS($H1180-$I1179)))</f>
        <v>163</v>
      </c>
      <c r="AB1180" s="48" t="n">
        <f aca="false">IF($U1180&gt;=ATR_PER,AVERAGE(INDEX($AA$1060:$AA1180,122-ATR_PER):$AA1180),"")</f>
        <v>180.928571428571</v>
      </c>
      <c r="AC1180" s="48" t="n">
        <f aca="false">$O1180-$P1180</f>
        <v>-8535304</v>
      </c>
      <c r="AD1180" s="48" t="n">
        <f aca="false">$AC1180*$I1180</f>
        <v>-44110451072</v>
      </c>
      <c r="AE1180" s="49" t="n">
        <f aca="false">IF($Q1180&gt;0,$O1180*$I1180/$Q1180/1000000,"")</f>
        <v>159.314521281972</v>
      </c>
      <c r="AF1180" s="49" t="n">
        <f aca="false">IF($R1180&gt;0,$P1180*$I1180/$R1180/1000000,"")</f>
        <v>212.447671207451</v>
      </c>
      <c r="AG1180" s="50" t="n">
        <f aca="false">IF(AND(ISNUMBER($AE1180),ISNUMBER($AF1180),$AF1180&gt;0),$AE1180/$AF1180,"")</f>
        <v>0.7499000595135</v>
      </c>
      <c r="AH1180" s="48" t="n">
        <f aca="false">IF($U1180&gt;=5,SUM(INDEX($AD$1150:$AD1180,32-5):$AD1180),"")</f>
        <v>-383887104701</v>
      </c>
      <c r="AI1180" s="48" t="n">
        <f aca="false">IF($U1180&gt;=STRUCT_S,MAX(INDEX($G$1030:$G1180,152-STRUCT_S):$G1180),"")</f>
        <v>5842</v>
      </c>
      <c r="AJ1180" s="48" t="n">
        <f aca="false">IF($U1180&gt;=STRUCT_S,MIN(INDEX($H$1030:$H1180,152-STRUCT_S):$H1180),"")</f>
        <v>4991</v>
      </c>
      <c r="AK1180" s="48" t="n">
        <f aca="false">IF($U1180&gt;=STRUCT_L,MAX(INDEX($G$930:$G1180,252-STRUCT_L):$G1180),"")</f>
        <v>6217</v>
      </c>
      <c r="AL1180" s="48" t="n">
        <f aca="false">IF($U1180&gt;=STRUCT_L,MIN(INDEX($H$930:$H1180,252-STRUCT_L):$H1180),"")</f>
        <v>4991</v>
      </c>
      <c r="AM1180" s="46" t="n">
        <f aca="false">IF($A1180&lt;&gt;$A1181,1,0)</f>
        <v>0</v>
      </c>
      <c r="AN1180" s="47" t="str">
        <f aca="false">IF($AM1180=1,$A1180,"")</f>
        <v/>
      </c>
    </row>
    <row r="1181" customFormat="false" ht="15" hidden="false" customHeight="false" outlineLevel="0" collapsed="false">
      <c r="A1181" s="43" t="s">
        <v>152</v>
      </c>
      <c r="B1181" s="44" t="s">
        <v>154</v>
      </c>
      <c r="C1181" s="45" t="n">
        <v>46096</v>
      </c>
      <c r="D1181" s="46" t="n">
        <v>20260315</v>
      </c>
      <c r="E1181" s="47" t="s">
        <v>424</v>
      </c>
      <c r="F1181" s="48" t="n">
        <v>5085</v>
      </c>
      <c r="G1181" s="48" t="n">
        <v>5275</v>
      </c>
      <c r="H1181" s="48" t="n">
        <v>4920</v>
      </c>
      <c r="I1181" s="48" t="n">
        <v>5024</v>
      </c>
      <c r="J1181" s="48" t="n">
        <v>4943</v>
      </c>
      <c r="K1181" s="48" t="n">
        <v>5168</v>
      </c>
      <c r="L1181" s="48" t="n">
        <v>90641830</v>
      </c>
      <c r="M1181" s="48" t="n">
        <v>455384553920</v>
      </c>
      <c r="N1181" s="48" t="n">
        <v>2260</v>
      </c>
      <c r="O1181" s="48" t="n">
        <v>40183922</v>
      </c>
      <c r="P1181" s="48" t="n">
        <v>53806881</v>
      </c>
      <c r="Q1181" s="48" t="n">
        <v>585</v>
      </c>
      <c r="R1181" s="48" t="n">
        <v>825</v>
      </c>
      <c r="S1181" s="48" t="n">
        <v>50457908</v>
      </c>
      <c r="T1181" s="48" t="n">
        <v>36834949</v>
      </c>
      <c r="U1181" s="46" t="n">
        <f aca="false">IF($A1181=$A1180,$U1180+1,1)</f>
        <v>137</v>
      </c>
      <c r="V1181" s="48" t="n">
        <f aca="false">IF($U1181&gt;=MA_SHORT,AVERAGE(INDEX($I$781:$I1181,402-MA_SHORT):$I1181),"")</f>
        <v>5277</v>
      </c>
      <c r="W1181" s="48" t="n">
        <f aca="false">IF($U1181&gt;=MA_MED,AVERAGE(INDEX($I$781:$I1181,402-MA_MED):$I1181),"")</f>
        <v>5612.76</v>
      </c>
      <c r="X1181" s="48" t="n">
        <f aca="false">IF($U1181&gt;=MA_LONG1,AVERAGE(INDEX($I$781:$I1181,402-MA_LONG1):$I1181),"")</f>
        <v>5466.84</v>
      </c>
      <c r="Y1181" s="48" t="str">
        <f aca="false">IF($U1181&gt;=MA_LONG2,AVERAGE(INDEX($I$781:$I1181,402-MA_LONG2):$I1181),"")</f>
        <v/>
      </c>
      <c r="Z1181" s="48" t="n">
        <f aca="false">IF($U1181&gt;=MA_SHORT,AVERAGE(INDEX($L$1061:$L1181,122-MA_SHORT):$L1181),"")</f>
        <v>92795364.55</v>
      </c>
      <c r="AA1181" s="48" t="n">
        <f aca="false">IF($U1181=1,$G1181-$H1181,MAX($G1181-$H1181,ABS($G1181-$I1180),ABS($H1181-$I1180)))</f>
        <v>355</v>
      </c>
      <c r="AB1181" s="48" t="n">
        <f aca="false">IF($U1181&gt;=ATR_PER,AVERAGE(INDEX($AA$1061:$AA1181,122-ATR_PER):$AA1181),"")</f>
        <v>188.714285714286</v>
      </c>
      <c r="AC1181" s="48" t="n">
        <f aca="false">$O1181-$P1181</f>
        <v>-13622959</v>
      </c>
      <c r="AD1181" s="48" t="n">
        <f aca="false">$AC1181*$I1181</f>
        <v>-68441746016</v>
      </c>
      <c r="AE1181" s="49" t="n">
        <f aca="false">IF($Q1181&gt;0,$O1181*$I1181/$Q1181/1000000,"")</f>
        <v>345.100895945299</v>
      </c>
      <c r="AF1181" s="49" t="n">
        <f aca="false">IF($R1181&gt;0,$P1181*$I1181/$R1181/1000000,"")</f>
        <v>327.667600174545</v>
      </c>
      <c r="AG1181" s="50" t="n">
        <f aca="false">IF(AND(ISNUMBER($AE1181),ISNUMBER($AF1181),$AF1181&gt;0),$AE1181/$AF1181,"")</f>
        <v>1.05320420988058</v>
      </c>
      <c r="AH1181" s="48" t="n">
        <f aca="false">IF($U1181&gt;=5,SUM(INDEX($AD$1151:$AD1181,32-5):$AD1181),"")</f>
        <v>-322835617957</v>
      </c>
      <c r="AI1181" s="48" t="n">
        <f aca="false">IF($U1181&gt;=STRUCT_S,MAX(INDEX($G$1031:$G1181,152-STRUCT_S):$G1181),"")</f>
        <v>5748</v>
      </c>
      <c r="AJ1181" s="48" t="n">
        <f aca="false">IF($U1181&gt;=STRUCT_S,MIN(INDEX($H$1031:$H1181,152-STRUCT_S):$H1181),"")</f>
        <v>4920</v>
      </c>
      <c r="AK1181" s="48" t="n">
        <f aca="false">IF($U1181&gt;=STRUCT_L,MAX(INDEX($G$931:$G1181,252-STRUCT_L):$G1181),"")</f>
        <v>6217</v>
      </c>
      <c r="AL1181" s="48" t="n">
        <f aca="false">IF($U1181&gt;=STRUCT_L,MIN(INDEX($H$931:$H1181,252-STRUCT_L):$H1181),"")</f>
        <v>4920</v>
      </c>
      <c r="AM1181" s="46" t="n">
        <f aca="false">IF($A1181&lt;&gt;$A1182,1,0)</f>
        <v>0</v>
      </c>
      <c r="AN1181" s="47" t="str">
        <f aca="false">IF($AM1181=1,$A1181,"")</f>
        <v/>
      </c>
    </row>
    <row r="1182" customFormat="false" ht="15" hidden="false" customHeight="false" outlineLevel="0" collapsed="false">
      <c r="A1182" s="43" t="s">
        <v>152</v>
      </c>
      <c r="B1182" s="44" t="s">
        <v>154</v>
      </c>
      <c r="C1182" s="45" t="n">
        <v>46097</v>
      </c>
      <c r="D1182" s="46" t="n">
        <v>20260316</v>
      </c>
      <c r="E1182" s="47" t="s">
        <v>425</v>
      </c>
      <c r="F1182" s="48" t="n">
        <v>5024</v>
      </c>
      <c r="G1182" s="48" t="n">
        <v>5145</v>
      </c>
      <c r="H1182" s="48" t="n">
        <v>4943</v>
      </c>
      <c r="I1182" s="48" t="n">
        <v>5063</v>
      </c>
      <c r="J1182" s="48" t="n">
        <v>4991</v>
      </c>
      <c r="K1182" s="48" t="n">
        <v>5024</v>
      </c>
      <c r="L1182" s="48" t="n">
        <v>81275713</v>
      </c>
      <c r="M1182" s="48" t="n">
        <v>411498934919</v>
      </c>
      <c r="N1182" s="48" t="n">
        <v>2736</v>
      </c>
      <c r="O1182" s="48" t="n">
        <v>33454311</v>
      </c>
      <c r="P1182" s="48" t="n">
        <v>50790143</v>
      </c>
      <c r="Q1182" s="48" t="n">
        <v>1320</v>
      </c>
      <c r="R1182" s="48" t="n">
        <v>911</v>
      </c>
      <c r="S1182" s="48" t="n">
        <v>47821402</v>
      </c>
      <c r="T1182" s="48" t="n">
        <v>30485570</v>
      </c>
      <c r="U1182" s="46" t="n">
        <f aca="false">IF($A1182=$A1181,$U1181+1,1)</f>
        <v>138</v>
      </c>
      <c r="V1182" s="48" t="n">
        <f aca="false">IF($U1182&gt;=MA_SHORT,AVERAGE(INDEX($I$782:$I1182,402-MA_SHORT):$I1182),"")</f>
        <v>5259.25</v>
      </c>
      <c r="W1182" s="48" t="n">
        <f aca="false">IF($U1182&gt;=MA_MED,AVERAGE(INDEX($I$782:$I1182,402-MA_MED):$I1182),"")</f>
        <v>5594.32</v>
      </c>
      <c r="X1182" s="48" t="n">
        <f aca="false">IF($U1182&gt;=MA_LONG1,AVERAGE(INDEX($I$782:$I1182,402-MA_LONG1):$I1182),"")</f>
        <v>5467.38</v>
      </c>
      <c r="Y1182" s="48" t="str">
        <f aca="false">IF($U1182&gt;=MA_LONG2,AVERAGE(INDEX($I$782:$I1182,402-MA_LONG2):$I1182),"")</f>
        <v/>
      </c>
      <c r="Z1182" s="48" t="n">
        <f aca="false">IF($U1182&gt;=MA_SHORT,AVERAGE(INDEX($L$1062:$L1182,122-MA_SHORT):$L1182),"")</f>
        <v>92170848.2</v>
      </c>
      <c r="AA1182" s="48" t="n">
        <f aca="false">IF($U1182=1,$G1182-$H1182,MAX($G1182-$H1182,ABS($G1182-$I1181),ABS($H1182-$I1181)))</f>
        <v>202</v>
      </c>
      <c r="AB1182" s="48" t="n">
        <f aca="false">IF($U1182&gt;=ATR_PER,AVERAGE(INDEX($AA$1062:$AA1182,122-ATR_PER):$AA1182),"")</f>
        <v>193</v>
      </c>
      <c r="AC1182" s="48" t="n">
        <f aca="false">$O1182-$P1182</f>
        <v>-17335832</v>
      </c>
      <c r="AD1182" s="48" t="n">
        <f aca="false">$AC1182*$I1182</f>
        <v>-87771317416</v>
      </c>
      <c r="AE1182" s="49" t="n">
        <f aca="false">IF($Q1182&gt;0,$O1182*$I1182/$Q1182/1000000,"")</f>
        <v>128.317558025</v>
      </c>
      <c r="AF1182" s="49" t="n">
        <f aca="false">IF($R1182&gt;0,$P1182*$I1182/$R1182/1000000,"")</f>
        <v>282.272770591658</v>
      </c>
      <c r="AG1182" s="50" t="n">
        <f aca="false">IF(AND(ISNUMBER($AE1182),ISNUMBER($AF1182),$AF1182&gt;0),$AE1182/$AF1182,"")</f>
        <v>0.454587092322225</v>
      </c>
      <c r="AH1182" s="48" t="n">
        <f aca="false">IF($U1182&gt;=5,SUM(INDEX($AD$1152:$AD1182,32-5):$AD1182),"")</f>
        <v>-353308971548</v>
      </c>
      <c r="AI1182" s="48" t="n">
        <f aca="false">IF($U1182&gt;=STRUCT_S,MAX(INDEX($G$1032:$G1182,152-STRUCT_S):$G1182),"")</f>
        <v>5516</v>
      </c>
      <c r="AJ1182" s="48" t="n">
        <f aca="false">IF($U1182&gt;=STRUCT_S,MIN(INDEX($H$1032:$H1182,152-STRUCT_S):$H1182),"")</f>
        <v>4920</v>
      </c>
      <c r="AK1182" s="48" t="n">
        <f aca="false">IF($U1182&gt;=STRUCT_L,MAX(INDEX($G$932:$G1182,252-STRUCT_L):$G1182),"")</f>
        <v>6217</v>
      </c>
      <c r="AL1182" s="48" t="n">
        <f aca="false">IF($U1182&gt;=STRUCT_L,MIN(INDEX($H$932:$H1182,252-STRUCT_L):$H1182),"")</f>
        <v>4920</v>
      </c>
      <c r="AM1182" s="46" t="n">
        <f aca="false">IF($A1182&lt;&gt;$A1183,1,0)</f>
        <v>0</v>
      </c>
      <c r="AN1182" s="47" t="str">
        <f aca="false">IF($AM1182=1,$A1182,"")</f>
        <v/>
      </c>
    </row>
    <row r="1183" customFormat="false" ht="15" hidden="false" customHeight="false" outlineLevel="0" collapsed="false">
      <c r="A1183" s="43" t="s">
        <v>152</v>
      </c>
      <c r="B1183" s="44" t="s">
        <v>154</v>
      </c>
      <c r="C1183" s="45" t="n">
        <v>46098</v>
      </c>
      <c r="D1183" s="46" t="n">
        <v>20260317</v>
      </c>
      <c r="E1183" s="47" t="s">
        <v>426</v>
      </c>
      <c r="F1183" s="48" t="n">
        <v>5077</v>
      </c>
      <c r="G1183" s="48" t="n">
        <v>5090</v>
      </c>
      <c r="H1183" s="48" t="n">
        <v>4988</v>
      </c>
      <c r="I1183" s="48" t="n">
        <v>5015</v>
      </c>
      <c r="J1183" s="48" t="n">
        <v>5055</v>
      </c>
      <c r="K1183" s="48" t="n">
        <v>5063</v>
      </c>
      <c r="L1183" s="48" t="n">
        <v>95417644</v>
      </c>
      <c r="M1183" s="48" t="n">
        <v>478519484660</v>
      </c>
      <c r="N1183" s="48" t="n">
        <v>7023</v>
      </c>
      <c r="O1183" s="48" t="n">
        <v>32932388</v>
      </c>
      <c r="P1183" s="48" t="n">
        <v>59612529</v>
      </c>
      <c r="Q1183" s="48" t="n">
        <v>2519</v>
      </c>
      <c r="R1183" s="48" t="n">
        <v>4180</v>
      </c>
      <c r="S1183" s="48" t="n">
        <v>62485256</v>
      </c>
      <c r="T1183" s="48" t="n">
        <v>35805115</v>
      </c>
      <c r="U1183" s="46" t="n">
        <f aca="false">IF($A1183=$A1182,$U1182+1,1)</f>
        <v>139</v>
      </c>
      <c r="V1183" s="48" t="n">
        <f aca="false">IF($U1183&gt;=MA_SHORT,AVERAGE(INDEX($I$783:$I1183,402-MA_SHORT):$I1183),"")</f>
        <v>5239.2</v>
      </c>
      <c r="W1183" s="48" t="n">
        <f aca="false">IF($U1183&gt;=MA_MED,AVERAGE(INDEX($I$783:$I1183,402-MA_MED):$I1183),"")</f>
        <v>5573.68</v>
      </c>
      <c r="X1183" s="48" t="n">
        <f aca="false">IF($U1183&gt;=MA_LONG1,AVERAGE(INDEX($I$783:$I1183,402-MA_LONG1):$I1183),"")</f>
        <v>5466.51</v>
      </c>
      <c r="Y1183" s="48" t="str">
        <f aca="false">IF($U1183&gt;=MA_LONG2,AVERAGE(INDEX($I$783:$I1183,402-MA_LONG2):$I1183),"")</f>
        <v/>
      </c>
      <c r="Z1183" s="48" t="n">
        <f aca="false">IF($U1183&gt;=MA_SHORT,AVERAGE(INDEX($L$1063:$L1183,122-MA_SHORT):$L1183),"")</f>
        <v>90112743.6</v>
      </c>
      <c r="AA1183" s="48" t="n">
        <f aca="false">IF($U1183=1,$G1183-$H1183,MAX($G1183-$H1183,ABS($G1183-$I1182),ABS($H1183-$I1182)))</f>
        <v>102</v>
      </c>
      <c r="AB1183" s="48" t="n">
        <f aca="false">IF($U1183&gt;=ATR_PER,AVERAGE(INDEX($AA$1063:$AA1183,122-ATR_PER):$AA1183),"")</f>
        <v>183.928571428571</v>
      </c>
      <c r="AC1183" s="48" t="n">
        <f aca="false">$O1183-$P1183</f>
        <v>-26680141</v>
      </c>
      <c r="AD1183" s="48" t="n">
        <f aca="false">$AC1183*$I1183</f>
        <v>-133800907115</v>
      </c>
      <c r="AE1183" s="49" t="n">
        <f aca="false">IF($Q1183&gt;0,$O1183*$I1183/$Q1183/1000000,"")</f>
        <v>65.5640832949583</v>
      </c>
      <c r="AF1183" s="49" t="n">
        <f aca="false">IF($R1183&gt;0,$P1183*$I1183/$R1183/1000000,"")</f>
        <v>71.5207734294258</v>
      </c>
      <c r="AG1183" s="50" t="n">
        <f aca="false">IF(AND(ISNUMBER($AE1183),ISNUMBER($AF1183),$AF1183&gt;0),$AE1183/$AF1183,"")</f>
        <v>0.916713846217766</v>
      </c>
      <c r="AH1183" s="48" t="n">
        <f aca="false">IF($U1183&gt;=5,SUM(INDEX($AD$1153:$AD1183,32-5):$AD1183),"")</f>
        <v>-288192636679</v>
      </c>
      <c r="AI1183" s="48" t="n">
        <f aca="false">IF($U1183&gt;=STRUCT_S,MAX(INDEX($G$1033:$G1183,152-STRUCT_S):$G1183),"")</f>
        <v>5516</v>
      </c>
      <c r="AJ1183" s="48" t="n">
        <f aca="false">IF($U1183&gt;=STRUCT_S,MIN(INDEX($H$1033:$H1183,152-STRUCT_S):$H1183),"")</f>
        <v>4920</v>
      </c>
      <c r="AK1183" s="48" t="n">
        <f aca="false">IF($U1183&gt;=STRUCT_L,MAX(INDEX($G$933:$G1183,252-STRUCT_L):$G1183),"")</f>
        <v>6217</v>
      </c>
      <c r="AL1183" s="48" t="n">
        <f aca="false">IF($U1183&gt;=STRUCT_L,MIN(INDEX($H$933:$H1183,252-STRUCT_L):$H1183),"")</f>
        <v>4920</v>
      </c>
      <c r="AM1183" s="46" t="n">
        <f aca="false">IF($A1183&lt;&gt;$A1184,1,0)</f>
        <v>0</v>
      </c>
      <c r="AN1183" s="47" t="str">
        <f aca="false">IF($AM1183=1,$A1183,"")</f>
        <v/>
      </c>
    </row>
    <row r="1184" customFormat="false" ht="15" hidden="false" customHeight="false" outlineLevel="0" collapsed="false">
      <c r="A1184" s="43" t="s">
        <v>152</v>
      </c>
      <c r="B1184" s="44" t="s">
        <v>154</v>
      </c>
      <c r="C1184" s="45" t="n">
        <v>46099</v>
      </c>
      <c r="D1184" s="46" t="n">
        <v>20260318</v>
      </c>
      <c r="E1184" s="47" t="s">
        <v>427</v>
      </c>
      <c r="F1184" s="48" t="n">
        <v>4928</v>
      </c>
      <c r="G1184" s="48" t="n">
        <v>5077</v>
      </c>
      <c r="H1184" s="48" t="n">
        <v>4860</v>
      </c>
      <c r="I1184" s="48" t="n">
        <v>4920</v>
      </c>
      <c r="J1184" s="48" t="n">
        <v>4918</v>
      </c>
      <c r="K1184" s="48" t="n">
        <v>5015</v>
      </c>
      <c r="L1184" s="48" t="n">
        <v>94233916</v>
      </c>
      <c r="M1184" s="48" t="n">
        <v>463630866720</v>
      </c>
      <c r="N1184" s="48" t="n">
        <v>8761</v>
      </c>
      <c r="O1184" s="48" t="n">
        <v>36062720</v>
      </c>
      <c r="P1184" s="48" t="n">
        <v>49493864</v>
      </c>
      <c r="Q1184" s="48" t="n">
        <v>2999</v>
      </c>
      <c r="R1184" s="48" t="n">
        <v>5302</v>
      </c>
      <c r="S1184" s="48" t="n">
        <v>58171196</v>
      </c>
      <c r="T1184" s="48" t="n">
        <v>44740052</v>
      </c>
      <c r="U1184" s="46" t="n">
        <f aca="false">IF($A1184=$A1183,$U1183+1,1)</f>
        <v>140</v>
      </c>
      <c r="V1184" s="48" t="n">
        <f aca="false">IF($U1184&gt;=MA_SHORT,AVERAGE(INDEX($I$784:$I1184,402-MA_SHORT):$I1184),"")</f>
        <v>5220.95</v>
      </c>
      <c r="W1184" s="48" t="n">
        <f aca="false">IF($U1184&gt;=MA_MED,AVERAGE(INDEX($I$784:$I1184,402-MA_MED):$I1184),"")</f>
        <v>5555.58</v>
      </c>
      <c r="X1184" s="48" t="n">
        <f aca="false">IF($U1184&gt;=MA_LONG1,AVERAGE(INDEX($I$784:$I1184,402-MA_LONG1):$I1184),"")</f>
        <v>5464.84</v>
      </c>
      <c r="Y1184" s="48" t="str">
        <f aca="false">IF($U1184&gt;=MA_LONG2,AVERAGE(INDEX($I$784:$I1184,402-MA_LONG2):$I1184),"")</f>
        <v/>
      </c>
      <c r="Z1184" s="48" t="n">
        <f aca="false">IF($U1184&gt;=MA_SHORT,AVERAGE(INDEX($L$1064:$L1184,122-MA_SHORT):$L1184),"")</f>
        <v>90377994.15</v>
      </c>
      <c r="AA1184" s="48" t="n">
        <f aca="false">IF($U1184=1,$G1184-$H1184,MAX($G1184-$H1184,ABS($G1184-$I1183),ABS($H1184-$I1183)))</f>
        <v>217</v>
      </c>
      <c r="AB1184" s="48" t="n">
        <f aca="false">IF($U1184&gt;=ATR_PER,AVERAGE(INDEX($AA$1064:$AA1184,122-ATR_PER):$AA1184),"")</f>
        <v>196</v>
      </c>
      <c r="AC1184" s="48" t="n">
        <f aca="false">$O1184-$P1184</f>
        <v>-13431144</v>
      </c>
      <c r="AD1184" s="48" t="n">
        <f aca="false">$AC1184*$I1184</f>
        <v>-66081228480</v>
      </c>
      <c r="AE1184" s="49" t="n">
        <f aca="false">IF($Q1184&gt;0,$O1184*$I1184/$Q1184/1000000,"")</f>
        <v>59.1625816605535</v>
      </c>
      <c r="AF1184" s="49" t="n">
        <f aca="false">IF($R1184&gt;0,$P1184*$I1184/$R1184/1000000,"")</f>
        <v>45.9279160467748</v>
      </c>
      <c r="AG1184" s="50" t="n">
        <f aca="false">IF(AND(ISNUMBER($AE1184),ISNUMBER($AF1184),$AF1184&gt;0),$AE1184/$AF1184,"")</f>
        <v>1.28816168363267</v>
      </c>
      <c r="AH1184" s="48" t="n">
        <f aca="false">IF($U1184&gt;=5,SUM(INDEX($AD$1154:$AD1184,32-5):$AD1184),"")</f>
        <v>-400205650099</v>
      </c>
      <c r="AI1184" s="48" t="n">
        <f aca="false">IF($U1184&gt;=STRUCT_S,MAX(INDEX($G$1034:$G1184,152-STRUCT_S):$G1184),"")</f>
        <v>5516</v>
      </c>
      <c r="AJ1184" s="48" t="n">
        <f aca="false">IF($U1184&gt;=STRUCT_S,MIN(INDEX($H$1034:$H1184,152-STRUCT_S):$H1184),"")</f>
        <v>4860</v>
      </c>
      <c r="AK1184" s="48" t="n">
        <f aca="false">IF($U1184&gt;=STRUCT_L,MAX(INDEX($G$934:$G1184,252-STRUCT_L):$G1184),"")</f>
        <v>6217</v>
      </c>
      <c r="AL1184" s="48" t="n">
        <f aca="false">IF($U1184&gt;=STRUCT_L,MIN(INDEX($H$934:$H1184,252-STRUCT_L):$H1184),"")</f>
        <v>4860</v>
      </c>
      <c r="AM1184" s="46" t="n">
        <f aca="false">IF($A1184&lt;&gt;$A1185,1,0)</f>
        <v>0</v>
      </c>
      <c r="AN1184" s="47" t="str">
        <f aca="false">IF($AM1184=1,$A1184,"")</f>
        <v/>
      </c>
    </row>
    <row r="1185" customFormat="false" ht="15" hidden="false" customHeight="false" outlineLevel="0" collapsed="false">
      <c r="A1185" s="43" t="s">
        <v>152</v>
      </c>
      <c r="B1185" s="44" t="s">
        <v>154</v>
      </c>
      <c r="C1185" s="45" t="n">
        <v>46102</v>
      </c>
      <c r="D1185" s="46" t="n">
        <v>20260321</v>
      </c>
      <c r="E1185" s="47" t="s">
        <v>428</v>
      </c>
      <c r="F1185" s="48" t="n">
        <v>4908</v>
      </c>
      <c r="G1185" s="48" t="n">
        <v>4934</v>
      </c>
      <c r="H1185" s="48" t="n">
        <v>4876</v>
      </c>
      <c r="I1185" s="48" t="n">
        <v>4890</v>
      </c>
      <c r="J1185" s="48" t="n">
        <v>4922</v>
      </c>
      <c r="K1185" s="48" t="n">
        <v>4920</v>
      </c>
      <c r="L1185" s="48" t="n">
        <v>80499821</v>
      </c>
      <c r="M1185" s="48" t="n">
        <v>393644124690</v>
      </c>
      <c r="N1185" s="48" t="n">
        <v>2415</v>
      </c>
      <c r="O1185" s="48" t="n">
        <v>28811911</v>
      </c>
      <c r="P1185" s="48" t="n">
        <v>52081417</v>
      </c>
      <c r="Q1185" s="48" t="n">
        <v>767</v>
      </c>
      <c r="R1185" s="48" t="n">
        <v>1411</v>
      </c>
      <c r="S1185" s="48" t="n">
        <v>51687910</v>
      </c>
      <c r="T1185" s="48" t="n">
        <v>28418404</v>
      </c>
      <c r="U1185" s="46" t="n">
        <f aca="false">IF($A1185=$A1184,$U1184+1,1)</f>
        <v>141</v>
      </c>
      <c r="V1185" s="48" t="n">
        <f aca="false">IF($U1185&gt;=MA_SHORT,AVERAGE(INDEX($I$785:$I1185,402-MA_SHORT):$I1185),"")</f>
        <v>5202.25</v>
      </c>
      <c r="W1185" s="48" t="n">
        <f aca="false">IF($U1185&gt;=MA_MED,AVERAGE(INDEX($I$785:$I1185,402-MA_MED):$I1185),"")</f>
        <v>5537.56</v>
      </c>
      <c r="X1185" s="48" t="n">
        <f aca="false">IF($U1185&gt;=MA_LONG1,AVERAGE(INDEX($I$785:$I1185,402-MA_LONG1):$I1185),"")</f>
        <v>5461.16</v>
      </c>
      <c r="Y1185" s="48" t="str">
        <f aca="false">IF($U1185&gt;=MA_LONG2,AVERAGE(INDEX($I$785:$I1185,402-MA_LONG2):$I1185),"")</f>
        <v/>
      </c>
      <c r="Z1185" s="48" t="n">
        <f aca="false">IF($U1185&gt;=MA_SHORT,AVERAGE(INDEX($L$1065:$L1185,122-MA_SHORT):$L1185),"")</f>
        <v>90427479.45</v>
      </c>
      <c r="AA1185" s="48" t="n">
        <f aca="false">IF($U1185=1,$G1185-$H1185,MAX($G1185-$H1185,ABS($G1185-$I1184),ABS($H1185-$I1184)))</f>
        <v>58</v>
      </c>
      <c r="AB1185" s="48" t="n">
        <f aca="false">IF($U1185&gt;=ATR_PER,AVERAGE(INDEX($AA$1065:$AA1185,122-ATR_PER):$AA1185),"")</f>
        <v>189.714285714286</v>
      </c>
      <c r="AC1185" s="48" t="n">
        <f aca="false">$O1185-$P1185</f>
        <v>-23269506</v>
      </c>
      <c r="AD1185" s="48" t="n">
        <f aca="false">$AC1185*$I1185</f>
        <v>-113787884340</v>
      </c>
      <c r="AE1185" s="49" t="n">
        <f aca="false">IF($Q1185&gt;0,$O1185*$I1185/$Q1185/1000000,"")</f>
        <v>183.69001928292</v>
      </c>
      <c r="AF1185" s="49" t="n">
        <f aca="false">IF($R1185&gt;0,$P1185*$I1185/$R1185/1000000,"")</f>
        <v>180.494776137491</v>
      </c>
      <c r="AG1185" s="50" t="n">
        <f aca="false">IF(AND(ISNUMBER($AE1185),ISNUMBER($AF1185),$AF1185&gt;0),$AE1185/$AF1185,"")</f>
        <v>1.01770269042576</v>
      </c>
      <c r="AH1185" s="48" t="n">
        <f aca="false">IF($U1185&gt;=5,SUM(INDEX($AD$1155:$AD1185,32-5):$AD1185),"")</f>
        <v>-469883083367</v>
      </c>
      <c r="AI1185" s="48" t="n">
        <f aca="false">IF($U1185&gt;=STRUCT_S,MAX(INDEX($G$1035:$G1185,152-STRUCT_S):$G1185),"")</f>
        <v>5516</v>
      </c>
      <c r="AJ1185" s="48" t="n">
        <f aca="false">IF($U1185&gt;=STRUCT_S,MIN(INDEX($H$1035:$H1185,152-STRUCT_S):$H1185),"")</f>
        <v>4860</v>
      </c>
      <c r="AK1185" s="48" t="n">
        <f aca="false">IF($U1185&gt;=STRUCT_L,MAX(INDEX($G$935:$G1185,252-STRUCT_L):$G1185),"")</f>
        <v>6217</v>
      </c>
      <c r="AL1185" s="48" t="n">
        <f aca="false">IF($U1185&gt;=STRUCT_L,MIN(INDEX($H$935:$H1185,252-STRUCT_L):$H1185),"")</f>
        <v>4860</v>
      </c>
      <c r="AM1185" s="46" t="n">
        <f aca="false">IF($A1185&lt;&gt;$A1186,1,0)</f>
        <v>0</v>
      </c>
      <c r="AN1185" s="47" t="str">
        <f aca="false">IF($AM1185=1,$A1185,"")</f>
        <v/>
      </c>
    </row>
    <row r="1186" customFormat="false" ht="15" hidden="false" customHeight="false" outlineLevel="0" collapsed="false">
      <c r="A1186" s="43" t="s">
        <v>152</v>
      </c>
      <c r="B1186" s="44" t="s">
        <v>154</v>
      </c>
      <c r="C1186" s="45" t="n">
        <v>46103</v>
      </c>
      <c r="D1186" s="46" t="n">
        <v>20260322</v>
      </c>
      <c r="E1186" s="47" t="s">
        <v>429</v>
      </c>
      <c r="F1186" s="48" t="n">
        <v>4852</v>
      </c>
      <c r="G1186" s="48" t="n">
        <v>4989</v>
      </c>
      <c r="H1186" s="48" t="n">
        <v>4851</v>
      </c>
      <c r="I1186" s="48" t="n">
        <v>4950</v>
      </c>
      <c r="J1186" s="48" t="n">
        <v>4883</v>
      </c>
      <c r="K1186" s="48" t="n">
        <v>4890</v>
      </c>
      <c r="L1186" s="48" t="n">
        <v>83375852</v>
      </c>
      <c r="M1186" s="48" t="n">
        <v>412710467400</v>
      </c>
      <c r="N1186" s="48" t="n">
        <v>2087</v>
      </c>
      <c r="O1186" s="48" t="n">
        <v>40243529</v>
      </c>
      <c r="P1186" s="48" t="n">
        <v>49220898</v>
      </c>
      <c r="Q1186" s="48" t="n">
        <v>1011</v>
      </c>
      <c r="R1186" s="48" t="n">
        <v>733</v>
      </c>
      <c r="S1186" s="48" t="n">
        <v>43132323</v>
      </c>
      <c r="T1186" s="48" t="n">
        <v>34154954</v>
      </c>
      <c r="U1186" s="46" t="n">
        <f aca="false">IF($A1186=$A1185,$U1185+1,1)</f>
        <v>142</v>
      </c>
      <c r="V1186" s="48" t="n">
        <f aca="false">IF($U1186&gt;=MA_SHORT,AVERAGE(INDEX($I$786:$I1186,402-MA_SHORT):$I1186),"")</f>
        <v>5190.15</v>
      </c>
      <c r="W1186" s="48" t="n">
        <f aca="false">IF($U1186&gt;=MA_MED,AVERAGE(INDEX($I$786:$I1186,402-MA_MED):$I1186),"")</f>
        <v>5525.08</v>
      </c>
      <c r="X1186" s="48" t="n">
        <f aca="false">IF($U1186&gt;=MA_LONG1,AVERAGE(INDEX($I$786:$I1186,402-MA_LONG1):$I1186),"")</f>
        <v>5458.12</v>
      </c>
      <c r="Y1186" s="48" t="str">
        <f aca="false">IF($U1186&gt;=MA_LONG2,AVERAGE(INDEX($I$786:$I1186,402-MA_LONG2):$I1186),"")</f>
        <v/>
      </c>
      <c r="Z1186" s="48" t="n">
        <f aca="false">IF($U1186&gt;=MA_SHORT,AVERAGE(INDEX($L$1066:$L1186,122-MA_SHORT):$L1186),"")</f>
        <v>90394679.4</v>
      </c>
      <c r="AA1186" s="48" t="n">
        <f aca="false">IF($U1186=1,$G1186-$H1186,MAX($G1186-$H1186,ABS($G1186-$I1185),ABS($H1186-$I1185)))</f>
        <v>138</v>
      </c>
      <c r="AB1186" s="48" t="n">
        <f aca="false">IF($U1186&gt;=ATR_PER,AVERAGE(INDEX($AA$1066:$AA1186,122-ATR_PER):$AA1186),"")</f>
        <v>182.214285714286</v>
      </c>
      <c r="AC1186" s="48" t="n">
        <f aca="false">$O1186-$P1186</f>
        <v>-8977369</v>
      </c>
      <c r="AD1186" s="48" t="n">
        <f aca="false">$AC1186*$I1186</f>
        <v>-44437976550</v>
      </c>
      <c r="AE1186" s="49" t="n">
        <f aca="false">IF($Q1186&gt;0,$O1186*$I1186/$Q1186/1000000,"")</f>
        <v>197.03805</v>
      </c>
      <c r="AF1186" s="49" t="n">
        <f aca="false">IF($R1186&gt;0,$P1186*$I1186/$R1186/1000000,"")</f>
        <v>332.392148840382</v>
      </c>
      <c r="AG1186" s="50" t="n">
        <f aca="false">IF(AND(ISNUMBER($AE1186),ISNUMBER($AF1186),$AF1186&gt;0),$AE1186/$AF1186,"")</f>
        <v>0.59278791838919</v>
      </c>
      <c r="AH1186" s="48" t="n">
        <f aca="false">IF($U1186&gt;=5,SUM(INDEX($AD$1156:$AD1186,32-5):$AD1186),"")</f>
        <v>-445879313901</v>
      </c>
      <c r="AI1186" s="48" t="n">
        <f aca="false">IF($U1186&gt;=STRUCT_S,MAX(INDEX($G$1036:$G1186,152-STRUCT_S):$G1186),"")</f>
        <v>5516</v>
      </c>
      <c r="AJ1186" s="48" t="n">
        <f aca="false">IF($U1186&gt;=STRUCT_S,MIN(INDEX($H$1036:$H1186,152-STRUCT_S):$H1186),"")</f>
        <v>4851</v>
      </c>
      <c r="AK1186" s="48" t="n">
        <f aca="false">IF($U1186&gt;=STRUCT_L,MAX(INDEX($G$936:$G1186,252-STRUCT_L):$G1186),"")</f>
        <v>6217</v>
      </c>
      <c r="AL1186" s="48" t="n">
        <f aca="false">IF($U1186&gt;=STRUCT_L,MIN(INDEX($H$936:$H1186,252-STRUCT_L):$H1186),"")</f>
        <v>4851</v>
      </c>
      <c r="AM1186" s="46" t="n">
        <f aca="false">IF($A1186&lt;&gt;$A1187,1,0)</f>
        <v>0</v>
      </c>
      <c r="AN1186" s="47" t="str">
        <f aca="false">IF($AM1186=1,$A1186,"")</f>
        <v/>
      </c>
    </row>
    <row r="1187" customFormat="false" ht="15" hidden="false" customHeight="false" outlineLevel="0" collapsed="false">
      <c r="A1187" s="43" t="s">
        <v>152</v>
      </c>
      <c r="B1187" s="44" t="s">
        <v>154</v>
      </c>
      <c r="C1187" s="45" t="n">
        <v>46104</v>
      </c>
      <c r="D1187" s="46" t="n">
        <v>20260323</v>
      </c>
      <c r="E1187" s="47" t="s">
        <v>430</v>
      </c>
      <c r="F1187" s="48" t="n">
        <v>4953</v>
      </c>
      <c r="G1187" s="48" t="n">
        <v>4994</v>
      </c>
      <c r="H1187" s="48" t="n">
        <v>4784</v>
      </c>
      <c r="I1187" s="48" t="n">
        <v>4827</v>
      </c>
      <c r="J1187" s="48" t="n">
        <v>4963</v>
      </c>
      <c r="K1187" s="48" t="n">
        <v>4950</v>
      </c>
      <c r="L1187" s="48" t="n">
        <v>131924657</v>
      </c>
      <c r="M1187" s="48" t="n">
        <v>636800319339</v>
      </c>
      <c r="N1187" s="48" t="n">
        <v>13252</v>
      </c>
      <c r="O1187" s="48" t="n">
        <v>44831681</v>
      </c>
      <c r="P1187" s="48" t="n">
        <v>86664000</v>
      </c>
      <c r="Q1187" s="48" t="n">
        <v>4283</v>
      </c>
      <c r="R1187" s="48" t="n">
        <v>6288</v>
      </c>
      <c r="S1187" s="48" t="n">
        <v>87092976</v>
      </c>
      <c r="T1187" s="48" t="n">
        <v>45260657</v>
      </c>
      <c r="U1187" s="46" t="n">
        <f aca="false">IF($A1187=$A1186,$U1186+1,1)</f>
        <v>143</v>
      </c>
      <c r="V1187" s="48" t="n">
        <f aca="false">IF($U1187&gt;=MA_SHORT,AVERAGE(INDEX($I$787:$I1187,402-MA_SHORT):$I1187),"")</f>
        <v>5166.5</v>
      </c>
      <c r="W1187" s="48" t="n">
        <f aca="false">IF($U1187&gt;=MA_MED,AVERAGE(INDEX($I$787:$I1187,402-MA_MED):$I1187),"")</f>
        <v>5509.06</v>
      </c>
      <c r="X1187" s="48" t="n">
        <f aca="false">IF($U1187&gt;=MA_LONG1,AVERAGE(INDEX($I$787:$I1187,402-MA_LONG1):$I1187),"")</f>
        <v>5453.88</v>
      </c>
      <c r="Y1187" s="48" t="str">
        <f aca="false">IF($U1187&gt;=MA_LONG2,AVERAGE(INDEX($I$787:$I1187,402-MA_LONG2):$I1187),"")</f>
        <v/>
      </c>
      <c r="Z1187" s="48" t="n">
        <f aca="false">IF($U1187&gt;=MA_SHORT,AVERAGE(INDEX($L$1067:$L1187,122-MA_SHORT):$L1187),"")</f>
        <v>90771154.1</v>
      </c>
      <c r="AA1187" s="48" t="n">
        <f aca="false">IF($U1187=1,$G1187-$H1187,MAX($G1187-$H1187,ABS($G1187-$I1186),ABS($H1187-$I1186)))</f>
        <v>210</v>
      </c>
      <c r="AB1187" s="48" t="n">
        <f aca="false">IF($U1187&gt;=ATR_PER,AVERAGE(INDEX($AA$1067:$AA1187,122-ATR_PER):$AA1187),"")</f>
        <v>189</v>
      </c>
      <c r="AC1187" s="48" t="n">
        <f aca="false">$O1187-$P1187</f>
        <v>-41832319</v>
      </c>
      <c r="AD1187" s="48" t="n">
        <f aca="false">$AC1187*$I1187</f>
        <v>-201924603813</v>
      </c>
      <c r="AE1187" s="49" t="n">
        <f aca="false">IF($Q1187&gt;0,$O1187*$I1187/$Q1187/1000000,"")</f>
        <v>50.5259220609386</v>
      </c>
      <c r="AF1187" s="49" t="n">
        <f aca="false">IF($R1187&gt;0,$P1187*$I1187/$R1187/1000000,"")</f>
        <v>66.5278511450382</v>
      </c>
      <c r="AG1187" s="50" t="n">
        <f aca="false">IF(AND(ISNUMBER($AE1187),ISNUMBER($AF1187),$AF1187&gt;0),$AE1187/$AF1187,"")</f>
        <v>0.759470224745219</v>
      </c>
      <c r="AH1187" s="48" t="n">
        <f aca="false">IF($U1187&gt;=5,SUM(INDEX($AD$1157:$AD1187,32-5):$AD1187),"")</f>
        <v>-560032600298</v>
      </c>
      <c r="AI1187" s="48" t="n">
        <f aca="false">IF($U1187&gt;=STRUCT_S,MAX(INDEX($G$1037:$G1187,152-STRUCT_S):$G1187),"")</f>
        <v>5516</v>
      </c>
      <c r="AJ1187" s="48" t="n">
        <f aca="false">IF($U1187&gt;=STRUCT_S,MIN(INDEX($H$1037:$H1187,152-STRUCT_S):$H1187),"")</f>
        <v>4784</v>
      </c>
      <c r="AK1187" s="48" t="n">
        <f aca="false">IF($U1187&gt;=STRUCT_L,MAX(INDEX($G$937:$G1187,252-STRUCT_L):$G1187),"")</f>
        <v>6217</v>
      </c>
      <c r="AL1187" s="48" t="n">
        <f aca="false">IF($U1187&gt;=STRUCT_L,MIN(INDEX($H$937:$H1187,252-STRUCT_L):$H1187),"")</f>
        <v>4784</v>
      </c>
      <c r="AM1187" s="46" t="n">
        <f aca="false">IF($A1187&lt;&gt;$A1188,1,0)</f>
        <v>0</v>
      </c>
      <c r="AN1187" s="47" t="str">
        <f aca="false">IF($AM1187=1,$A1187,"")</f>
        <v/>
      </c>
    </row>
    <row r="1188" customFormat="false" ht="15" hidden="false" customHeight="false" outlineLevel="0" collapsed="false">
      <c r="A1188" s="43" t="s">
        <v>152</v>
      </c>
      <c r="B1188" s="44" t="s">
        <v>154</v>
      </c>
      <c r="C1188" s="45" t="n">
        <v>46105</v>
      </c>
      <c r="D1188" s="46" t="n">
        <v>20260324</v>
      </c>
      <c r="E1188" s="47" t="s">
        <v>431</v>
      </c>
      <c r="F1188" s="48" t="n">
        <v>4809</v>
      </c>
      <c r="G1188" s="48" t="n">
        <v>4850</v>
      </c>
      <c r="H1188" s="48" t="n">
        <v>4802</v>
      </c>
      <c r="I1188" s="48" t="n">
        <v>4825</v>
      </c>
      <c r="J1188" s="48" t="n">
        <v>4848</v>
      </c>
      <c r="K1188" s="48" t="n">
        <v>4827</v>
      </c>
      <c r="L1188" s="48" t="n">
        <v>89762613</v>
      </c>
      <c r="M1188" s="48" t="n">
        <v>433104607725</v>
      </c>
      <c r="N1188" s="48" t="n">
        <v>8796</v>
      </c>
      <c r="O1188" s="48" t="n">
        <v>32424590</v>
      </c>
      <c r="P1188" s="48" t="n">
        <v>55218414</v>
      </c>
      <c r="Q1188" s="48" t="n">
        <v>3940</v>
      </c>
      <c r="R1188" s="48" t="n">
        <v>5061</v>
      </c>
      <c r="S1188" s="48" t="n">
        <v>57338023</v>
      </c>
      <c r="T1188" s="48" t="n">
        <v>34544199</v>
      </c>
      <c r="U1188" s="46" t="n">
        <f aca="false">IF($A1188=$A1187,$U1187+1,1)</f>
        <v>144</v>
      </c>
      <c r="V1188" s="48" t="n">
        <f aca="false">IF($U1188&gt;=MA_SHORT,AVERAGE(INDEX($I$788:$I1188,402-MA_SHORT):$I1188),"")</f>
        <v>5138.95</v>
      </c>
      <c r="W1188" s="48" t="n">
        <f aca="false">IF($U1188&gt;=MA_MED,AVERAGE(INDEX($I$788:$I1188,402-MA_MED):$I1188),"")</f>
        <v>5490.88</v>
      </c>
      <c r="X1188" s="48" t="n">
        <f aca="false">IF($U1188&gt;=MA_LONG1,AVERAGE(INDEX($I$788:$I1188,402-MA_LONG1):$I1188),"")</f>
        <v>5447.68</v>
      </c>
      <c r="Y1188" s="48" t="str">
        <f aca="false">IF($U1188&gt;=MA_LONG2,AVERAGE(INDEX($I$788:$I1188,402-MA_LONG2):$I1188),"")</f>
        <v/>
      </c>
      <c r="Z1188" s="48" t="n">
        <f aca="false">IF($U1188&gt;=MA_SHORT,AVERAGE(INDEX($L$1068:$L1188,122-MA_SHORT):$L1188),"")</f>
        <v>89774469.85</v>
      </c>
      <c r="AA1188" s="48" t="n">
        <f aca="false">IF($U1188=1,$G1188-$H1188,MAX($G1188-$H1188,ABS($G1188-$I1187),ABS($H1188-$I1187)))</f>
        <v>48</v>
      </c>
      <c r="AB1188" s="48" t="n">
        <f aca="false">IF($U1188&gt;=ATR_PER,AVERAGE(INDEX($AA$1068:$AA1188,122-ATR_PER):$AA1188),"")</f>
        <v>184.928571428571</v>
      </c>
      <c r="AC1188" s="48" t="n">
        <f aca="false">$O1188-$P1188</f>
        <v>-22793824</v>
      </c>
      <c r="AD1188" s="48" t="n">
        <f aca="false">$AC1188*$I1188</f>
        <v>-109980200800</v>
      </c>
      <c r="AE1188" s="49" t="n">
        <f aca="false">IF($Q1188&gt;0,$O1188*$I1188/$Q1188/1000000,"")</f>
        <v>39.7077783629442</v>
      </c>
      <c r="AF1188" s="49" t="n">
        <f aca="false">IF($R1188&gt;0,$P1188*$I1188/$R1188/1000000,"")</f>
        <v>52.6435185832839</v>
      </c>
      <c r="AG1188" s="50" t="n">
        <f aca="false">IF(AND(ISNUMBER($AE1188),ISNUMBER($AF1188),$AF1188&gt;0),$AE1188/$AF1188,"")</f>
        <v>0.754276678906351</v>
      </c>
      <c r="AH1188" s="48" t="n">
        <f aca="false">IF($U1188&gt;=5,SUM(INDEX($AD$1158:$AD1188,32-5):$AD1188),"")</f>
        <v>-536211893983</v>
      </c>
      <c r="AI1188" s="48" t="n">
        <f aca="false">IF($U1188&gt;=STRUCT_S,MAX(INDEX($G$1038:$G1188,152-STRUCT_S):$G1188),"")</f>
        <v>5516</v>
      </c>
      <c r="AJ1188" s="48" t="n">
        <f aca="false">IF($U1188&gt;=STRUCT_S,MIN(INDEX($H$1038:$H1188,152-STRUCT_S):$H1188),"")</f>
        <v>4784</v>
      </c>
      <c r="AK1188" s="48" t="n">
        <f aca="false">IF($U1188&gt;=STRUCT_L,MAX(INDEX($G$938:$G1188,252-STRUCT_L):$G1188),"")</f>
        <v>6217</v>
      </c>
      <c r="AL1188" s="48" t="n">
        <f aca="false">IF($U1188&gt;=STRUCT_L,MIN(INDEX($H$938:$H1188,252-STRUCT_L):$H1188),"")</f>
        <v>4784</v>
      </c>
      <c r="AM1188" s="46" t="n">
        <f aca="false">IF($A1188&lt;&gt;$A1189,1,0)</f>
        <v>0</v>
      </c>
      <c r="AN1188" s="47" t="str">
        <f aca="false">IF($AM1188=1,$A1188,"")</f>
        <v/>
      </c>
    </row>
    <row r="1189" customFormat="false" ht="15" hidden="false" customHeight="false" outlineLevel="0" collapsed="false">
      <c r="A1189" s="43" t="s">
        <v>152</v>
      </c>
      <c r="B1189" s="44" t="s">
        <v>154</v>
      </c>
      <c r="C1189" s="45" t="n">
        <v>46106</v>
      </c>
      <c r="D1189" s="46" t="n">
        <v>20260325</v>
      </c>
      <c r="E1189" s="47" t="s">
        <v>432</v>
      </c>
      <c r="F1189" s="48" t="n">
        <v>4887</v>
      </c>
      <c r="G1189" s="48" t="n">
        <v>4905</v>
      </c>
      <c r="H1189" s="48" t="n">
        <v>4777</v>
      </c>
      <c r="I1189" s="48" t="n">
        <v>4857</v>
      </c>
      <c r="J1189" s="48" t="n">
        <v>4812</v>
      </c>
      <c r="K1189" s="48" t="n">
        <v>4825</v>
      </c>
      <c r="L1189" s="48" t="n">
        <v>80748901</v>
      </c>
      <c r="M1189" s="48" t="n">
        <v>392197412157</v>
      </c>
      <c r="N1189" s="48" t="n">
        <v>4232</v>
      </c>
      <c r="O1189" s="48" t="n">
        <v>42623478</v>
      </c>
      <c r="P1189" s="48" t="n">
        <v>42310285</v>
      </c>
      <c r="Q1189" s="48" t="n">
        <v>1793</v>
      </c>
      <c r="R1189" s="48" t="n">
        <v>1874</v>
      </c>
      <c r="S1189" s="48" t="n">
        <v>38125423</v>
      </c>
      <c r="T1189" s="48" t="n">
        <v>38438616</v>
      </c>
      <c r="U1189" s="46" t="n">
        <f aca="false">IF($A1189=$A1188,$U1188+1,1)</f>
        <v>145</v>
      </c>
      <c r="V1189" s="48" t="n">
        <f aca="false">IF($U1189&gt;=MA_SHORT,AVERAGE(INDEX($I$789:$I1189,402-MA_SHORT):$I1189),"")</f>
        <v>5113.65</v>
      </c>
      <c r="W1189" s="48" t="n">
        <f aca="false">IF($U1189&gt;=MA_MED,AVERAGE(INDEX($I$789:$I1189,402-MA_MED):$I1189),"")</f>
        <v>5473.48</v>
      </c>
      <c r="X1189" s="48" t="n">
        <f aca="false">IF($U1189&gt;=MA_LONG1,AVERAGE(INDEX($I$789:$I1189,402-MA_LONG1):$I1189),"")</f>
        <v>5444.1</v>
      </c>
      <c r="Y1189" s="48" t="str">
        <f aca="false">IF($U1189&gt;=MA_LONG2,AVERAGE(INDEX($I$789:$I1189,402-MA_LONG2):$I1189),"")</f>
        <v/>
      </c>
      <c r="Z1189" s="48" t="n">
        <f aca="false">IF($U1189&gt;=MA_SHORT,AVERAGE(INDEX($L$1069:$L1189,122-MA_SHORT):$L1189),"")</f>
        <v>89872645.2</v>
      </c>
      <c r="AA1189" s="48" t="n">
        <f aca="false">IF($U1189=1,$G1189-$H1189,MAX($G1189-$H1189,ABS($G1189-$I1188),ABS($H1189-$I1188)))</f>
        <v>128</v>
      </c>
      <c r="AB1189" s="48" t="n">
        <f aca="false">IF($U1189&gt;=ATR_PER,AVERAGE(INDEX($AA$1069:$AA1189,122-ATR_PER):$AA1189),"")</f>
        <v>178.714285714286</v>
      </c>
      <c r="AC1189" s="48" t="n">
        <f aca="false">$O1189-$P1189</f>
        <v>313193</v>
      </c>
      <c r="AD1189" s="48" t="n">
        <f aca="false">$AC1189*$I1189</f>
        <v>1521178401</v>
      </c>
      <c r="AE1189" s="49" t="n">
        <f aca="false">IF($Q1189&gt;0,$O1189*$I1189/$Q1189/1000000,"")</f>
        <v>115.461367900725</v>
      </c>
      <c r="AF1189" s="49" t="n">
        <f aca="false">IF($R1189&gt;0,$P1189*$I1189/$R1189/1000000,"")</f>
        <v>109.659047089114</v>
      </c>
      <c r="AG1189" s="50" t="n">
        <f aca="false">IF(AND(ISNUMBER($AE1189),ISNUMBER($AF1189),$AF1189&gt;0),$AE1189/$AF1189,"")</f>
        <v>1.05291237673163</v>
      </c>
      <c r="AH1189" s="48" t="n">
        <f aca="false">IF($U1189&gt;=5,SUM(INDEX($AD$1159:$AD1189,32-5):$AD1189),"")</f>
        <v>-468609487102</v>
      </c>
      <c r="AI1189" s="48" t="n">
        <f aca="false">IF($U1189&gt;=STRUCT_S,MAX(INDEX($G$1039:$G1189,152-STRUCT_S):$G1189),"")</f>
        <v>5516</v>
      </c>
      <c r="AJ1189" s="48" t="n">
        <f aca="false">IF($U1189&gt;=STRUCT_S,MIN(INDEX($H$1039:$H1189,152-STRUCT_S):$H1189),"")</f>
        <v>4777</v>
      </c>
      <c r="AK1189" s="48" t="n">
        <f aca="false">IF($U1189&gt;=STRUCT_L,MAX(INDEX($G$939:$G1189,252-STRUCT_L):$G1189),"")</f>
        <v>6217</v>
      </c>
      <c r="AL1189" s="48" t="n">
        <f aca="false">IF($U1189&gt;=STRUCT_L,MIN(INDEX($H$939:$H1189,252-STRUCT_L):$H1189),"")</f>
        <v>4777</v>
      </c>
      <c r="AM1189" s="46" t="n">
        <f aca="false">IF($A1189&lt;&gt;$A1190,1,0)</f>
        <v>0</v>
      </c>
      <c r="AN1189" s="47" t="str">
        <f aca="false">IF($AM1189=1,$A1189,"")</f>
        <v/>
      </c>
    </row>
    <row r="1190" customFormat="false" ht="15" hidden="false" customHeight="false" outlineLevel="0" collapsed="false">
      <c r="A1190" s="43" t="s">
        <v>152</v>
      </c>
      <c r="B1190" s="44" t="s">
        <v>154</v>
      </c>
      <c r="C1190" s="45" t="n">
        <v>46109</v>
      </c>
      <c r="D1190" s="46" t="n">
        <v>20260328</v>
      </c>
      <c r="E1190" s="47" t="s">
        <v>433</v>
      </c>
      <c r="F1190" s="48" t="n">
        <v>4898</v>
      </c>
      <c r="G1190" s="48" t="n">
        <v>4981</v>
      </c>
      <c r="H1190" s="48" t="n">
        <v>4808</v>
      </c>
      <c r="I1190" s="48" t="n">
        <v>4931</v>
      </c>
      <c r="J1190" s="48" t="n">
        <v>4934</v>
      </c>
      <c r="K1190" s="48" t="n">
        <v>4857</v>
      </c>
      <c r="L1190" s="48" t="n">
        <v>84757774</v>
      </c>
      <c r="M1190" s="48" t="n">
        <v>417940583594</v>
      </c>
      <c r="N1190" s="48" t="n">
        <v>3545</v>
      </c>
      <c r="O1190" s="48" t="n">
        <v>49796021</v>
      </c>
      <c r="P1190" s="48" t="n">
        <v>32367025</v>
      </c>
      <c r="Q1190" s="48" t="n">
        <v>1292</v>
      </c>
      <c r="R1190" s="48" t="n">
        <v>1666</v>
      </c>
      <c r="S1190" s="48" t="n">
        <v>34961753</v>
      </c>
      <c r="T1190" s="48" t="n">
        <v>52390749</v>
      </c>
      <c r="U1190" s="46" t="n">
        <f aca="false">IF($A1190=$A1189,$U1189+1,1)</f>
        <v>146</v>
      </c>
      <c r="V1190" s="48" t="n">
        <f aca="false">IF($U1190&gt;=MA_SHORT,AVERAGE(INDEX($I$790:$I1190,402-MA_SHORT):$I1190),"")</f>
        <v>5091.15</v>
      </c>
      <c r="W1190" s="48" t="n">
        <f aca="false">IF($U1190&gt;=MA_MED,AVERAGE(INDEX($I$790:$I1190,402-MA_MED):$I1190),"")</f>
        <v>5456.6</v>
      </c>
      <c r="X1190" s="48" t="n">
        <f aca="false">IF($U1190&gt;=MA_LONG1,AVERAGE(INDEX($I$790:$I1190,402-MA_LONG1):$I1190),"")</f>
        <v>5440.19</v>
      </c>
      <c r="Y1190" s="48" t="str">
        <f aca="false">IF($U1190&gt;=MA_LONG2,AVERAGE(INDEX($I$790:$I1190,402-MA_LONG2):$I1190),"")</f>
        <v/>
      </c>
      <c r="Z1190" s="48" t="n">
        <f aca="false">IF($U1190&gt;=MA_SHORT,AVERAGE(INDEX($L$1070:$L1190,122-MA_SHORT):$L1190),"")</f>
        <v>90149406.95</v>
      </c>
      <c r="AA1190" s="48" t="n">
        <f aca="false">IF($U1190=1,$G1190-$H1190,MAX($G1190-$H1190,ABS($G1190-$I1189),ABS($H1190-$I1189)))</f>
        <v>173</v>
      </c>
      <c r="AB1190" s="48" t="n">
        <f aca="false">IF($U1190&gt;=ATR_PER,AVERAGE(INDEX($AA$1070:$AA1190,122-ATR_PER):$AA1190),"")</f>
        <v>177.071428571429</v>
      </c>
      <c r="AC1190" s="48" t="n">
        <f aca="false">$O1190-$P1190</f>
        <v>17428996</v>
      </c>
      <c r="AD1190" s="48" t="n">
        <f aca="false">$AC1190*$I1190</f>
        <v>85942379276</v>
      </c>
      <c r="AE1190" s="49" t="n">
        <f aca="false">IF($Q1190&gt;0,$O1190*$I1190/$Q1190/1000000,"")</f>
        <v>190.049674575077</v>
      </c>
      <c r="AF1190" s="49" t="n">
        <f aca="false">IF($R1190&gt;0,$P1190*$I1190/$R1190/1000000,"")</f>
        <v>95.79939992497</v>
      </c>
      <c r="AG1190" s="50" t="n">
        <f aca="false">IF(AND(ISNUMBER($AE1190),ISNUMBER($AF1190),$AF1190&gt;0),$AE1190/$AF1190,"")</f>
        <v>1.9838294887434</v>
      </c>
      <c r="AH1190" s="48" t="n">
        <f aca="false">IF($U1190&gt;=5,SUM(INDEX($AD$1160:$AD1190,32-5):$AD1190),"")</f>
        <v>-268879223486</v>
      </c>
      <c r="AI1190" s="48" t="n">
        <f aca="false">IF($U1190&gt;=STRUCT_S,MAX(INDEX($G$1040:$G1190,152-STRUCT_S):$G1190),"")</f>
        <v>5516</v>
      </c>
      <c r="AJ1190" s="48" t="n">
        <f aca="false">IF($U1190&gt;=STRUCT_S,MIN(INDEX($H$1040:$H1190,152-STRUCT_S):$H1190),"")</f>
        <v>4777</v>
      </c>
      <c r="AK1190" s="48" t="n">
        <f aca="false">IF($U1190&gt;=STRUCT_L,MAX(INDEX($G$940:$G1190,252-STRUCT_L):$G1190),"")</f>
        <v>6217</v>
      </c>
      <c r="AL1190" s="48" t="n">
        <f aca="false">IF($U1190&gt;=STRUCT_L,MIN(INDEX($H$940:$H1190,252-STRUCT_L):$H1190),"")</f>
        <v>4777</v>
      </c>
      <c r="AM1190" s="46" t="n">
        <f aca="false">IF($A1190&lt;&gt;$A1191,1,0)</f>
        <v>0</v>
      </c>
      <c r="AN1190" s="47" t="str">
        <f aca="false">IF($AM1190=1,$A1190,"")</f>
        <v/>
      </c>
    </row>
    <row r="1191" customFormat="false" ht="15" hidden="false" customHeight="false" outlineLevel="0" collapsed="false">
      <c r="A1191" s="43" t="s">
        <v>152</v>
      </c>
      <c r="B1191" s="44" t="s">
        <v>154</v>
      </c>
      <c r="C1191" s="45" t="n">
        <v>46110</v>
      </c>
      <c r="D1191" s="46" t="n">
        <v>20260329</v>
      </c>
      <c r="E1191" s="47" t="s">
        <v>434</v>
      </c>
      <c r="F1191" s="48" t="n">
        <v>4853</v>
      </c>
      <c r="G1191" s="48" t="n">
        <v>4951</v>
      </c>
      <c r="H1191" s="48" t="n">
        <v>4835</v>
      </c>
      <c r="I1191" s="48" t="n">
        <v>4855</v>
      </c>
      <c r="J1191" s="48" t="n">
        <v>4891</v>
      </c>
      <c r="K1191" s="48" t="n">
        <v>4931</v>
      </c>
      <c r="L1191" s="48" t="n">
        <v>84840225</v>
      </c>
      <c r="M1191" s="48" t="n">
        <v>411899292375</v>
      </c>
      <c r="N1191" s="48" t="n">
        <v>4354</v>
      </c>
      <c r="O1191" s="48" t="n">
        <v>35422820</v>
      </c>
      <c r="P1191" s="48" t="n">
        <v>51746478</v>
      </c>
      <c r="Q1191" s="48" t="n">
        <v>1317</v>
      </c>
      <c r="R1191" s="48" t="n">
        <v>1875</v>
      </c>
      <c r="S1191" s="48" t="n">
        <v>49417405</v>
      </c>
      <c r="T1191" s="48" t="n">
        <v>33093747</v>
      </c>
      <c r="U1191" s="46" t="n">
        <f aca="false">IF($A1191=$A1190,$U1190+1,1)</f>
        <v>147</v>
      </c>
      <c r="V1191" s="48" t="n">
        <f aca="false">IF($U1191&gt;=MA_SHORT,AVERAGE(INDEX($I$791:$I1191,402-MA_SHORT):$I1191),"")</f>
        <v>5062</v>
      </c>
      <c r="W1191" s="48" t="n">
        <f aca="false">IF($U1191&gt;=MA_MED,AVERAGE(INDEX($I$791:$I1191,402-MA_MED):$I1191),"")</f>
        <v>5437.78</v>
      </c>
      <c r="X1191" s="48" t="n">
        <f aca="false">IF($U1191&gt;=MA_LONG1,AVERAGE(INDEX($I$791:$I1191,402-MA_LONG1):$I1191),"")</f>
        <v>5435.57</v>
      </c>
      <c r="Y1191" s="48" t="str">
        <f aca="false">IF($U1191&gt;=MA_LONG2,AVERAGE(INDEX($I$791:$I1191,402-MA_LONG2):$I1191),"")</f>
        <v/>
      </c>
      <c r="Z1191" s="48" t="n">
        <f aca="false">IF($U1191&gt;=MA_SHORT,AVERAGE(INDEX($L$1071:$L1191,122-MA_SHORT):$L1191),"")</f>
        <v>89807238.75</v>
      </c>
      <c r="AA1191" s="48" t="n">
        <f aca="false">IF($U1191=1,$G1191-$H1191,MAX($G1191-$H1191,ABS($G1191-$I1190),ABS($H1191-$I1190)))</f>
        <v>116</v>
      </c>
      <c r="AB1191" s="48" t="n">
        <f aca="false">IF($U1191&gt;=ATR_PER,AVERAGE(INDEX($AA$1071:$AA1191,122-ATR_PER):$AA1191),"")</f>
        <v>173.642857142857</v>
      </c>
      <c r="AC1191" s="48" t="n">
        <f aca="false">$O1191-$P1191</f>
        <v>-16323658</v>
      </c>
      <c r="AD1191" s="48" t="n">
        <f aca="false">$AC1191*$I1191</f>
        <v>-79251359590</v>
      </c>
      <c r="AE1191" s="49" t="n">
        <f aca="false">IF($Q1191&gt;0,$O1191*$I1191/$Q1191/1000000,"")</f>
        <v>130.582984889901</v>
      </c>
      <c r="AF1191" s="49" t="n">
        <f aca="false">IF($R1191&gt;0,$P1191*$I1191/$R1191/1000000,"")</f>
        <v>133.988880368</v>
      </c>
      <c r="AG1191" s="50" t="n">
        <f aca="false">IF(AND(ISNUMBER($AE1191),ISNUMBER($AF1191),$AF1191&gt;0),$AE1191/$AF1191,"")</f>
        <v>0.974580760218725</v>
      </c>
      <c r="AH1191" s="48" t="n">
        <f aca="false">IF($U1191&gt;=5,SUM(INDEX($AD$1161:$AD1191,32-5):$AD1191),"")</f>
        <v>-303692606526</v>
      </c>
      <c r="AI1191" s="48" t="n">
        <f aca="false">IF($U1191&gt;=STRUCT_S,MAX(INDEX($G$1041:$G1191,152-STRUCT_S):$G1191),"")</f>
        <v>5516</v>
      </c>
      <c r="AJ1191" s="48" t="n">
        <f aca="false">IF($U1191&gt;=STRUCT_S,MIN(INDEX($H$1041:$H1191,152-STRUCT_S):$H1191),"")</f>
        <v>4777</v>
      </c>
      <c r="AK1191" s="48" t="n">
        <f aca="false">IF($U1191&gt;=STRUCT_L,MAX(INDEX($G$941:$G1191,252-STRUCT_L):$G1191),"")</f>
        <v>6217</v>
      </c>
      <c r="AL1191" s="48" t="n">
        <f aca="false">IF($U1191&gt;=STRUCT_L,MIN(INDEX($H$941:$H1191,252-STRUCT_L):$H1191),"")</f>
        <v>4777</v>
      </c>
      <c r="AM1191" s="46" t="n">
        <f aca="false">IF($A1191&lt;&gt;$A1192,1,0)</f>
        <v>0</v>
      </c>
      <c r="AN1191" s="47" t="str">
        <f aca="false">IF($AM1191=1,$A1191,"")</f>
        <v/>
      </c>
    </row>
    <row r="1192" customFormat="false" ht="15" hidden="false" customHeight="false" outlineLevel="0" collapsed="false">
      <c r="A1192" s="43" t="s">
        <v>152</v>
      </c>
      <c r="B1192" s="44" t="s">
        <v>154</v>
      </c>
      <c r="C1192" s="45" t="n">
        <v>46111</v>
      </c>
      <c r="D1192" s="46" t="n">
        <v>20260330</v>
      </c>
      <c r="E1192" s="47" t="s">
        <v>435</v>
      </c>
      <c r="F1192" s="48" t="n">
        <v>4948</v>
      </c>
      <c r="G1192" s="48" t="n">
        <v>4989</v>
      </c>
      <c r="H1192" s="48" t="n">
        <v>4800</v>
      </c>
      <c r="I1192" s="48" t="n">
        <v>4933</v>
      </c>
      <c r="J1192" s="48" t="n">
        <v>4944</v>
      </c>
      <c r="K1192" s="48" t="n">
        <v>4855</v>
      </c>
      <c r="L1192" s="48" t="n">
        <v>133933323</v>
      </c>
      <c r="M1192" s="48" t="n">
        <v>660693082359</v>
      </c>
      <c r="N1192" s="48" t="n">
        <v>5011</v>
      </c>
      <c r="O1192" s="48" t="n">
        <v>55253822</v>
      </c>
      <c r="P1192" s="48" t="n">
        <v>67563396</v>
      </c>
      <c r="Q1192" s="48" t="n">
        <v>2736</v>
      </c>
      <c r="R1192" s="48" t="n">
        <v>1356</v>
      </c>
      <c r="S1192" s="48" t="n">
        <v>78679501</v>
      </c>
      <c r="T1192" s="48" t="n">
        <v>66369927</v>
      </c>
      <c r="U1192" s="46" t="n">
        <f aca="false">IF($A1192=$A1191,$U1191+1,1)</f>
        <v>148</v>
      </c>
      <c r="V1192" s="48" t="n">
        <f aca="false">IF($U1192&gt;=MA_SHORT,AVERAGE(INDEX($I$792:$I1192,402-MA_SHORT):$I1192),"")</f>
        <v>5041.15</v>
      </c>
      <c r="W1192" s="48" t="n">
        <f aca="false">IF($U1192&gt;=MA_MED,AVERAGE(INDEX($I$792:$I1192,402-MA_MED):$I1192),"")</f>
        <v>5420.42</v>
      </c>
      <c r="X1192" s="48" t="n">
        <f aca="false">IF($U1192&gt;=MA_LONG1,AVERAGE(INDEX($I$792:$I1192,402-MA_LONG1):$I1192),"")</f>
        <v>5431.18</v>
      </c>
      <c r="Y1192" s="48" t="str">
        <f aca="false">IF($U1192&gt;=MA_LONG2,AVERAGE(INDEX($I$792:$I1192,402-MA_LONG2):$I1192),"")</f>
        <v/>
      </c>
      <c r="Z1192" s="48" t="n">
        <f aca="false">IF($U1192&gt;=MA_SHORT,AVERAGE(INDEX($L$1072:$L1192,122-MA_SHORT):$L1192),"")</f>
        <v>92243960.9</v>
      </c>
      <c r="AA1192" s="48" t="n">
        <f aca="false">IF($U1192=1,$G1192-$H1192,MAX($G1192-$H1192,ABS($G1192-$I1191),ABS($H1192-$I1191)))</f>
        <v>189</v>
      </c>
      <c r="AB1192" s="48" t="n">
        <f aca="false">IF($U1192&gt;=ATR_PER,AVERAGE(INDEX($AA$1072:$AA1192,122-ATR_PER):$AA1192),"")</f>
        <v>157.785714285714</v>
      </c>
      <c r="AC1192" s="48" t="n">
        <f aca="false">$O1192-$P1192</f>
        <v>-12309574</v>
      </c>
      <c r="AD1192" s="48" t="n">
        <f aca="false">$AC1192*$I1192</f>
        <v>-60723128542</v>
      </c>
      <c r="AE1192" s="49" t="n">
        <f aca="false">IF($Q1192&gt;0,$O1192*$I1192/$Q1192/1000000,"")</f>
        <v>99.622479505117</v>
      </c>
      <c r="AF1192" s="49" t="n">
        <f aca="false">IF($R1192&gt;0,$P1192*$I1192/$R1192/1000000,"")</f>
        <v>245.789256982301</v>
      </c>
      <c r="AG1192" s="50" t="n">
        <f aca="false">IF(AND(ISNUMBER($AE1192),ISNUMBER($AF1192),$AF1192&gt;0),$AE1192/$AF1192,"")</f>
        <v>0.405316655122525</v>
      </c>
      <c r="AH1192" s="48" t="n">
        <f aca="false">IF($U1192&gt;=5,SUM(INDEX($AD$1162:$AD1192,32-5):$AD1192),"")</f>
        <v>-162491131255</v>
      </c>
      <c r="AI1192" s="48" t="n">
        <f aca="false">IF($U1192&gt;=STRUCT_S,MAX(INDEX($G$1042:$G1192,152-STRUCT_S):$G1192),"")</f>
        <v>5406</v>
      </c>
      <c r="AJ1192" s="48" t="n">
        <f aca="false">IF($U1192&gt;=STRUCT_S,MIN(INDEX($H$1042:$H1192,152-STRUCT_S):$H1192),"")</f>
        <v>4777</v>
      </c>
      <c r="AK1192" s="48" t="n">
        <f aca="false">IF($U1192&gt;=STRUCT_L,MAX(INDEX($G$942:$G1192,252-STRUCT_L):$G1192),"")</f>
        <v>6217</v>
      </c>
      <c r="AL1192" s="48" t="n">
        <f aca="false">IF($U1192&gt;=STRUCT_L,MIN(INDEX($H$942:$H1192,252-STRUCT_L):$H1192),"")</f>
        <v>4777</v>
      </c>
      <c r="AM1192" s="46" t="n">
        <f aca="false">IF($A1192&lt;&gt;$A1193,1,0)</f>
        <v>0</v>
      </c>
      <c r="AN1192" s="47" t="str">
        <f aca="false">IF($AM1192=1,$A1192,"")</f>
        <v/>
      </c>
    </row>
    <row r="1193" customFormat="false" ht="15" hidden="false" customHeight="false" outlineLevel="0" collapsed="false">
      <c r="A1193" s="43" t="s">
        <v>152</v>
      </c>
      <c r="B1193" s="44" t="s">
        <v>154</v>
      </c>
      <c r="C1193" s="45" t="n">
        <v>46112</v>
      </c>
      <c r="D1193" s="46" t="n">
        <v>20260331</v>
      </c>
      <c r="E1193" s="47" t="s">
        <v>436</v>
      </c>
      <c r="F1193" s="48" t="n">
        <v>4943</v>
      </c>
      <c r="G1193" s="48" t="n">
        <v>5061</v>
      </c>
      <c r="H1193" s="48" t="n">
        <v>4919</v>
      </c>
      <c r="I1193" s="48" t="n">
        <v>5047</v>
      </c>
      <c r="J1193" s="48" t="n">
        <v>4941</v>
      </c>
      <c r="K1193" s="48" t="n">
        <v>4933</v>
      </c>
      <c r="L1193" s="48" t="n">
        <v>88426645</v>
      </c>
      <c r="M1193" s="48" t="n">
        <v>446289277315</v>
      </c>
      <c r="N1193" s="48" t="n">
        <v>3599</v>
      </c>
      <c r="O1193" s="48" t="n">
        <v>53046496</v>
      </c>
      <c r="P1193" s="48" t="n">
        <v>31254813</v>
      </c>
      <c r="Q1193" s="48" t="n">
        <v>2009</v>
      </c>
      <c r="R1193" s="48" t="n">
        <v>1149</v>
      </c>
      <c r="S1193" s="48" t="n">
        <v>35380149</v>
      </c>
      <c r="T1193" s="48" t="n">
        <v>57171832</v>
      </c>
      <c r="U1193" s="46" t="n">
        <f aca="false">IF($A1193=$A1192,$U1192+1,1)</f>
        <v>149</v>
      </c>
      <c r="V1193" s="48" t="n">
        <f aca="false">IF($U1193&gt;=MA_SHORT,AVERAGE(INDEX($I$793:$I1193,402-MA_SHORT):$I1193),"")</f>
        <v>5030.3</v>
      </c>
      <c r="W1193" s="48" t="n">
        <f aca="false">IF($U1193&gt;=MA_MED,AVERAGE(INDEX($I$793:$I1193,402-MA_MED):$I1193),"")</f>
        <v>5404.58</v>
      </c>
      <c r="X1193" s="48" t="n">
        <f aca="false">IF($U1193&gt;=MA_LONG1,AVERAGE(INDEX($I$793:$I1193,402-MA_LONG1):$I1193),"")</f>
        <v>5429.51</v>
      </c>
      <c r="Y1193" s="48" t="str">
        <f aca="false">IF($U1193&gt;=MA_LONG2,AVERAGE(INDEX($I$793:$I1193,402-MA_LONG2):$I1193),"")</f>
        <v/>
      </c>
      <c r="Z1193" s="48" t="n">
        <f aca="false">IF($U1193&gt;=MA_SHORT,AVERAGE(INDEX($L$1073:$L1193,122-MA_SHORT):$L1193),"")</f>
        <v>91278643.1</v>
      </c>
      <c r="AA1193" s="48" t="n">
        <f aca="false">IF($U1193=1,$G1193-$H1193,MAX($G1193-$H1193,ABS($G1193-$I1192),ABS($H1193-$I1192)))</f>
        <v>142</v>
      </c>
      <c r="AB1193" s="48" t="n">
        <f aca="false">IF($U1193&gt;=ATR_PER,AVERAGE(INDEX($AA$1073:$AA1193,122-ATR_PER):$AA1193),"")</f>
        <v>160.071428571429</v>
      </c>
      <c r="AC1193" s="48" t="n">
        <f aca="false">$O1193-$P1193</f>
        <v>21791683</v>
      </c>
      <c r="AD1193" s="48" t="n">
        <f aca="false">$AC1193*$I1193</f>
        <v>109982624101</v>
      </c>
      <c r="AE1193" s="49" t="n">
        <f aca="false">IF($Q1193&gt;0,$O1193*$I1193/$Q1193/1000000,"")</f>
        <v>133.263148487805</v>
      </c>
      <c r="AF1193" s="49" t="n">
        <f aca="false">IF($R1193&gt;0,$P1193*$I1193/$R1193/1000000,"")</f>
        <v>137.287242133159</v>
      </c>
      <c r="AG1193" s="50" t="n">
        <f aca="false">IF(AND(ISNUMBER($AE1193),ISNUMBER($AF1193),$AF1193&gt;0),$AE1193/$AF1193,"")</f>
        <v>0.97068850985111</v>
      </c>
      <c r="AH1193" s="48" t="n">
        <f aca="false">IF($U1193&gt;=5,SUM(INDEX($AD$1163:$AD1193,32-5):$AD1193),"")</f>
        <v>57471693646</v>
      </c>
      <c r="AI1193" s="48" t="n">
        <f aca="false">IF($U1193&gt;=STRUCT_S,MAX(INDEX($G$1043:$G1193,152-STRUCT_S):$G1193),"")</f>
        <v>5406</v>
      </c>
      <c r="AJ1193" s="48" t="n">
        <f aca="false">IF($U1193&gt;=STRUCT_S,MIN(INDEX($H$1043:$H1193,152-STRUCT_S):$H1193),"")</f>
        <v>4777</v>
      </c>
      <c r="AK1193" s="48" t="n">
        <f aca="false">IF($U1193&gt;=STRUCT_L,MAX(INDEX($G$943:$G1193,252-STRUCT_L):$G1193),"")</f>
        <v>6217</v>
      </c>
      <c r="AL1193" s="48" t="n">
        <f aca="false">IF($U1193&gt;=STRUCT_L,MIN(INDEX($H$943:$H1193,252-STRUCT_L):$H1193),"")</f>
        <v>4777</v>
      </c>
      <c r="AM1193" s="46" t="n">
        <f aca="false">IF($A1193&lt;&gt;$A1194,1,0)</f>
        <v>0</v>
      </c>
      <c r="AN1193" s="47" t="str">
        <f aca="false">IF($AM1193=1,$A1193,"")</f>
        <v/>
      </c>
    </row>
    <row r="1194" customFormat="false" ht="15" hidden="false" customHeight="false" outlineLevel="0" collapsed="false">
      <c r="A1194" s="43" t="s">
        <v>152</v>
      </c>
      <c r="B1194" s="44" t="s">
        <v>154</v>
      </c>
      <c r="C1194" s="45" t="n">
        <v>46113</v>
      </c>
      <c r="D1194" s="46" t="n">
        <v>20260401</v>
      </c>
      <c r="E1194" s="47" t="s">
        <v>437</v>
      </c>
      <c r="F1194" s="48" t="n">
        <v>5066</v>
      </c>
      <c r="G1194" s="48" t="n">
        <v>5091</v>
      </c>
      <c r="H1194" s="48" t="n">
        <v>4983</v>
      </c>
      <c r="I1194" s="48" t="n">
        <v>5027</v>
      </c>
      <c r="J1194" s="48" t="n">
        <v>5042</v>
      </c>
      <c r="K1194" s="48" t="n">
        <v>5047</v>
      </c>
      <c r="L1194" s="48" t="n">
        <v>79505101</v>
      </c>
      <c r="M1194" s="48" t="n">
        <v>399672142727</v>
      </c>
      <c r="N1194" s="48" t="n">
        <v>2364</v>
      </c>
      <c r="O1194" s="48" t="n">
        <v>33761480</v>
      </c>
      <c r="P1194" s="48" t="n">
        <v>41817895</v>
      </c>
      <c r="Q1194" s="48" t="n">
        <v>671</v>
      </c>
      <c r="R1194" s="48" t="n">
        <v>1047</v>
      </c>
      <c r="S1194" s="48" t="n">
        <v>45743621</v>
      </c>
      <c r="T1194" s="48" t="n">
        <v>37687206</v>
      </c>
      <c r="U1194" s="46" t="n">
        <f aca="false">IF($A1194=$A1193,$U1193+1,1)</f>
        <v>150</v>
      </c>
      <c r="V1194" s="48" t="n">
        <f aca="false">IF($U1194&gt;=MA_SHORT,AVERAGE(INDEX($I$794:$I1194,402-MA_SHORT):$I1194),"")</f>
        <v>5019.6</v>
      </c>
      <c r="W1194" s="48" t="n">
        <f aca="false">IF($U1194&gt;=MA_MED,AVERAGE(INDEX($I$794:$I1194,402-MA_MED):$I1194),"")</f>
        <v>5390.86</v>
      </c>
      <c r="X1194" s="48" t="n">
        <f aca="false">IF($U1194&gt;=MA_LONG1,AVERAGE(INDEX($I$794:$I1194,402-MA_LONG1):$I1194),"")</f>
        <v>5427.47</v>
      </c>
      <c r="Y1194" s="48" t="str">
        <f aca="false">IF($U1194&gt;=MA_LONG2,AVERAGE(INDEX($I$794:$I1194,402-MA_LONG2):$I1194),"")</f>
        <v/>
      </c>
      <c r="Z1194" s="48" t="n">
        <f aca="false">IF($U1194&gt;=MA_SHORT,AVERAGE(INDEX($L$1074:$L1194,122-MA_SHORT):$L1194),"")</f>
        <v>91269171.4</v>
      </c>
      <c r="AA1194" s="48" t="n">
        <f aca="false">IF($U1194=1,$G1194-$H1194,MAX($G1194-$H1194,ABS($G1194-$I1193),ABS($H1194-$I1193)))</f>
        <v>108</v>
      </c>
      <c r="AB1194" s="48" t="n">
        <f aca="false">IF($U1194&gt;=ATR_PER,AVERAGE(INDEX($AA$1074:$AA1194,122-ATR_PER):$AA1194),"")</f>
        <v>156.142857142857</v>
      </c>
      <c r="AC1194" s="48" t="n">
        <f aca="false">$O1194-$P1194</f>
        <v>-8056415</v>
      </c>
      <c r="AD1194" s="48" t="n">
        <f aca="false">$AC1194*$I1194</f>
        <v>-40499598205</v>
      </c>
      <c r="AE1194" s="49" t="n">
        <f aca="false">IF($Q1194&gt;0,$O1194*$I1194/$Q1194/1000000,"")</f>
        <v>252.934366557377</v>
      </c>
      <c r="AF1194" s="49" t="n">
        <f aca="false">IF($R1194&gt;0,$P1194*$I1194/$R1194/1000000,"")</f>
        <v>200.781812956065</v>
      </c>
      <c r="AG1194" s="50" t="n">
        <f aca="false">IF(AND(ISNUMBER($AE1194),ISNUMBER($AF1194),$AF1194&gt;0),$AE1194/$AF1194,"")</f>
        <v>1.25974739859892</v>
      </c>
      <c r="AH1194" s="48" t="n">
        <f aca="false">IF($U1194&gt;=5,SUM(INDEX($AD$1164:$AD1194,32-5):$AD1194),"")</f>
        <v>15450917040</v>
      </c>
      <c r="AI1194" s="48" t="n">
        <f aca="false">IF($U1194&gt;=STRUCT_S,MAX(INDEX($G$1044:$G1194,152-STRUCT_S):$G1194),"")</f>
        <v>5406</v>
      </c>
      <c r="AJ1194" s="48" t="n">
        <f aca="false">IF($U1194&gt;=STRUCT_S,MIN(INDEX($H$1044:$H1194,152-STRUCT_S):$H1194),"")</f>
        <v>4777</v>
      </c>
      <c r="AK1194" s="48" t="n">
        <f aca="false">IF($U1194&gt;=STRUCT_L,MAX(INDEX($G$944:$G1194,252-STRUCT_L):$G1194),"")</f>
        <v>6217</v>
      </c>
      <c r="AL1194" s="48" t="n">
        <f aca="false">IF($U1194&gt;=STRUCT_L,MIN(INDEX($H$944:$H1194,252-STRUCT_L):$H1194),"")</f>
        <v>4777</v>
      </c>
      <c r="AM1194" s="46" t="n">
        <f aca="false">IF($A1194&lt;&gt;$A1195,1,0)</f>
        <v>0</v>
      </c>
      <c r="AN1194" s="47" t="str">
        <f aca="false">IF($AM1194=1,$A1194,"")</f>
        <v/>
      </c>
    </row>
    <row r="1195" customFormat="false" ht="15" hidden="false" customHeight="false" outlineLevel="0" collapsed="false">
      <c r="A1195" s="43" t="s">
        <v>152</v>
      </c>
      <c r="B1195" s="44" t="s">
        <v>154</v>
      </c>
      <c r="C1195" s="45" t="n">
        <v>46116</v>
      </c>
      <c r="D1195" s="46" t="n">
        <v>20260404</v>
      </c>
      <c r="E1195" s="47" t="s">
        <v>438</v>
      </c>
      <c r="F1195" s="48" t="n">
        <v>4899</v>
      </c>
      <c r="G1195" s="48" t="n">
        <v>5084</v>
      </c>
      <c r="H1195" s="48" t="n">
        <v>4875</v>
      </c>
      <c r="I1195" s="48" t="n">
        <v>4931</v>
      </c>
      <c r="J1195" s="48" t="n">
        <v>5022</v>
      </c>
      <c r="K1195" s="48" t="n">
        <v>5027</v>
      </c>
      <c r="L1195" s="48" t="n">
        <v>86556877</v>
      </c>
      <c r="M1195" s="48" t="n">
        <v>426811960487</v>
      </c>
      <c r="N1195" s="48" t="n">
        <v>5503</v>
      </c>
      <c r="O1195" s="48" t="n">
        <v>27459540</v>
      </c>
      <c r="P1195" s="48" t="n">
        <v>55260519</v>
      </c>
      <c r="Q1195" s="48" t="n">
        <v>2439</v>
      </c>
      <c r="R1195" s="48" t="n">
        <v>2545</v>
      </c>
      <c r="S1195" s="48" t="n">
        <v>59097337</v>
      </c>
      <c r="T1195" s="48" t="n">
        <v>31296358</v>
      </c>
      <c r="U1195" s="46" t="n">
        <f aca="false">IF($A1195=$A1194,$U1194+1,1)</f>
        <v>151</v>
      </c>
      <c r="V1195" s="48" t="n">
        <f aca="false">IF($U1195&gt;=MA_SHORT,AVERAGE(INDEX($I$795:$I1195,402-MA_SHORT):$I1195),"")</f>
        <v>4998.4</v>
      </c>
      <c r="W1195" s="48" t="n">
        <f aca="false">IF($U1195&gt;=MA_MED,AVERAGE(INDEX($I$795:$I1195,402-MA_MED):$I1195),"")</f>
        <v>5373.94</v>
      </c>
      <c r="X1195" s="48" t="n">
        <f aca="false">IF($U1195&gt;=MA_LONG1,AVERAGE(INDEX($I$795:$I1195,402-MA_LONG1):$I1195),"")</f>
        <v>5425.19</v>
      </c>
      <c r="Y1195" s="48" t="str">
        <f aca="false">IF($U1195&gt;=MA_LONG2,AVERAGE(INDEX($I$795:$I1195,402-MA_LONG2):$I1195),"")</f>
        <v/>
      </c>
      <c r="Z1195" s="48" t="n">
        <f aca="false">IF($U1195&gt;=MA_SHORT,AVERAGE(INDEX($L$1075:$L1195,122-MA_SHORT):$L1195),"")</f>
        <v>91207323.35</v>
      </c>
      <c r="AA1195" s="48" t="n">
        <f aca="false">IF($U1195=1,$G1195-$H1195,MAX($G1195-$H1195,ABS($G1195-$I1194),ABS($H1195-$I1194)))</f>
        <v>209</v>
      </c>
      <c r="AB1195" s="48" t="n">
        <f aca="false">IF($U1195&gt;=ATR_PER,AVERAGE(INDEX($AA$1075:$AA1195,122-ATR_PER):$AA1195),"")</f>
        <v>145.714285714286</v>
      </c>
      <c r="AC1195" s="48" t="n">
        <f aca="false">$O1195-$P1195</f>
        <v>-27800979</v>
      </c>
      <c r="AD1195" s="48" t="n">
        <f aca="false">$AC1195*$I1195</f>
        <v>-137086627449</v>
      </c>
      <c r="AE1195" s="49" t="n">
        <f aca="false">IF($Q1195&gt;0,$O1195*$I1195/$Q1195/1000000,"")</f>
        <v>55.5157817712177</v>
      </c>
      <c r="AF1195" s="49" t="n">
        <f aca="false">IF($R1195&gt;0,$P1195*$I1195/$R1195/1000000,"")</f>
        <v>107.068612647937</v>
      </c>
      <c r="AG1195" s="50" t="n">
        <f aca="false">IF(AND(ISNUMBER($AE1195),ISNUMBER($AF1195),$AF1195&gt;0),$AE1195/$AF1195,"")</f>
        <v>0.518506594960417</v>
      </c>
      <c r="AH1195" s="48" t="n">
        <f aca="false">IF($U1195&gt;=5,SUM(INDEX($AD$1165:$AD1195,32-5):$AD1195),"")</f>
        <v>-207578089685</v>
      </c>
      <c r="AI1195" s="48" t="n">
        <f aca="false">IF($U1195&gt;=STRUCT_S,MAX(INDEX($G$1045:$G1195,152-STRUCT_S):$G1195),"")</f>
        <v>5402</v>
      </c>
      <c r="AJ1195" s="48" t="n">
        <f aca="false">IF($U1195&gt;=STRUCT_S,MIN(INDEX($H$1045:$H1195,152-STRUCT_S):$H1195),"")</f>
        <v>4777</v>
      </c>
      <c r="AK1195" s="48" t="n">
        <f aca="false">IF($U1195&gt;=STRUCT_L,MAX(INDEX($G$945:$G1195,252-STRUCT_L):$G1195),"")</f>
        <v>6217</v>
      </c>
      <c r="AL1195" s="48" t="n">
        <f aca="false">IF($U1195&gt;=STRUCT_L,MIN(INDEX($H$945:$H1195,252-STRUCT_L):$H1195),"")</f>
        <v>4777</v>
      </c>
      <c r="AM1195" s="46" t="n">
        <f aca="false">IF($A1195&lt;&gt;$A1196,1,0)</f>
        <v>0</v>
      </c>
      <c r="AN1195" s="47" t="str">
        <f aca="false">IF($AM1195=1,$A1195,"")</f>
        <v/>
      </c>
    </row>
    <row r="1196" customFormat="false" ht="15" hidden="false" customHeight="false" outlineLevel="0" collapsed="false">
      <c r="A1196" s="43" t="s">
        <v>152</v>
      </c>
      <c r="B1196" s="44" t="s">
        <v>154</v>
      </c>
      <c r="C1196" s="45" t="n">
        <v>46117</v>
      </c>
      <c r="D1196" s="46" t="n">
        <v>20260405</v>
      </c>
      <c r="E1196" s="47" t="s">
        <v>439</v>
      </c>
      <c r="F1196" s="48" t="n">
        <v>4960</v>
      </c>
      <c r="G1196" s="48" t="n">
        <v>4967</v>
      </c>
      <c r="H1196" s="48" t="n">
        <v>4860</v>
      </c>
      <c r="I1196" s="48" t="n">
        <v>4896</v>
      </c>
      <c r="J1196" s="48" t="n">
        <v>4942</v>
      </c>
      <c r="K1196" s="48" t="n">
        <v>4931</v>
      </c>
      <c r="L1196" s="48" t="n">
        <v>117377228</v>
      </c>
      <c r="M1196" s="48" t="n">
        <v>574678908288</v>
      </c>
      <c r="N1196" s="48" t="n">
        <v>2735</v>
      </c>
      <c r="O1196" s="48" t="n">
        <v>44354262</v>
      </c>
      <c r="P1196" s="48" t="n">
        <v>68179049</v>
      </c>
      <c r="Q1196" s="48" t="n">
        <v>823</v>
      </c>
      <c r="R1196" s="48" t="n">
        <v>1460</v>
      </c>
      <c r="S1196" s="48" t="n">
        <v>73022966</v>
      </c>
      <c r="T1196" s="48" t="n">
        <v>49198179</v>
      </c>
      <c r="U1196" s="46" t="n">
        <f aca="false">IF($A1196=$A1195,$U1195+1,1)</f>
        <v>152</v>
      </c>
      <c r="V1196" s="48" t="n">
        <f aca="false">IF($U1196&gt;=MA_SHORT,AVERAGE(INDEX($I$796:$I1196,402-MA_SHORT):$I1196),"")</f>
        <v>4981.2</v>
      </c>
      <c r="W1196" s="48" t="n">
        <f aca="false">IF($U1196&gt;=MA_MED,AVERAGE(INDEX($I$796:$I1196,402-MA_MED):$I1196),"")</f>
        <v>5356.56</v>
      </c>
      <c r="X1196" s="48" t="n">
        <f aca="false">IF($U1196&gt;=MA_LONG1,AVERAGE(INDEX($I$796:$I1196,402-MA_LONG1):$I1196),"")</f>
        <v>5423.54</v>
      </c>
      <c r="Y1196" s="48" t="str">
        <f aca="false">IF($U1196&gt;=MA_LONG2,AVERAGE(INDEX($I$796:$I1196,402-MA_LONG2):$I1196),"")</f>
        <v/>
      </c>
      <c r="Z1196" s="48" t="n">
        <f aca="false">IF($U1196&gt;=MA_SHORT,AVERAGE(INDEX($L$1076:$L1196,122-MA_SHORT):$L1196),"")</f>
        <v>92692930.4</v>
      </c>
      <c r="AA1196" s="48" t="n">
        <f aca="false">IF($U1196=1,$G1196-$H1196,MAX($G1196-$H1196,ABS($G1196-$I1195),ABS($H1196-$I1195)))</f>
        <v>107</v>
      </c>
      <c r="AB1196" s="48" t="n">
        <f aca="false">IF($U1196&gt;=ATR_PER,AVERAGE(INDEX($AA$1076:$AA1196,122-ATR_PER):$AA1196),"")</f>
        <v>138.928571428571</v>
      </c>
      <c r="AC1196" s="48" t="n">
        <f aca="false">$O1196-$P1196</f>
        <v>-23824787</v>
      </c>
      <c r="AD1196" s="48" t="n">
        <f aca="false">$AC1196*$I1196</f>
        <v>-116646157152</v>
      </c>
      <c r="AE1196" s="49" t="n">
        <f aca="false">IF($Q1196&gt;0,$O1196*$I1196/$Q1196/1000000,"")</f>
        <v>263.862049516403</v>
      </c>
      <c r="AF1196" s="49" t="n">
        <f aca="false">IF($R1196&gt;0,$P1196*$I1196/$R1196/1000000,"")</f>
        <v>228.633304043836</v>
      </c>
      <c r="AG1196" s="50" t="n">
        <f aca="false">IF(AND(ISNUMBER($AE1196),ISNUMBER($AF1196),$AF1196&gt;0),$AE1196/$AF1196,"")</f>
        <v>1.15408405009015</v>
      </c>
      <c r="AH1196" s="48" t="n">
        <f aca="false">IF($U1196&gt;=5,SUM(INDEX($AD$1166:$AD1196,32-5):$AD1196),"")</f>
        <v>-244972887247</v>
      </c>
      <c r="AI1196" s="48" t="n">
        <f aca="false">IF($U1196&gt;=STRUCT_S,MAX(INDEX($G$1046:$G1196,152-STRUCT_S):$G1196),"")</f>
        <v>5402</v>
      </c>
      <c r="AJ1196" s="48" t="n">
        <f aca="false">IF($U1196&gt;=STRUCT_S,MIN(INDEX($H$1046:$H1196,152-STRUCT_S):$H1196),"")</f>
        <v>4777</v>
      </c>
      <c r="AK1196" s="48" t="n">
        <f aca="false">IF($U1196&gt;=STRUCT_L,MAX(INDEX($G$946:$G1196,252-STRUCT_L):$G1196),"")</f>
        <v>6217</v>
      </c>
      <c r="AL1196" s="48" t="n">
        <f aca="false">IF($U1196&gt;=STRUCT_L,MIN(INDEX($H$946:$H1196,252-STRUCT_L):$H1196),"")</f>
        <v>4777</v>
      </c>
      <c r="AM1196" s="46" t="n">
        <f aca="false">IF($A1196&lt;&gt;$A1197,1,0)</f>
        <v>0</v>
      </c>
      <c r="AN1196" s="47" t="str">
        <f aca="false">IF($AM1196=1,$A1196,"")</f>
        <v/>
      </c>
    </row>
    <row r="1197" customFormat="false" ht="15" hidden="false" customHeight="false" outlineLevel="0" collapsed="false">
      <c r="A1197" s="43" t="s">
        <v>152</v>
      </c>
      <c r="B1197" s="44" t="s">
        <v>154</v>
      </c>
      <c r="C1197" s="45" t="n">
        <v>46118</v>
      </c>
      <c r="D1197" s="46" t="n">
        <v>20260406</v>
      </c>
      <c r="E1197" s="47" t="s">
        <v>440</v>
      </c>
      <c r="F1197" s="48" t="n">
        <v>4868</v>
      </c>
      <c r="G1197" s="48" t="n">
        <v>4915</v>
      </c>
      <c r="H1197" s="48" t="n">
        <v>4817</v>
      </c>
      <c r="I1197" s="48" t="n">
        <v>4836</v>
      </c>
      <c r="J1197" s="48" t="n">
        <v>4852</v>
      </c>
      <c r="K1197" s="48" t="n">
        <v>4896</v>
      </c>
      <c r="L1197" s="48" t="n">
        <v>89655110</v>
      </c>
      <c r="M1197" s="48" t="n">
        <v>433572111960</v>
      </c>
      <c r="N1197" s="48" t="n">
        <v>7755</v>
      </c>
      <c r="O1197" s="48" t="n">
        <v>38650899</v>
      </c>
      <c r="P1197" s="48" t="n">
        <v>49686859</v>
      </c>
      <c r="Q1197" s="48" t="n">
        <v>2145</v>
      </c>
      <c r="R1197" s="48" t="n">
        <v>4965</v>
      </c>
      <c r="S1197" s="48" t="n">
        <v>51004211</v>
      </c>
      <c r="T1197" s="48" t="n">
        <v>39968251</v>
      </c>
      <c r="U1197" s="46" t="n">
        <f aca="false">IF($A1197=$A1196,$U1196+1,1)</f>
        <v>153</v>
      </c>
      <c r="V1197" s="48" t="n">
        <f aca="false">IF($U1197&gt;=MA_SHORT,AVERAGE(INDEX($I$797:$I1197,402-MA_SHORT):$I1197),"")</f>
        <v>4956.75</v>
      </c>
      <c r="W1197" s="48" t="n">
        <f aca="false">IF($U1197&gt;=MA_MED,AVERAGE(INDEX($I$797:$I1197,402-MA_MED):$I1197),"")</f>
        <v>5337.42</v>
      </c>
      <c r="X1197" s="48" t="n">
        <f aca="false">IF($U1197&gt;=MA_LONG1,AVERAGE(INDEX($I$797:$I1197,402-MA_LONG1):$I1197),"")</f>
        <v>5420.73</v>
      </c>
      <c r="Y1197" s="48" t="str">
        <f aca="false">IF($U1197&gt;=MA_LONG2,AVERAGE(INDEX($I$797:$I1197,402-MA_LONG2):$I1197),"")</f>
        <v/>
      </c>
      <c r="Z1197" s="48" t="n">
        <f aca="false">IF($U1197&gt;=MA_SHORT,AVERAGE(INDEX($L$1077:$L1197,122-MA_SHORT):$L1197),"")</f>
        <v>92914834.35</v>
      </c>
      <c r="AA1197" s="48" t="n">
        <f aca="false">IF($U1197=1,$G1197-$H1197,MAX($G1197-$H1197,ABS($G1197-$I1196),ABS($H1197-$I1196)))</f>
        <v>98</v>
      </c>
      <c r="AB1197" s="48" t="n">
        <f aca="false">IF($U1197&gt;=ATR_PER,AVERAGE(INDEX($AA$1077:$AA1197,122-ATR_PER):$AA1197),"")</f>
        <v>138.642857142857</v>
      </c>
      <c r="AC1197" s="48" t="n">
        <f aca="false">$O1197-$P1197</f>
        <v>-11035960</v>
      </c>
      <c r="AD1197" s="48" t="n">
        <f aca="false">$AC1197*$I1197</f>
        <v>-53369902560</v>
      </c>
      <c r="AE1197" s="49" t="n">
        <f aca="false">IF($Q1197&gt;0,$O1197*$I1197/$Q1197/1000000,"")</f>
        <v>87.1402086545455</v>
      </c>
      <c r="AF1197" s="49" t="n">
        <f aca="false">IF($R1197&gt;0,$P1197*$I1197/$R1197/1000000,"")</f>
        <v>48.395901334139</v>
      </c>
      <c r="AG1197" s="50" t="n">
        <f aca="false">IF(AND(ISNUMBER($AE1197),ISNUMBER($AF1197),$AF1197&gt;0),$AE1197/$AF1197,"")</f>
        <v>1.80057001217737</v>
      </c>
      <c r="AH1197" s="48" t="n">
        <f aca="false">IF($U1197&gt;=5,SUM(INDEX($AD$1167:$AD1197,32-5):$AD1197),"")</f>
        <v>-237619661265</v>
      </c>
      <c r="AI1197" s="48" t="n">
        <f aca="false">IF($U1197&gt;=STRUCT_S,MAX(INDEX($G$1047:$G1197,152-STRUCT_S):$G1197),"")</f>
        <v>5402</v>
      </c>
      <c r="AJ1197" s="48" t="n">
        <f aca="false">IF($U1197&gt;=STRUCT_S,MIN(INDEX($H$1047:$H1197,152-STRUCT_S):$H1197),"")</f>
        <v>4777</v>
      </c>
      <c r="AK1197" s="48" t="n">
        <f aca="false">IF($U1197&gt;=STRUCT_L,MAX(INDEX($G$947:$G1197,252-STRUCT_L):$G1197),"")</f>
        <v>6217</v>
      </c>
      <c r="AL1197" s="48" t="n">
        <f aca="false">IF($U1197&gt;=STRUCT_L,MIN(INDEX($H$947:$H1197,252-STRUCT_L):$H1197),"")</f>
        <v>4777</v>
      </c>
      <c r="AM1197" s="46" t="n">
        <f aca="false">IF($A1197&lt;&gt;$A1198,1,0)</f>
        <v>0</v>
      </c>
      <c r="AN1197" s="47" t="str">
        <f aca="false">IF($AM1197=1,$A1197,"")</f>
        <v/>
      </c>
    </row>
    <row r="1198" customFormat="false" ht="15" hidden="false" customHeight="false" outlineLevel="0" collapsed="false">
      <c r="A1198" s="43" t="s">
        <v>152</v>
      </c>
      <c r="B1198" s="44" t="s">
        <v>154</v>
      </c>
      <c r="C1198" s="45" t="n">
        <v>46119</v>
      </c>
      <c r="D1198" s="46" t="n">
        <v>20260407</v>
      </c>
      <c r="E1198" s="47" t="s">
        <v>441</v>
      </c>
      <c r="F1198" s="48" t="n">
        <v>4671</v>
      </c>
      <c r="G1198" s="48" t="n">
        <v>4918</v>
      </c>
      <c r="H1198" s="48" t="n">
        <v>4590</v>
      </c>
      <c r="I1198" s="48" t="n">
        <v>4669</v>
      </c>
      <c r="J1198" s="48" t="n">
        <v>4716</v>
      </c>
      <c r="K1198" s="48" t="n">
        <v>4836</v>
      </c>
      <c r="L1198" s="48" t="n">
        <v>120906155</v>
      </c>
      <c r="M1198" s="48" t="n">
        <v>564510837695</v>
      </c>
      <c r="N1198" s="48" t="n">
        <v>4448</v>
      </c>
      <c r="O1198" s="48" t="n">
        <v>39943793</v>
      </c>
      <c r="P1198" s="48" t="n">
        <v>81323076</v>
      </c>
      <c r="Q1198" s="48" t="n">
        <v>1325</v>
      </c>
      <c r="R1198" s="48" t="n">
        <v>2086</v>
      </c>
      <c r="S1198" s="48" t="n">
        <v>80962362</v>
      </c>
      <c r="T1198" s="48" t="n">
        <v>39583079</v>
      </c>
      <c r="U1198" s="46" t="n">
        <f aca="false">IF($A1198=$A1197,$U1197+1,1)</f>
        <v>154</v>
      </c>
      <c r="V1198" s="48" t="n">
        <f aca="false">IF($U1198&gt;=MA_SHORT,AVERAGE(INDEX($I$798:$I1198,402-MA_SHORT):$I1198),"")</f>
        <v>4937</v>
      </c>
      <c r="W1198" s="48" t="n">
        <f aca="false">IF($U1198&gt;=MA_MED,AVERAGE(INDEX($I$798:$I1198,402-MA_MED):$I1198),"")</f>
        <v>5311.4</v>
      </c>
      <c r="X1198" s="48" t="n">
        <f aca="false">IF($U1198&gt;=MA_LONG1,AVERAGE(INDEX($I$798:$I1198,402-MA_LONG1):$I1198),"")</f>
        <v>5415.39</v>
      </c>
      <c r="Y1198" s="48" t="str">
        <f aca="false">IF($U1198&gt;=MA_LONG2,AVERAGE(INDEX($I$798:$I1198,402-MA_LONG2):$I1198),"")</f>
        <v/>
      </c>
      <c r="Z1198" s="48" t="n">
        <f aca="false">IF($U1198&gt;=MA_SHORT,AVERAGE(INDEX($L$1078:$L1198,122-MA_SHORT):$L1198),"")</f>
        <v>93935299.3</v>
      </c>
      <c r="AA1198" s="48" t="n">
        <f aca="false">IF($U1198=1,$G1198-$H1198,MAX($G1198-$H1198,ABS($G1198-$I1197),ABS($H1198-$I1197)))</f>
        <v>328</v>
      </c>
      <c r="AB1198" s="48" t="n">
        <f aca="false">IF($U1198&gt;=ATR_PER,AVERAGE(INDEX($AA$1078:$AA1198,122-ATR_PER):$AA1198),"")</f>
        <v>146.571428571429</v>
      </c>
      <c r="AC1198" s="48" t="n">
        <f aca="false">$O1198-$P1198</f>
        <v>-41379283</v>
      </c>
      <c r="AD1198" s="48" t="n">
        <f aca="false">$AC1198*$I1198</f>
        <v>-193199872327</v>
      </c>
      <c r="AE1198" s="49" t="n">
        <f aca="false">IF($Q1198&gt;0,$O1198*$I1198/$Q1198/1000000,"")</f>
        <v>140.75288265434</v>
      </c>
      <c r="AF1198" s="49" t="n">
        <f aca="false">IF($R1198&gt;0,$P1198*$I1198/$R1198/1000000,"")</f>
        <v>182.021784201342</v>
      </c>
      <c r="AG1198" s="50" t="n">
        <f aca="false">IF(AND(ISNUMBER($AE1198),ISNUMBER($AF1198),$AF1198&gt;0),$AE1198/$AF1198,"")</f>
        <v>0.773274931195305</v>
      </c>
      <c r="AH1198" s="48" t="n">
        <f aca="false">IF($U1198&gt;=5,SUM(INDEX($AD$1168:$AD1198,32-5):$AD1198),"")</f>
        <v>-540802157693</v>
      </c>
      <c r="AI1198" s="48" t="n">
        <f aca="false">IF($U1198&gt;=STRUCT_S,MAX(INDEX($G$1048:$G1198,152-STRUCT_S):$G1198),"")</f>
        <v>5275</v>
      </c>
      <c r="AJ1198" s="48" t="n">
        <f aca="false">IF($U1198&gt;=STRUCT_S,MIN(INDEX($H$1048:$H1198,152-STRUCT_S):$H1198),"")</f>
        <v>4590</v>
      </c>
      <c r="AK1198" s="48" t="n">
        <f aca="false">IF($U1198&gt;=STRUCT_L,MAX(INDEX($G$948:$G1198,252-STRUCT_L):$G1198),"")</f>
        <v>6217</v>
      </c>
      <c r="AL1198" s="48" t="n">
        <f aca="false">IF($U1198&gt;=STRUCT_L,MIN(INDEX($H$948:$H1198,252-STRUCT_L):$H1198),"")</f>
        <v>4590</v>
      </c>
      <c r="AM1198" s="46" t="n">
        <f aca="false">IF($A1198&lt;&gt;$A1199,1,0)</f>
        <v>0</v>
      </c>
      <c r="AN1198" s="47" t="str">
        <f aca="false">IF($AM1198=1,$A1198,"")</f>
        <v/>
      </c>
    </row>
    <row r="1199" customFormat="false" ht="15" hidden="false" customHeight="false" outlineLevel="0" collapsed="false">
      <c r="A1199" s="43" t="s">
        <v>152</v>
      </c>
      <c r="B1199" s="44" t="s">
        <v>154</v>
      </c>
      <c r="C1199" s="45" t="n">
        <v>46120</v>
      </c>
      <c r="D1199" s="46" t="n">
        <v>20260408</v>
      </c>
      <c r="E1199" s="47" t="s">
        <v>442</v>
      </c>
      <c r="F1199" s="48" t="n">
        <v>4645</v>
      </c>
      <c r="G1199" s="48" t="n">
        <v>4866</v>
      </c>
      <c r="H1199" s="48" t="n">
        <v>4622</v>
      </c>
      <c r="I1199" s="48" t="n">
        <v>4818</v>
      </c>
      <c r="J1199" s="48" t="n">
        <v>4728</v>
      </c>
      <c r="K1199" s="48" t="n">
        <v>4669</v>
      </c>
      <c r="L1199" s="48" t="n">
        <v>92528394</v>
      </c>
      <c r="M1199" s="48" t="n">
        <v>445801802292</v>
      </c>
      <c r="N1199" s="48" t="n">
        <v>6860</v>
      </c>
      <c r="O1199" s="48" t="n">
        <v>54298396</v>
      </c>
      <c r="P1199" s="48" t="n">
        <v>41466148</v>
      </c>
      <c r="Q1199" s="48" t="n">
        <v>3990</v>
      </c>
      <c r="R1199" s="48" t="n">
        <v>2077</v>
      </c>
      <c r="S1199" s="48" t="n">
        <v>38229998</v>
      </c>
      <c r="T1199" s="48" t="n">
        <v>51062246</v>
      </c>
      <c r="U1199" s="46" t="n">
        <f aca="false">IF($A1199=$A1198,$U1198+1,1)</f>
        <v>155</v>
      </c>
      <c r="V1199" s="48" t="n">
        <f aca="false">IF($U1199&gt;=MA_SHORT,AVERAGE(INDEX($I$799:$I1199,402-MA_SHORT):$I1199),"")</f>
        <v>4924.1</v>
      </c>
      <c r="W1199" s="48" t="n">
        <f aca="false">IF($U1199&gt;=MA_MED,AVERAGE(INDEX($I$799:$I1199,402-MA_MED):$I1199),"")</f>
        <v>5291.1</v>
      </c>
      <c r="X1199" s="48" t="n">
        <f aca="false">IF($U1199&gt;=MA_LONG1,AVERAGE(INDEX($I$799:$I1199,402-MA_LONG1):$I1199),"")</f>
        <v>5410.14</v>
      </c>
      <c r="Y1199" s="48" t="str">
        <f aca="false">IF($U1199&gt;=MA_LONG2,AVERAGE(INDEX($I$799:$I1199,402-MA_LONG2):$I1199),"")</f>
        <v/>
      </c>
      <c r="Z1199" s="48" t="n">
        <f aca="false">IF($U1199&gt;=MA_SHORT,AVERAGE(INDEX($L$1079:$L1199,122-MA_SHORT):$L1199),"")</f>
        <v>94623578.9</v>
      </c>
      <c r="AA1199" s="48" t="n">
        <f aca="false">IF($U1199=1,$G1199-$H1199,MAX($G1199-$H1199,ABS($G1199-$I1198),ABS($H1199-$I1198)))</f>
        <v>244</v>
      </c>
      <c r="AB1199" s="48" t="n">
        <f aca="false">IF($U1199&gt;=ATR_PER,AVERAGE(INDEX($AA$1079:$AA1199,122-ATR_PER):$AA1199),"")</f>
        <v>159.857142857143</v>
      </c>
      <c r="AC1199" s="48" t="n">
        <f aca="false">$O1199-$P1199</f>
        <v>12832248</v>
      </c>
      <c r="AD1199" s="48" t="n">
        <f aca="false">$AC1199*$I1199</f>
        <v>61825770864</v>
      </c>
      <c r="AE1199" s="49" t="n">
        <f aca="false">IF($Q1199&gt;0,$O1199*$I1199/$Q1199/1000000,"")</f>
        <v>65.5663338165413</v>
      </c>
      <c r="AF1199" s="49" t="n">
        <f aca="false">IF($R1199&gt;0,$P1199*$I1199/$R1199/1000000,"")</f>
        <v>96.1886861165142</v>
      </c>
      <c r="AG1199" s="50" t="n">
        <f aca="false">IF(AND(ISNUMBER($AE1199),ISNUMBER($AF1199),$AF1199&gt;0),$AE1199/$AF1199,"")</f>
        <v>0.681642888199141</v>
      </c>
      <c r="AH1199" s="48" t="n">
        <f aca="false">IF($U1199&gt;=5,SUM(INDEX($AD$1169:$AD1199,32-5):$AD1199),"")</f>
        <v>-438476788624</v>
      </c>
      <c r="AI1199" s="48" t="n">
        <f aca="false">IF($U1199&gt;=STRUCT_S,MAX(INDEX($G$1049:$G1199,152-STRUCT_S):$G1199),"")</f>
        <v>5275</v>
      </c>
      <c r="AJ1199" s="48" t="n">
        <f aca="false">IF($U1199&gt;=STRUCT_S,MIN(INDEX($H$1049:$H1199,152-STRUCT_S):$H1199),"")</f>
        <v>4590</v>
      </c>
      <c r="AK1199" s="48" t="n">
        <f aca="false">IF($U1199&gt;=STRUCT_L,MAX(INDEX($G$949:$G1199,252-STRUCT_L):$G1199),"")</f>
        <v>6217</v>
      </c>
      <c r="AL1199" s="48" t="n">
        <f aca="false">IF($U1199&gt;=STRUCT_L,MIN(INDEX($H$949:$H1199,252-STRUCT_L):$H1199),"")</f>
        <v>4590</v>
      </c>
      <c r="AM1199" s="46" t="n">
        <f aca="false">IF($A1199&lt;&gt;$A1200,1,0)</f>
        <v>0</v>
      </c>
      <c r="AN1199" s="47" t="str">
        <f aca="false">IF($AM1199=1,$A1199,"")</f>
        <v/>
      </c>
    </row>
    <row r="1200" customFormat="false" ht="15" hidden="false" customHeight="false" outlineLevel="0" collapsed="false">
      <c r="A1200" s="43" t="s">
        <v>152</v>
      </c>
      <c r="B1200" s="44" t="s">
        <v>154</v>
      </c>
      <c r="C1200" s="45" t="n">
        <v>46123</v>
      </c>
      <c r="D1200" s="46" t="n">
        <v>20260411</v>
      </c>
      <c r="E1200" s="47" t="s">
        <v>443</v>
      </c>
      <c r="F1200" s="48" t="n">
        <v>4827</v>
      </c>
      <c r="G1200" s="48" t="n">
        <v>4836</v>
      </c>
      <c r="H1200" s="48" t="n">
        <v>4801</v>
      </c>
      <c r="I1200" s="48" t="n">
        <v>4819</v>
      </c>
      <c r="J1200" s="48" t="n">
        <v>4808</v>
      </c>
      <c r="K1200" s="48" t="n">
        <v>4818</v>
      </c>
      <c r="L1200" s="48" t="n">
        <v>77755361</v>
      </c>
      <c r="M1200" s="48" t="n">
        <v>374703084659</v>
      </c>
      <c r="N1200" s="48" t="n">
        <v>1774</v>
      </c>
      <c r="O1200" s="48" t="n">
        <v>34683593</v>
      </c>
      <c r="P1200" s="48" t="n">
        <v>41923521</v>
      </c>
      <c r="Q1200" s="48" t="n">
        <v>626</v>
      </c>
      <c r="R1200" s="48" t="n">
        <v>517</v>
      </c>
      <c r="S1200" s="48" t="n">
        <v>43071768</v>
      </c>
      <c r="T1200" s="48" t="n">
        <v>35831840</v>
      </c>
      <c r="U1200" s="46" t="n">
        <f aca="false">IF($A1200=$A1199,$U1199+1,1)</f>
        <v>156</v>
      </c>
      <c r="V1200" s="48" t="n">
        <f aca="false">IF($U1200&gt;=MA_SHORT,AVERAGE(INDEX($I$800:$I1200,402-MA_SHORT):$I1200),"")</f>
        <v>4906.65</v>
      </c>
      <c r="W1200" s="48" t="n">
        <f aca="false">IF($U1200&gt;=MA_MED,AVERAGE(INDEX($I$800:$I1200,402-MA_MED):$I1200),"")</f>
        <v>5271.42</v>
      </c>
      <c r="X1200" s="48" t="n">
        <f aca="false">IF($U1200&gt;=MA_LONG1,AVERAGE(INDEX($I$800:$I1200,402-MA_LONG1):$I1200),"")</f>
        <v>5405.32</v>
      </c>
      <c r="Y1200" s="48" t="str">
        <f aca="false">IF($U1200&gt;=MA_LONG2,AVERAGE(INDEX($I$800:$I1200,402-MA_LONG2):$I1200),"")</f>
        <v/>
      </c>
      <c r="Z1200" s="48" t="n">
        <f aca="false">IF($U1200&gt;=MA_SHORT,AVERAGE(INDEX($L$1080:$L1200,122-MA_SHORT):$L1200),"")</f>
        <v>94206157</v>
      </c>
      <c r="AA1200" s="48" t="n">
        <f aca="false">IF($U1200=1,$G1200-$H1200,MAX($G1200-$H1200,ABS($G1200-$I1199),ABS($H1200-$I1199)))</f>
        <v>35</v>
      </c>
      <c r="AB1200" s="48" t="n">
        <f aca="false">IF($U1200&gt;=ATR_PER,AVERAGE(INDEX($AA$1080:$AA1200,122-ATR_PER):$AA1200),"")</f>
        <v>152.5</v>
      </c>
      <c r="AC1200" s="48" t="n">
        <f aca="false">$O1200-$P1200</f>
        <v>-7239928</v>
      </c>
      <c r="AD1200" s="48" t="n">
        <f aca="false">$AC1200*$I1200</f>
        <v>-34889213032</v>
      </c>
      <c r="AE1200" s="49" t="n">
        <f aca="false">IF($Q1200&gt;0,$O1200*$I1200/$Q1200/1000000,"")</f>
        <v>266.997179979233</v>
      </c>
      <c r="AF1200" s="49" t="n">
        <f aca="false">IF($R1200&gt;0,$P1200*$I1200/$R1200/1000000,"")</f>
        <v>390.772626110251</v>
      </c>
      <c r="AG1200" s="50" t="n">
        <f aca="false">IF(AND(ISNUMBER($AE1200),ISNUMBER($AF1200),$AF1200&gt;0),$AE1200/$AF1200,"")</f>
        <v>0.683254563240321</v>
      </c>
      <c r="AH1200" s="48" t="n">
        <f aca="false">IF($U1200&gt;=5,SUM(INDEX($AD$1170:$AD1200,32-5):$AD1200),"")</f>
        <v>-336279374207</v>
      </c>
      <c r="AI1200" s="48" t="n">
        <f aca="false">IF($U1200&gt;=STRUCT_S,MAX(INDEX($G$1050:$G1200,152-STRUCT_S):$G1200),"")</f>
        <v>5275</v>
      </c>
      <c r="AJ1200" s="48" t="n">
        <f aca="false">IF($U1200&gt;=STRUCT_S,MIN(INDEX($H$1050:$H1200,152-STRUCT_S):$H1200),"")</f>
        <v>4590</v>
      </c>
      <c r="AK1200" s="48" t="n">
        <f aca="false">IF($U1200&gt;=STRUCT_L,MAX(INDEX($G$950:$G1200,252-STRUCT_L):$G1200),"")</f>
        <v>6217</v>
      </c>
      <c r="AL1200" s="48" t="n">
        <f aca="false">IF($U1200&gt;=STRUCT_L,MIN(INDEX($H$950:$H1200,252-STRUCT_L):$H1200),"")</f>
        <v>4590</v>
      </c>
      <c r="AM1200" s="46" t="n">
        <f aca="false">IF($A1200&lt;&gt;$A1201,1,0)</f>
        <v>0</v>
      </c>
      <c r="AN1200" s="47" t="str">
        <f aca="false">IF($AM1200=1,$A1200,"")</f>
        <v/>
      </c>
    </row>
    <row r="1201" customFormat="false" ht="15" hidden="false" customHeight="false" outlineLevel="0" collapsed="false">
      <c r="A1201" s="43" t="s">
        <v>152</v>
      </c>
      <c r="B1201" s="44" t="s">
        <v>154</v>
      </c>
      <c r="C1201" s="45" t="n">
        <v>46124</v>
      </c>
      <c r="D1201" s="46" t="n">
        <v>20260412</v>
      </c>
      <c r="E1201" s="47" t="s">
        <v>444</v>
      </c>
      <c r="F1201" s="48" t="n">
        <v>4745</v>
      </c>
      <c r="G1201" s="48" t="n">
        <v>4889</v>
      </c>
      <c r="H1201" s="48" t="n">
        <v>4732</v>
      </c>
      <c r="I1201" s="48" t="n">
        <v>4801</v>
      </c>
      <c r="J1201" s="48" t="n">
        <v>4878</v>
      </c>
      <c r="K1201" s="48" t="n">
        <v>4819</v>
      </c>
      <c r="L1201" s="48" t="n">
        <v>81379467</v>
      </c>
      <c r="M1201" s="48" t="n">
        <v>390702821067</v>
      </c>
      <c r="N1201" s="48" t="n">
        <v>2916</v>
      </c>
      <c r="O1201" s="48" t="n">
        <v>34947329</v>
      </c>
      <c r="P1201" s="48" t="n">
        <v>48829755</v>
      </c>
      <c r="Q1201" s="48" t="n">
        <v>813</v>
      </c>
      <c r="R1201" s="48" t="n">
        <v>1257</v>
      </c>
      <c r="S1201" s="48" t="n">
        <v>46432138</v>
      </c>
      <c r="T1201" s="48" t="n">
        <v>32549712</v>
      </c>
      <c r="U1201" s="46" t="n">
        <f aca="false">IF($A1201=$A1200,$U1200+1,1)</f>
        <v>157</v>
      </c>
      <c r="V1201" s="48" t="n">
        <f aca="false">IF($U1201&gt;=MA_SHORT,AVERAGE(INDEX($I$801:$I1201,402-MA_SHORT):$I1201),"")</f>
        <v>4895.5</v>
      </c>
      <c r="W1201" s="48" t="n">
        <f aca="false">IF($U1201&gt;=MA_MED,AVERAGE(INDEX($I$801:$I1201,402-MA_MED):$I1201),"")</f>
        <v>5251.1</v>
      </c>
      <c r="X1201" s="48" t="n">
        <f aca="false">IF($U1201&gt;=MA_LONG1,AVERAGE(INDEX($I$801:$I1201,402-MA_LONG1):$I1201),"")</f>
        <v>5400.1</v>
      </c>
      <c r="Y1201" s="48" t="str">
        <f aca="false">IF($U1201&gt;=MA_LONG2,AVERAGE(INDEX($I$801:$I1201,402-MA_LONG2):$I1201),"")</f>
        <v/>
      </c>
      <c r="Z1201" s="48" t="n">
        <f aca="false">IF($U1201&gt;=MA_SHORT,AVERAGE(INDEX($L$1081:$L1201,122-MA_SHORT):$L1201),"")</f>
        <v>93743038.85</v>
      </c>
      <c r="AA1201" s="48" t="n">
        <f aca="false">IF($U1201=1,$G1201-$H1201,MAX($G1201-$H1201,ABS($G1201-$I1200),ABS($H1201-$I1200)))</f>
        <v>157</v>
      </c>
      <c r="AB1201" s="48" t="n">
        <f aca="false">IF($U1201&gt;=ATR_PER,AVERAGE(INDEX($AA$1081:$AA1201,122-ATR_PER):$AA1201),"")</f>
        <v>148.714285714286</v>
      </c>
      <c r="AC1201" s="48" t="n">
        <f aca="false">$O1201-$P1201</f>
        <v>-13882426</v>
      </c>
      <c r="AD1201" s="48" t="n">
        <f aca="false">$AC1201*$I1201</f>
        <v>-66649527226</v>
      </c>
      <c r="AE1201" s="49" t="n">
        <f aca="false">IF($Q1201&gt;0,$O1201*$I1201/$Q1201/1000000,"")</f>
        <v>206.374079371464</v>
      </c>
      <c r="AF1201" s="49" t="n">
        <f aca="false">IF($R1201&gt;0,$P1201*$I1201/$R1201/1000000,"")</f>
        <v>186.500917863962</v>
      </c>
      <c r="AG1201" s="50" t="n">
        <f aca="false">IF(AND(ISNUMBER($AE1201),ISNUMBER($AF1201),$AF1201&gt;0),$AE1201/$AF1201,"")</f>
        <v>1.10655798231512</v>
      </c>
      <c r="AH1201" s="48" t="n">
        <f aca="false">IF($U1201&gt;=5,SUM(INDEX($AD$1171:$AD1201,32-5):$AD1201),"")</f>
        <v>-286282744281</v>
      </c>
      <c r="AI1201" s="48" t="n">
        <f aca="false">IF($U1201&gt;=STRUCT_S,MAX(INDEX($G$1051:$G1201,152-STRUCT_S):$G1201),"")</f>
        <v>5145</v>
      </c>
      <c r="AJ1201" s="48" t="n">
        <f aca="false">IF($U1201&gt;=STRUCT_S,MIN(INDEX($H$1051:$H1201,152-STRUCT_S):$H1201),"")</f>
        <v>4590</v>
      </c>
      <c r="AK1201" s="48" t="n">
        <f aca="false">IF($U1201&gt;=STRUCT_L,MAX(INDEX($G$951:$G1201,252-STRUCT_L):$G1201),"")</f>
        <v>6217</v>
      </c>
      <c r="AL1201" s="48" t="n">
        <f aca="false">IF($U1201&gt;=STRUCT_L,MIN(INDEX($H$951:$H1201,252-STRUCT_L):$H1201),"")</f>
        <v>4590</v>
      </c>
      <c r="AM1201" s="46" t="n">
        <f aca="false">IF($A1201&lt;&gt;$A1202,1,0)</f>
        <v>0</v>
      </c>
      <c r="AN1201" s="47" t="str">
        <f aca="false">IF($AM1201=1,$A1201,"")</f>
        <v/>
      </c>
    </row>
    <row r="1202" customFormat="false" ht="15" hidden="false" customHeight="false" outlineLevel="0" collapsed="false">
      <c r="A1202" s="43" t="s">
        <v>152</v>
      </c>
      <c r="B1202" s="44" t="s">
        <v>154</v>
      </c>
      <c r="C1202" s="45" t="n">
        <v>46125</v>
      </c>
      <c r="D1202" s="46" t="n">
        <v>20260413</v>
      </c>
      <c r="E1202" s="47" t="s">
        <v>445</v>
      </c>
      <c r="F1202" s="48" t="n">
        <v>4664</v>
      </c>
      <c r="G1202" s="48" t="n">
        <v>4864</v>
      </c>
      <c r="H1202" s="48" t="n">
        <v>4653</v>
      </c>
      <c r="I1202" s="48" t="n">
        <v>4715</v>
      </c>
      <c r="J1202" s="48" t="n">
        <v>4779</v>
      </c>
      <c r="K1202" s="48" t="n">
        <v>4801</v>
      </c>
      <c r="L1202" s="48" t="n">
        <v>102152008</v>
      </c>
      <c r="M1202" s="48" t="n">
        <v>481646717720</v>
      </c>
      <c r="N1202" s="48" t="n">
        <v>9887</v>
      </c>
      <c r="O1202" s="48" t="n">
        <v>32788470</v>
      </c>
      <c r="P1202" s="48" t="n">
        <v>69201984</v>
      </c>
      <c r="Q1202" s="48" t="n">
        <v>3986</v>
      </c>
      <c r="R1202" s="48" t="n">
        <v>3880</v>
      </c>
      <c r="S1202" s="48" t="n">
        <v>69363538</v>
      </c>
      <c r="T1202" s="48" t="n">
        <v>32950024</v>
      </c>
      <c r="U1202" s="46" t="n">
        <f aca="false">IF($A1202=$A1201,$U1201+1,1)</f>
        <v>158</v>
      </c>
      <c r="V1202" s="48" t="n">
        <f aca="false">IF($U1202&gt;=MA_SHORT,AVERAGE(INDEX($I$802:$I1202,402-MA_SHORT):$I1202),"")</f>
        <v>4878.1</v>
      </c>
      <c r="W1202" s="48" t="n">
        <f aca="false">IF($U1202&gt;=MA_MED,AVERAGE(INDEX($I$802:$I1202,402-MA_MED):$I1202),"")</f>
        <v>5226.04</v>
      </c>
      <c r="X1202" s="48" t="n">
        <f aca="false">IF($U1202&gt;=MA_LONG1,AVERAGE(INDEX($I$802:$I1202,402-MA_LONG1):$I1202),"")</f>
        <v>5394.59</v>
      </c>
      <c r="Y1202" s="48" t="str">
        <f aca="false">IF($U1202&gt;=MA_LONG2,AVERAGE(INDEX($I$802:$I1202,402-MA_LONG2):$I1202),"")</f>
        <v/>
      </c>
      <c r="Z1202" s="48" t="n">
        <f aca="false">IF($U1202&gt;=MA_SHORT,AVERAGE(INDEX($L$1082:$L1202,122-MA_SHORT):$L1202),"")</f>
        <v>94786853.6</v>
      </c>
      <c r="AA1202" s="48" t="n">
        <f aca="false">IF($U1202=1,$G1202-$H1202,MAX($G1202-$H1202,ABS($G1202-$I1201),ABS($H1202-$I1201)))</f>
        <v>211</v>
      </c>
      <c r="AB1202" s="48" t="n">
        <f aca="false">IF($U1202&gt;=ATR_PER,AVERAGE(INDEX($AA$1082:$AA1202,122-ATR_PER):$AA1202),"")</f>
        <v>160.357142857143</v>
      </c>
      <c r="AC1202" s="48" t="n">
        <f aca="false">$O1202-$P1202</f>
        <v>-36413514</v>
      </c>
      <c r="AD1202" s="48" t="n">
        <f aca="false">$AC1202*$I1202</f>
        <v>-171689718510</v>
      </c>
      <c r="AE1202" s="49" t="n">
        <f aca="false">IF($Q1202&gt;0,$O1202*$I1202/$Q1202/1000000,"")</f>
        <v>38.7851570622178</v>
      </c>
      <c r="AF1202" s="49" t="n">
        <f aca="false">IF($R1202&gt;0,$P1202*$I1202/$R1202/1000000,"")</f>
        <v>84.0946790103093</v>
      </c>
      <c r="AG1202" s="50" t="n">
        <f aca="false">IF(AND(ISNUMBER($AE1202),ISNUMBER($AF1202),$AF1202&gt;0),$AE1202/$AF1202,"")</f>
        <v>0.461208218149724</v>
      </c>
      <c r="AH1202" s="48" t="n">
        <f aca="false">IF($U1202&gt;=5,SUM(INDEX($AD$1172:$AD1202,32-5):$AD1202),"")</f>
        <v>-404602560231</v>
      </c>
      <c r="AI1202" s="48" t="n">
        <f aca="false">IF($U1202&gt;=STRUCT_S,MAX(INDEX($G$1052:$G1202,152-STRUCT_S):$G1202),"")</f>
        <v>5091</v>
      </c>
      <c r="AJ1202" s="48" t="n">
        <f aca="false">IF($U1202&gt;=STRUCT_S,MIN(INDEX($H$1052:$H1202,152-STRUCT_S):$H1202),"")</f>
        <v>4590</v>
      </c>
      <c r="AK1202" s="48" t="n">
        <f aca="false">IF($U1202&gt;=STRUCT_L,MAX(INDEX($G$952:$G1202,252-STRUCT_L):$G1202),"")</f>
        <v>6217</v>
      </c>
      <c r="AL1202" s="48" t="n">
        <f aca="false">IF($U1202&gt;=STRUCT_L,MIN(INDEX($H$952:$H1202,252-STRUCT_L):$H1202),"")</f>
        <v>4590</v>
      </c>
      <c r="AM1202" s="46" t="n">
        <f aca="false">IF($A1202&lt;&gt;$A1203,1,0)</f>
        <v>0</v>
      </c>
      <c r="AN1202" s="47" t="str">
        <f aca="false">IF($AM1202=1,$A1202,"")</f>
        <v/>
      </c>
    </row>
    <row r="1203" customFormat="false" ht="15" hidden="false" customHeight="false" outlineLevel="0" collapsed="false">
      <c r="A1203" s="43" t="s">
        <v>152</v>
      </c>
      <c r="B1203" s="44" t="s">
        <v>154</v>
      </c>
      <c r="C1203" s="45" t="n">
        <v>46126</v>
      </c>
      <c r="D1203" s="46" t="n">
        <v>20260414</v>
      </c>
      <c r="E1203" s="47" t="s">
        <v>446</v>
      </c>
      <c r="F1203" s="48" t="n">
        <v>4639</v>
      </c>
      <c r="G1203" s="48" t="n">
        <v>4775</v>
      </c>
      <c r="H1203" s="48" t="n">
        <v>4569</v>
      </c>
      <c r="I1203" s="48" t="n">
        <v>4628</v>
      </c>
      <c r="J1203" s="48" t="n">
        <v>4581</v>
      </c>
      <c r="K1203" s="48" t="n">
        <v>4715</v>
      </c>
      <c r="L1203" s="48" t="n">
        <v>86256278</v>
      </c>
      <c r="M1203" s="48" t="n">
        <v>399194054584</v>
      </c>
      <c r="N1203" s="48" t="n">
        <v>5148</v>
      </c>
      <c r="O1203" s="48" t="n">
        <v>33313110</v>
      </c>
      <c r="P1203" s="48" t="n">
        <v>51606572</v>
      </c>
      <c r="Q1203" s="48" t="n">
        <v>1501</v>
      </c>
      <c r="R1203" s="48" t="n">
        <v>2486</v>
      </c>
      <c r="S1203" s="48" t="n">
        <v>52943168</v>
      </c>
      <c r="T1203" s="48" t="n">
        <v>34649706</v>
      </c>
      <c r="U1203" s="46" t="n">
        <f aca="false">IF($A1203=$A1202,$U1202+1,1)</f>
        <v>159</v>
      </c>
      <c r="V1203" s="48" t="n">
        <f aca="false">IF($U1203&gt;=MA_SHORT,AVERAGE(INDEX($I$803:$I1203,402-MA_SHORT):$I1203),"")</f>
        <v>4858.75</v>
      </c>
      <c r="W1203" s="48" t="n">
        <f aca="false">IF($U1203&gt;=MA_MED,AVERAGE(INDEX($I$803:$I1203,402-MA_MED):$I1203),"")</f>
        <v>5196.58</v>
      </c>
      <c r="X1203" s="48" t="n">
        <f aca="false">IF($U1203&gt;=MA_LONG1,AVERAGE(INDEX($I$803:$I1203,402-MA_LONG1):$I1203),"")</f>
        <v>5386.87</v>
      </c>
      <c r="Y1203" s="48" t="str">
        <f aca="false">IF($U1203&gt;=MA_LONG2,AVERAGE(INDEX($I$803:$I1203,402-MA_LONG2):$I1203),"")</f>
        <v/>
      </c>
      <c r="Z1203" s="48" t="n">
        <f aca="false">IF($U1203&gt;=MA_SHORT,AVERAGE(INDEX($L$1083:$L1203,122-MA_SHORT):$L1203),"")</f>
        <v>94328785.3</v>
      </c>
      <c r="AA1203" s="48" t="n">
        <f aca="false">IF($U1203=1,$G1203-$H1203,MAX($G1203-$H1203,ABS($G1203-$I1202),ABS($H1203-$I1202)))</f>
        <v>206</v>
      </c>
      <c r="AB1203" s="48" t="n">
        <f aca="false">IF($U1203&gt;=ATR_PER,AVERAGE(INDEX($AA$1083:$AA1203,122-ATR_PER):$AA1203),"")</f>
        <v>165.928571428571</v>
      </c>
      <c r="AC1203" s="48" t="n">
        <f aca="false">$O1203-$P1203</f>
        <v>-18293462</v>
      </c>
      <c r="AD1203" s="48" t="n">
        <f aca="false">$AC1203*$I1203</f>
        <v>-84662142136</v>
      </c>
      <c r="AE1203" s="49" t="n">
        <f aca="false">IF($Q1203&gt;0,$O1203*$I1203/$Q1203/1000000,"")</f>
        <v>102.713573004664</v>
      </c>
      <c r="AF1203" s="49" t="n">
        <f aca="false">IF($R1203&gt;0,$P1203*$I1203/$R1203/1000000,"")</f>
        <v>96.0720897892196</v>
      </c>
      <c r="AG1203" s="50" t="n">
        <f aca="false">IF(AND(ISNUMBER($AE1203),ISNUMBER($AF1203),$AF1203&gt;0),$AE1203/$AF1203,"")</f>
        <v>1.06913020451637</v>
      </c>
      <c r="AH1203" s="48" t="n">
        <f aca="false">IF($U1203&gt;=5,SUM(INDEX($AD$1173:$AD1203,32-5):$AD1203),"")</f>
        <v>-296064830040</v>
      </c>
      <c r="AI1203" s="48" t="n">
        <f aca="false">IF($U1203&gt;=STRUCT_S,MAX(INDEX($G$1053:$G1203,152-STRUCT_S):$G1203),"")</f>
        <v>5091</v>
      </c>
      <c r="AJ1203" s="48" t="n">
        <f aca="false">IF($U1203&gt;=STRUCT_S,MIN(INDEX($H$1053:$H1203,152-STRUCT_S):$H1203),"")</f>
        <v>4569</v>
      </c>
      <c r="AK1203" s="48" t="n">
        <f aca="false">IF($U1203&gt;=STRUCT_L,MAX(INDEX($G$953:$G1203,252-STRUCT_L):$G1203),"")</f>
        <v>6217</v>
      </c>
      <c r="AL1203" s="48" t="n">
        <f aca="false">IF($U1203&gt;=STRUCT_L,MIN(INDEX($H$953:$H1203,252-STRUCT_L):$H1203),"")</f>
        <v>4569</v>
      </c>
      <c r="AM1203" s="46" t="n">
        <f aca="false">IF($A1203&lt;&gt;$A1204,1,0)</f>
        <v>0</v>
      </c>
      <c r="AN1203" s="47" t="str">
        <f aca="false">IF($AM1203=1,$A1203,"")</f>
        <v/>
      </c>
    </row>
    <row r="1204" customFormat="false" ht="15" hidden="false" customHeight="false" outlineLevel="0" collapsed="false">
      <c r="A1204" s="43" t="s">
        <v>152</v>
      </c>
      <c r="B1204" s="44" t="s">
        <v>154</v>
      </c>
      <c r="C1204" s="45" t="n">
        <v>46127</v>
      </c>
      <c r="D1204" s="46" t="n">
        <v>20260415</v>
      </c>
      <c r="E1204" s="47" t="s">
        <v>447</v>
      </c>
      <c r="F1204" s="48" t="n">
        <v>4590</v>
      </c>
      <c r="G1204" s="48" t="n">
        <v>4647</v>
      </c>
      <c r="H1204" s="48" t="n">
        <v>4572</v>
      </c>
      <c r="I1204" s="48" t="n">
        <v>4591</v>
      </c>
      <c r="J1204" s="48" t="n">
        <v>4609</v>
      </c>
      <c r="K1204" s="48" t="n">
        <v>4628</v>
      </c>
      <c r="L1204" s="48" t="n">
        <v>81383849</v>
      </c>
      <c r="M1204" s="48" t="n">
        <v>373633250759</v>
      </c>
      <c r="N1204" s="48" t="n">
        <v>3522</v>
      </c>
      <c r="O1204" s="48" t="n">
        <v>35420511</v>
      </c>
      <c r="P1204" s="48" t="n">
        <v>52452677</v>
      </c>
      <c r="Q1204" s="48" t="n">
        <v>1225</v>
      </c>
      <c r="R1204" s="48" t="n">
        <v>1319</v>
      </c>
      <c r="S1204" s="48" t="n">
        <v>45963338</v>
      </c>
      <c r="T1204" s="48" t="n">
        <v>28931172</v>
      </c>
      <c r="U1204" s="46" t="n">
        <f aca="false">IF($A1204=$A1203,$U1203+1,1)</f>
        <v>160</v>
      </c>
      <c r="V1204" s="48" t="n">
        <f aca="false">IF($U1204&gt;=MA_SHORT,AVERAGE(INDEX($I$804:$I1204,402-MA_SHORT):$I1204),"")</f>
        <v>4842.3</v>
      </c>
      <c r="W1204" s="48" t="n">
        <f aca="false">IF($U1204&gt;=MA_MED,AVERAGE(INDEX($I$804:$I1204,402-MA_MED):$I1204),"")</f>
        <v>5164.92</v>
      </c>
      <c r="X1204" s="48" t="n">
        <f aca="false">IF($U1204&gt;=MA_LONG1,AVERAGE(INDEX($I$804:$I1204,402-MA_LONG1):$I1204),"")</f>
        <v>5379.97</v>
      </c>
      <c r="Y1204" s="48" t="str">
        <f aca="false">IF($U1204&gt;=MA_LONG2,AVERAGE(INDEX($I$804:$I1204,402-MA_LONG2):$I1204),"")</f>
        <v/>
      </c>
      <c r="Z1204" s="48" t="n">
        <f aca="false">IF($U1204&gt;=MA_SHORT,AVERAGE(INDEX($L$1084:$L1204,122-MA_SHORT):$L1204),"")</f>
        <v>93686281.95</v>
      </c>
      <c r="AA1204" s="48" t="n">
        <f aca="false">IF($U1204=1,$G1204-$H1204,MAX($G1204-$H1204,ABS($G1204-$I1203),ABS($H1204-$I1203)))</f>
        <v>75</v>
      </c>
      <c r="AB1204" s="48" t="n">
        <f aca="false">IF($U1204&gt;=ATR_PER,AVERAGE(INDEX($AA$1084:$AA1204,122-ATR_PER):$AA1204),"")</f>
        <v>158.928571428571</v>
      </c>
      <c r="AC1204" s="48" t="n">
        <f aca="false">$O1204-$P1204</f>
        <v>-17032166</v>
      </c>
      <c r="AD1204" s="48" t="n">
        <f aca="false">$AC1204*$I1204</f>
        <v>-78194674106</v>
      </c>
      <c r="AE1204" s="49" t="n">
        <f aca="false">IF($Q1204&gt;0,$O1204*$I1204/$Q1204/1000000,"")</f>
        <v>132.747400817143</v>
      </c>
      <c r="AF1204" s="49" t="n">
        <f aca="false">IF($R1204&gt;0,$P1204*$I1204/$R1204/1000000,"")</f>
        <v>182.570310922669</v>
      </c>
      <c r="AG1204" s="50" t="n">
        <f aca="false">IF(AND(ISNUMBER($AE1204),ISNUMBER($AF1204),$AF1204&gt;0),$AE1204/$AF1204,"")</f>
        <v>0.727102890641243</v>
      </c>
      <c r="AH1204" s="48" t="n">
        <f aca="false">IF($U1204&gt;=5,SUM(INDEX($AD$1174:$AD1204,32-5):$AD1204),"")</f>
        <v>-436085275010</v>
      </c>
      <c r="AI1204" s="48" t="n">
        <f aca="false">IF($U1204&gt;=STRUCT_S,MAX(INDEX($G$1054:$G1204,152-STRUCT_S):$G1204),"")</f>
        <v>5091</v>
      </c>
      <c r="AJ1204" s="48" t="n">
        <f aca="false">IF($U1204&gt;=STRUCT_S,MIN(INDEX($H$1054:$H1204,152-STRUCT_S):$H1204),"")</f>
        <v>4569</v>
      </c>
      <c r="AK1204" s="48" t="n">
        <f aca="false">IF($U1204&gt;=STRUCT_L,MAX(INDEX($G$954:$G1204,252-STRUCT_L):$G1204),"")</f>
        <v>6217</v>
      </c>
      <c r="AL1204" s="48" t="n">
        <f aca="false">IF($U1204&gt;=STRUCT_L,MIN(INDEX($H$954:$H1204,252-STRUCT_L):$H1204),"")</f>
        <v>4569</v>
      </c>
      <c r="AM1204" s="46" t="n">
        <f aca="false">IF($A1204&lt;&gt;$A1205,1,0)</f>
        <v>0</v>
      </c>
      <c r="AN1204" s="47" t="str">
        <f aca="false">IF($AM1204=1,$A1204,"")</f>
        <v/>
      </c>
    </row>
    <row r="1205" customFormat="false" ht="15" hidden="false" customHeight="false" outlineLevel="0" collapsed="false">
      <c r="A1205" s="43" t="s">
        <v>152</v>
      </c>
      <c r="B1205" s="44" t="s">
        <v>154</v>
      </c>
      <c r="C1205" s="45" t="n">
        <v>46130</v>
      </c>
      <c r="D1205" s="46" t="n">
        <v>20260418</v>
      </c>
      <c r="E1205" s="47" t="s">
        <v>448</v>
      </c>
      <c r="F1205" s="48" t="n">
        <v>4576</v>
      </c>
      <c r="G1205" s="48" t="n">
        <v>4613</v>
      </c>
      <c r="H1205" s="48" t="n">
        <v>4529</v>
      </c>
      <c r="I1205" s="48" t="n">
        <v>4550</v>
      </c>
      <c r="J1205" s="48" t="n">
        <v>4535</v>
      </c>
      <c r="K1205" s="48" t="n">
        <v>4591</v>
      </c>
      <c r="L1205" s="48" t="n">
        <v>81819841</v>
      </c>
      <c r="M1205" s="48" t="n">
        <v>372280276550</v>
      </c>
      <c r="N1205" s="48" t="n">
        <v>4664</v>
      </c>
      <c r="O1205" s="48" t="n">
        <v>35838423</v>
      </c>
      <c r="P1205" s="48" t="n">
        <v>45782386</v>
      </c>
      <c r="Q1205" s="48" t="n">
        <v>1498</v>
      </c>
      <c r="R1205" s="48" t="n">
        <v>2466</v>
      </c>
      <c r="S1205" s="48" t="n">
        <v>45981418</v>
      </c>
      <c r="T1205" s="48" t="n">
        <v>36037455</v>
      </c>
      <c r="U1205" s="46" t="n">
        <f aca="false">IF($A1205=$A1204,$U1204+1,1)</f>
        <v>161</v>
      </c>
      <c r="V1205" s="48" t="n">
        <f aca="false">IF($U1205&gt;=MA_SHORT,AVERAGE(INDEX($I$805:$I1205,402-MA_SHORT):$I1205),"")</f>
        <v>4825.3</v>
      </c>
      <c r="W1205" s="48" t="n">
        <f aca="false">IF($U1205&gt;=MA_MED,AVERAGE(INDEX($I$805:$I1205,402-MA_MED):$I1205),"")</f>
        <v>5133.46</v>
      </c>
      <c r="X1205" s="48" t="n">
        <f aca="false">IF($U1205&gt;=MA_LONG1,AVERAGE(INDEX($I$805:$I1205,402-MA_LONG1):$I1205),"")</f>
        <v>5373.48</v>
      </c>
      <c r="Y1205" s="48" t="str">
        <f aca="false">IF($U1205&gt;=MA_LONG2,AVERAGE(INDEX($I$805:$I1205,402-MA_LONG2):$I1205),"")</f>
        <v/>
      </c>
      <c r="Z1205" s="48" t="n">
        <f aca="false">IF($U1205&gt;=MA_SHORT,AVERAGE(INDEX($L$1085:$L1205,122-MA_SHORT):$L1205),"")</f>
        <v>93752282.95</v>
      </c>
      <c r="AA1205" s="48" t="n">
        <f aca="false">IF($U1205=1,$G1205-$H1205,MAX($G1205-$H1205,ABS($G1205-$I1204),ABS($H1205-$I1204)))</f>
        <v>84</v>
      </c>
      <c r="AB1205" s="48" t="n">
        <f aca="false">IF($U1205&gt;=ATR_PER,AVERAGE(INDEX($AA$1085:$AA1205,122-ATR_PER):$AA1205),"")</f>
        <v>156.642857142857</v>
      </c>
      <c r="AC1205" s="48" t="n">
        <f aca="false">$O1205-$P1205</f>
        <v>-9943963</v>
      </c>
      <c r="AD1205" s="48" t="n">
        <f aca="false">$AC1205*$I1205</f>
        <v>-45245031650</v>
      </c>
      <c r="AE1205" s="49" t="n">
        <f aca="false">IF($Q1205&gt;0,$O1205*$I1205/$Q1205/1000000,"")</f>
        <v>108.855023130841</v>
      </c>
      <c r="AF1205" s="49" t="n">
        <f aca="false">IF($R1205&gt;0,$P1205*$I1205/$R1205/1000000,"")</f>
        <v>84.4727722222222</v>
      </c>
      <c r="AG1205" s="50" t="n">
        <f aca="false">IF(AND(ISNUMBER($AE1205),ISNUMBER($AF1205),$AF1205&gt;0),$AE1205/$AF1205,"")</f>
        <v>1.2886403543674</v>
      </c>
      <c r="AH1205" s="48" t="n">
        <f aca="false">IF($U1205&gt;=5,SUM(INDEX($AD$1175:$AD1205,32-5):$AD1205),"")</f>
        <v>-446441093628</v>
      </c>
      <c r="AI1205" s="48" t="n">
        <f aca="false">IF($U1205&gt;=STRUCT_S,MAX(INDEX($G$1055:$G1205,152-STRUCT_S):$G1205),"")</f>
        <v>5091</v>
      </c>
      <c r="AJ1205" s="48" t="n">
        <f aca="false">IF($U1205&gt;=STRUCT_S,MIN(INDEX($H$1055:$H1205,152-STRUCT_S):$H1205),"")</f>
        <v>4529</v>
      </c>
      <c r="AK1205" s="48" t="n">
        <f aca="false">IF($U1205&gt;=STRUCT_L,MAX(INDEX($G$955:$G1205,252-STRUCT_L):$G1205),"")</f>
        <v>6217</v>
      </c>
      <c r="AL1205" s="48" t="n">
        <f aca="false">IF($U1205&gt;=STRUCT_L,MIN(INDEX($H$955:$H1205,252-STRUCT_L):$H1205),"")</f>
        <v>4529</v>
      </c>
      <c r="AM1205" s="46" t="n">
        <f aca="false">IF($A1205&lt;&gt;$A1206,1,0)</f>
        <v>0</v>
      </c>
      <c r="AN1205" s="47" t="str">
        <f aca="false">IF($AM1205=1,$A1205,"")</f>
        <v/>
      </c>
    </row>
    <row r="1206" customFormat="false" ht="15" hidden="false" customHeight="false" outlineLevel="0" collapsed="false">
      <c r="A1206" s="43" t="s">
        <v>152</v>
      </c>
      <c r="B1206" s="44" t="s">
        <v>154</v>
      </c>
      <c r="C1206" s="45" t="n">
        <v>46131</v>
      </c>
      <c r="D1206" s="46" t="n">
        <v>20260419</v>
      </c>
      <c r="E1206" s="47" t="s">
        <v>449</v>
      </c>
      <c r="F1206" s="48" t="n">
        <v>4519</v>
      </c>
      <c r="G1206" s="48" t="n">
        <v>4721</v>
      </c>
      <c r="H1206" s="48" t="n">
        <v>4517</v>
      </c>
      <c r="I1206" s="48" t="n">
        <v>4687</v>
      </c>
      <c r="J1206" s="48" t="n">
        <v>4590</v>
      </c>
      <c r="K1206" s="48" t="n">
        <v>4550</v>
      </c>
      <c r="L1206" s="48" t="n">
        <v>91688411</v>
      </c>
      <c r="M1206" s="48" t="n">
        <v>429743582357</v>
      </c>
      <c r="N1206" s="48" t="n">
        <v>3818</v>
      </c>
      <c r="O1206" s="48" t="n">
        <v>49669508</v>
      </c>
      <c r="P1206" s="48" t="n">
        <v>44216798</v>
      </c>
      <c r="Q1206" s="48" t="n">
        <v>2040</v>
      </c>
      <c r="R1206" s="48" t="n">
        <v>1358</v>
      </c>
      <c r="S1206" s="48" t="n">
        <v>42018903</v>
      </c>
      <c r="T1206" s="48" t="n">
        <v>47471613</v>
      </c>
      <c r="U1206" s="46" t="n">
        <f aca="false">IF($A1206=$A1205,$U1205+1,1)</f>
        <v>162</v>
      </c>
      <c r="V1206" s="48" t="n">
        <f aca="false">IF($U1206&gt;=MA_SHORT,AVERAGE(INDEX($I$806:$I1206,402-MA_SHORT):$I1206),"")</f>
        <v>4812.15</v>
      </c>
      <c r="W1206" s="48" t="n">
        <f aca="false">IF($U1206&gt;=MA_MED,AVERAGE(INDEX($I$806:$I1206,402-MA_MED):$I1206),"")</f>
        <v>5110.3</v>
      </c>
      <c r="X1206" s="48" t="n">
        <f aca="false">IF($U1206&gt;=MA_LONG1,AVERAGE(INDEX($I$806:$I1206,402-MA_LONG1):$I1206),"")</f>
        <v>5367.13</v>
      </c>
      <c r="Y1206" s="48" t="str">
        <f aca="false">IF($U1206&gt;=MA_LONG2,AVERAGE(INDEX($I$806:$I1206,402-MA_LONG2):$I1206),"")</f>
        <v/>
      </c>
      <c r="Z1206" s="48" t="n">
        <f aca="false">IF($U1206&gt;=MA_SHORT,AVERAGE(INDEX($L$1086:$L1206,122-MA_SHORT):$L1206),"")</f>
        <v>94167910.9</v>
      </c>
      <c r="AA1206" s="48" t="n">
        <f aca="false">IF($U1206=1,$G1206-$H1206,MAX($G1206-$H1206,ABS($G1206-$I1205),ABS($H1206-$I1205)))</f>
        <v>204</v>
      </c>
      <c r="AB1206" s="48" t="n">
        <f aca="false">IF($U1206&gt;=ATR_PER,AVERAGE(INDEX($AA$1086:$AA1206,122-ATR_PER):$AA1206),"")</f>
        <v>157.714285714286</v>
      </c>
      <c r="AC1206" s="48" t="n">
        <f aca="false">$O1206-$P1206</f>
        <v>5452710</v>
      </c>
      <c r="AD1206" s="48" t="n">
        <f aca="false">$AC1206*$I1206</f>
        <v>25556851770</v>
      </c>
      <c r="AE1206" s="49" t="n">
        <f aca="false">IF($Q1206&gt;0,$O1206*$I1206/$Q1206/1000000,"")</f>
        <v>114.118129409804</v>
      </c>
      <c r="AF1206" s="49" t="n">
        <f aca="false">IF($R1206&gt;0,$P1206*$I1206/$R1206/1000000,"")</f>
        <v>152.609817544919</v>
      </c>
      <c r="AG1206" s="50" t="n">
        <f aca="false">IF(AND(ISNUMBER($AE1206),ISNUMBER($AF1206),$AF1206&gt;0),$AE1206/$AF1206,"")</f>
        <v>0.747777117132157</v>
      </c>
      <c r="AH1206" s="48" t="n">
        <f aca="false">IF($U1206&gt;=5,SUM(INDEX($AD$1176:$AD1206,32-5):$AD1206),"")</f>
        <v>-354234714632</v>
      </c>
      <c r="AI1206" s="48" t="n">
        <f aca="false">IF($U1206&gt;=STRUCT_S,MAX(INDEX($G$1056:$G1206,152-STRUCT_S):$G1206),"")</f>
        <v>5091</v>
      </c>
      <c r="AJ1206" s="48" t="n">
        <f aca="false">IF($U1206&gt;=STRUCT_S,MIN(INDEX($H$1056:$H1206,152-STRUCT_S):$H1206),"")</f>
        <v>4517</v>
      </c>
      <c r="AK1206" s="48" t="n">
        <f aca="false">IF($U1206&gt;=STRUCT_L,MAX(INDEX($G$956:$G1206,252-STRUCT_L):$G1206),"")</f>
        <v>6217</v>
      </c>
      <c r="AL1206" s="48" t="n">
        <f aca="false">IF($U1206&gt;=STRUCT_L,MIN(INDEX($H$956:$H1206,252-STRUCT_L):$H1206),"")</f>
        <v>4517</v>
      </c>
      <c r="AM1206" s="46" t="n">
        <f aca="false">IF($A1206&lt;&gt;$A1207,1,0)</f>
        <v>0</v>
      </c>
      <c r="AN1206" s="47" t="str">
        <f aca="false">IF($AM1206=1,$A1206,"")</f>
        <v/>
      </c>
    </row>
    <row r="1207" customFormat="false" ht="15" hidden="false" customHeight="false" outlineLevel="0" collapsed="false">
      <c r="A1207" s="43" t="s">
        <v>152</v>
      </c>
      <c r="B1207" s="44" t="s">
        <v>154</v>
      </c>
      <c r="C1207" s="45" t="n">
        <v>46132</v>
      </c>
      <c r="D1207" s="46" t="n">
        <v>20260420</v>
      </c>
      <c r="E1207" s="47" t="s">
        <v>450</v>
      </c>
      <c r="F1207" s="48" t="n">
        <v>4605</v>
      </c>
      <c r="G1207" s="48" t="n">
        <v>4727</v>
      </c>
      <c r="H1207" s="48" t="n">
        <v>4419</v>
      </c>
      <c r="I1207" s="48" t="n">
        <v>4457</v>
      </c>
      <c r="J1207" s="48" t="n">
        <v>4714</v>
      </c>
      <c r="K1207" s="48" t="n">
        <v>4687</v>
      </c>
      <c r="L1207" s="48" t="n">
        <v>122548428</v>
      </c>
      <c r="M1207" s="48" t="n">
        <v>546198343596</v>
      </c>
      <c r="N1207" s="48" t="n">
        <v>4487</v>
      </c>
      <c r="O1207" s="48" t="n">
        <v>37249262</v>
      </c>
      <c r="P1207" s="48" t="n">
        <v>88421828</v>
      </c>
      <c r="Q1207" s="48" t="n">
        <v>1365</v>
      </c>
      <c r="R1207" s="48" t="n">
        <v>2631</v>
      </c>
      <c r="S1207" s="48" t="n">
        <v>85299166</v>
      </c>
      <c r="T1207" s="48" t="n">
        <v>34126600</v>
      </c>
      <c r="U1207" s="46" t="n">
        <f aca="false">IF($A1207=$A1206,$U1206+1,1)</f>
        <v>163</v>
      </c>
      <c r="V1207" s="48" t="n">
        <f aca="false">IF($U1207&gt;=MA_SHORT,AVERAGE(INDEX($I$807:$I1207,402-MA_SHORT):$I1207),"")</f>
        <v>4793.65</v>
      </c>
      <c r="W1207" s="48" t="n">
        <f aca="false">IF($U1207&gt;=MA_MED,AVERAGE(INDEX($I$807:$I1207,402-MA_MED):$I1207),"")</f>
        <v>5083.68</v>
      </c>
      <c r="X1207" s="48" t="n">
        <f aca="false">IF($U1207&gt;=MA_LONG1,AVERAGE(INDEX($I$807:$I1207,402-MA_LONG1):$I1207),"")</f>
        <v>5359.29</v>
      </c>
      <c r="Y1207" s="48" t="str">
        <f aca="false">IF($U1207&gt;=MA_LONG2,AVERAGE(INDEX($I$807:$I1207,402-MA_LONG2):$I1207),"")</f>
        <v/>
      </c>
      <c r="Z1207" s="48" t="n">
        <f aca="false">IF($U1207&gt;=MA_SHORT,AVERAGE(INDEX($L$1087:$L1207,122-MA_SHORT):$L1207),"")</f>
        <v>93699099.45</v>
      </c>
      <c r="AA1207" s="48" t="n">
        <f aca="false">IF($U1207=1,$G1207-$H1207,MAX($G1207-$H1207,ABS($G1207-$I1206),ABS($H1207-$I1206)))</f>
        <v>308</v>
      </c>
      <c r="AB1207" s="48" t="n">
        <f aca="false">IF($U1207&gt;=ATR_PER,AVERAGE(INDEX($AA$1087:$AA1207,122-ATR_PER):$AA1207),"")</f>
        <v>169.571428571429</v>
      </c>
      <c r="AC1207" s="48" t="n">
        <f aca="false">$O1207-$P1207</f>
        <v>-51172566</v>
      </c>
      <c r="AD1207" s="48" t="n">
        <f aca="false">$AC1207*$I1207</f>
        <v>-228076126662</v>
      </c>
      <c r="AE1207" s="49" t="n">
        <f aca="false">IF($Q1207&gt;0,$O1207*$I1207/$Q1207/1000000,"")</f>
        <v>121.626344860073</v>
      </c>
      <c r="AF1207" s="49" t="n">
        <f aca="false">IF($R1207&gt;0,$P1207*$I1207/$R1207/1000000,"")</f>
        <v>149.789466893197</v>
      </c>
      <c r="AG1207" s="50" t="n">
        <f aca="false">IF(AND(ISNUMBER($AE1207),ISNUMBER($AF1207),$AF1207&gt;0),$AE1207/$AF1207,"")</f>
        <v>0.811981959631352</v>
      </c>
      <c r="AH1207" s="48" t="n">
        <f aca="false">IF($U1207&gt;=5,SUM(INDEX($AD$1177:$AD1207,32-5):$AD1207),"")</f>
        <v>-410621122784</v>
      </c>
      <c r="AI1207" s="48" t="n">
        <f aca="false">IF($U1207&gt;=STRUCT_S,MAX(INDEX($G$1057:$G1207,152-STRUCT_S):$G1207),"")</f>
        <v>5091</v>
      </c>
      <c r="AJ1207" s="48" t="n">
        <f aca="false">IF($U1207&gt;=STRUCT_S,MIN(INDEX($H$1057:$H1207,152-STRUCT_S):$H1207),"")</f>
        <v>4419</v>
      </c>
      <c r="AK1207" s="48" t="n">
        <f aca="false">IF($U1207&gt;=STRUCT_L,MAX(INDEX($G$957:$G1207,252-STRUCT_L):$G1207),"")</f>
        <v>6217</v>
      </c>
      <c r="AL1207" s="48" t="n">
        <f aca="false">IF($U1207&gt;=STRUCT_L,MIN(INDEX($H$957:$H1207,252-STRUCT_L):$H1207),"")</f>
        <v>4419</v>
      </c>
      <c r="AM1207" s="46" t="n">
        <f aca="false">IF($A1207&lt;&gt;$A1208,1,0)</f>
        <v>0</v>
      </c>
      <c r="AN1207" s="47" t="str">
        <f aca="false">IF($AM1207=1,$A1207,"")</f>
        <v/>
      </c>
    </row>
    <row r="1208" customFormat="false" ht="15" hidden="false" customHeight="false" outlineLevel="0" collapsed="false">
      <c r="A1208" s="43" t="s">
        <v>152</v>
      </c>
      <c r="B1208" s="44" t="s">
        <v>154</v>
      </c>
      <c r="C1208" s="45" t="n">
        <v>46133</v>
      </c>
      <c r="D1208" s="46" t="n">
        <v>20260421</v>
      </c>
      <c r="E1208" s="47" t="s">
        <v>451</v>
      </c>
      <c r="F1208" s="48" t="n">
        <v>4442</v>
      </c>
      <c r="G1208" s="48" t="n">
        <v>4606</v>
      </c>
      <c r="H1208" s="48" t="n">
        <v>4425</v>
      </c>
      <c r="I1208" s="48" t="n">
        <v>4573</v>
      </c>
      <c r="J1208" s="48" t="n">
        <v>4575</v>
      </c>
      <c r="K1208" s="48" t="n">
        <v>4457</v>
      </c>
      <c r="L1208" s="48" t="n">
        <v>89785736</v>
      </c>
      <c r="M1208" s="48" t="n">
        <v>410590170728</v>
      </c>
      <c r="N1208" s="48" t="n">
        <v>2162</v>
      </c>
      <c r="O1208" s="48" t="n">
        <v>57243790</v>
      </c>
      <c r="P1208" s="48" t="n">
        <v>28027991</v>
      </c>
      <c r="Q1208" s="48" t="n">
        <v>1012</v>
      </c>
      <c r="R1208" s="48" t="n">
        <v>801</v>
      </c>
      <c r="S1208" s="48" t="n">
        <v>32541946</v>
      </c>
      <c r="T1208" s="48" t="n">
        <v>61757745</v>
      </c>
      <c r="U1208" s="46" t="n">
        <f aca="false">IF($A1208=$A1207,$U1207+1,1)</f>
        <v>164</v>
      </c>
      <c r="V1208" s="48" t="n">
        <f aca="false">IF($U1208&gt;=MA_SHORT,AVERAGE(INDEX($I$808:$I1208,402-MA_SHORT):$I1208),"")</f>
        <v>4781.05</v>
      </c>
      <c r="W1208" s="48" t="n">
        <f aca="false">IF($U1208&gt;=MA_MED,AVERAGE(INDEX($I$808:$I1208,402-MA_MED):$I1208),"")</f>
        <v>5057.04</v>
      </c>
      <c r="X1208" s="48" t="n">
        <f aca="false">IF($U1208&gt;=MA_LONG1,AVERAGE(INDEX($I$808:$I1208,402-MA_LONG1):$I1208),"")</f>
        <v>5353.42</v>
      </c>
      <c r="Y1208" s="48" t="str">
        <f aca="false">IF($U1208&gt;=MA_LONG2,AVERAGE(INDEX($I$808:$I1208,402-MA_LONG2):$I1208),"")</f>
        <v/>
      </c>
      <c r="Z1208" s="48" t="n">
        <f aca="false">IF($U1208&gt;=MA_SHORT,AVERAGE(INDEX($L$1088:$L1208,122-MA_SHORT):$L1208),"")</f>
        <v>93700255.6</v>
      </c>
      <c r="AA1208" s="48" t="n">
        <f aca="false">IF($U1208=1,$G1208-$H1208,MAX($G1208-$H1208,ABS($G1208-$I1207),ABS($H1208-$I1207)))</f>
        <v>181</v>
      </c>
      <c r="AB1208" s="48" t="n">
        <f aca="false">IF($U1208&gt;=ATR_PER,AVERAGE(INDEX($AA$1088:$AA1208,122-ATR_PER):$AA1208),"")</f>
        <v>174.785714285714</v>
      </c>
      <c r="AC1208" s="48" t="n">
        <f aca="false">$O1208-$P1208</f>
        <v>29215799</v>
      </c>
      <c r="AD1208" s="48" t="n">
        <f aca="false">$AC1208*$I1208</f>
        <v>133603848827</v>
      </c>
      <c r="AE1208" s="49" t="n">
        <f aca="false">IF($Q1208&gt;0,$O1208*$I1208/$Q1208/1000000,"")</f>
        <v>258.671790187747</v>
      </c>
      <c r="AF1208" s="49" t="n">
        <f aca="false">IF($R1208&gt;0,$P1208*$I1208/$R1208/1000000,"")</f>
        <v>160.014984822722</v>
      </c>
      <c r="AG1208" s="50" t="n">
        <f aca="false">IF(AND(ISNUMBER($AE1208),ISNUMBER($AF1208),$AF1208&gt;0),$AE1208/$AF1208,"")</f>
        <v>1.61654729070734</v>
      </c>
      <c r="AH1208" s="48" t="n">
        <f aca="false">IF($U1208&gt;=5,SUM(INDEX($AD$1178:$AD1208,32-5):$AD1208),"")</f>
        <v>-192355131821</v>
      </c>
      <c r="AI1208" s="48" t="n">
        <f aca="false">IF($U1208&gt;=STRUCT_S,MAX(INDEX($G$1058:$G1208,152-STRUCT_S):$G1208),"")</f>
        <v>5091</v>
      </c>
      <c r="AJ1208" s="48" t="n">
        <f aca="false">IF($U1208&gt;=STRUCT_S,MIN(INDEX($H$1058:$H1208,152-STRUCT_S):$H1208),"")</f>
        <v>4419</v>
      </c>
      <c r="AK1208" s="48" t="n">
        <f aca="false">IF($U1208&gt;=STRUCT_L,MAX(INDEX($G$958:$G1208,252-STRUCT_L):$G1208),"")</f>
        <v>6217</v>
      </c>
      <c r="AL1208" s="48" t="n">
        <f aca="false">IF($U1208&gt;=STRUCT_L,MIN(INDEX($H$958:$H1208,252-STRUCT_L):$H1208),"")</f>
        <v>4419</v>
      </c>
      <c r="AM1208" s="46" t="n">
        <f aca="false">IF($A1208&lt;&gt;$A1209,1,0)</f>
        <v>0</v>
      </c>
      <c r="AN1208" s="47" t="str">
        <f aca="false">IF($AM1208=1,$A1208,"")</f>
        <v/>
      </c>
    </row>
    <row r="1209" customFormat="false" ht="15" hidden="false" customHeight="false" outlineLevel="0" collapsed="false">
      <c r="A1209" s="43" t="s">
        <v>152</v>
      </c>
      <c r="B1209" s="44" t="s">
        <v>154</v>
      </c>
      <c r="C1209" s="45" t="n">
        <v>46134</v>
      </c>
      <c r="D1209" s="46" t="n">
        <v>20260422</v>
      </c>
      <c r="E1209" s="47" t="s">
        <v>452</v>
      </c>
      <c r="F1209" s="48" t="n">
        <v>4528</v>
      </c>
      <c r="G1209" s="48" t="n">
        <v>4674</v>
      </c>
      <c r="H1209" s="48" t="n">
        <v>4496</v>
      </c>
      <c r="I1209" s="48" t="n">
        <v>4597</v>
      </c>
      <c r="J1209" s="48" t="n">
        <v>4627</v>
      </c>
      <c r="K1209" s="48" t="n">
        <v>4573</v>
      </c>
      <c r="L1209" s="48" t="n">
        <v>90154326</v>
      </c>
      <c r="M1209" s="48" t="n">
        <v>414439436622</v>
      </c>
      <c r="N1209" s="48" t="n">
        <v>8334</v>
      </c>
      <c r="O1209" s="48" t="n">
        <v>38733579</v>
      </c>
      <c r="P1209" s="48" t="n">
        <v>48964894</v>
      </c>
      <c r="Q1209" s="48" t="n">
        <v>4649</v>
      </c>
      <c r="R1209" s="48" t="n">
        <v>2322</v>
      </c>
      <c r="S1209" s="48" t="n">
        <v>51420747</v>
      </c>
      <c r="T1209" s="48" t="n">
        <v>41189432</v>
      </c>
      <c r="U1209" s="46" t="n">
        <f aca="false">IF($A1209=$A1208,$U1208+1,1)</f>
        <v>165</v>
      </c>
      <c r="V1209" s="48" t="n">
        <f aca="false">IF($U1209&gt;=MA_SHORT,AVERAGE(INDEX($I$809:$I1209,402-MA_SHORT):$I1209),"")</f>
        <v>4768.05</v>
      </c>
      <c r="W1209" s="48" t="n">
        <f aca="false">IF($U1209&gt;=MA_MED,AVERAGE(INDEX($I$809:$I1209,402-MA_MED):$I1209),"")</f>
        <v>5032.62</v>
      </c>
      <c r="X1209" s="48" t="n">
        <f aca="false">IF($U1209&gt;=MA_LONG1,AVERAGE(INDEX($I$809:$I1209,402-MA_LONG1):$I1209),"")</f>
        <v>5347.89</v>
      </c>
      <c r="Y1209" s="48" t="str">
        <f aca="false">IF($U1209&gt;=MA_LONG2,AVERAGE(INDEX($I$809:$I1209,402-MA_LONG2):$I1209),"")</f>
        <v/>
      </c>
      <c r="Z1209" s="48" t="n">
        <f aca="false">IF($U1209&gt;=MA_SHORT,AVERAGE(INDEX($L$1089:$L1209,122-MA_SHORT):$L1209),"")</f>
        <v>94170526.85</v>
      </c>
      <c r="AA1209" s="48" t="n">
        <f aca="false">IF($U1209=1,$G1209-$H1209,MAX($G1209-$H1209,ABS($G1209-$I1208),ABS($H1209-$I1208)))</f>
        <v>178</v>
      </c>
      <c r="AB1209" s="48" t="n">
        <f aca="false">IF($U1209&gt;=ATR_PER,AVERAGE(INDEX($AA$1089:$AA1209,122-ATR_PER):$AA1209),"")</f>
        <v>172.571428571429</v>
      </c>
      <c r="AC1209" s="48" t="n">
        <f aca="false">$O1209-$P1209</f>
        <v>-10231315</v>
      </c>
      <c r="AD1209" s="48" t="n">
        <f aca="false">$AC1209*$I1209</f>
        <v>-47033355055</v>
      </c>
      <c r="AE1209" s="49" t="n">
        <f aca="false">IF($Q1209&gt;0,$O1209*$I1209/$Q1209/1000000,"")</f>
        <v>38.3003361288449</v>
      </c>
      <c r="AF1209" s="49" t="n">
        <f aca="false">IF($R1209&gt;0,$P1209*$I1209/$R1209/1000000,"")</f>
        <v>96.9386811877692</v>
      </c>
      <c r="AG1209" s="50" t="n">
        <f aca="false">IF(AND(ISNUMBER($AE1209),ISNUMBER($AF1209),$AF1209&gt;0),$AE1209/$AF1209,"")</f>
        <v>0.395098588711534</v>
      </c>
      <c r="AH1209" s="48" t="n">
        <f aca="false">IF($U1209&gt;=5,SUM(INDEX($AD$1179:$AD1209,32-5):$AD1209),"")</f>
        <v>-161193812770</v>
      </c>
      <c r="AI1209" s="48" t="n">
        <f aca="false">IF($U1209&gt;=STRUCT_S,MAX(INDEX($G$1059:$G1209,152-STRUCT_S):$G1209),"")</f>
        <v>5091</v>
      </c>
      <c r="AJ1209" s="48" t="n">
        <f aca="false">IF($U1209&gt;=STRUCT_S,MIN(INDEX($H$1059:$H1209,152-STRUCT_S):$H1209),"")</f>
        <v>4419</v>
      </c>
      <c r="AK1209" s="48" t="n">
        <f aca="false">IF($U1209&gt;=STRUCT_L,MAX(INDEX($G$959:$G1209,252-STRUCT_L):$G1209),"")</f>
        <v>6217</v>
      </c>
      <c r="AL1209" s="48" t="n">
        <f aca="false">IF($U1209&gt;=STRUCT_L,MIN(INDEX($H$959:$H1209,252-STRUCT_L):$H1209),"")</f>
        <v>4419</v>
      </c>
      <c r="AM1209" s="46" t="n">
        <f aca="false">IF($A1209&lt;&gt;$A1210,1,0)</f>
        <v>0</v>
      </c>
      <c r="AN1209" s="47" t="str">
        <f aca="false">IF($AM1209=1,$A1209,"")</f>
        <v/>
      </c>
    </row>
    <row r="1210" customFormat="false" ht="15" hidden="false" customHeight="false" outlineLevel="0" collapsed="false">
      <c r="A1210" s="43" t="s">
        <v>152</v>
      </c>
      <c r="B1210" s="44" t="s">
        <v>154</v>
      </c>
      <c r="C1210" s="45" t="n">
        <v>46137</v>
      </c>
      <c r="D1210" s="46" t="n">
        <v>20260425</v>
      </c>
      <c r="E1210" s="47" t="s">
        <v>453</v>
      </c>
      <c r="F1210" s="48" t="n">
        <v>4630</v>
      </c>
      <c r="G1210" s="48" t="n">
        <v>4679</v>
      </c>
      <c r="H1210" s="48" t="n">
        <v>4400</v>
      </c>
      <c r="I1210" s="48" t="n">
        <v>4480</v>
      </c>
      <c r="J1210" s="48" t="n">
        <v>4434</v>
      </c>
      <c r="K1210" s="48" t="n">
        <v>4597</v>
      </c>
      <c r="L1210" s="48" t="n">
        <v>97315643</v>
      </c>
      <c r="M1210" s="48" t="n">
        <v>435974080640</v>
      </c>
      <c r="N1210" s="48" t="n">
        <v>2981</v>
      </c>
      <c r="O1210" s="48" t="n">
        <v>21927339</v>
      </c>
      <c r="P1210" s="48" t="n">
        <v>77852514</v>
      </c>
      <c r="Q1210" s="48" t="n">
        <v>1042</v>
      </c>
      <c r="R1210" s="48" t="n">
        <v>1184</v>
      </c>
      <c r="S1210" s="48" t="n">
        <v>75388304</v>
      </c>
      <c r="T1210" s="48" t="n">
        <v>19463129</v>
      </c>
      <c r="U1210" s="46" t="n">
        <f aca="false">IF($A1210=$A1209,$U1209+1,1)</f>
        <v>166</v>
      </c>
      <c r="V1210" s="48" t="n">
        <f aca="false">IF($U1210&gt;=MA_SHORT,AVERAGE(INDEX($I$810:$I1210,402-MA_SHORT):$I1210),"")</f>
        <v>4745.5</v>
      </c>
      <c r="W1210" s="48" t="n">
        <f aca="false">IF($U1210&gt;=MA_MED,AVERAGE(INDEX($I$810:$I1210,402-MA_MED):$I1210),"")</f>
        <v>5006.8</v>
      </c>
      <c r="X1210" s="48" t="n">
        <f aca="false">IF($U1210&gt;=MA_LONG1,AVERAGE(INDEX($I$810:$I1210,402-MA_LONG1):$I1210),"")</f>
        <v>5342.16</v>
      </c>
      <c r="Y1210" s="48" t="str">
        <f aca="false">IF($U1210&gt;=MA_LONG2,AVERAGE(INDEX($I$810:$I1210,402-MA_LONG2):$I1210),"")</f>
        <v/>
      </c>
      <c r="Z1210" s="48" t="n">
        <f aca="false">IF($U1210&gt;=MA_SHORT,AVERAGE(INDEX($L$1090:$L1210,122-MA_SHORT):$L1210),"")</f>
        <v>94798420.3</v>
      </c>
      <c r="AA1210" s="48" t="n">
        <f aca="false">IF($U1210=1,$G1210-$H1210,MAX($G1210-$H1210,ABS($G1210-$I1209),ABS($H1210-$I1209)))</f>
        <v>279</v>
      </c>
      <c r="AB1210" s="48" t="n">
        <f aca="false">IF($U1210&gt;=ATR_PER,AVERAGE(INDEX($AA$1090:$AA1210,122-ATR_PER):$AA1210),"")</f>
        <v>184.857142857143</v>
      </c>
      <c r="AC1210" s="48" t="n">
        <f aca="false">$O1210-$P1210</f>
        <v>-55925175</v>
      </c>
      <c r="AD1210" s="48" t="n">
        <f aca="false">$AC1210*$I1210</f>
        <v>-250544784000</v>
      </c>
      <c r="AE1210" s="49" t="n">
        <f aca="false">IF($Q1210&gt;0,$O1210*$I1210/$Q1210/1000000,"")</f>
        <v>94.2749315930902</v>
      </c>
      <c r="AF1210" s="49" t="n">
        <f aca="false">IF($R1210&gt;0,$P1210*$I1210/$R1210/1000000,"")</f>
        <v>294.57708</v>
      </c>
      <c r="AG1210" s="50" t="n">
        <f aca="false">IF(AND(ISNUMBER($AE1210),ISNUMBER($AF1210),$AF1210&gt;0),$AE1210/$AF1210,"")</f>
        <v>0.320034849938394</v>
      </c>
      <c r="AH1210" s="48" t="n">
        <f aca="false">IF($U1210&gt;=5,SUM(INDEX($AD$1180:$AD1210,32-5):$AD1210),"")</f>
        <v>-366493565120</v>
      </c>
      <c r="AI1210" s="48" t="n">
        <f aca="false">IF($U1210&gt;=STRUCT_S,MAX(INDEX($G$1060:$G1210,152-STRUCT_S):$G1210),"")</f>
        <v>5091</v>
      </c>
      <c r="AJ1210" s="48" t="n">
        <f aca="false">IF($U1210&gt;=STRUCT_S,MIN(INDEX($H$1060:$H1210,152-STRUCT_S):$H1210),"")</f>
        <v>4400</v>
      </c>
      <c r="AK1210" s="48" t="n">
        <f aca="false">IF($U1210&gt;=STRUCT_L,MAX(INDEX($G$960:$G1210,252-STRUCT_L):$G1210),"")</f>
        <v>6217</v>
      </c>
      <c r="AL1210" s="48" t="n">
        <f aca="false">IF($U1210&gt;=STRUCT_L,MIN(INDEX($H$960:$H1210,252-STRUCT_L):$H1210),"")</f>
        <v>4400</v>
      </c>
      <c r="AM1210" s="46" t="n">
        <f aca="false">IF($A1210&lt;&gt;$A1211,1,0)</f>
        <v>0</v>
      </c>
      <c r="AN1210" s="47" t="str">
        <f aca="false">IF($AM1210=1,$A1210,"")</f>
        <v/>
      </c>
    </row>
    <row r="1211" customFormat="false" ht="15" hidden="false" customHeight="false" outlineLevel="0" collapsed="false">
      <c r="A1211" s="43" t="s">
        <v>152</v>
      </c>
      <c r="B1211" s="44" t="s">
        <v>154</v>
      </c>
      <c r="C1211" s="45" t="n">
        <v>46138</v>
      </c>
      <c r="D1211" s="46" t="n">
        <v>20260426</v>
      </c>
      <c r="E1211" s="47" t="s">
        <v>454</v>
      </c>
      <c r="F1211" s="48" t="n">
        <v>4420</v>
      </c>
      <c r="G1211" s="48" t="n">
        <v>4526</v>
      </c>
      <c r="H1211" s="48" t="n">
        <v>4330</v>
      </c>
      <c r="I1211" s="48" t="n">
        <v>4375</v>
      </c>
      <c r="J1211" s="48" t="n">
        <v>4386</v>
      </c>
      <c r="K1211" s="48" t="n">
        <v>4480</v>
      </c>
      <c r="L1211" s="48" t="n">
        <v>104637727</v>
      </c>
      <c r="M1211" s="48" t="n">
        <v>457790055625</v>
      </c>
      <c r="N1211" s="48" t="n">
        <v>6457</v>
      </c>
      <c r="O1211" s="48" t="n">
        <v>34616952</v>
      </c>
      <c r="P1211" s="48" t="n">
        <v>69088805</v>
      </c>
      <c r="Q1211" s="48" t="n">
        <v>1829</v>
      </c>
      <c r="R1211" s="48" t="n">
        <v>2790</v>
      </c>
      <c r="S1211" s="48" t="n">
        <v>70020775</v>
      </c>
      <c r="T1211" s="48" t="n">
        <v>35548922</v>
      </c>
      <c r="U1211" s="46" t="n">
        <f aca="false">IF($A1211=$A1210,$U1210+1,1)</f>
        <v>167</v>
      </c>
      <c r="V1211" s="48" t="n">
        <f aca="false">IF($U1211&gt;=MA_SHORT,AVERAGE(INDEX($I$811:$I1211,402-MA_SHORT):$I1211),"")</f>
        <v>4721.5</v>
      </c>
      <c r="W1211" s="48" t="n">
        <f aca="false">IF($U1211&gt;=MA_MED,AVERAGE(INDEX($I$811:$I1211,402-MA_MED):$I1211),"")</f>
        <v>4982.06</v>
      </c>
      <c r="X1211" s="48" t="n">
        <f aca="false">IF($U1211&gt;=MA_LONG1,AVERAGE(INDEX($I$811:$I1211,402-MA_LONG1):$I1211),"")</f>
        <v>5335</v>
      </c>
      <c r="Y1211" s="48" t="str">
        <f aca="false">IF($U1211&gt;=MA_LONG2,AVERAGE(INDEX($I$811:$I1211,402-MA_LONG2):$I1211),"")</f>
        <v/>
      </c>
      <c r="Z1211" s="48" t="n">
        <f aca="false">IF($U1211&gt;=MA_SHORT,AVERAGE(INDEX($L$1091:$L1211,122-MA_SHORT):$L1211),"")</f>
        <v>95788295.4</v>
      </c>
      <c r="AA1211" s="48" t="n">
        <f aca="false">IF($U1211=1,$G1211-$H1211,MAX($G1211-$H1211,ABS($G1211-$I1210),ABS($H1211-$I1210)))</f>
        <v>196</v>
      </c>
      <c r="AB1211" s="48" t="n">
        <f aca="false">IF($U1211&gt;=ATR_PER,AVERAGE(INDEX($AA$1091:$AA1211,122-ATR_PER):$AA1211),"")</f>
        <v>191.857142857143</v>
      </c>
      <c r="AC1211" s="48" t="n">
        <f aca="false">$O1211-$P1211</f>
        <v>-34471853</v>
      </c>
      <c r="AD1211" s="48" t="n">
        <f aca="false">$AC1211*$I1211</f>
        <v>-150814356875</v>
      </c>
      <c r="AE1211" s="49" t="n">
        <f aca="false">IF($Q1211&gt;0,$O1211*$I1211/$Q1211/1000000,"")</f>
        <v>82.8043548387097</v>
      </c>
      <c r="AF1211" s="49" t="n">
        <f aca="false">IF($R1211&gt;0,$P1211*$I1211/$R1211/1000000,"")</f>
        <v>108.338179883513</v>
      </c>
      <c r="AG1211" s="50" t="n">
        <f aca="false">IF(AND(ISNUMBER($AE1211),ISNUMBER($AF1211),$AF1211&gt;0),$AE1211/$AF1211,"")</f>
        <v>0.764313697421746</v>
      </c>
      <c r="AH1211" s="48" t="n">
        <f aca="false">IF($U1211&gt;=5,SUM(INDEX($AD$1181:$AD1211,32-5):$AD1211),"")</f>
        <v>-542864773765</v>
      </c>
      <c r="AI1211" s="48" t="n">
        <f aca="false">IF($U1211&gt;=STRUCT_S,MAX(INDEX($G$1061:$G1211,152-STRUCT_S):$G1211),"")</f>
        <v>5091</v>
      </c>
      <c r="AJ1211" s="48" t="n">
        <f aca="false">IF($U1211&gt;=STRUCT_S,MIN(INDEX($H$1061:$H1211,152-STRUCT_S):$H1211),"")</f>
        <v>4330</v>
      </c>
      <c r="AK1211" s="48" t="n">
        <f aca="false">IF($U1211&gt;=STRUCT_L,MAX(INDEX($G$961:$G1211,252-STRUCT_L):$G1211),"")</f>
        <v>6217</v>
      </c>
      <c r="AL1211" s="48" t="n">
        <f aca="false">IF($U1211&gt;=STRUCT_L,MIN(INDEX($H$961:$H1211,252-STRUCT_L):$H1211),"")</f>
        <v>4330</v>
      </c>
      <c r="AM1211" s="46" t="n">
        <f aca="false">IF($A1211&lt;&gt;$A1212,1,0)</f>
        <v>0</v>
      </c>
      <c r="AN1211" s="47" t="str">
        <f aca="false">IF($AM1211=1,$A1211,"")</f>
        <v/>
      </c>
    </row>
    <row r="1212" customFormat="false" ht="15" hidden="false" customHeight="false" outlineLevel="0" collapsed="false">
      <c r="A1212" s="43" t="s">
        <v>152</v>
      </c>
      <c r="B1212" s="44" t="s">
        <v>154</v>
      </c>
      <c r="C1212" s="45" t="n">
        <v>46139</v>
      </c>
      <c r="D1212" s="46" t="n">
        <v>20260427</v>
      </c>
      <c r="E1212" s="47" t="s">
        <v>455</v>
      </c>
      <c r="F1212" s="48" t="n">
        <v>4295</v>
      </c>
      <c r="G1212" s="48" t="n">
        <v>4450</v>
      </c>
      <c r="H1212" s="48" t="n">
        <v>4292</v>
      </c>
      <c r="I1212" s="48" t="n">
        <v>4366</v>
      </c>
      <c r="J1212" s="48" t="n">
        <v>4448</v>
      </c>
      <c r="K1212" s="48" t="n">
        <v>4375</v>
      </c>
      <c r="L1212" s="48" t="n">
        <v>106129115</v>
      </c>
      <c r="M1212" s="48" t="n">
        <v>463359716090</v>
      </c>
      <c r="N1212" s="48" t="n">
        <v>9711</v>
      </c>
      <c r="O1212" s="48" t="n">
        <v>50307218</v>
      </c>
      <c r="P1212" s="48" t="n">
        <v>44535194</v>
      </c>
      <c r="Q1212" s="48" t="n">
        <v>3305</v>
      </c>
      <c r="R1212" s="48" t="n">
        <v>6196</v>
      </c>
      <c r="S1212" s="48" t="n">
        <v>55821897</v>
      </c>
      <c r="T1212" s="48" t="n">
        <v>61593921</v>
      </c>
      <c r="U1212" s="46" t="n">
        <f aca="false">IF($A1212=$A1211,$U1211+1,1)</f>
        <v>168</v>
      </c>
      <c r="V1212" s="48" t="n">
        <f aca="false">IF($U1212&gt;=MA_SHORT,AVERAGE(INDEX($I$812:$I1212,402-MA_SHORT):$I1212),"")</f>
        <v>4693.15</v>
      </c>
      <c r="W1212" s="48" t="n">
        <f aca="false">IF($U1212&gt;=MA_MED,AVERAGE(INDEX($I$812:$I1212,402-MA_MED):$I1212),"")</f>
        <v>4961.02</v>
      </c>
      <c r="X1212" s="48" t="n">
        <f aca="false">IF($U1212&gt;=MA_LONG1,AVERAGE(INDEX($I$812:$I1212,402-MA_LONG1):$I1212),"")</f>
        <v>5327.67</v>
      </c>
      <c r="Y1212" s="48" t="str">
        <f aca="false">IF($U1212&gt;=MA_LONG2,AVERAGE(INDEX($I$812:$I1212,402-MA_LONG2):$I1212),"")</f>
        <v/>
      </c>
      <c r="Z1212" s="48" t="n">
        <f aca="false">IF($U1212&gt;=MA_SHORT,AVERAGE(INDEX($L$1092:$L1212,122-MA_SHORT):$L1212),"")</f>
        <v>94398085</v>
      </c>
      <c r="AA1212" s="48" t="n">
        <f aca="false">IF($U1212=1,$G1212-$H1212,MAX($G1212-$H1212,ABS($G1212-$I1211),ABS($H1212-$I1211)))</f>
        <v>158</v>
      </c>
      <c r="AB1212" s="48" t="n">
        <f aca="false">IF($U1212&gt;=ATR_PER,AVERAGE(INDEX($AA$1092:$AA1212,122-ATR_PER):$AA1212),"")</f>
        <v>179.714285714286</v>
      </c>
      <c r="AC1212" s="48" t="n">
        <f aca="false">$O1212-$P1212</f>
        <v>5772024</v>
      </c>
      <c r="AD1212" s="48" t="n">
        <f aca="false">$AC1212*$I1212</f>
        <v>25200656784</v>
      </c>
      <c r="AE1212" s="49" t="n">
        <f aca="false">IF($Q1212&gt;0,$O1212*$I1212/$Q1212/1000000,"")</f>
        <v>66.4572810251135</v>
      </c>
      <c r="AF1212" s="49" t="n">
        <f aca="false">IF($R1212&gt;0,$P1212*$I1212/$R1212/1000000,"")</f>
        <v>31.3816425119432</v>
      </c>
      <c r="AG1212" s="50" t="n">
        <f aca="false">IF(AND(ISNUMBER($AE1212),ISNUMBER($AF1212),$AF1212&gt;0),$AE1212/$AF1212,"")</f>
        <v>2.11771200311842</v>
      </c>
      <c r="AH1212" s="48" t="n">
        <f aca="false">IF($U1212&gt;=5,SUM(INDEX($AD$1182:$AD1212,32-5):$AD1212),"")</f>
        <v>-289587990319</v>
      </c>
      <c r="AI1212" s="48" t="n">
        <f aca="false">IF($U1212&gt;=STRUCT_S,MAX(INDEX($G$1062:$G1212,152-STRUCT_S):$G1212),"")</f>
        <v>5091</v>
      </c>
      <c r="AJ1212" s="48" t="n">
        <f aca="false">IF($U1212&gt;=STRUCT_S,MIN(INDEX($H$1062:$H1212,152-STRUCT_S):$H1212),"")</f>
        <v>4292</v>
      </c>
      <c r="AK1212" s="48" t="n">
        <f aca="false">IF($U1212&gt;=STRUCT_L,MAX(INDEX($G$962:$G1212,252-STRUCT_L):$G1212),"")</f>
        <v>6217</v>
      </c>
      <c r="AL1212" s="48" t="n">
        <f aca="false">IF($U1212&gt;=STRUCT_L,MIN(INDEX($H$962:$H1212,252-STRUCT_L):$H1212),"")</f>
        <v>4292</v>
      </c>
      <c r="AM1212" s="46" t="n">
        <f aca="false">IF($A1212&lt;&gt;$A1213,1,0)</f>
        <v>0</v>
      </c>
      <c r="AN1212" s="47" t="str">
        <f aca="false">IF($AM1212=1,$A1212,"")</f>
        <v/>
      </c>
    </row>
    <row r="1213" customFormat="false" ht="15" hidden="false" customHeight="false" outlineLevel="0" collapsed="false">
      <c r="A1213" s="43" t="s">
        <v>152</v>
      </c>
      <c r="B1213" s="44" t="s">
        <v>154</v>
      </c>
      <c r="C1213" s="45" t="n">
        <v>46140</v>
      </c>
      <c r="D1213" s="46" t="n">
        <v>20260428</v>
      </c>
      <c r="E1213" s="47" t="s">
        <v>456</v>
      </c>
      <c r="F1213" s="48" t="n">
        <v>4360</v>
      </c>
      <c r="G1213" s="48" t="n">
        <v>4379</v>
      </c>
      <c r="H1213" s="48" t="n">
        <v>4335</v>
      </c>
      <c r="I1213" s="48" t="n">
        <v>4348</v>
      </c>
      <c r="J1213" s="48" t="n">
        <v>4349</v>
      </c>
      <c r="K1213" s="48" t="n">
        <v>4366</v>
      </c>
      <c r="L1213" s="48" t="n">
        <v>92689222</v>
      </c>
      <c r="M1213" s="48" t="n">
        <v>403012737256</v>
      </c>
      <c r="N1213" s="48" t="n">
        <v>2190</v>
      </c>
      <c r="O1213" s="48" t="n">
        <v>49941750</v>
      </c>
      <c r="P1213" s="48" t="n">
        <v>48160955</v>
      </c>
      <c r="Q1213" s="48" t="n">
        <v>809</v>
      </c>
      <c r="R1213" s="48" t="n">
        <v>1176</v>
      </c>
      <c r="S1213" s="48" t="n">
        <v>42747472</v>
      </c>
      <c r="T1213" s="48" t="n">
        <v>44528267</v>
      </c>
      <c r="U1213" s="46" t="n">
        <f aca="false">IF($A1213=$A1212,$U1212+1,1)</f>
        <v>169</v>
      </c>
      <c r="V1213" s="48" t="n">
        <f aca="false">IF($U1213&gt;=MA_SHORT,AVERAGE(INDEX($I$813:$I1213,402-MA_SHORT):$I1213),"")</f>
        <v>4658.2</v>
      </c>
      <c r="W1213" s="48" t="n">
        <f aca="false">IF($U1213&gt;=MA_MED,AVERAGE(INDEX($I$813:$I1213,402-MA_MED):$I1213),"")</f>
        <v>4939.66</v>
      </c>
      <c r="X1213" s="48" t="n">
        <f aca="false">IF($U1213&gt;=MA_LONG1,AVERAGE(INDEX($I$813:$I1213,402-MA_LONG1):$I1213),"")</f>
        <v>5321.01</v>
      </c>
      <c r="Y1213" s="48" t="str">
        <f aca="false">IF($U1213&gt;=MA_LONG2,AVERAGE(INDEX($I$813:$I1213,402-MA_LONG2):$I1213),"")</f>
        <v/>
      </c>
      <c r="Z1213" s="48" t="n">
        <f aca="false">IF($U1213&gt;=MA_SHORT,AVERAGE(INDEX($L$1093:$L1213,122-MA_SHORT):$L1213),"")</f>
        <v>94611213.85</v>
      </c>
      <c r="AA1213" s="48" t="n">
        <f aca="false">IF($U1213=1,$G1213-$H1213,MAX($G1213-$H1213,ABS($G1213-$I1212),ABS($H1213-$I1212)))</f>
        <v>44</v>
      </c>
      <c r="AB1213" s="48" t="n">
        <f aca="false">IF($U1213&gt;=ATR_PER,AVERAGE(INDEX($AA$1093:$AA1213,122-ATR_PER):$AA1213),"")</f>
        <v>165.428571428571</v>
      </c>
      <c r="AC1213" s="48" t="n">
        <f aca="false">$O1213-$P1213</f>
        <v>1780795</v>
      </c>
      <c r="AD1213" s="48" t="n">
        <f aca="false">$AC1213*$I1213</f>
        <v>7742896660</v>
      </c>
      <c r="AE1213" s="49" t="n">
        <f aca="false">IF($Q1213&gt;0,$O1213*$I1213/$Q1213/1000000,"")</f>
        <v>268.413756489493</v>
      </c>
      <c r="AF1213" s="49" t="n">
        <f aca="false">IF($R1213&gt;0,$P1213*$I1213/$R1213/1000000,"")</f>
        <v>178.064483282313</v>
      </c>
      <c r="AG1213" s="50" t="n">
        <f aca="false">IF(AND(ISNUMBER($AE1213),ISNUMBER($AF1213),$AF1213&gt;0),$AE1213/$AF1213,"")</f>
        <v>1.50739637428951</v>
      </c>
      <c r="AH1213" s="48" t="n">
        <f aca="false">IF($U1213&gt;=5,SUM(INDEX($AD$1183:$AD1213,32-5):$AD1213),"")</f>
        <v>-415448942486</v>
      </c>
      <c r="AI1213" s="48" t="n">
        <f aca="false">IF($U1213&gt;=STRUCT_S,MAX(INDEX($G$1063:$G1213,152-STRUCT_S):$G1213),"")</f>
        <v>5091</v>
      </c>
      <c r="AJ1213" s="48" t="n">
        <f aca="false">IF($U1213&gt;=STRUCT_S,MIN(INDEX($H$1063:$H1213,152-STRUCT_S):$H1213),"")</f>
        <v>4292</v>
      </c>
      <c r="AK1213" s="48" t="n">
        <f aca="false">IF($U1213&gt;=STRUCT_L,MAX(INDEX($G$963:$G1213,252-STRUCT_L):$G1213),"")</f>
        <v>6217</v>
      </c>
      <c r="AL1213" s="48" t="n">
        <f aca="false">IF($U1213&gt;=STRUCT_L,MIN(INDEX($H$963:$H1213,252-STRUCT_L):$H1213),"")</f>
        <v>4292</v>
      </c>
      <c r="AM1213" s="46" t="n">
        <f aca="false">IF($A1213&lt;&gt;$A1214,1,0)</f>
        <v>0</v>
      </c>
      <c r="AN1213" s="47" t="str">
        <f aca="false">IF($AM1213=1,$A1213,"")</f>
        <v/>
      </c>
    </row>
    <row r="1214" customFormat="false" ht="15" hidden="false" customHeight="false" outlineLevel="0" collapsed="false">
      <c r="A1214" s="43" t="s">
        <v>152</v>
      </c>
      <c r="B1214" s="44" t="s">
        <v>154</v>
      </c>
      <c r="C1214" s="45" t="n">
        <v>46141</v>
      </c>
      <c r="D1214" s="46" t="n">
        <v>20260429</v>
      </c>
      <c r="E1214" s="47" t="s">
        <v>457</v>
      </c>
      <c r="F1214" s="48" t="n">
        <v>4325</v>
      </c>
      <c r="G1214" s="48" t="n">
        <v>4378</v>
      </c>
      <c r="H1214" s="48" t="n">
        <v>4300</v>
      </c>
      <c r="I1214" s="48" t="n">
        <v>4329</v>
      </c>
      <c r="J1214" s="48" t="n">
        <v>4344</v>
      </c>
      <c r="K1214" s="48" t="n">
        <v>4348</v>
      </c>
      <c r="L1214" s="48" t="n">
        <v>102047969</v>
      </c>
      <c r="M1214" s="48" t="n">
        <v>441765657801</v>
      </c>
      <c r="N1214" s="48" t="n">
        <v>3218</v>
      </c>
      <c r="O1214" s="48" t="n">
        <v>43411071</v>
      </c>
      <c r="P1214" s="48" t="n">
        <v>57986983</v>
      </c>
      <c r="Q1214" s="48" t="n">
        <v>1191</v>
      </c>
      <c r="R1214" s="48" t="n">
        <v>1605</v>
      </c>
      <c r="S1214" s="48" t="n">
        <v>58636898</v>
      </c>
      <c r="T1214" s="48" t="n">
        <v>44060986</v>
      </c>
      <c r="U1214" s="46" t="n">
        <f aca="false">IF($A1214=$A1213,$U1213+1,1)</f>
        <v>170</v>
      </c>
      <c r="V1214" s="48" t="n">
        <f aca="false">IF($U1214&gt;=MA_SHORT,AVERAGE(INDEX($I$814:$I1214,402-MA_SHORT):$I1214),"")</f>
        <v>4623.3</v>
      </c>
      <c r="W1214" s="48" t="n">
        <f aca="false">IF($U1214&gt;=MA_MED,AVERAGE(INDEX($I$814:$I1214,402-MA_MED):$I1214),"")</f>
        <v>4920.54</v>
      </c>
      <c r="X1214" s="48" t="n">
        <f aca="false">IF($U1214&gt;=MA_LONG1,AVERAGE(INDEX($I$814:$I1214,402-MA_LONG1):$I1214),"")</f>
        <v>5313.33</v>
      </c>
      <c r="Y1214" s="48" t="str">
        <f aca="false">IF($U1214&gt;=MA_LONG2,AVERAGE(INDEX($I$814:$I1214,402-MA_LONG2):$I1214),"")</f>
        <v/>
      </c>
      <c r="Z1214" s="48" t="n">
        <f aca="false">IF($U1214&gt;=MA_SHORT,AVERAGE(INDEX($L$1094:$L1214,122-MA_SHORT):$L1214),"")</f>
        <v>95738357.25</v>
      </c>
      <c r="AA1214" s="48" t="n">
        <f aca="false">IF($U1214=1,$G1214-$H1214,MAX($G1214-$H1214,ABS($G1214-$I1213),ABS($H1214-$I1213)))</f>
        <v>78</v>
      </c>
      <c r="AB1214" s="48" t="n">
        <f aca="false">IF($U1214&gt;=ATR_PER,AVERAGE(INDEX($AA$1094:$AA1214,122-ATR_PER):$AA1214),"")</f>
        <v>168.5</v>
      </c>
      <c r="AC1214" s="48" t="n">
        <f aca="false">$O1214-$P1214</f>
        <v>-14575912</v>
      </c>
      <c r="AD1214" s="48" t="n">
        <f aca="false">$AC1214*$I1214</f>
        <v>-63099123048</v>
      </c>
      <c r="AE1214" s="49" t="n">
        <f aca="false">IF($Q1214&gt;0,$O1214*$I1214/$Q1214/1000000,"")</f>
        <v>157.78885504534</v>
      </c>
      <c r="AF1214" s="49" t="n">
        <f aca="false">IF($R1214&gt;0,$P1214*$I1214/$R1214/1000000,"")</f>
        <v>156.402273773832</v>
      </c>
      <c r="AG1214" s="50" t="n">
        <f aca="false">IF(AND(ISNUMBER($AE1214),ISNUMBER($AF1214),$AF1214&gt;0),$AE1214/$AF1214,"")</f>
        <v>1.00886548026478</v>
      </c>
      <c r="AH1214" s="48" t="n">
        <f aca="false">IF($U1214&gt;=5,SUM(INDEX($AD$1184:$AD1214,32-5):$AD1214),"")</f>
        <v>-431514710479</v>
      </c>
      <c r="AI1214" s="48" t="n">
        <f aca="false">IF($U1214&gt;=STRUCT_S,MAX(INDEX($G$1064:$G1214,152-STRUCT_S):$G1214),"")</f>
        <v>5084</v>
      </c>
      <c r="AJ1214" s="48" t="n">
        <f aca="false">IF($U1214&gt;=STRUCT_S,MIN(INDEX($H$1064:$H1214,152-STRUCT_S):$H1214),"")</f>
        <v>4292</v>
      </c>
      <c r="AK1214" s="48" t="n">
        <f aca="false">IF($U1214&gt;=STRUCT_L,MAX(INDEX($G$964:$G1214,252-STRUCT_L):$G1214),"")</f>
        <v>6208</v>
      </c>
      <c r="AL1214" s="48" t="n">
        <f aca="false">IF($U1214&gt;=STRUCT_L,MIN(INDEX($H$964:$H1214,252-STRUCT_L):$H1214),"")</f>
        <v>4292</v>
      </c>
      <c r="AM1214" s="46" t="n">
        <f aca="false">IF($A1214&lt;&gt;$A1215,1,0)</f>
        <v>0</v>
      </c>
      <c r="AN1214" s="47" t="str">
        <f aca="false">IF($AM1214=1,$A1214,"")</f>
        <v/>
      </c>
    </row>
    <row r="1215" customFormat="false" ht="15" hidden="false" customHeight="false" outlineLevel="0" collapsed="false">
      <c r="A1215" s="43" t="s">
        <v>152</v>
      </c>
      <c r="B1215" s="44" t="s">
        <v>154</v>
      </c>
      <c r="C1215" s="45" t="n">
        <v>46144</v>
      </c>
      <c r="D1215" s="46" t="n">
        <v>20260502</v>
      </c>
      <c r="E1215" s="47" t="s">
        <v>458</v>
      </c>
      <c r="F1215" s="48" t="n">
        <v>4382</v>
      </c>
      <c r="G1215" s="48" t="n">
        <v>4583</v>
      </c>
      <c r="H1215" s="48" t="n">
        <v>4240</v>
      </c>
      <c r="I1215" s="48" t="n">
        <v>4491</v>
      </c>
      <c r="J1215" s="48" t="n">
        <v>4392</v>
      </c>
      <c r="K1215" s="48" t="n">
        <v>4329</v>
      </c>
      <c r="L1215" s="48" t="n">
        <v>124473761</v>
      </c>
      <c r="M1215" s="48" t="n">
        <v>559011660651</v>
      </c>
      <c r="N1215" s="48" t="n">
        <v>13120</v>
      </c>
      <c r="O1215" s="48" t="n">
        <v>79289389</v>
      </c>
      <c r="P1215" s="48" t="n">
        <v>53033848</v>
      </c>
      <c r="Q1215" s="48" t="n">
        <v>7483</v>
      </c>
      <c r="R1215" s="48" t="n">
        <v>3713</v>
      </c>
      <c r="S1215" s="48" t="n">
        <v>45184372</v>
      </c>
      <c r="T1215" s="48" t="n">
        <v>71439913</v>
      </c>
      <c r="U1215" s="46" t="n">
        <f aca="false">IF($A1215=$A1214,$U1214+1,1)</f>
        <v>171</v>
      </c>
      <c r="V1215" s="48" t="n">
        <f aca="false">IF($U1215&gt;=MA_SHORT,AVERAGE(INDEX($I$815:$I1215,402-MA_SHORT):$I1215),"")</f>
        <v>4601.3</v>
      </c>
      <c r="W1215" s="48" t="n">
        <f aca="false">IF($U1215&gt;=MA_MED,AVERAGE(INDEX($I$815:$I1215,402-MA_MED):$I1215),"")</f>
        <v>4905.08</v>
      </c>
      <c r="X1215" s="48" t="n">
        <f aca="false">IF($U1215&gt;=MA_LONG1,AVERAGE(INDEX($I$815:$I1215,402-MA_LONG1):$I1215),"")</f>
        <v>5307.11</v>
      </c>
      <c r="Y1215" s="48" t="str">
        <f aca="false">IF($U1215&gt;=MA_LONG2,AVERAGE(INDEX($I$815:$I1215,402-MA_LONG2):$I1215),"")</f>
        <v/>
      </c>
      <c r="Z1215" s="48" t="n">
        <f aca="false">IF($U1215&gt;=MA_SHORT,AVERAGE(INDEX($L$1095:$L1215,122-MA_SHORT):$L1215),"")</f>
        <v>97634201.45</v>
      </c>
      <c r="AA1215" s="48" t="n">
        <f aca="false">IF($U1215=1,$G1215-$H1215,MAX($G1215-$H1215,ABS($G1215-$I1214),ABS($H1215-$I1214)))</f>
        <v>343</v>
      </c>
      <c r="AB1215" s="48" t="n">
        <f aca="false">IF($U1215&gt;=ATR_PER,AVERAGE(INDEX($AA$1095:$AA1215,122-ATR_PER):$AA1215),"")</f>
        <v>181.785714285714</v>
      </c>
      <c r="AC1215" s="48" t="n">
        <f aca="false">$O1215-$P1215</f>
        <v>26255541</v>
      </c>
      <c r="AD1215" s="48" t="n">
        <f aca="false">$AC1215*$I1215</f>
        <v>117913634631</v>
      </c>
      <c r="AE1215" s="49" t="n">
        <f aca="false">IF($Q1215&gt;0,$O1215*$I1215/$Q1215/1000000,"")</f>
        <v>47.5863485231859</v>
      </c>
      <c r="AF1215" s="49" t="n">
        <f aca="false">IF($R1215&gt;0,$P1215*$I1215/$R1215/1000000,"")</f>
        <v>64.1462459919203</v>
      </c>
      <c r="AG1215" s="50" t="n">
        <f aca="false">IF(AND(ISNUMBER($AE1215),ISNUMBER($AF1215),$AF1215&gt;0),$AE1215/$AF1215,"")</f>
        <v>0.741841518351359</v>
      </c>
      <c r="AH1215" s="48" t="n">
        <f aca="false">IF($U1215&gt;=5,SUM(INDEX($AD$1185:$AD1215,32-5):$AD1215),"")</f>
        <v>-63056291848</v>
      </c>
      <c r="AI1215" s="48" t="n">
        <f aca="false">IF($U1215&gt;=STRUCT_S,MAX(INDEX($G$1065:$G1215,152-STRUCT_S):$G1215),"")</f>
        <v>4967</v>
      </c>
      <c r="AJ1215" s="48" t="n">
        <f aca="false">IF($U1215&gt;=STRUCT_S,MIN(INDEX($H$1065:$H1215,152-STRUCT_S):$H1215),"")</f>
        <v>4240</v>
      </c>
      <c r="AK1215" s="48" t="n">
        <f aca="false">IF($U1215&gt;=STRUCT_L,MAX(INDEX($G$965:$G1215,252-STRUCT_L):$G1215),"")</f>
        <v>6161</v>
      </c>
      <c r="AL1215" s="48" t="n">
        <f aca="false">IF($U1215&gt;=STRUCT_L,MIN(INDEX($H$965:$H1215,252-STRUCT_L):$H1215),"")</f>
        <v>4240</v>
      </c>
      <c r="AM1215" s="46" t="n">
        <f aca="false">IF($A1215&lt;&gt;$A1216,1,0)</f>
        <v>0</v>
      </c>
      <c r="AN1215" s="47" t="str">
        <f aca="false">IF($AM1215=1,$A1215,"")</f>
        <v/>
      </c>
    </row>
    <row r="1216" customFormat="false" ht="15" hidden="false" customHeight="false" outlineLevel="0" collapsed="false">
      <c r="A1216" s="43" t="s">
        <v>152</v>
      </c>
      <c r="B1216" s="44" t="s">
        <v>154</v>
      </c>
      <c r="C1216" s="45" t="n">
        <v>46145</v>
      </c>
      <c r="D1216" s="46" t="n">
        <v>20260503</v>
      </c>
      <c r="E1216" s="47" t="s">
        <v>459</v>
      </c>
      <c r="F1216" s="48" t="n">
        <v>4684</v>
      </c>
      <c r="G1216" s="48" t="n">
        <v>4720</v>
      </c>
      <c r="H1216" s="48" t="n">
        <v>4397</v>
      </c>
      <c r="I1216" s="48" t="n">
        <v>4623</v>
      </c>
      <c r="J1216" s="48" t="n">
        <v>4503</v>
      </c>
      <c r="K1216" s="48" t="n">
        <v>4491</v>
      </c>
      <c r="L1216" s="48" t="n">
        <v>109524672</v>
      </c>
      <c r="M1216" s="48" t="n">
        <v>506332558656</v>
      </c>
      <c r="N1216" s="48" t="n">
        <v>2670</v>
      </c>
      <c r="O1216" s="48" t="n">
        <v>54294399</v>
      </c>
      <c r="P1216" s="48" t="n">
        <v>61223589</v>
      </c>
      <c r="Q1216" s="48" t="n">
        <v>1566</v>
      </c>
      <c r="R1216" s="48" t="n">
        <v>801</v>
      </c>
      <c r="S1216" s="48" t="n">
        <v>55230273</v>
      </c>
      <c r="T1216" s="48" t="n">
        <v>48301083</v>
      </c>
      <c r="U1216" s="46" t="n">
        <f aca="false">IF($A1216=$A1215,$U1215+1,1)</f>
        <v>172</v>
      </c>
      <c r="V1216" s="48" t="n">
        <f aca="false">IF($U1216&gt;=MA_SHORT,AVERAGE(INDEX($I$816:$I1216,402-MA_SHORT):$I1216),"")</f>
        <v>4587.65</v>
      </c>
      <c r="W1216" s="48" t="n">
        <f aca="false">IF($U1216&gt;=MA_MED,AVERAGE(INDEX($I$816:$I1216,402-MA_MED):$I1216),"")</f>
        <v>4893.7</v>
      </c>
      <c r="X1216" s="48" t="n">
        <f aca="false">IF($U1216&gt;=MA_LONG1,AVERAGE(INDEX($I$816:$I1216,402-MA_LONG1):$I1216),"")</f>
        <v>5301.19</v>
      </c>
      <c r="Y1216" s="48" t="str">
        <f aca="false">IF($U1216&gt;=MA_LONG2,AVERAGE(INDEX($I$816:$I1216,402-MA_LONG2):$I1216),"")</f>
        <v/>
      </c>
      <c r="Z1216" s="48" t="n">
        <f aca="false">IF($U1216&gt;=MA_SHORT,AVERAGE(INDEX($L$1096:$L1216,122-MA_SHORT):$L1216),"")</f>
        <v>97241573.65</v>
      </c>
      <c r="AA1216" s="48" t="n">
        <f aca="false">IF($U1216=1,$G1216-$H1216,MAX($G1216-$H1216,ABS($G1216-$I1215),ABS($H1216-$I1215)))</f>
        <v>323</v>
      </c>
      <c r="AB1216" s="48" t="n">
        <f aca="false">IF($U1216&gt;=ATR_PER,AVERAGE(INDEX($AA$1096:$AA1216,122-ATR_PER):$AA1216),"")</f>
        <v>189.785714285714</v>
      </c>
      <c r="AC1216" s="48" t="n">
        <f aca="false">$O1216-$P1216</f>
        <v>-6929190</v>
      </c>
      <c r="AD1216" s="48" t="n">
        <f aca="false">$AC1216*$I1216</f>
        <v>-32033645370</v>
      </c>
      <c r="AE1216" s="49" t="n">
        <f aca="false">IF($Q1216&gt;0,$O1216*$I1216/$Q1216/1000000,"")</f>
        <v>160.282890534483</v>
      </c>
      <c r="AF1216" s="49" t="n">
        <f aca="false">IF($R1216&gt;0,$P1216*$I1216/$R1216/1000000,"")</f>
        <v>353.354122280899</v>
      </c>
      <c r="AG1216" s="50" t="n">
        <f aca="false">IF(AND(ISNUMBER($AE1216),ISNUMBER($AF1216),$AF1216&gt;0),$AE1216/$AF1216,"")</f>
        <v>0.453604133722447</v>
      </c>
      <c r="AH1216" s="48" t="n">
        <f aca="false">IF($U1216&gt;=5,SUM(INDEX($AD$1186:$AD1216,32-5):$AD1216),"")</f>
        <v>55724419657</v>
      </c>
      <c r="AI1216" s="48" t="n">
        <f aca="false">IF($U1216&gt;=STRUCT_S,MAX(INDEX($G$1066:$G1216,152-STRUCT_S):$G1216),"")</f>
        <v>4918</v>
      </c>
      <c r="AJ1216" s="48" t="n">
        <f aca="false">IF($U1216&gt;=STRUCT_S,MIN(INDEX($H$1066:$H1216,152-STRUCT_S):$H1216),"")</f>
        <v>4240</v>
      </c>
      <c r="AK1216" s="48" t="n">
        <f aca="false">IF($U1216&gt;=STRUCT_L,MAX(INDEX($G$966:$G1216,252-STRUCT_L):$G1216),"")</f>
        <v>6051</v>
      </c>
      <c r="AL1216" s="48" t="n">
        <f aca="false">IF($U1216&gt;=STRUCT_L,MIN(INDEX($H$966:$H1216,252-STRUCT_L):$H1216),"")</f>
        <v>4240</v>
      </c>
      <c r="AM1216" s="46" t="n">
        <f aca="false">IF($A1216&lt;&gt;$A1217,1,0)</f>
        <v>0</v>
      </c>
      <c r="AN1216" s="47" t="str">
        <f aca="false">IF($AM1216=1,$A1216,"")</f>
        <v/>
      </c>
    </row>
    <row r="1217" customFormat="false" ht="15" hidden="false" customHeight="false" outlineLevel="0" collapsed="false">
      <c r="A1217" s="43" t="s">
        <v>152</v>
      </c>
      <c r="B1217" s="44" t="s">
        <v>154</v>
      </c>
      <c r="C1217" s="45" t="n">
        <v>46146</v>
      </c>
      <c r="D1217" s="46" t="n">
        <v>20260504</v>
      </c>
      <c r="E1217" s="47" t="s">
        <v>460</v>
      </c>
      <c r="F1217" s="48" t="n">
        <v>4629</v>
      </c>
      <c r="G1217" s="48" t="n">
        <v>4648</v>
      </c>
      <c r="H1217" s="48" t="n">
        <v>4610</v>
      </c>
      <c r="I1217" s="48" t="n">
        <v>4635</v>
      </c>
      <c r="J1217" s="48" t="n">
        <v>4631</v>
      </c>
      <c r="K1217" s="48" t="n">
        <v>4623</v>
      </c>
      <c r="L1217" s="48" t="n">
        <v>78868130</v>
      </c>
      <c r="M1217" s="48" t="n">
        <v>365553782550</v>
      </c>
      <c r="N1217" s="48" t="n">
        <v>2043</v>
      </c>
      <c r="O1217" s="48" t="n">
        <v>38769089</v>
      </c>
      <c r="P1217" s="48" t="n">
        <v>43634551</v>
      </c>
      <c r="Q1217" s="48" t="n">
        <v>935</v>
      </c>
      <c r="R1217" s="48" t="n">
        <v>684</v>
      </c>
      <c r="S1217" s="48" t="n">
        <v>40099041</v>
      </c>
      <c r="T1217" s="48" t="n">
        <v>35233579</v>
      </c>
      <c r="U1217" s="46" t="n">
        <f aca="false">IF($A1217=$A1216,$U1216+1,1)</f>
        <v>173</v>
      </c>
      <c r="V1217" s="48" t="n">
        <f aca="false">IF($U1217&gt;=MA_SHORT,AVERAGE(INDEX($I$817:$I1217,402-MA_SHORT):$I1217),"")</f>
        <v>4577.6</v>
      </c>
      <c r="W1217" s="48" t="n">
        <f aca="false">IF($U1217&gt;=MA_MED,AVERAGE(INDEX($I$817:$I1217,402-MA_MED):$I1217),"")</f>
        <v>4880.4</v>
      </c>
      <c r="X1217" s="48" t="n">
        <f aca="false">IF($U1217&gt;=MA_LONG1,AVERAGE(INDEX($I$817:$I1217,402-MA_LONG1):$I1217),"")</f>
        <v>5293.27</v>
      </c>
      <c r="Y1217" s="48" t="str">
        <f aca="false">IF($U1217&gt;=MA_LONG2,AVERAGE(INDEX($I$817:$I1217,402-MA_LONG2):$I1217),"")</f>
        <v/>
      </c>
      <c r="Z1217" s="48" t="n">
        <f aca="false">IF($U1217&gt;=MA_SHORT,AVERAGE(INDEX($L$1097:$L1217,122-MA_SHORT):$L1217),"")</f>
        <v>96702224.65</v>
      </c>
      <c r="AA1217" s="48" t="n">
        <f aca="false">IF($U1217=1,$G1217-$H1217,MAX($G1217-$H1217,ABS($G1217-$I1216),ABS($H1217-$I1216)))</f>
        <v>38</v>
      </c>
      <c r="AB1217" s="48" t="n">
        <f aca="false">IF($U1217&gt;=ATR_PER,AVERAGE(INDEX($AA$1097:$AA1217,122-ATR_PER):$AA1217),"")</f>
        <v>177.785714285714</v>
      </c>
      <c r="AC1217" s="48" t="n">
        <f aca="false">$O1217-$P1217</f>
        <v>-4865462</v>
      </c>
      <c r="AD1217" s="48" t="n">
        <f aca="false">$AC1217*$I1217</f>
        <v>-22551416370</v>
      </c>
      <c r="AE1217" s="49" t="n">
        <f aca="false">IF($Q1217&gt;0,$O1217*$I1217/$Q1217/1000000,"")</f>
        <v>192.186874347594</v>
      </c>
      <c r="AF1217" s="49" t="n">
        <f aca="false">IF($R1217&gt;0,$P1217*$I1217/$R1217/1000000,"")</f>
        <v>295.681496907895</v>
      </c>
      <c r="AG1217" s="50" t="n">
        <f aca="false">IF(AND(ISNUMBER($AE1217),ISNUMBER($AF1217),$AF1217&gt;0),$AE1217/$AF1217,"")</f>
        <v>0.649979374284148</v>
      </c>
      <c r="AH1217" s="48" t="n">
        <f aca="false">IF($U1217&gt;=5,SUM(INDEX($AD$1187:$AD1217,32-5):$AD1217),"")</f>
        <v>7972346503</v>
      </c>
      <c r="AI1217" s="48" t="n">
        <f aca="false">IF($U1217&gt;=STRUCT_S,MAX(INDEX($G$1067:$G1217,152-STRUCT_S):$G1217),"")</f>
        <v>4918</v>
      </c>
      <c r="AJ1217" s="48" t="n">
        <f aca="false">IF($U1217&gt;=STRUCT_S,MIN(INDEX($H$1067:$H1217,152-STRUCT_S):$H1217),"")</f>
        <v>4240</v>
      </c>
      <c r="AK1217" s="48" t="n">
        <f aca="false">IF($U1217&gt;=STRUCT_L,MAX(INDEX($G$967:$G1217,252-STRUCT_L):$G1217),"")</f>
        <v>6051</v>
      </c>
      <c r="AL1217" s="48" t="n">
        <f aca="false">IF($U1217&gt;=STRUCT_L,MIN(INDEX($H$967:$H1217,252-STRUCT_L):$H1217),"")</f>
        <v>4240</v>
      </c>
      <c r="AM1217" s="46" t="n">
        <f aca="false">IF($A1217&lt;&gt;$A1218,1,0)</f>
        <v>0</v>
      </c>
      <c r="AN1217" s="47" t="str">
        <f aca="false">IF($AM1217=1,$A1217,"")</f>
        <v/>
      </c>
    </row>
    <row r="1218" customFormat="false" ht="15" hidden="false" customHeight="false" outlineLevel="0" collapsed="false">
      <c r="A1218" s="43" t="s">
        <v>152</v>
      </c>
      <c r="B1218" s="44" t="s">
        <v>154</v>
      </c>
      <c r="C1218" s="45" t="n">
        <v>46147</v>
      </c>
      <c r="D1218" s="46" t="n">
        <v>20260505</v>
      </c>
      <c r="E1218" s="47" t="s">
        <v>461</v>
      </c>
      <c r="F1218" s="48" t="n">
        <v>4651</v>
      </c>
      <c r="G1218" s="48" t="n">
        <v>4663</v>
      </c>
      <c r="H1218" s="48" t="n">
        <v>4610</v>
      </c>
      <c r="I1218" s="48" t="n">
        <v>4638</v>
      </c>
      <c r="J1218" s="48" t="n">
        <v>4614</v>
      </c>
      <c r="K1218" s="48" t="n">
        <v>4635</v>
      </c>
      <c r="L1218" s="48" t="n">
        <v>109160004</v>
      </c>
      <c r="M1218" s="48" t="n">
        <v>506284098552</v>
      </c>
      <c r="N1218" s="48" t="n">
        <v>3847</v>
      </c>
      <c r="O1218" s="48" t="n">
        <v>50269868</v>
      </c>
      <c r="P1218" s="48" t="n">
        <v>57973597</v>
      </c>
      <c r="Q1218" s="48" t="n">
        <v>2375</v>
      </c>
      <c r="R1218" s="48" t="n">
        <v>1070</v>
      </c>
      <c r="S1218" s="48" t="n">
        <v>58890136</v>
      </c>
      <c r="T1218" s="48" t="n">
        <v>51186407</v>
      </c>
      <c r="U1218" s="46" t="n">
        <f aca="false">IF($A1218=$A1217,$U1217+1,1)</f>
        <v>174</v>
      </c>
      <c r="V1218" s="48" t="n">
        <f aca="false">IF($U1218&gt;=MA_SHORT,AVERAGE(INDEX($I$818:$I1218,402-MA_SHORT):$I1218),"")</f>
        <v>4576.05</v>
      </c>
      <c r="W1218" s="48" t="n">
        <f aca="false">IF($U1218&gt;=MA_MED,AVERAGE(INDEX($I$818:$I1218,402-MA_MED):$I1218),"")</f>
        <v>4865.64</v>
      </c>
      <c r="X1218" s="48" t="n">
        <f aca="false">IF($U1218&gt;=MA_LONG1,AVERAGE(INDEX($I$818:$I1218,402-MA_LONG1):$I1218),"")</f>
        <v>5284.39</v>
      </c>
      <c r="Y1218" s="48" t="str">
        <f aca="false">IF($U1218&gt;=MA_LONG2,AVERAGE(INDEX($I$818:$I1218,402-MA_LONG2):$I1218),"")</f>
        <v/>
      </c>
      <c r="Z1218" s="48" t="n">
        <f aca="false">IF($U1218&gt;=MA_SHORT,AVERAGE(INDEX($L$1098:$L1218,122-MA_SHORT):$L1218),"")</f>
        <v>96114917.1</v>
      </c>
      <c r="AA1218" s="48" t="n">
        <f aca="false">IF($U1218=1,$G1218-$H1218,MAX($G1218-$H1218,ABS($G1218-$I1217),ABS($H1218-$I1217)))</f>
        <v>53</v>
      </c>
      <c r="AB1218" s="48" t="n">
        <f aca="false">IF($U1218&gt;=ATR_PER,AVERAGE(INDEX($AA$1098:$AA1218,122-ATR_PER):$AA1218),"")</f>
        <v>176.214285714286</v>
      </c>
      <c r="AC1218" s="48" t="n">
        <f aca="false">$O1218-$P1218</f>
        <v>-7703729</v>
      </c>
      <c r="AD1218" s="48" t="n">
        <f aca="false">$AC1218*$I1218</f>
        <v>-35729895102</v>
      </c>
      <c r="AE1218" s="49" t="n">
        <f aca="false">IF($Q1218&gt;0,$O1218*$I1218/$Q1218/1000000,"")</f>
        <v>98.1691148564211</v>
      </c>
      <c r="AF1218" s="49" t="n">
        <f aca="false">IF($R1218&gt;0,$P1218*$I1218/$R1218/1000000,"")</f>
        <v>251.291161575701</v>
      </c>
      <c r="AG1218" s="50" t="n">
        <f aca="false">IF(AND(ISNUMBER($AE1218),ISNUMBER($AF1218),$AF1218&gt;0),$AE1218/$AF1218,"")</f>
        <v>0.390658844667913</v>
      </c>
      <c r="AH1218" s="48" t="n">
        <f aca="false">IF($U1218&gt;=5,SUM(INDEX($AD$1188:$AD1218,32-5):$AD1218),"")</f>
        <v>-35500445259</v>
      </c>
      <c r="AI1218" s="48" t="n">
        <f aca="false">IF($U1218&gt;=STRUCT_S,MAX(INDEX($G$1068:$G1218,152-STRUCT_S):$G1218),"")</f>
        <v>4889</v>
      </c>
      <c r="AJ1218" s="48" t="n">
        <f aca="false">IF($U1218&gt;=STRUCT_S,MIN(INDEX($H$1068:$H1218,152-STRUCT_S):$H1218),"")</f>
        <v>4240</v>
      </c>
      <c r="AK1218" s="48" t="n">
        <f aca="false">IF($U1218&gt;=STRUCT_L,MAX(INDEX($G$968:$G1218,252-STRUCT_L):$G1218),"")</f>
        <v>6051</v>
      </c>
      <c r="AL1218" s="48" t="n">
        <f aca="false">IF($U1218&gt;=STRUCT_L,MIN(INDEX($H$968:$H1218,252-STRUCT_L):$H1218),"")</f>
        <v>4240</v>
      </c>
      <c r="AM1218" s="46" t="n">
        <f aca="false">IF($A1218&lt;&gt;$A1219,1,0)</f>
        <v>0</v>
      </c>
      <c r="AN1218" s="47" t="str">
        <f aca="false">IF($AM1218=1,$A1218,"")</f>
        <v/>
      </c>
    </row>
    <row r="1219" customFormat="false" ht="15" hidden="false" customHeight="false" outlineLevel="0" collapsed="false">
      <c r="A1219" s="43" t="s">
        <v>152</v>
      </c>
      <c r="B1219" s="44" t="s">
        <v>154</v>
      </c>
      <c r="C1219" s="45" t="n">
        <v>46148</v>
      </c>
      <c r="D1219" s="46" t="n">
        <v>20260506</v>
      </c>
      <c r="E1219" s="47" t="s">
        <v>462</v>
      </c>
      <c r="F1219" s="48" t="n">
        <v>4683</v>
      </c>
      <c r="G1219" s="48" t="n">
        <v>4693</v>
      </c>
      <c r="H1219" s="48" t="n">
        <v>4602</v>
      </c>
      <c r="I1219" s="48" t="n">
        <v>4657</v>
      </c>
      <c r="J1219" s="48" t="n">
        <v>4657</v>
      </c>
      <c r="K1219" s="48" t="n">
        <v>4638</v>
      </c>
      <c r="L1219" s="48" t="n">
        <v>79567466</v>
      </c>
      <c r="M1219" s="48" t="n">
        <v>370545689162</v>
      </c>
      <c r="N1219" s="48" t="n">
        <v>3186</v>
      </c>
      <c r="O1219" s="48" t="n">
        <v>36332919</v>
      </c>
      <c r="P1219" s="48" t="n">
        <v>41026186</v>
      </c>
      <c r="Q1219" s="48" t="n">
        <v>1722</v>
      </c>
      <c r="R1219" s="48" t="n">
        <v>1055</v>
      </c>
      <c r="S1219" s="48" t="n">
        <v>43234547</v>
      </c>
      <c r="T1219" s="48" t="n">
        <v>38541280</v>
      </c>
      <c r="U1219" s="46" t="n">
        <f aca="false">IF($A1219=$A1218,$U1218+1,1)</f>
        <v>175</v>
      </c>
      <c r="V1219" s="48" t="n">
        <f aca="false">IF($U1219&gt;=MA_SHORT,AVERAGE(INDEX($I$819:$I1219,402-MA_SHORT):$I1219),"")</f>
        <v>4568</v>
      </c>
      <c r="W1219" s="48" t="n">
        <f aca="false">IF($U1219&gt;=MA_MED,AVERAGE(INDEX($I$819:$I1219,402-MA_MED):$I1219),"")</f>
        <v>4851.52</v>
      </c>
      <c r="X1219" s="48" t="n">
        <f aca="false">IF($U1219&gt;=MA_LONG1,AVERAGE(INDEX($I$819:$I1219,402-MA_LONG1):$I1219),"")</f>
        <v>5276.53</v>
      </c>
      <c r="Y1219" s="48" t="str">
        <f aca="false">IF($U1219&gt;=MA_LONG2,AVERAGE(INDEX($I$819:$I1219,402-MA_LONG2):$I1219),"")</f>
        <v/>
      </c>
      <c r="Z1219" s="48" t="n">
        <f aca="false">IF($U1219&gt;=MA_SHORT,AVERAGE(INDEX($L$1099:$L1219,122-MA_SHORT):$L1219),"")</f>
        <v>95466870.7</v>
      </c>
      <c r="AA1219" s="48" t="n">
        <f aca="false">IF($U1219=1,$G1219-$H1219,MAX($G1219-$H1219,ABS($G1219-$I1218),ABS($H1219-$I1218)))</f>
        <v>91</v>
      </c>
      <c r="AB1219" s="48" t="n">
        <f aca="false">IF($U1219&gt;=ATR_PER,AVERAGE(INDEX($AA$1099:$AA1219,122-ATR_PER):$AA1219),"")</f>
        <v>176.714285714286</v>
      </c>
      <c r="AC1219" s="48" t="n">
        <f aca="false">$O1219-$P1219</f>
        <v>-4693267</v>
      </c>
      <c r="AD1219" s="48" t="n">
        <f aca="false">$AC1219*$I1219</f>
        <v>-21856544419</v>
      </c>
      <c r="AE1219" s="49" t="n">
        <f aca="false">IF($Q1219&gt;0,$O1219*$I1219/$Q1219/1000000,"")</f>
        <v>98.2592356463415</v>
      </c>
      <c r="AF1219" s="49" t="n">
        <f aca="false">IF($R1219&gt;0,$P1219*$I1219/$R1219/1000000,"")</f>
        <v>181.098529101422</v>
      </c>
      <c r="AG1219" s="50" t="n">
        <f aca="false">IF(AND(ISNUMBER($AE1219),ISNUMBER($AF1219),$AF1219&gt;0),$AE1219/$AF1219,"")</f>
        <v>0.542573350175101</v>
      </c>
      <c r="AH1219" s="48" t="n">
        <f aca="false">IF($U1219&gt;=5,SUM(INDEX($AD$1189:$AD1219,32-5):$AD1219),"")</f>
        <v>5742133370</v>
      </c>
      <c r="AI1219" s="48" t="n">
        <f aca="false">IF($U1219&gt;=STRUCT_S,MAX(INDEX($G$1069:$G1219,152-STRUCT_S):$G1219),"")</f>
        <v>4889</v>
      </c>
      <c r="AJ1219" s="48" t="n">
        <f aca="false">IF($U1219&gt;=STRUCT_S,MIN(INDEX($H$1069:$H1219,152-STRUCT_S):$H1219),"")</f>
        <v>4240</v>
      </c>
      <c r="AK1219" s="48" t="n">
        <f aca="false">IF($U1219&gt;=STRUCT_L,MAX(INDEX($G$969:$G1219,252-STRUCT_L):$G1219),"")</f>
        <v>5885</v>
      </c>
      <c r="AL1219" s="48" t="n">
        <f aca="false">IF($U1219&gt;=STRUCT_L,MIN(INDEX($H$969:$H1219,252-STRUCT_L):$H1219),"")</f>
        <v>4240</v>
      </c>
      <c r="AM1219" s="46" t="n">
        <f aca="false">IF($A1219&lt;&gt;$A1220,1,0)</f>
        <v>0</v>
      </c>
      <c r="AN1219" s="47" t="str">
        <f aca="false">IF($AM1219=1,$A1219,"")</f>
        <v/>
      </c>
    </row>
    <row r="1220" customFormat="false" ht="15" hidden="false" customHeight="false" outlineLevel="0" collapsed="false">
      <c r="A1220" s="43" t="s">
        <v>152</v>
      </c>
      <c r="B1220" s="44" t="s">
        <v>154</v>
      </c>
      <c r="C1220" s="45" t="n">
        <v>46151</v>
      </c>
      <c r="D1220" s="46" t="n">
        <v>20260509</v>
      </c>
      <c r="E1220" s="47" t="s">
        <v>463</v>
      </c>
      <c r="F1220" s="48" t="n">
        <v>4650</v>
      </c>
      <c r="G1220" s="48" t="n">
        <v>4691</v>
      </c>
      <c r="H1220" s="48" t="n">
        <v>4637</v>
      </c>
      <c r="I1220" s="48" t="n">
        <v>4671</v>
      </c>
      <c r="J1220" s="48" t="n">
        <v>4675</v>
      </c>
      <c r="K1220" s="48" t="n">
        <v>4657</v>
      </c>
      <c r="L1220" s="48" t="n">
        <v>79059408</v>
      </c>
      <c r="M1220" s="48" t="n">
        <v>369286494768</v>
      </c>
      <c r="N1220" s="48" t="n">
        <v>1801</v>
      </c>
      <c r="O1220" s="48" t="n">
        <v>46220931</v>
      </c>
      <c r="P1220" s="48" t="n">
        <v>29021988</v>
      </c>
      <c r="Q1220" s="48" t="n">
        <v>793</v>
      </c>
      <c r="R1220" s="48" t="n">
        <v>855</v>
      </c>
      <c r="S1220" s="48" t="n">
        <v>32838477</v>
      </c>
      <c r="T1220" s="48" t="n">
        <v>50037420</v>
      </c>
      <c r="U1220" s="46" t="n">
        <f aca="false">IF($A1220=$A1219,$U1219+1,1)</f>
        <v>176</v>
      </c>
      <c r="V1220" s="48" t="n">
        <f aca="false">IF($U1220&gt;=MA_SHORT,AVERAGE(INDEX($I$820:$I1220,402-MA_SHORT):$I1220),"")</f>
        <v>4560.6</v>
      </c>
      <c r="W1220" s="48" t="n">
        <f aca="false">IF($U1220&gt;=MA_MED,AVERAGE(INDEX($I$820:$I1220,402-MA_MED):$I1220),"")</f>
        <v>4837.32</v>
      </c>
      <c r="X1220" s="48" t="n">
        <f aca="false">IF($U1220&gt;=MA_LONG1,AVERAGE(INDEX($I$820:$I1220,402-MA_LONG1):$I1220),"")</f>
        <v>5268.39</v>
      </c>
      <c r="Y1220" s="48" t="str">
        <f aca="false">IF($U1220&gt;=MA_LONG2,AVERAGE(INDEX($I$820:$I1220,402-MA_LONG2):$I1220),"")</f>
        <v/>
      </c>
      <c r="Z1220" s="48" t="n">
        <f aca="false">IF($U1220&gt;=MA_SHORT,AVERAGE(INDEX($L$1100:$L1220,122-MA_SHORT):$L1220),"")</f>
        <v>95532073.05</v>
      </c>
      <c r="AA1220" s="48" t="n">
        <f aca="false">IF($U1220=1,$G1220-$H1220,MAX($G1220-$H1220,ABS($G1220-$I1219),ABS($H1220-$I1219)))</f>
        <v>54</v>
      </c>
      <c r="AB1220" s="48" t="n">
        <f aca="false">IF($U1220&gt;=ATR_PER,AVERAGE(INDEX($AA$1100:$AA1220,122-ATR_PER):$AA1220),"")</f>
        <v>166</v>
      </c>
      <c r="AC1220" s="48" t="n">
        <f aca="false">$O1220-$P1220</f>
        <v>17198943</v>
      </c>
      <c r="AD1220" s="48" t="n">
        <f aca="false">$AC1220*$I1220</f>
        <v>80336262753</v>
      </c>
      <c r="AE1220" s="49" t="n">
        <f aca="false">IF($Q1220&gt;0,$O1220*$I1220/$Q1220/1000000,"")</f>
        <v>272.254689408575</v>
      </c>
      <c r="AF1220" s="49" t="n">
        <f aca="false">IF($R1220&gt;0,$P1220*$I1220/$R1220/1000000,"")</f>
        <v>158.551702863158</v>
      </c>
      <c r="AG1220" s="50" t="n">
        <f aca="false">IF(AND(ISNUMBER($AE1220),ISNUMBER($AF1220),$AF1220&gt;0),$AE1220/$AF1220,"")</f>
        <v>1.71713507008847</v>
      </c>
      <c r="AH1220" s="48" t="n">
        <f aca="false">IF($U1220&gt;=5,SUM(INDEX($AD$1190:$AD1220,32-5):$AD1220),"")</f>
        <v>-31835238508</v>
      </c>
      <c r="AI1220" s="48" t="n">
        <f aca="false">IF($U1220&gt;=STRUCT_S,MAX(INDEX($G$1070:$G1220,152-STRUCT_S):$G1220),"")</f>
        <v>4889</v>
      </c>
      <c r="AJ1220" s="48" t="n">
        <f aca="false">IF($U1220&gt;=STRUCT_S,MIN(INDEX($H$1070:$H1220,152-STRUCT_S):$H1220),"")</f>
        <v>4240</v>
      </c>
      <c r="AK1220" s="48" t="n">
        <f aca="false">IF($U1220&gt;=STRUCT_L,MAX(INDEX($G$970:$G1220,252-STRUCT_L):$G1220),"")</f>
        <v>5842</v>
      </c>
      <c r="AL1220" s="48" t="n">
        <f aca="false">IF($U1220&gt;=STRUCT_L,MIN(INDEX($H$970:$H1220,252-STRUCT_L):$H1220),"")</f>
        <v>4240</v>
      </c>
      <c r="AM1220" s="46" t="n">
        <f aca="false">IF($A1220&lt;&gt;$A1221,1,0)</f>
        <v>0</v>
      </c>
      <c r="AN1220" s="47" t="str">
        <f aca="false">IF($AM1220=1,$A1220,"")</f>
        <v/>
      </c>
    </row>
    <row r="1221" customFormat="false" ht="15" hidden="false" customHeight="false" outlineLevel="0" collapsed="false">
      <c r="A1221" s="43" t="s">
        <v>152</v>
      </c>
      <c r="B1221" s="44" t="s">
        <v>154</v>
      </c>
      <c r="C1221" s="45" t="n">
        <v>46152</v>
      </c>
      <c r="D1221" s="46" t="n">
        <v>20260510</v>
      </c>
      <c r="E1221" s="47" t="s">
        <v>464</v>
      </c>
      <c r="F1221" s="48" t="n">
        <v>4794</v>
      </c>
      <c r="G1221" s="48" t="n">
        <v>4803</v>
      </c>
      <c r="H1221" s="48" t="n">
        <v>4615</v>
      </c>
      <c r="I1221" s="48" t="n">
        <v>4746</v>
      </c>
      <c r="J1221" s="48" t="n">
        <v>4618</v>
      </c>
      <c r="K1221" s="48" t="n">
        <v>4671</v>
      </c>
      <c r="L1221" s="48" t="n">
        <v>85987483</v>
      </c>
      <c r="M1221" s="48" t="n">
        <v>408096594318</v>
      </c>
      <c r="N1221" s="48" t="n">
        <v>2134</v>
      </c>
      <c r="O1221" s="48" t="n">
        <v>46553726</v>
      </c>
      <c r="P1221" s="48" t="n">
        <v>32682344</v>
      </c>
      <c r="Q1221" s="48" t="n">
        <v>990</v>
      </c>
      <c r="R1221" s="48" t="n">
        <v>637</v>
      </c>
      <c r="S1221" s="48" t="n">
        <v>39433757</v>
      </c>
      <c r="T1221" s="48" t="n">
        <v>53305139</v>
      </c>
      <c r="U1221" s="46" t="n">
        <f aca="false">IF($A1221=$A1220,$U1220+1,1)</f>
        <v>177</v>
      </c>
      <c r="V1221" s="48" t="n">
        <f aca="false">IF($U1221&gt;=MA_SHORT,AVERAGE(INDEX($I$821:$I1221,402-MA_SHORT):$I1221),"")</f>
        <v>4557.85</v>
      </c>
      <c r="W1221" s="48" t="n">
        <f aca="false">IF($U1221&gt;=MA_MED,AVERAGE(INDEX($I$821:$I1221,402-MA_MED):$I1221),"")</f>
        <v>4823.48</v>
      </c>
      <c r="X1221" s="48" t="n">
        <f aca="false">IF($U1221&gt;=MA_LONG1,AVERAGE(INDEX($I$821:$I1221,402-MA_LONG1):$I1221),"")</f>
        <v>5260.57</v>
      </c>
      <c r="Y1221" s="48" t="str">
        <f aca="false">IF($U1221&gt;=MA_LONG2,AVERAGE(INDEX($I$821:$I1221,402-MA_LONG2):$I1221),"")</f>
        <v/>
      </c>
      <c r="Z1221" s="48" t="n">
        <f aca="false">IF($U1221&gt;=MA_SHORT,AVERAGE(INDEX($L$1101:$L1221,122-MA_SHORT):$L1221),"")</f>
        <v>95762473.85</v>
      </c>
      <c r="AA1221" s="48" t="n">
        <f aca="false">IF($U1221=1,$G1221-$H1221,MAX($G1221-$H1221,ABS($G1221-$I1220),ABS($H1221-$I1220)))</f>
        <v>188</v>
      </c>
      <c r="AB1221" s="48" t="n">
        <f aca="false">IF($U1221&gt;=ATR_PER,AVERAGE(INDEX($AA$1101:$AA1221,122-ATR_PER):$AA1221),"")</f>
        <v>157.428571428571</v>
      </c>
      <c r="AC1221" s="48" t="n">
        <f aca="false">$O1221-$P1221</f>
        <v>13871382</v>
      </c>
      <c r="AD1221" s="48" t="n">
        <f aca="false">$AC1221*$I1221</f>
        <v>65833578972</v>
      </c>
      <c r="AE1221" s="49" t="n">
        <f aca="false">IF($Q1221&gt;0,$O1221*$I1221/$Q1221/1000000,"")</f>
        <v>223.175741006061</v>
      </c>
      <c r="AF1221" s="49" t="n">
        <f aca="false">IF($R1221&gt;0,$P1221*$I1221/$R1221/1000000,"")</f>
        <v>243.501420131868</v>
      </c>
      <c r="AG1221" s="50" t="n">
        <f aca="false">IF(AND(ISNUMBER($AE1221),ISNUMBER($AF1221),$AF1221&gt;0),$AE1221/$AF1221,"")</f>
        <v>0.916527471935071</v>
      </c>
      <c r="AH1221" s="48" t="n">
        <f aca="false">IF($U1221&gt;=5,SUM(INDEX($AD$1191:$AD1221,32-5):$AD1221),"")</f>
        <v>66031985834</v>
      </c>
      <c r="AI1221" s="48" t="n">
        <f aca="false">IF($U1221&gt;=STRUCT_S,MAX(INDEX($G$1071:$G1221,152-STRUCT_S):$G1221),"")</f>
        <v>4864</v>
      </c>
      <c r="AJ1221" s="48" t="n">
        <f aca="false">IF($U1221&gt;=STRUCT_S,MIN(INDEX($H$1071:$H1221,152-STRUCT_S):$H1221),"")</f>
        <v>4240</v>
      </c>
      <c r="AK1221" s="48" t="n">
        <f aca="false">IF($U1221&gt;=STRUCT_L,MAX(INDEX($G$971:$G1221,252-STRUCT_L):$G1221),"")</f>
        <v>5748</v>
      </c>
      <c r="AL1221" s="48" t="n">
        <f aca="false">IF($U1221&gt;=STRUCT_L,MIN(INDEX($H$971:$H1221,252-STRUCT_L):$H1221),"")</f>
        <v>4240</v>
      </c>
      <c r="AM1221" s="46" t="n">
        <f aca="false">IF($A1221&lt;&gt;$A1222,1,0)</f>
        <v>0</v>
      </c>
      <c r="AN1221" s="47" t="str">
        <f aca="false">IF($AM1221=1,$A1221,"")</f>
        <v/>
      </c>
    </row>
    <row r="1222" customFormat="false" ht="15" hidden="false" customHeight="false" outlineLevel="0" collapsed="false">
      <c r="A1222" s="43" t="s">
        <v>152</v>
      </c>
      <c r="B1222" s="44" t="s">
        <v>154</v>
      </c>
      <c r="C1222" s="45" t="n">
        <v>46153</v>
      </c>
      <c r="D1222" s="46" t="n">
        <v>20260511</v>
      </c>
      <c r="E1222" s="47" t="s">
        <v>465</v>
      </c>
      <c r="F1222" s="48" t="n">
        <v>4837</v>
      </c>
      <c r="G1222" s="48" t="n">
        <v>4933</v>
      </c>
      <c r="H1222" s="48" t="n">
        <v>4670</v>
      </c>
      <c r="I1222" s="48" t="n">
        <v>4856</v>
      </c>
      <c r="J1222" s="48" t="n">
        <v>4917</v>
      </c>
      <c r="K1222" s="48" t="n">
        <v>4746</v>
      </c>
      <c r="L1222" s="48" t="n">
        <v>88458210</v>
      </c>
      <c r="M1222" s="48" t="n">
        <v>429553067760</v>
      </c>
      <c r="N1222" s="48" t="n">
        <v>2323</v>
      </c>
      <c r="O1222" s="48" t="n">
        <v>49350005</v>
      </c>
      <c r="P1222" s="48" t="n">
        <v>35344843</v>
      </c>
      <c r="Q1222" s="48" t="n">
        <v>1331</v>
      </c>
      <c r="R1222" s="48" t="n">
        <v>1036</v>
      </c>
      <c r="S1222" s="48" t="n">
        <v>39108205</v>
      </c>
      <c r="T1222" s="48" t="n">
        <v>53113367</v>
      </c>
      <c r="U1222" s="46" t="n">
        <f aca="false">IF($A1222=$A1221,$U1221+1,1)</f>
        <v>178</v>
      </c>
      <c r="V1222" s="48" t="n">
        <f aca="false">IF($U1222&gt;=MA_SHORT,AVERAGE(INDEX($I$822:$I1222,402-MA_SHORT):$I1222),"")</f>
        <v>4564.9</v>
      </c>
      <c r="W1222" s="48" t="n">
        <f aca="false">IF($U1222&gt;=MA_MED,AVERAGE(INDEX($I$822:$I1222,402-MA_MED):$I1222),"")</f>
        <v>4813.6</v>
      </c>
      <c r="X1222" s="48" t="n">
        <f aca="false">IF($U1222&gt;=MA_LONG1,AVERAGE(INDEX($I$822:$I1222,402-MA_LONG1):$I1222),"")</f>
        <v>5253.6</v>
      </c>
      <c r="Y1222" s="48" t="str">
        <f aca="false">IF($U1222&gt;=MA_LONG2,AVERAGE(INDEX($I$822:$I1222,402-MA_LONG2):$I1222),"")</f>
        <v/>
      </c>
      <c r="Z1222" s="48" t="n">
        <f aca="false">IF($U1222&gt;=MA_SHORT,AVERAGE(INDEX($L$1102:$L1222,122-MA_SHORT):$L1222),"")</f>
        <v>95077783.95</v>
      </c>
      <c r="AA1222" s="48" t="n">
        <f aca="false">IF($U1222=1,$G1222-$H1222,MAX($G1222-$H1222,ABS($G1222-$I1221),ABS($H1222-$I1221)))</f>
        <v>263</v>
      </c>
      <c r="AB1222" s="48" t="n">
        <f aca="false">IF($U1222&gt;=ATR_PER,AVERAGE(INDEX($AA$1102:$AA1222,122-ATR_PER):$AA1222),"")</f>
        <v>163.285714285714</v>
      </c>
      <c r="AC1222" s="48" t="n">
        <f aca="false">$O1222-$P1222</f>
        <v>14005162</v>
      </c>
      <c r="AD1222" s="48" t="n">
        <f aca="false">$AC1222*$I1222</f>
        <v>68009066672</v>
      </c>
      <c r="AE1222" s="49" t="n">
        <f aca="false">IF($Q1222&gt;0,$O1222*$I1222/$Q1222/1000000,"")</f>
        <v>180.047801863261</v>
      </c>
      <c r="AF1222" s="49" t="n">
        <f aca="false">IF($R1222&gt;0,$P1222*$I1222/$R1222/1000000,"")</f>
        <v>165.670422401544</v>
      </c>
      <c r="AG1222" s="50" t="n">
        <f aca="false">IF(AND(ISNUMBER($AE1222),ISNUMBER($AF1222),$AF1222&gt;0),$AE1222/$AF1222,"")</f>
        <v>1.08678301928192</v>
      </c>
      <c r="AH1222" s="48" t="n">
        <f aca="false">IF($U1222&gt;=5,SUM(INDEX($AD$1192:$AD1222,32-5):$AD1222),"")</f>
        <v>156592468876</v>
      </c>
      <c r="AI1222" s="48" t="n">
        <f aca="false">IF($U1222&gt;=STRUCT_S,MAX(INDEX($G$1072:$G1222,152-STRUCT_S):$G1222),"")</f>
        <v>4933</v>
      </c>
      <c r="AJ1222" s="48" t="n">
        <f aca="false">IF($U1222&gt;=STRUCT_S,MIN(INDEX($H$1072:$H1222,152-STRUCT_S):$H1222),"")</f>
        <v>4240</v>
      </c>
      <c r="AK1222" s="48" t="n">
        <f aca="false">IF($U1222&gt;=STRUCT_L,MAX(INDEX($G$972:$G1222,252-STRUCT_L):$G1222),"")</f>
        <v>5516</v>
      </c>
      <c r="AL1222" s="48" t="n">
        <f aca="false">IF($U1222&gt;=STRUCT_L,MIN(INDEX($H$972:$H1222,252-STRUCT_L):$H1222),"")</f>
        <v>4240</v>
      </c>
      <c r="AM1222" s="46" t="n">
        <f aca="false">IF($A1222&lt;&gt;$A1223,1,0)</f>
        <v>0</v>
      </c>
      <c r="AN1222" s="47" t="str">
        <f aca="false">IF($AM1222=1,$A1222,"")</f>
        <v/>
      </c>
    </row>
    <row r="1223" customFormat="false" ht="15" hidden="false" customHeight="false" outlineLevel="0" collapsed="false">
      <c r="A1223" s="43" t="s">
        <v>152</v>
      </c>
      <c r="B1223" s="44" t="s">
        <v>154</v>
      </c>
      <c r="C1223" s="45" t="n">
        <v>46154</v>
      </c>
      <c r="D1223" s="46" t="n">
        <v>20260512</v>
      </c>
      <c r="E1223" s="47" t="s">
        <v>466</v>
      </c>
      <c r="F1223" s="48" t="n">
        <v>4857</v>
      </c>
      <c r="G1223" s="48" t="n">
        <v>4972</v>
      </c>
      <c r="H1223" s="48" t="n">
        <v>4725</v>
      </c>
      <c r="I1223" s="48" t="n">
        <v>4840</v>
      </c>
      <c r="J1223" s="48" t="n">
        <v>4963</v>
      </c>
      <c r="K1223" s="48" t="n">
        <v>4856</v>
      </c>
      <c r="L1223" s="48" t="n">
        <v>79193912</v>
      </c>
      <c r="M1223" s="48" t="n">
        <v>383298534080</v>
      </c>
      <c r="N1223" s="48" t="n">
        <v>2290</v>
      </c>
      <c r="O1223" s="48" t="n">
        <v>33057223</v>
      </c>
      <c r="P1223" s="48" t="n">
        <v>39144897</v>
      </c>
      <c r="Q1223" s="48" t="n">
        <v>949</v>
      </c>
      <c r="R1223" s="48" t="n">
        <v>848</v>
      </c>
      <c r="S1223" s="48" t="n">
        <v>46136689</v>
      </c>
      <c r="T1223" s="48" t="n">
        <v>40049015</v>
      </c>
      <c r="U1223" s="46" t="n">
        <f aca="false">IF($A1223=$A1222,$U1222+1,1)</f>
        <v>179</v>
      </c>
      <c r="V1223" s="48" t="n">
        <f aca="false">IF($U1223&gt;=MA_SHORT,AVERAGE(INDEX($I$823:$I1223,402-MA_SHORT):$I1223),"")</f>
        <v>4575.5</v>
      </c>
      <c r="W1223" s="48" t="n">
        <f aca="false">IF($U1223&gt;=MA_MED,AVERAGE(INDEX($I$823:$I1223,402-MA_MED):$I1223),"")</f>
        <v>4805.12</v>
      </c>
      <c r="X1223" s="48" t="n">
        <f aca="false">IF($U1223&gt;=MA_LONG1,AVERAGE(INDEX($I$823:$I1223,402-MA_LONG1):$I1223),"")</f>
        <v>5247.57</v>
      </c>
      <c r="Y1223" s="48" t="str">
        <f aca="false">IF($U1223&gt;=MA_LONG2,AVERAGE(INDEX($I$823:$I1223,402-MA_LONG2):$I1223),"")</f>
        <v/>
      </c>
      <c r="Z1223" s="48" t="n">
        <f aca="false">IF($U1223&gt;=MA_SHORT,AVERAGE(INDEX($L$1103:$L1223,122-MA_SHORT):$L1223),"")</f>
        <v>94724665.65</v>
      </c>
      <c r="AA1223" s="48" t="n">
        <f aca="false">IF($U1223=1,$G1223-$H1223,MAX($G1223-$H1223,ABS($G1223-$I1222),ABS($H1223-$I1222)))</f>
        <v>247</v>
      </c>
      <c r="AB1223" s="48" t="n">
        <f aca="false">IF($U1223&gt;=ATR_PER,AVERAGE(INDEX($AA$1103:$AA1223,122-ATR_PER):$AA1223),"")</f>
        <v>168.214285714286</v>
      </c>
      <c r="AC1223" s="48" t="n">
        <f aca="false">$O1223-$P1223</f>
        <v>-6087674</v>
      </c>
      <c r="AD1223" s="48" t="n">
        <f aca="false">$AC1223*$I1223</f>
        <v>-29464342160</v>
      </c>
      <c r="AE1223" s="49" t="n">
        <f aca="false">IF($Q1223&gt;0,$O1223*$I1223/$Q1223/1000000,"")</f>
        <v>168.595320674394</v>
      </c>
      <c r="AF1223" s="49" t="n">
        <f aca="false">IF($R1223&gt;0,$P1223*$I1223/$R1223/1000000,"")</f>
        <v>223.421346084906</v>
      </c>
      <c r="AG1223" s="50" t="n">
        <f aca="false">IF(AND(ISNUMBER($AE1223),ISNUMBER($AF1223),$AF1223&gt;0),$AE1223/$AF1223,"")</f>
        <v>0.754607040145232</v>
      </c>
      <c r="AH1223" s="48" t="n">
        <f aca="false">IF($U1223&gt;=5,SUM(INDEX($AD$1193:$AD1223,32-5):$AD1223),"")</f>
        <v>162858021818</v>
      </c>
      <c r="AI1223" s="48" t="n">
        <f aca="false">IF($U1223&gt;=STRUCT_S,MAX(INDEX($G$1073:$G1223,152-STRUCT_S):$G1223),"")</f>
        <v>4972</v>
      </c>
      <c r="AJ1223" s="48" t="n">
        <f aca="false">IF($U1223&gt;=STRUCT_S,MIN(INDEX($H$1073:$H1223,152-STRUCT_S):$H1223),"")</f>
        <v>4240</v>
      </c>
      <c r="AK1223" s="48" t="n">
        <f aca="false">IF($U1223&gt;=STRUCT_L,MAX(INDEX($G$973:$G1223,252-STRUCT_L):$G1223),"")</f>
        <v>5516</v>
      </c>
      <c r="AL1223" s="48" t="n">
        <f aca="false">IF($U1223&gt;=STRUCT_L,MIN(INDEX($H$973:$H1223,252-STRUCT_L):$H1223),"")</f>
        <v>4240</v>
      </c>
      <c r="AM1223" s="46" t="n">
        <f aca="false">IF($A1223&lt;&gt;$A1224,1,0)</f>
        <v>0</v>
      </c>
      <c r="AN1223" s="47" t="str">
        <f aca="false">IF($AM1223=1,$A1223,"")</f>
        <v/>
      </c>
    </row>
    <row r="1224" customFormat="false" ht="15" hidden="false" customHeight="false" outlineLevel="0" collapsed="false">
      <c r="A1224" s="43" t="s">
        <v>152</v>
      </c>
      <c r="B1224" s="44" t="s">
        <v>154</v>
      </c>
      <c r="C1224" s="45" t="n">
        <v>46155</v>
      </c>
      <c r="D1224" s="46" t="n">
        <v>20260513</v>
      </c>
      <c r="E1224" s="47" t="s">
        <v>467</v>
      </c>
      <c r="F1224" s="48" t="n">
        <v>4971</v>
      </c>
      <c r="G1224" s="48" t="n">
        <v>4971</v>
      </c>
      <c r="H1224" s="48" t="n">
        <v>4780</v>
      </c>
      <c r="I1224" s="48" t="n">
        <v>4910</v>
      </c>
      <c r="J1224" s="48" t="n">
        <v>4852</v>
      </c>
      <c r="K1224" s="48" t="n">
        <v>4840</v>
      </c>
      <c r="L1224" s="48" t="n">
        <v>84397624</v>
      </c>
      <c r="M1224" s="48" t="n">
        <v>414392333840</v>
      </c>
      <c r="N1224" s="48" t="n">
        <v>2859</v>
      </c>
      <c r="O1224" s="48" t="n">
        <v>37089307</v>
      </c>
      <c r="P1224" s="48" t="n">
        <v>51302728</v>
      </c>
      <c r="Q1224" s="48" t="n">
        <v>1396</v>
      </c>
      <c r="R1224" s="48" t="n">
        <v>1287</v>
      </c>
      <c r="S1224" s="48" t="n">
        <v>47308317</v>
      </c>
      <c r="T1224" s="48" t="n">
        <v>33094896</v>
      </c>
      <c r="U1224" s="46" t="n">
        <f aca="false">IF($A1224=$A1223,$U1223+1,1)</f>
        <v>180</v>
      </c>
      <c r="V1224" s="48" t="n">
        <f aca="false">IF($U1224&gt;=MA_SHORT,AVERAGE(INDEX($I$824:$I1224,402-MA_SHORT):$I1224),"")</f>
        <v>4591.45</v>
      </c>
      <c r="W1224" s="48" t="n">
        <f aca="false">IF($U1224&gt;=MA_MED,AVERAGE(INDEX($I$824:$I1224,402-MA_MED):$I1224),"")</f>
        <v>4798.5</v>
      </c>
      <c r="X1224" s="48" t="n">
        <f aca="false">IF($U1224&gt;=MA_LONG1,AVERAGE(INDEX($I$824:$I1224,402-MA_LONG1):$I1224),"")</f>
        <v>5240.56</v>
      </c>
      <c r="Y1224" s="48" t="str">
        <f aca="false">IF($U1224&gt;=MA_LONG2,AVERAGE(INDEX($I$824:$I1224,402-MA_LONG2):$I1224),"")</f>
        <v/>
      </c>
      <c r="Z1224" s="48" t="n">
        <f aca="false">IF($U1224&gt;=MA_SHORT,AVERAGE(INDEX($L$1104:$L1224,122-MA_SHORT):$L1224),"")</f>
        <v>94875354.4</v>
      </c>
      <c r="AA1224" s="48" t="n">
        <f aca="false">IF($U1224=1,$G1224-$H1224,MAX($G1224-$H1224,ABS($G1224-$I1223),ABS($H1224-$I1223)))</f>
        <v>191</v>
      </c>
      <c r="AB1224" s="48" t="n">
        <f aca="false">IF($U1224&gt;=ATR_PER,AVERAGE(INDEX($AA$1104:$AA1224,122-ATR_PER):$AA1224),"")</f>
        <v>161.928571428571</v>
      </c>
      <c r="AC1224" s="48" t="n">
        <f aca="false">$O1224-$P1224</f>
        <v>-14213421</v>
      </c>
      <c r="AD1224" s="48" t="n">
        <f aca="false">$AC1224*$I1224</f>
        <v>-69787897110</v>
      </c>
      <c r="AE1224" s="49" t="n">
        <f aca="false">IF($Q1224&gt;0,$O1224*$I1224/$Q1224/1000000,"")</f>
        <v>130.450213015759</v>
      </c>
      <c r="AF1224" s="49" t="n">
        <f aca="false">IF($R1224&gt;0,$P1224*$I1224/$R1224/1000000,"")</f>
        <v>195.723694234654</v>
      </c>
      <c r="AG1224" s="50" t="n">
        <f aca="false">IF(AND(ISNUMBER($AE1224),ISNUMBER($AF1224),$AF1224&gt;0),$AE1224/$AF1224,"")</f>
        <v>0.666501894550191</v>
      </c>
      <c r="AH1224" s="48" t="n">
        <f aca="false">IF($U1224&gt;=5,SUM(INDEX($AD$1194:$AD1224,32-5):$AD1224),"")</f>
        <v>114926669127</v>
      </c>
      <c r="AI1224" s="48" t="n">
        <f aca="false">IF($U1224&gt;=STRUCT_S,MAX(INDEX($G$1074:$G1224,152-STRUCT_S):$G1224),"")</f>
        <v>4972</v>
      </c>
      <c r="AJ1224" s="48" t="n">
        <f aca="false">IF($U1224&gt;=STRUCT_S,MIN(INDEX($H$1074:$H1224,152-STRUCT_S):$H1224),"")</f>
        <v>4240</v>
      </c>
      <c r="AK1224" s="48" t="n">
        <f aca="false">IF($U1224&gt;=STRUCT_L,MAX(INDEX($G$974:$G1224,252-STRUCT_L):$G1224),"")</f>
        <v>5516</v>
      </c>
      <c r="AL1224" s="48" t="n">
        <f aca="false">IF($U1224&gt;=STRUCT_L,MIN(INDEX($H$974:$H1224,252-STRUCT_L):$H1224),"")</f>
        <v>4240</v>
      </c>
      <c r="AM1224" s="46" t="n">
        <f aca="false">IF($A1224&lt;&gt;$A1225,1,0)</f>
        <v>0</v>
      </c>
      <c r="AN1224" s="47" t="str">
        <f aca="false">IF($AM1224=1,$A1224,"")</f>
        <v/>
      </c>
    </row>
    <row r="1225" customFormat="false" ht="15" hidden="false" customHeight="false" outlineLevel="0" collapsed="false">
      <c r="A1225" s="43" t="s">
        <v>152</v>
      </c>
      <c r="B1225" s="44" t="s">
        <v>154</v>
      </c>
      <c r="C1225" s="45" t="n">
        <v>46158</v>
      </c>
      <c r="D1225" s="46" t="n">
        <v>20260516</v>
      </c>
      <c r="E1225" s="47" t="s">
        <v>468</v>
      </c>
      <c r="F1225" s="48" t="n">
        <v>4858</v>
      </c>
      <c r="G1225" s="48" t="n">
        <v>5020</v>
      </c>
      <c r="H1225" s="48" t="n">
        <v>4833</v>
      </c>
      <c r="I1225" s="48" t="n">
        <v>4942</v>
      </c>
      <c r="J1225" s="48" t="n">
        <v>4870</v>
      </c>
      <c r="K1225" s="48" t="n">
        <v>4910</v>
      </c>
      <c r="L1225" s="48" t="n">
        <v>81870157</v>
      </c>
      <c r="M1225" s="48" t="n">
        <v>404602315894</v>
      </c>
      <c r="N1225" s="48" t="n">
        <v>2596</v>
      </c>
      <c r="O1225" s="48" t="n">
        <v>37788864</v>
      </c>
      <c r="P1225" s="48" t="n">
        <v>45970943</v>
      </c>
      <c r="Q1225" s="48" t="n">
        <v>1127</v>
      </c>
      <c r="R1225" s="48" t="n">
        <v>1106</v>
      </c>
      <c r="S1225" s="48" t="n">
        <v>44081293</v>
      </c>
      <c r="T1225" s="48" t="n">
        <v>35899214</v>
      </c>
      <c r="U1225" s="46" t="n">
        <f aca="false">IF($A1225=$A1224,$U1224+1,1)</f>
        <v>181</v>
      </c>
      <c r="V1225" s="48" t="n">
        <f aca="false">IF($U1225&gt;=MA_SHORT,AVERAGE(INDEX($I$825:$I1225,402-MA_SHORT):$I1225),"")</f>
        <v>4611.05</v>
      </c>
      <c r="W1225" s="48" t="n">
        <f aca="false">IF($U1225&gt;=MA_MED,AVERAGE(INDEX($I$825:$I1225,402-MA_MED):$I1225),"")</f>
        <v>4790.24</v>
      </c>
      <c r="X1225" s="48" t="n">
        <f aca="false">IF($U1225&gt;=MA_LONG1,AVERAGE(INDEX($I$825:$I1225,402-MA_LONG1):$I1225),"")</f>
        <v>5235.56</v>
      </c>
      <c r="Y1225" s="48" t="str">
        <f aca="false">IF($U1225&gt;=MA_LONG2,AVERAGE(INDEX($I$825:$I1225,402-MA_LONG2):$I1225),"")</f>
        <v/>
      </c>
      <c r="Z1225" s="48" t="n">
        <f aca="false">IF($U1225&gt;=MA_SHORT,AVERAGE(INDEX($L$1105:$L1225,122-MA_SHORT):$L1225),"")</f>
        <v>94877870.2</v>
      </c>
      <c r="AA1225" s="48" t="n">
        <f aca="false">IF($U1225=1,$G1225-$H1225,MAX($G1225-$H1225,ABS($G1225-$I1224),ABS($H1225-$I1224)))</f>
        <v>187</v>
      </c>
      <c r="AB1225" s="48" t="n">
        <f aca="false">IF($U1225&gt;=ATR_PER,AVERAGE(INDEX($AA$1105:$AA1225,122-ATR_PER):$AA1225),"")</f>
        <v>161.285714285714</v>
      </c>
      <c r="AC1225" s="48" t="n">
        <f aca="false">$O1225-$P1225</f>
        <v>-8182079</v>
      </c>
      <c r="AD1225" s="48" t="n">
        <f aca="false">$AC1225*$I1225</f>
        <v>-40435834418</v>
      </c>
      <c r="AE1225" s="49" t="n">
        <f aca="false">IF($Q1225&gt;0,$O1225*$I1225/$Q1225/1000000,"")</f>
        <v>165.707689341615</v>
      </c>
      <c r="AF1225" s="49" t="n">
        <f aca="false">IF($R1225&gt;0,$P1225*$I1225/$R1225/1000000,"")</f>
        <v>205.414466822785</v>
      </c>
      <c r="AG1225" s="50" t="n">
        <f aca="false">IF(AND(ISNUMBER($AE1225),ISNUMBER($AF1225),$AF1225&gt;0),$AE1225/$AF1225,"")</f>
        <v>0.806699216003001</v>
      </c>
      <c r="AH1225" s="48" t="n">
        <f aca="false">IF($U1225&gt;=5,SUM(INDEX($AD$1195:$AD1225,32-5):$AD1225),"")</f>
        <v>-5845428044</v>
      </c>
      <c r="AI1225" s="48" t="n">
        <f aca="false">IF($U1225&gt;=STRUCT_S,MAX(INDEX($G$1075:$G1225,152-STRUCT_S):$G1225),"")</f>
        <v>5020</v>
      </c>
      <c r="AJ1225" s="48" t="n">
        <f aca="false">IF($U1225&gt;=STRUCT_S,MIN(INDEX($H$1075:$H1225,152-STRUCT_S):$H1225),"")</f>
        <v>4240</v>
      </c>
      <c r="AK1225" s="48" t="n">
        <f aca="false">IF($U1225&gt;=STRUCT_L,MAX(INDEX($G$975:$G1225,252-STRUCT_L):$G1225),"")</f>
        <v>5516</v>
      </c>
      <c r="AL1225" s="48" t="n">
        <f aca="false">IF($U1225&gt;=STRUCT_L,MIN(INDEX($H$975:$H1225,252-STRUCT_L):$H1225),"")</f>
        <v>4240</v>
      </c>
      <c r="AM1225" s="46" t="n">
        <f aca="false">IF($A1225&lt;&gt;$A1226,1,0)</f>
        <v>0</v>
      </c>
      <c r="AN1225" s="47" t="str">
        <f aca="false">IF($AM1225=1,$A1225,"")</f>
        <v/>
      </c>
    </row>
    <row r="1226" customFormat="false" ht="15" hidden="false" customHeight="false" outlineLevel="0" collapsed="false">
      <c r="A1226" s="43" t="s">
        <v>152</v>
      </c>
      <c r="B1226" s="44" t="s">
        <v>154</v>
      </c>
      <c r="C1226" s="45" t="n">
        <v>46159</v>
      </c>
      <c r="D1226" s="46" t="n">
        <v>20260517</v>
      </c>
      <c r="E1226" s="47" t="s">
        <v>469</v>
      </c>
      <c r="F1226" s="48" t="n">
        <v>4957</v>
      </c>
      <c r="G1226" s="48" t="n">
        <v>5016</v>
      </c>
      <c r="H1226" s="48" t="n">
        <v>4929</v>
      </c>
      <c r="I1226" s="48" t="n">
        <v>5003</v>
      </c>
      <c r="J1226" s="48" t="n">
        <v>4948</v>
      </c>
      <c r="K1226" s="48" t="n">
        <v>4942</v>
      </c>
      <c r="L1226" s="48" t="n">
        <v>95443947</v>
      </c>
      <c r="M1226" s="48" t="n">
        <v>477506066841</v>
      </c>
      <c r="N1226" s="48" t="n">
        <v>3618</v>
      </c>
      <c r="O1226" s="48" t="n">
        <v>48832422</v>
      </c>
      <c r="P1226" s="48" t="n">
        <v>48856115</v>
      </c>
      <c r="Q1226" s="48" t="n">
        <v>2251</v>
      </c>
      <c r="R1226" s="48" t="n">
        <v>1220</v>
      </c>
      <c r="S1226" s="48" t="n">
        <v>46611525</v>
      </c>
      <c r="T1226" s="48" t="n">
        <v>46587832</v>
      </c>
      <c r="U1226" s="46" t="n">
        <f aca="false">IF($A1226=$A1225,$U1225+1,1)</f>
        <v>182</v>
      </c>
      <c r="V1226" s="48" t="n">
        <f aca="false">IF($U1226&gt;=MA_SHORT,AVERAGE(INDEX($I$826:$I1226,402-MA_SHORT):$I1226),"")</f>
        <v>4626.85</v>
      </c>
      <c r="W1226" s="48" t="n">
        <f aca="false">IF($U1226&gt;=MA_MED,AVERAGE(INDEX($I$826:$I1226,402-MA_MED):$I1226),"")</f>
        <v>4785.5</v>
      </c>
      <c r="X1226" s="48" t="n">
        <f aca="false">IF($U1226&gt;=MA_LONG1,AVERAGE(INDEX($I$826:$I1226,402-MA_LONG1):$I1226),"")</f>
        <v>5231.46</v>
      </c>
      <c r="Y1226" s="48" t="str">
        <f aca="false">IF($U1226&gt;=MA_LONG2,AVERAGE(INDEX($I$826:$I1226,402-MA_LONG2):$I1226),"")</f>
        <v/>
      </c>
      <c r="Z1226" s="48" t="n">
        <f aca="false">IF($U1226&gt;=MA_SHORT,AVERAGE(INDEX($L$1106:$L1226,122-MA_SHORT):$L1226),"")</f>
        <v>95065647</v>
      </c>
      <c r="AA1226" s="48" t="n">
        <f aca="false">IF($U1226=1,$G1226-$H1226,MAX($G1226-$H1226,ABS($G1226-$I1225),ABS($H1226-$I1225)))</f>
        <v>87</v>
      </c>
      <c r="AB1226" s="48" t="n">
        <f aca="false">IF($U1226&gt;=ATR_PER,AVERAGE(INDEX($AA$1106:$AA1226,122-ATR_PER):$AA1226),"")</f>
        <v>156.214285714286</v>
      </c>
      <c r="AC1226" s="48" t="n">
        <f aca="false">$O1226-$P1226</f>
        <v>-23693</v>
      </c>
      <c r="AD1226" s="48" t="n">
        <f aca="false">$AC1226*$I1226</f>
        <v>-118536079</v>
      </c>
      <c r="AE1226" s="49" t="n">
        <f aca="false">IF($Q1226&gt;0,$O1226*$I1226/$Q1226/1000000,"")</f>
        <v>108.533366177699</v>
      </c>
      <c r="AF1226" s="49" t="n">
        <f aca="false">IF($R1226&gt;0,$P1226*$I1226/$R1226/1000000,"")</f>
        <v>200.350117495902</v>
      </c>
      <c r="AG1226" s="50" t="n">
        <f aca="false">IF(AND(ISNUMBER($AE1226),ISNUMBER($AF1226),$AF1226&gt;0),$AE1226/$AF1226,"")</f>
        <v>0.541718505255775</v>
      </c>
      <c r="AH1226" s="48" t="n">
        <f aca="false">IF($U1226&gt;=5,SUM(INDEX($AD$1196:$AD1226,32-5):$AD1226),"")</f>
        <v>-71797543095</v>
      </c>
      <c r="AI1226" s="48" t="n">
        <f aca="false">IF($U1226&gt;=STRUCT_S,MAX(INDEX($G$1076:$G1226,152-STRUCT_S):$G1226),"")</f>
        <v>5020</v>
      </c>
      <c r="AJ1226" s="48" t="n">
        <f aca="false">IF($U1226&gt;=STRUCT_S,MIN(INDEX($H$1076:$H1226,152-STRUCT_S):$H1226),"")</f>
        <v>4240</v>
      </c>
      <c r="AK1226" s="48" t="n">
        <f aca="false">IF($U1226&gt;=STRUCT_L,MAX(INDEX($G$976:$G1226,252-STRUCT_L):$G1226),"")</f>
        <v>5516</v>
      </c>
      <c r="AL1226" s="48" t="n">
        <f aca="false">IF($U1226&gt;=STRUCT_L,MIN(INDEX($H$976:$H1226,252-STRUCT_L):$H1226),"")</f>
        <v>4240</v>
      </c>
      <c r="AM1226" s="46" t="n">
        <f aca="false">IF($A1226&lt;&gt;$A1227,1,0)</f>
        <v>0</v>
      </c>
      <c r="AN1226" s="47" t="str">
        <f aca="false">IF($AM1226=1,$A1226,"")</f>
        <v/>
      </c>
    </row>
    <row r="1227" customFormat="false" ht="15" hidden="false" customHeight="false" outlineLevel="0" collapsed="false">
      <c r="A1227" s="43" t="s">
        <v>152</v>
      </c>
      <c r="B1227" s="44" t="s">
        <v>154</v>
      </c>
      <c r="C1227" s="45" t="n">
        <v>46160</v>
      </c>
      <c r="D1227" s="46" t="n">
        <v>20260518</v>
      </c>
      <c r="E1227" s="47" t="s">
        <v>470</v>
      </c>
      <c r="F1227" s="48" t="n">
        <v>4842</v>
      </c>
      <c r="G1227" s="48" t="n">
        <v>5048</v>
      </c>
      <c r="H1227" s="48" t="n">
        <v>4827</v>
      </c>
      <c r="I1227" s="48" t="n">
        <v>4871</v>
      </c>
      <c r="J1227" s="48" t="n">
        <v>4977</v>
      </c>
      <c r="K1227" s="48" t="n">
        <v>5003</v>
      </c>
      <c r="L1227" s="48" t="n">
        <v>89952404</v>
      </c>
      <c r="M1227" s="48" t="n">
        <v>438158159884</v>
      </c>
      <c r="N1227" s="48" t="n">
        <v>2954</v>
      </c>
      <c r="O1227" s="48" t="n">
        <v>28576733</v>
      </c>
      <c r="P1227" s="48" t="n">
        <v>63100169</v>
      </c>
      <c r="Q1227" s="48" t="n">
        <v>804</v>
      </c>
      <c r="R1227" s="48" t="n">
        <v>1628</v>
      </c>
      <c r="S1227" s="48" t="n">
        <v>61375671</v>
      </c>
      <c r="T1227" s="48" t="n">
        <v>26852235</v>
      </c>
      <c r="U1227" s="46" t="n">
        <f aca="false">IF($A1227=$A1226,$U1226+1,1)</f>
        <v>183</v>
      </c>
      <c r="V1227" s="48" t="n">
        <f aca="false">IF($U1227&gt;=MA_SHORT,AVERAGE(INDEX($I$827:$I1227,402-MA_SHORT):$I1227),"")</f>
        <v>4647.55</v>
      </c>
      <c r="W1227" s="48" t="n">
        <f aca="false">IF($U1227&gt;=MA_MED,AVERAGE(INDEX($I$827:$I1227,402-MA_MED):$I1227),"")</f>
        <v>4776.42</v>
      </c>
      <c r="X1227" s="48" t="n">
        <f aca="false">IF($U1227&gt;=MA_LONG1,AVERAGE(INDEX($I$827:$I1227,402-MA_LONG1):$I1227),"")</f>
        <v>5223.59</v>
      </c>
      <c r="Y1227" s="48" t="str">
        <f aca="false">IF($U1227&gt;=MA_LONG2,AVERAGE(INDEX($I$827:$I1227,402-MA_LONG2):$I1227),"")</f>
        <v/>
      </c>
      <c r="Z1227" s="48" t="n">
        <f aca="false">IF($U1227&gt;=MA_SHORT,AVERAGE(INDEX($L$1107:$L1227,122-MA_SHORT):$L1227),"")</f>
        <v>93435845.8</v>
      </c>
      <c r="AA1227" s="48" t="n">
        <f aca="false">IF($U1227=1,$G1227-$H1227,MAX($G1227-$H1227,ABS($G1227-$I1226),ABS($H1227-$I1226)))</f>
        <v>221</v>
      </c>
      <c r="AB1227" s="48" t="n">
        <f aca="false">IF($U1227&gt;=ATR_PER,AVERAGE(INDEX($AA$1107:$AA1227,122-ATR_PER):$AA1227),"")</f>
        <v>168.857142857143</v>
      </c>
      <c r="AC1227" s="48" t="n">
        <f aca="false">$O1227-$P1227</f>
        <v>-34523436</v>
      </c>
      <c r="AD1227" s="48" t="n">
        <f aca="false">$AC1227*$I1227</f>
        <v>-168163656756</v>
      </c>
      <c r="AE1227" s="49" t="n">
        <f aca="false">IF($Q1227&gt;0,$O1227*$I1227/$Q1227/1000000,"")</f>
        <v>173.130928411692</v>
      </c>
      <c r="AF1227" s="49" t="n">
        <f aca="false">IF($R1227&gt;0,$P1227*$I1227/$R1227/1000000,"")</f>
        <v>188.796635871622</v>
      </c>
      <c r="AG1227" s="50" t="n">
        <f aca="false">IF(AND(ISNUMBER($AE1227),ISNUMBER($AF1227),$AF1227&gt;0),$AE1227/$AF1227,"")</f>
        <v>0.917023376038424</v>
      </c>
      <c r="AH1227" s="48" t="n">
        <f aca="false">IF($U1227&gt;=5,SUM(INDEX($AD$1197:$AD1227,32-5):$AD1227),"")</f>
        <v>-307970266523</v>
      </c>
      <c r="AI1227" s="48" t="n">
        <f aca="false">IF($U1227&gt;=STRUCT_S,MAX(INDEX($G$1077:$G1227,152-STRUCT_S):$G1227),"")</f>
        <v>5048</v>
      </c>
      <c r="AJ1227" s="48" t="n">
        <f aca="false">IF($U1227&gt;=STRUCT_S,MIN(INDEX($H$1077:$H1227,152-STRUCT_S):$H1227),"")</f>
        <v>4240</v>
      </c>
      <c r="AK1227" s="48" t="n">
        <f aca="false">IF($U1227&gt;=STRUCT_L,MAX(INDEX($G$977:$G1227,252-STRUCT_L):$G1227),"")</f>
        <v>5516</v>
      </c>
      <c r="AL1227" s="48" t="n">
        <f aca="false">IF($U1227&gt;=STRUCT_L,MIN(INDEX($H$977:$H1227,252-STRUCT_L):$H1227),"")</f>
        <v>4240</v>
      </c>
      <c r="AM1227" s="46" t="n">
        <f aca="false">IF($A1227&lt;&gt;$A1228,1,0)</f>
        <v>0</v>
      </c>
      <c r="AN1227" s="47" t="str">
        <f aca="false">IF($AM1227=1,$A1227,"")</f>
        <v/>
      </c>
    </row>
    <row r="1228" customFormat="false" ht="15" hidden="false" customHeight="false" outlineLevel="0" collapsed="false">
      <c r="A1228" s="43" t="s">
        <v>152</v>
      </c>
      <c r="B1228" s="44" t="s">
        <v>154</v>
      </c>
      <c r="C1228" s="45" t="n">
        <v>46161</v>
      </c>
      <c r="D1228" s="46" t="n">
        <v>20260519</v>
      </c>
      <c r="E1228" s="47" t="s">
        <v>471</v>
      </c>
      <c r="F1228" s="48" t="n">
        <v>4884</v>
      </c>
      <c r="G1228" s="48" t="n">
        <v>5024</v>
      </c>
      <c r="H1228" s="48" t="n">
        <v>4830</v>
      </c>
      <c r="I1228" s="48" t="n">
        <v>4982</v>
      </c>
      <c r="J1228" s="48" t="n">
        <v>4987</v>
      </c>
      <c r="K1228" s="48" t="n">
        <v>4871</v>
      </c>
      <c r="L1228" s="48" t="n">
        <v>107695951</v>
      </c>
      <c r="M1228" s="48" t="n">
        <v>536541227882</v>
      </c>
      <c r="N1228" s="48" t="n">
        <v>2989</v>
      </c>
      <c r="O1228" s="48" t="n">
        <v>54315706</v>
      </c>
      <c r="P1228" s="48" t="n">
        <v>56599021</v>
      </c>
      <c r="Q1228" s="48" t="n">
        <v>1476</v>
      </c>
      <c r="R1228" s="48" t="n">
        <v>796</v>
      </c>
      <c r="S1228" s="48" t="n">
        <v>53380245</v>
      </c>
      <c r="T1228" s="48" t="n">
        <v>51096930</v>
      </c>
      <c r="U1228" s="46" t="n">
        <f aca="false">IF($A1228=$A1227,$U1227+1,1)</f>
        <v>184</v>
      </c>
      <c r="V1228" s="48" t="n">
        <f aca="false">IF($U1228&gt;=MA_SHORT,AVERAGE(INDEX($I$828:$I1228,402-MA_SHORT):$I1228),"")</f>
        <v>4668</v>
      </c>
      <c r="W1228" s="48" t="n">
        <f aca="false">IF($U1228&gt;=MA_MED,AVERAGE(INDEX($I$828:$I1228,402-MA_MED):$I1228),"")</f>
        <v>4774.78</v>
      </c>
      <c r="X1228" s="48" t="n">
        <f aca="false">IF($U1228&gt;=MA_LONG1,AVERAGE(INDEX($I$828:$I1228,402-MA_LONG1):$I1228),"")</f>
        <v>5215.37</v>
      </c>
      <c r="Y1228" s="48" t="str">
        <f aca="false">IF($U1228&gt;=MA_LONG2,AVERAGE(INDEX($I$828:$I1228,402-MA_LONG2):$I1228),"")</f>
        <v/>
      </c>
      <c r="Z1228" s="48" t="n">
        <f aca="false">IF($U1228&gt;=MA_SHORT,AVERAGE(INDEX($L$1108:$L1228,122-MA_SHORT):$L1228),"")</f>
        <v>94331356.55</v>
      </c>
      <c r="AA1228" s="48" t="n">
        <f aca="false">IF($U1228=1,$G1228-$H1228,MAX($G1228-$H1228,ABS($G1228-$I1227),ABS($H1228-$I1227)))</f>
        <v>194</v>
      </c>
      <c r="AB1228" s="48" t="n">
        <f aca="false">IF($U1228&gt;=ATR_PER,AVERAGE(INDEX($AA$1108:$AA1228,122-ATR_PER):$AA1228),"")</f>
        <v>177.142857142857</v>
      </c>
      <c r="AC1228" s="48" t="n">
        <f aca="false">$O1228-$P1228</f>
        <v>-2283315</v>
      </c>
      <c r="AD1228" s="48" t="n">
        <f aca="false">$AC1228*$I1228</f>
        <v>-11375475330</v>
      </c>
      <c r="AE1228" s="49" t="n">
        <f aca="false">IF($Q1228&gt;0,$O1228*$I1228/$Q1228/1000000,"")</f>
        <v>183.333907379404</v>
      </c>
      <c r="AF1228" s="49" t="n">
        <f aca="false">IF($R1228&gt;0,$P1228*$I1228/$R1228/1000000,"")</f>
        <v>354.241611334171</v>
      </c>
      <c r="AG1228" s="50" t="n">
        <f aca="false">IF(AND(ISNUMBER($AE1228),ISNUMBER($AF1228),$AF1228&gt;0),$AE1228/$AF1228,"")</f>
        <v>0.517539163987308</v>
      </c>
      <c r="AH1228" s="48" t="n">
        <f aca="false">IF($U1228&gt;=5,SUM(INDEX($AD$1198:$AD1228,32-5):$AD1228),"")</f>
        <v>-289881399693</v>
      </c>
      <c r="AI1228" s="48" t="n">
        <f aca="false">IF($U1228&gt;=STRUCT_S,MAX(INDEX($G$1078:$G1228,152-STRUCT_S):$G1228),"")</f>
        <v>5048</v>
      </c>
      <c r="AJ1228" s="48" t="n">
        <f aca="false">IF($U1228&gt;=STRUCT_S,MIN(INDEX($H$1078:$H1228,152-STRUCT_S):$H1228),"")</f>
        <v>4240</v>
      </c>
      <c r="AK1228" s="48" t="n">
        <f aca="false">IF($U1228&gt;=STRUCT_L,MAX(INDEX($G$978:$G1228,252-STRUCT_L):$G1228),"")</f>
        <v>5516</v>
      </c>
      <c r="AL1228" s="48" t="n">
        <f aca="false">IF($U1228&gt;=STRUCT_L,MIN(INDEX($H$978:$H1228,252-STRUCT_L):$H1228),"")</f>
        <v>4240</v>
      </c>
      <c r="AM1228" s="46" t="n">
        <f aca="false">IF($A1228&lt;&gt;$A1229,1,0)</f>
        <v>0</v>
      </c>
      <c r="AN1228" s="47" t="str">
        <f aca="false">IF($AM1228=1,$A1228,"")</f>
        <v/>
      </c>
    </row>
    <row r="1229" customFormat="false" ht="15" hidden="false" customHeight="false" outlineLevel="0" collapsed="false">
      <c r="A1229" s="43" t="s">
        <v>152</v>
      </c>
      <c r="B1229" s="44" t="s">
        <v>154</v>
      </c>
      <c r="C1229" s="45" t="n">
        <v>46162</v>
      </c>
      <c r="D1229" s="46" t="n">
        <v>20260520</v>
      </c>
      <c r="E1229" s="47" t="s">
        <v>472</v>
      </c>
      <c r="F1229" s="48" t="n">
        <v>5023</v>
      </c>
      <c r="G1229" s="48" t="n">
        <v>5031</v>
      </c>
      <c r="H1229" s="48" t="n">
        <v>4935</v>
      </c>
      <c r="I1229" s="48" t="n">
        <v>4984</v>
      </c>
      <c r="J1229" s="48" t="n">
        <v>4946</v>
      </c>
      <c r="K1229" s="48" t="n">
        <v>4982</v>
      </c>
      <c r="L1229" s="48" t="n">
        <v>91131820</v>
      </c>
      <c r="M1229" s="48" t="n">
        <v>454200990880</v>
      </c>
      <c r="N1229" s="48" t="n">
        <v>5181</v>
      </c>
      <c r="O1229" s="48" t="n">
        <v>44558891</v>
      </c>
      <c r="P1229" s="48" t="n">
        <v>50989107</v>
      </c>
      <c r="Q1229" s="48" t="n">
        <v>2545</v>
      </c>
      <c r="R1229" s="48" t="n">
        <v>1499</v>
      </c>
      <c r="S1229" s="48" t="n">
        <v>46572929</v>
      </c>
      <c r="T1229" s="48" t="n">
        <v>40142713</v>
      </c>
      <c r="U1229" s="46" t="n">
        <f aca="false">IF($A1229=$A1228,$U1228+1,1)</f>
        <v>185</v>
      </c>
      <c r="V1229" s="48" t="n">
        <f aca="false">IF($U1229&gt;=MA_SHORT,AVERAGE(INDEX($I$829:$I1229,402-MA_SHORT):$I1229),"")</f>
        <v>4687.35</v>
      </c>
      <c r="W1229" s="48" t="n">
        <f aca="false">IF($U1229&gt;=MA_MED,AVERAGE(INDEX($I$829:$I1229,402-MA_MED):$I1229),"")</f>
        <v>4772.94</v>
      </c>
      <c r="X1229" s="48" t="n">
        <f aca="false">IF($U1229&gt;=MA_LONG1,AVERAGE(INDEX($I$829:$I1229,402-MA_LONG1):$I1229),"")</f>
        <v>5207.54</v>
      </c>
      <c r="Y1229" s="48" t="str">
        <f aca="false">IF($U1229&gt;=MA_LONG2,AVERAGE(INDEX($I$829:$I1229,402-MA_LONG2):$I1229),"")</f>
        <v/>
      </c>
      <c r="Z1229" s="48" t="n">
        <f aca="false">IF($U1229&gt;=MA_SHORT,AVERAGE(INDEX($L$1109:$L1229,122-MA_SHORT):$L1229),"")</f>
        <v>94380231.25</v>
      </c>
      <c r="AA1229" s="48" t="n">
        <f aca="false">IF($U1229=1,$G1229-$H1229,MAX($G1229-$H1229,ABS($G1229-$I1228),ABS($H1229-$I1228)))</f>
        <v>96</v>
      </c>
      <c r="AB1229" s="48" t="n">
        <f aca="false">IF($U1229&gt;=ATR_PER,AVERAGE(INDEX($AA$1109:$AA1229,122-ATR_PER):$AA1229),"")</f>
        <v>159.5</v>
      </c>
      <c r="AC1229" s="48" t="n">
        <f aca="false">$O1229-$P1229</f>
        <v>-6430216</v>
      </c>
      <c r="AD1229" s="48" t="n">
        <f aca="false">$AC1229*$I1229</f>
        <v>-32048196544</v>
      </c>
      <c r="AE1229" s="49" t="n">
        <f aca="false">IF($Q1229&gt;0,$O1229*$I1229/$Q1229/1000000,"")</f>
        <v>87.2618910585462</v>
      </c>
      <c r="AF1229" s="49" t="n">
        <f aca="false">IF($R1229&gt;0,$P1229*$I1229/$R1229/1000000,"")</f>
        <v>169.532828077385</v>
      </c>
      <c r="AG1229" s="50" t="n">
        <f aca="false">IF(AND(ISNUMBER($AE1229),ISNUMBER($AF1229),$AF1229&gt;0),$AE1229/$AF1229,"")</f>
        <v>0.514719727430693</v>
      </c>
      <c r="AH1229" s="48" t="n">
        <f aca="false">IF($U1229&gt;=5,SUM(INDEX($AD$1199:$AD1229,32-5):$AD1229),"")</f>
        <v>-252141699127</v>
      </c>
      <c r="AI1229" s="48" t="n">
        <f aca="false">IF($U1229&gt;=STRUCT_S,MAX(INDEX($G$1079:$G1229,152-STRUCT_S):$G1229),"")</f>
        <v>5048</v>
      </c>
      <c r="AJ1229" s="48" t="n">
        <f aca="false">IF($U1229&gt;=STRUCT_S,MIN(INDEX($H$1079:$H1229,152-STRUCT_S):$H1229),"")</f>
        <v>4240</v>
      </c>
      <c r="AK1229" s="48" t="n">
        <f aca="false">IF($U1229&gt;=STRUCT_L,MAX(INDEX($G$979:$G1229,252-STRUCT_L):$G1229),"")</f>
        <v>5516</v>
      </c>
      <c r="AL1229" s="48" t="n">
        <f aca="false">IF($U1229&gt;=STRUCT_L,MIN(INDEX($H$979:$H1229,252-STRUCT_L):$H1229),"")</f>
        <v>4240</v>
      </c>
      <c r="AM1229" s="46" t="n">
        <f aca="false">IF($A1229&lt;&gt;$A1230,1,0)</f>
        <v>0</v>
      </c>
      <c r="AN1229" s="47" t="str">
        <f aca="false">IF($AM1229=1,$A1229,"")</f>
        <v/>
      </c>
    </row>
    <row r="1230" customFormat="false" ht="15" hidden="false" customHeight="false" outlineLevel="0" collapsed="false">
      <c r="A1230" s="43" t="s">
        <v>152</v>
      </c>
      <c r="B1230" s="44" t="s">
        <v>154</v>
      </c>
      <c r="C1230" s="45" t="n">
        <v>46165</v>
      </c>
      <c r="D1230" s="46" t="n">
        <v>20260523</v>
      </c>
      <c r="E1230" s="47" t="s">
        <v>473</v>
      </c>
      <c r="F1230" s="48" t="n">
        <v>4833</v>
      </c>
      <c r="G1230" s="48" t="n">
        <v>5067</v>
      </c>
      <c r="H1230" s="48" t="n">
        <v>4829</v>
      </c>
      <c r="I1230" s="48" t="n">
        <v>4911</v>
      </c>
      <c r="J1230" s="48" t="n">
        <v>5002</v>
      </c>
      <c r="K1230" s="48" t="n">
        <v>4984</v>
      </c>
      <c r="L1230" s="48" t="n">
        <v>84483387</v>
      </c>
      <c r="M1230" s="48" t="n">
        <v>414897913557</v>
      </c>
      <c r="N1230" s="48" t="n">
        <v>5210</v>
      </c>
      <c r="O1230" s="48" t="n">
        <v>31660263</v>
      </c>
      <c r="P1230" s="48" t="n">
        <v>54663273</v>
      </c>
      <c r="Q1230" s="48" t="n">
        <v>1585</v>
      </c>
      <c r="R1230" s="48" t="n">
        <v>2154</v>
      </c>
      <c r="S1230" s="48" t="n">
        <v>52823124</v>
      </c>
      <c r="T1230" s="48" t="n">
        <v>29820114</v>
      </c>
      <c r="U1230" s="46" t="n">
        <f aca="false">IF($A1230=$A1229,$U1229+1,1)</f>
        <v>186</v>
      </c>
      <c r="V1230" s="48" t="n">
        <f aca="false">IF($U1230&gt;=MA_SHORT,AVERAGE(INDEX($I$830:$I1230,402-MA_SHORT):$I1230),"")</f>
        <v>4708.9</v>
      </c>
      <c r="W1230" s="48" t="n">
        <f aca="false">IF($U1230&gt;=MA_MED,AVERAGE(INDEX($I$830:$I1230,402-MA_MED):$I1230),"")</f>
        <v>4767.8</v>
      </c>
      <c r="X1230" s="48" t="n">
        <f aca="false">IF($U1230&gt;=MA_LONG1,AVERAGE(INDEX($I$830:$I1230,402-MA_LONG1):$I1230),"")</f>
        <v>5198.94</v>
      </c>
      <c r="Y1230" s="48" t="str">
        <f aca="false">IF($U1230&gt;=MA_LONG2,AVERAGE(INDEX($I$830:$I1230,402-MA_LONG2):$I1230),"")</f>
        <v/>
      </c>
      <c r="Z1230" s="48" t="n">
        <f aca="false">IF($U1230&gt;=MA_SHORT,AVERAGE(INDEX($L$1110:$L1230,122-MA_SHORT):$L1230),"")</f>
        <v>93738618.45</v>
      </c>
      <c r="AA1230" s="48" t="n">
        <f aca="false">IF($U1230=1,$G1230-$H1230,MAX($G1230-$H1230,ABS($G1230-$I1229),ABS($H1230-$I1229)))</f>
        <v>238</v>
      </c>
      <c r="AB1230" s="48" t="n">
        <f aca="false">IF($U1230&gt;=ATR_PER,AVERAGE(INDEX($AA$1110:$AA1230,122-ATR_PER):$AA1230),"")</f>
        <v>153.428571428571</v>
      </c>
      <c r="AC1230" s="48" t="n">
        <f aca="false">$O1230-$P1230</f>
        <v>-23003010</v>
      </c>
      <c r="AD1230" s="48" t="n">
        <f aca="false">$AC1230*$I1230</f>
        <v>-112967782110</v>
      </c>
      <c r="AE1230" s="49" t="n">
        <f aca="false">IF($Q1230&gt;0,$O1230*$I1230/$Q1230/1000000,"")</f>
        <v>98.0968779766562</v>
      </c>
      <c r="AF1230" s="49" t="n">
        <f aca="false">IF($R1230&gt;0,$P1230*$I1230/$R1230/1000000,"")</f>
        <v>124.629217132312</v>
      </c>
      <c r="AG1230" s="50" t="n">
        <f aca="false">IF(AND(ISNUMBER($AE1230),ISNUMBER($AF1230),$AF1230&gt;0),$AE1230/$AF1230,"")</f>
        <v>0.787109798439254</v>
      </c>
      <c r="AH1230" s="48" t="n">
        <f aca="false">IF($U1230&gt;=5,SUM(INDEX($AD$1200:$AD1230,32-5):$AD1230),"")</f>
        <v>-324673646819</v>
      </c>
      <c r="AI1230" s="48" t="n">
        <f aca="false">IF($U1230&gt;=STRUCT_S,MAX(INDEX($G$1080:$G1230,152-STRUCT_S):$G1230),"")</f>
        <v>5067</v>
      </c>
      <c r="AJ1230" s="48" t="n">
        <f aca="false">IF($U1230&gt;=STRUCT_S,MIN(INDEX($H$1080:$H1230,152-STRUCT_S):$H1230),"")</f>
        <v>4240</v>
      </c>
      <c r="AK1230" s="48" t="n">
        <f aca="false">IF($U1230&gt;=STRUCT_L,MAX(INDEX($G$980:$G1230,252-STRUCT_L):$G1230),"")</f>
        <v>5516</v>
      </c>
      <c r="AL1230" s="48" t="n">
        <f aca="false">IF($U1230&gt;=STRUCT_L,MIN(INDEX($H$980:$H1230,252-STRUCT_L):$H1230),"")</f>
        <v>4240</v>
      </c>
      <c r="AM1230" s="46" t="n">
        <f aca="false">IF($A1230&lt;&gt;$A1231,1,0)</f>
        <v>0</v>
      </c>
      <c r="AN1230" s="47" t="str">
        <f aca="false">IF($AM1230=1,$A1230,"")</f>
        <v/>
      </c>
    </row>
    <row r="1231" customFormat="false" ht="15" hidden="false" customHeight="false" outlineLevel="0" collapsed="false">
      <c r="A1231" s="43" t="s">
        <v>152</v>
      </c>
      <c r="B1231" s="44" t="s">
        <v>154</v>
      </c>
      <c r="C1231" s="45" t="n">
        <v>46166</v>
      </c>
      <c r="D1231" s="46" t="n">
        <v>20260524</v>
      </c>
      <c r="E1231" s="47" t="s">
        <v>474</v>
      </c>
      <c r="F1231" s="48" t="n">
        <v>4910</v>
      </c>
      <c r="G1231" s="48" t="n">
        <v>4976</v>
      </c>
      <c r="H1231" s="48" t="n">
        <v>4776</v>
      </c>
      <c r="I1231" s="48" t="n">
        <v>4840</v>
      </c>
      <c r="J1231" s="48" t="n">
        <v>4863</v>
      </c>
      <c r="K1231" s="48" t="n">
        <v>4911</v>
      </c>
      <c r="L1231" s="48" t="n">
        <v>107761225</v>
      </c>
      <c r="M1231" s="48" t="n">
        <v>521564329000</v>
      </c>
      <c r="N1231" s="48" t="n">
        <v>2746</v>
      </c>
      <c r="O1231" s="48" t="n">
        <v>46202857</v>
      </c>
      <c r="P1231" s="48" t="n">
        <v>57460387</v>
      </c>
      <c r="Q1231" s="48" t="n">
        <v>1047</v>
      </c>
      <c r="R1231" s="48" t="n">
        <v>1741</v>
      </c>
      <c r="S1231" s="48" t="n">
        <v>61558368</v>
      </c>
      <c r="T1231" s="48" t="n">
        <v>50300838</v>
      </c>
      <c r="U1231" s="46" t="n">
        <f aca="false">IF($A1231=$A1230,$U1230+1,1)</f>
        <v>187</v>
      </c>
      <c r="V1231" s="48" t="n">
        <f aca="false">IF($U1231&gt;=MA_SHORT,AVERAGE(INDEX($I$831:$I1231,402-MA_SHORT):$I1231),"")</f>
        <v>4732.15</v>
      </c>
      <c r="W1231" s="48" t="n">
        <f aca="false">IF($U1231&gt;=MA_MED,AVERAGE(INDEX($I$831:$I1231,402-MA_MED):$I1231),"")</f>
        <v>4764.12</v>
      </c>
      <c r="X1231" s="48" t="n">
        <f aca="false">IF($U1231&gt;=MA_LONG1,AVERAGE(INDEX($I$831:$I1231,402-MA_LONG1):$I1231),"")</f>
        <v>5188.44</v>
      </c>
      <c r="Y1231" s="48" t="str">
        <f aca="false">IF($U1231&gt;=MA_LONG2,AVERAGE(INDEX($I$831:$I1231,402-MA_LONG2):$I1231),"")</f>
        <v/>
      </c>
      <c r="Z1231" s="48" t="n">
        <f aca="false">IF($U1231&gt;=MA_SHORT,AVERAGE(INDEX($L$1111:$L1231,122-MA_SHORT):$L1231),"")</f>
        <v>93894793.35</v>
      </c>
      <c r="AA1231" s="48" t="n">
        <f aca="false">IF($U1231=1,$G1231-$H1231,MAX($G1231-$H1231,ABS($G1231-$I1230),ABS($H1231-$I1230)))</f>
        <v>200</v>
      </c>
      <c r="AB1231" s="48" t="n">
        <f aca="false">IF($U1231&gt;=ATR_PER,AVERAGE(INDEX($AA$1111:$AA1231,122-ATR_PER):$AA1231),"")</f>
        <v>165</v>
      </c>
      <c r="AC1231" s="48" t="n">
        <f aca="false">$O1231-$P1231</f>
        <v>-11257530</v>
      </c>
      <c r="AD1231" s="48" t="n">
        <f aca="false">$AC1231*$I1231</f>
        <v>-54486445200</v>
      </c>
      <c r="AE1231" s="49" t="n">
        <f aca="false">IF($Q1231&gt;0,$O1231*$I1231/$Q1231/1000000,"")</f>
        <v>213.583407717287</v>
      </c>
      <c r="AF1231" s="49" t="n">
        <f aca="false">IF($R1231&gt;0,$P1231*$I1231/$R1231/1000000,"")</f>
        <v>159.740535944859</v>
      </c>
      <c r="AG1231" s="50" t="n">
        <f aca="false">IF(AND(ISNUMBER($AE1231),ISNUMBER($AF1231),$AF1231&gt;0),$AE1231/$AF1231,"")</f>
        <v>1.33706454942041</v>
      </c>
      <c r="AH1231" s="48" t="n">
        <f aca="false">IF($U1231&gt;=5,SUM(INDEX($AD$1201:$AD1231,32-5):$AD1231),"")</f>
        <v>-379041555940</v>
      </c>
      <c r="AI1231" s="48" t="n">
        <f aca="false">IF($U1231&gt;=STRUCT_S,MAX(INDEX($G$1081:$G1231,152-STRUCT_S):$G1231),"")</f>
        <v>5067</v>
      </c>
      <c r="AJ1231" s="48" t="n">
        <f aca="false">IF($U1231&gt;=STRUCT_S,MIN(INDEX($H$1081:$H1231,152-STRUCT_S):$H1231),"")</f>
        <v>4240</v>
      </c>
      <c r="AK1231" s="48" t="n">
        <f aca="false">IF($U1231&gt;=STRUCT_L,MAX(INDEX($G$981:$G1231,252-STRUCT_L):$G1231),"")</f>
        <v>5516</v>
      </c>
      <c r="AL1231" s="48" t="n">
        <f aca="false">IF($U1231&gt;=STRUCT_L,MIN(INDEX($H$981:$H1231,252-STRUCT_L):$H1231),"")</f>
        <v>4240</v>
      </c>
      <c r="AM1231" s="46" t="n">
        <f aca="false">IF($A1231&lt;&gt;$A1232,1,0)</f>
        <v>0</v>
      </c>
      <c r="AN1231" s="47" t="str">
        <f aca="false">IF($AM1231=1,$A1231,"")</f>
        <v/>
      </c>
    </row>
    <row r="1232" customFormat="false" ht="15" hidden="false" customHeight="false" outlineLevel="0" collapsed="false">
      <c r="A1232" s="43" t="s">
        <v>152</v>
      </c>
      <c r="B1232" s="44" t="s">
        <v>154</v>
      </c>
      <c r="C1232" s="45" t="n">
        <v>46167</v>
      </c>
      <c r="D1232" s="46" t="n">
        <v>20260525</v>
      </c>
      <c r="E1232" s="47" t="s">
        <v>475</v>
      </c>
      <c r="F1232" s="48" t="n">
        <v>4865</v>
      </c>
      <c r="G1232" s="48" t="n">
        <v>4873</v>
      </c>
      <c r="H1232" s="48" t="n">
        <v>4812</v>
      </c>
      <c r="I1232" s="48" t="n">
        <v>4845</v>
      </c>
      <c r="J1232" s="48" t="n">
        <v>4844</v>
      </c>
      <c r="K1232" s="48" t="n">
        <v>4840</v>
      </c>
      <c r="L1232" s="48" t="n">
        <v>78140006</v>
      </c>
      <c r="M1232" s="48" t="n">
        <v>378588329070</v>
      </c>
      <c r="N1232" s="48" t="n">
        <v>3190</v>
      </c>
      <c r="O1232" s="48" t="n">
        <v>30231559</v>
      </c>
      <c r="P1232" s="48" t="n">
        <v>49681743</v>
      </c>
      <c r="Q1232" s="48" t="n">
        <v>1263</v>
      </c>
      <c r="R1232" s="48" t="n">
        <v>1025</v>
      </c>
      <c r="S1232" s="48" t="n">
        <v>47908447</v>
      </c>
      <c r="T1232" s="48" t="n">
        <v>28458263</v>
      </c>
      <c r="U1232" s="46" t="n">
        <f aca="false">IF($A1232=$A1231,$U1231+1,1)</f>
        <v>188</v>
      </c>
      <c r="V1232" s="48" t="n">
        <f aca="false">IF($U1232&gt;=MA_SHORT,AVERAGE(INDEX($I$832:$I1232,402-MA_SHORT):$I1232),"")</f>
        <v>4756.1</v>
      </c>
      <c r="W1232" s="48" t="n">
        <f aca="false">IF($U1232&gt;=MA_MED,AVERAGE(INDEX($I$832:$I1232,402-MA_MED):$I1232),"")</f>
        <v>4759.76</v>
      </c>
      <c r="X1232" s="48" t="n">
        <f aca="false">IF($U1232&gt;=MA_LONG1,AVERAGE(INDEX($I$832:$I1232,402-MA_LONG1):$I1232),"")</f>
        <v>5177.04</v>
      </c>
      <c r="Y1232" s="48" t="str">
        <f aca="false">IF($U1232&gt;=MA_LONG2,AVERAGE(INDEX($I$832:$I1232,402-MA_LONG2):$I1232),"")</f>
        <v/>
      </c>
      <c r="Z1232" s="48" t="n">
        <f aca="false">IF($U1232&gt;=MA_SHORT,AVERAGE(INDEX($L$1112:$L1232,122-MA_SHORT):$L1232),"")</f>
        <v>92495337.9</v>
      </c>
      <c r="AA1232" s="48" t="n">
        <f aca="false">IF($U1232=1,$G1232-$H1232,MAX($G1232-$H1232,ABS($G1232-$I1231),ABS($H1232-$I1231)))</f>
        <v>61</v>
      </c>
      <c r="AB1232" s="48" t="n">
        <f aca="false">IF($U1232&gt;=ATR_PER,AVERAGE(INDEX($AA$1112:$AA1232,122-ATR_PER):$AA1232),"")</f>
        <v>165.571428571429</v>
      </c>
      <c r="AC1232" s="48" t="n">
        <f aca="false">$O1232-$P1232</f>
        <v>-19450184</v>
      </c>
      <c r="AD1232" s="48" t="n">
        <f aca="false">$AC1232*$I1232</f>
        <v>-94236141480</v>
      </c>
      <c r="AE1232" s="49" t="n">
        <f aca="false">IF($Q1232&gt;0,$O1232*$I1232/$Q1232/1000000,"")</f>
        <v>115.971419916865</v>
      </c>
      <c r="AF1232" s="49" t="n">
        <f aca="false">IF($R1232&gt;0,$P1232*$I1232/$R1232/1000000,"")</f>
        <v>234.837116912195</v>
      </c>
      <c r="AG1232" s="50" t="n">
        <f aca="false">IF(AND(ISNUMBER($AE1232),ISNUMBER($AF1232),$AF1232&gt;0),$AE1232/$AF1232,"")</f>
        <v>0.49383769244717</v>
      </c>
      <c r="AH1232" s="48" t="n">
        <f aca="false">IF($U1232&gt;=5,SUM(INDEX($AD$1202:$AD1232,32-5):$AD1232),"")</f>
        <v>-305114040664</v>
      </c>
      <c r="AI1232" s="48" t="n">
        <f aca="false">IF($U1232&gt;=STRUCT_S,MAX(INDEX($G$1082:$G1232,152-STRUCT_S):$G1232),"")</f>
        <v>5067</v>
      </c>
      <c r="AJ1232" s="48" t="n">
        <f aca="false">IF($U1232&gt;=STRUCT_S,MIN(INDEX($H$1082:$H1232,152-STRUCT_S):$H1232),"")</f>
        <v>4240</v>
      </c>
      <c r="AK1232" s="48" t="n">
        <f aca="false">IF($U1232&gt;=STRUCT_L,MAX(INDEX($G$982:$G1232,252-STRUCT_L):$G1232),"")</f>
        <v>5406</v>
      </c>
      <c r="AL1232" s="48" t="n">
        <f aca="false">IF($U1232&gt;=STRUCT_L,MIN(INDEX($H$982:$H1232,252-STRUCT_L):$H1232),"")</f>
        <v>4240</v>
      </c>
      <c r="AM1232" s="46" t="n">
        <f aca="false">IF($A1232&lt;&gt;$A1233,1,0)</f>
        <v>0</v>
      </c>
      <c r="AN1232" s="47" t="str">
        <f aca="false">IF($AM1232=1,$A1232,"")</f>
        <v/>
      </c>
    </row>
    <row r="1233" customFormat="false" ht="15" hidden="false" customHeight="false" outlineLevel="0" collapsed="false">
      <c r="A1233" s="43" t="s">
        <v>152</v>
      </c>
      <c r="B1233" s="44" t="s">
        <v>154</v>
      </c>
      <c r="C1233" s="45" t="n">
        <v>46168</v>
      </c>
      <c r="D1233" s="46" t="n">
        <v>20260526</v>
      </c>
      <c r="E1233" s="47" t="s">
        <v>476</v>
      </c>
      <c r="F1233" s="48" t="n">
        <v>4881</v>
      </c>
      <c r="G1233" s="48" t="n">
        <v>4911</v>
      </c>
      <c r="H1233" s="48" t="n">
        <v>4745</v>
      </c>
      <c r="I1233" s="48" t="n">
        <v>4810</v>
      </c>
      <c r="J1233" s="48" t="n">
        <v>4846</v>
      </c>
      <c r="K1233" s="48" t="n">
        <v>4845</v>
      </c>
      <c r="L1233" s="48" t="n">
        <v>81024660</v>
      </c>
      <c r="M1233" s="48" t="n">
        <v>389728614600</v>
      </c>
      <c r="N1233" s="48" t="n">
        <v>3337</v>
      </c>
      <c r="O1233" s="48" t="n">
        <v>35044058</v>
      </c>
      <c r="P1233" s="48" t="n">
        <v>47103318</v>
      </c>
      <c r="Q1233" s="48" t="n">
        <v>1060</v>
      </c>
      <c r="R1233" s="48" t="n">
        <v>1398</v>
      </c>
      <c r="S1233" s="48" t="n">
        <v>45980602</v>
      </c>
      <c r="T1233" s="48" t="n">
        <v>33921342</v>
      </c>
      <c r="U1233" s="46" t="n">
        <f aca="false">IF($A1233=$A1232,$U1232+1,1)</f>
        <v>189</v>
      </c>
      <c r="V1233" s="48" t="n">
        <f aca="false">IF($U1233&gt;=MA_SHORT,AVERAGE(INDEX($I$833:$I1233,402-MA_SHORT):$I1233),"")</f>
        <v>4779.2</v>
      </c>
      <c r="W1233" s="48" t="n">
        <f aca="false">IF($U1233&gt;=MA_MED,AVERAGE(INDEX($I$833:$I1233,402-MA_MED):$I1233),"")</f>
        <v>4755.66</v>
      </c>
      <c r="X1233" s="48" t="n">
        <f aca="false">IF($U1233&gt;=MA_LONG1,AVERAGE(INDEX($I$833:$I1233,402-MA_LONG1):$I1233),"")</f>
        <v>5164.67</v>
      </c>
      <c r="Y1233" s="48" t="str">
        <f aca="false">IF($U1233&gt;=MA_LONG2,AVERAGE(INDEX($I$833:$I1233,402-MA_LONG2):$I1233),"")</f>
        <v/>
      </c>
      <c r="Z1233" s="48" t="n">
        <f aca="false">IF($U1233&gt;=MA_SHORT,AVERAGE(INDEX($L$1113:$L1233,122-MA_SHORT):$L1233),"")</f>
        <v>91912109.8</v>
      </c>
      <c r="AA1233" s="48" t="n">
        <f aca="false">IF($U1233=1,$G1233-$H1233,MAX($G1233-$H1233,ABS($G1233-$I1232),ABS($H1233-$I1232)))</f>
        <v>166</v>
      </c>
      <c r="AB1233" s="48" t="n">
        <f aca="false">IF($U1233&gt;=ATR_PER,AVERAGE(INDEX($AA$1113:$AA1233,122-ATR_PER):$AA1233),"")</f>
        <v>170.928571428571</v>
      </c>
      <c r="AC1233" s="48" t="n">
        <f aca="false">$O1233-$P1233</f>
        <v>-12059260</v>
      </c>
      <c r="AD1233" s="48" t="n">
        <f aca="false">$AC1233*$I1233</f>
        <v>-58005040600</v>
      </c>
      <c r="AE1233" s="49" t="n">
        <f aca="false">IF($Q1233&gt;0,$O1233*$I1233/$Q1233/1000000,"")</f>
        <v>159.020678283019</v>
      </c>
      <c r="AF1233" s="49" t="n">
        <f aca="false">IF($R1233&gt;0,$P1233*$I1233/$R1233/1000000,"")</f>
        <v>162.065064077253</v>
      </c>
      <c r="AG1233" s="50" t="n">
        <f aca="false">IF(AND(ISNUMBER($AE1233),ISNUMBER($AF1233),$AF1233&gt;0),$AE1233/$AF1233,"")</f>
        <v>0.981215039702924</v>
      </c>
      <c r="AH1233" s="48" t="n">
        <f aca="false">IF($U1233&gt;=5,SUM(INDEX($AD$1203:$AD1233,32-5):$AD1233),"")</f>
        <v>-351743605934</v>
      </c>
      <c r="AI1233" s="48" t="n">
        <f aca="false">IF($U1233&gt;=STRUCT_S,MAX(INDEX($G$1083:$G1233,152-STRUCT_S):$G1233),"")</f>
        <v>5067</v>
      </c>
      <c r="AJ1233" s="48" t="n">
        <f aca="false">IF($U1233&gt;=STRUCT_S,MIN(INDEX($H$1083:$H1233,152-STRUCT_S):$H1233),"")</f>
        <v>4240</v>
      </c>
      <c r="AK1233" s="48" t="n">
        <f aca="false">IF($U1233&gt;=STRUCT_L,MAX(INDEX($G$983:$G1233,252-STRUCT_L):$G1233),"")</f>
        <v>5406</v>
      </c>
      <c r="AL1233" s="48" t="n">
        <f aca="false">IF($U1233&gt;=STRUCT_L,MIN(INDEX($H$983:$H1233,252-STRUCT_L):$H1233),"")</f>
        <v>4240</v>
      </c>
      <c r="AM1233" s="46" t="n">
        <f aca="false">IF($A1233&lt;&gt;$A1234,1,0)</f>
        <v>0</v>
      </c>
      <c r="AN1233" s="47" t="str">
        <f aca="false">IF($AM1233=1,$A1233,"")</f>
        <v/>
      </c>
    </row>
    <row r="1234" customFormat="false" ht="15" hidden="false" customHeight="false" outlineLevel="0" collapsed="false">
      <c r="A1234" s="43" t="s">
        <v>152</v>
      </c>
      <c r="B1234" s="44" t="s">
        <v>154</v>
      </c>
      <c r="C1234" s="45" t="n">
        <v>46169</v>
      </c>
      <c r="D1234" s="46" t="n">
        <v>20260527</v>
      </c>
      <c r="E1234" s="47" t="s">
        <v>477</v>
      </c>
      <c r="F1234" s="48" t="n">
        <v>4846</v>
      </c>
      <c r="G1234" s="48" t="n">
        <v>4858</v>
      </c>
      <c r="H1234" s="48" t="n">
        <v>4772</v>
      </c>
      <c r="I1234" s="48" t="n">
        <v>4820</v>
      </c>
      <c r="J1234" s="48" t="n">
        <v>4812</v>
      </c>
      <c r="K1234" s="48" t="n">
        <v>4810</v>
      </c>
      <c r="L1234" s="48" t="n">
        <v>78627365</v>
      </c>
      <c r="M1234" s="48" t="n">
        <v>378983899300</v>
      </c>
      <c r="N1234" s="48" t="n">
        <v>7604</v>
      </c>
      <c r="O1234" s="48" t="n">
        <v>38818389</v>
      </c>
      <c r="P1234" s="48" t="n">
        <v>41968157</v>
      </c>
      <c r="Q1234" s="48" t="n">
        <v>2785</v>
      </c>
      <c r="R1234" s="48" t="n">
        <v>3160</v>
      </c>
      <c r="S1234" s="48" t="n">
        <v>39808976</v>
      </c>
      <c r="T1234" s="48" t="n">
        <v>36659208</v>
      </c>
      <c r="U1234" s="46" t="n">
        <f aca="false">IF($A1234=$A1233,$U1233+1,1)</f>
        <v>190</v>
      </c>
      <c r="V1234" s="48" t="n">
        <f aca="false">IF($U1234&gt;=MA_SHORT,AVERAGE(INDEX($I$834:$I1234,402-MA_SHORT):$I1234),"")</f>
        <v>4803.75</v>
      </c>
      <c r="W1234" s="48" t="n">
        <f aca="false">IF($U1234&gt;=MA_MED,AVERAGE(INDEX($I$834:$I1234,402-MA_MED):$I1234),"")</f>
        <v>4753.66</v>
      </c>
      <c r="X1234" s="48" t="n">
        <f aca="false">IF($U1234&gt;=MA_LONG1,AVERAGE(INDEX($I$834:$I1234,402-MA_LONG1):$I1234),"")</f>
        <v>5154.62</v>
      </c>
      <c r="Y1234" s="48" t="str">
        <f aca="false">IF($U1234&gt;=MA_LONG2,AVERAGE(INDEX($I$834:$I1234,402-MA_LONG2):$I1234),"")</f>
        <v/>
      </c>
      <c r="Z1234" s="48" t="n">
        <f aca="false">IF($U1234&gt;=MA_SHORT,AVERAGE(INDEX($L$1114:$L1234,122-MA_SHORT):$L1234),"")</f>
        <v>90741079.6</v>
      </c>
      <c r="AA1234" s="48" t="n">
        <f aca="false">IF($U1234=1,$G1234-$H1234,MAX($G1234-$H1234,ABS($G1234-$I1233),ABS($H1234-$I1233)))</f>
        <v>86</v>
      </c>
      <c r="AB1234" s="48" t="n">
        <f aca="false">IF($U1234&gt;=ATR_PER,AVERAGE(INDEX($AA$1114:$AA1234,122-ATR_PER):$AA1234),"")</f>
        <v>173.214285714286</v>
      </c>
      <c r="AC1234" s="48" t="n">
        <f aca="false">$O1234-$P1234</f>
        <v>-3149768</v>
      </c>
      <c r="AD1234" s="48" t="n">
        <f aca="false">$AC1234*$I1234</f>
        <v>-15181881760</v>
      </c>
      <c r="AE1234" s="49" t="n">
        <f aca="false">IF($Q1234&gt;0,$O1234*$I1234/$Q1234/1000000,"")</f>
        <v>67.1829928114901</v>
      </c>
      <c r="AF1234" s="49" t="n">
        <f aca="false">IF($R1234&gt;0,$P1234*$I1234/$R1234/1000000,"")</f>
        <v>64.0147204873418</v>
      </c>
      <c r="AG1234" s="50" t="n">
        <f aca="false">IF(AND(ISNUMBER($AE1234),ISNUMBER($AF1234),$AF1234&gt;0),$AE1234/$AF1234,"")</f>
        <v>1.04949287132754</v>
      </c>
      <c r="AH1234" s="48" t="n">
        <f aca="false">IF($U1234&gt;=5,SUM(INDEX($AD$1204:$AD1234,32-5):$AD1234),"")</f>
        <v>-334877291150</v>
      </c>
      <c r="AI1234" s="48" t="n">
        <f aca="false">IF($U1234&gt;=STRUCT_S,MAX(INDEX($G$1084:$G1234,152-STRUCT_S):$G1234),"")</f>
        <v>5067</v>
      </c>
      <c r="AJ1234" s="48" t="n">
        <f aca="false">IF($U1234&gt;=STRUCT_S,MIN(INDEX($H$1084:$H1234,152-STRUCT_S):$H1234),"")</f>
        <v>4240</v>
      </c>
      <c r="AK1234" s="48" t="n">
        <f aca="false">IF($U1234&gt;=STRUCT_L,MAX(INDEX($G$984:$G1234,252-STRUCT_L):$G1234),"")</f>
        <v>5406</v>
      </c>
      <c r="AL1234" s="48" t="n">
        <f aca="false">IF($U1234&gt;=STRUCT_L,MIN(INDEX($H$984:$H1234,252-STRUCT_L):$H1234),"")</f>
        <v>4240</v>
      </c>
      <c r="AM1234" s="46" t="n">
        <f aca="false">IF($A1234&lt;&gt;$A1235,1,0)</f>
        <v>0</v>
      </c>
      <c r="AN1234" s="47" t="str">
        <f aca="false">IF($AM1234=1,$A1234,"")</f>
        <v/>
      </c>
    </row>
    <row r="1235" customFormat="false" ht="15" hidden="false" customHeight="false" outlineLevel="0" collapsed="false">
      <c r="A1235" s="43" t="s">
        <v>152</v>
      </c>
      <c r="B1235" s="44" t="s">
        <v>154</v>
      </c>
      <c r="C1235" s="45" t="n">
        <v>46172</v>
      </c>
      <c r="D1235" s="46" t="n">
        <v>20260530</v>
      </c>
      <c r="E1235" s="47" t="s">
        <v>478</v>
      </c>
      <c r="F1235" s="48" t="n">
        <v>4832</v>
      </c>
      <c r="G1235" s="48" t="n">
        <v>4890</v>
      </c>
      <c r="H1235" s="48" t="n">
        <v>4759</v>
      </c>
      <c r="I1235" s="48" t="n">
        <v>4828</v>
      </c>
      <c r="J1235" s="48" t="n">
        <v>4846</v>
      </c>
      <c r="K1235" s="48" t="n">
        <v>4820</v>
      </c>
      <c r="L1235" s="48" t="n">
        <v>82164284</v>
      </c>
      <c r="M1235" s="48" t="n">
        <v>396689163152</v>
      </c>
      <c r="N1235" s="48" t="n">
        <v>2388</v>
      </c>
      <c r="O1235" s="48" t="n">
        <v>29780850</v>
      </c>
      <c r="P1235" s="48" t="n">
        <v>55924623</v>
      </c>
      <c r="Q1235" s="48" t="n">
        <v>1367</v>
      </c>
      <c r="R1235" s="48" t="n">
        <v>799</v>
      </c>
      <c r="S1235" s="48" t="n">
        <v>52383434</v>
      </c>
      <c r="T1235" s="48" t="n">
        <v>26239661</v>
      </c>
      <c r="U1235" s="46" t="n">
        <f aca="false">IF($A1235=$A1234,$U1234+1,1)</f>
        <v>191</v>
      </c>
      <c r="V1235" s="48" t="n">
        <f aca="false">IF($U1235&gt;=MA_SHORT,AVERAGE(INDEX($I$835:$I1235,402-MA_SHORT):$I1235),"")</f>
        <v>4820.6</v>
      </c>
      <c r="W1235" s="48" t="n">
        <f aca="false">IF($U1235&gt;=MA_MED,AVERAGE(INDEX($I$835:$I1235,402-MA_MED):$I1235),"")</f>
        <v>4752.42</v>
      </c>
      <c r="X1235" s="48" t="n">
        <f aca="false">IF($U1235&gt;=MA_LONG1,AVERAGE(INDEX($I$835:$I1235,402-MA_LONG1):$I1235),"")</f>
        <v>5144.99</v>
      </c>
      <c r="Y1235" s="48" t="str">
        <f aca="false">IF($U1235&gt;=MA_LONG2,AVERAGE(INDEX($I$835:$I1235,402-MA_LONG2):$I1235),"")</f>
        <v/>
      </c>
      <c r="Z1235" s="48" t="n">
        <f aca="false">IF($U1235&gt;=MA_SHORT,AVERAGE(INDEX($L$1115:$L1235,122-MA_SHORT):$L1235),"")</f>
        <v>88625605.75</v>
      </c>
      <c r="AA1235" s="48" t="n">
        <f aca="false">IF($U1235=1,$G1235-$H1235,MAX($G1235-$H1235,ABS($G1235-$I1234),ABS($H1235-$I1234)))</f>
        <v>131</v>
      </c>
      <c r="AB1235" s="48" t="n">
        <f aca="false">IF($U1235&gt;=ATR_PER,AVERAGE(INDEX($AA$1115:$AA1235,122-ATR_PER):$AA1235),"")</f>
        <v>169.142857142857</v>
      </c>
      <c r="AC1235" s="48" t="n">
        <f aca="false">$O1235-$P1235</f>
        <v>-26143773</v>
      </c>
      <c r="AD1235" s="48" t="n">
        <f aca="false">$AC1235*$I1235</f>
        <v>-126222136044</v>
      </c>
      <c r="AE1235" s="49" t="n">
        <f aca="false">IF($Q1235&gt;0,$O1235*$I1235/$Q1235/1000000,"")</f>
        <v>105.180646525238</v>
      </c>
      <c r="AF1235" s="49" t="n">
        <f aca="false">IF($R1235&gt;0,$P1235*$I1235/$R1235/1000000,"")</f>
        <v>337.927509191489</v>
      </c>
      <c r="AG1235" s="50" t="n">
        <f aca="false">IF(AND(ISNUMBER($AE1235),ISNUMBER($AF1235),$AF1235&gt;0),$AE1235/$AF1235,"")</f>
        <v>0.311252098939469</v>
      </c>
      <c r="AH1235" s="48" t="n">
        <f aca="false">IF($U1235&gt;=5,SUM(INDEX($AD$1205:$AD1235,32-5):$AD1235),"")</f>
        <v>-348131645084</v>
      </c>
      <c r="AI1235" s="48" t="n">
        <f aca="false">IF($U1235&gt;=STRUCT_S,MAX(INDEX($G$1085:$G1235,152-STRUCT_S):$G1235),"")</f>
        <v>5067</v>
      </c>
      <c r="AJ1235" s="48" t="n">
        <f aca="false">IF($U1235&gt;=STRUCT_S,MIN(INDEX($H$1085:$H1235,152-STRUCT_S):$H1235),"")</f>
        <v>4397</v>
      </c>
      <c r="AK1235" s="48" t="n">
        <f aca="false">IF($U1235&gt;=STRUCT_L,MAX(INDEX($G$985:$G1235,252-STRUCT_L):$G1235),"")</f>
        <v>5402</v>
      </c>
      <c r="AL1235" s="48" t="n">
        <f aca="false">IF($U1235&gt;=STRUCT_L,MIN(INDEX($H$985:$H1235,252-STRUCT_L):$H1235),"")</f>
        <v>4240</v>
      </c>
      <c r="AM1235" s="46" t="n">
        <f aca="false">IF($A1235&lt;&gt;$A1236,1,0)</f>
        <v>0</v>
      </c>
      <c r="AN1235" s="47" t="str">
        <f aca="false">IF($AM1235=1,$A1235,"")</f>
        <v/>
      </c>
    </row>
    <row r="1236" customFormat="false" ht="15" hidden="false" customHeight="false" outlineLevel="0" collapsed="false">
      <c r="A1236" s="43" t="s">
        <v>152</v>
      </c>
      <c r="B1236" s="44" t="s">
        <v>154</v>
      </c>
      <c r="C1236" s="45" t="n">
        <v>46173</v>
      </c>
      <c r="D1236" s="46" t="n">
        <v>20260531</v>
      </c>
      <c r="E1236" s="47" t="s">
        <v>479</v>
      </c>
      <c r="F1236" s="48" t="n">
        <v>4777</v>
      </c>
      <c r="G1236" s="48" t="n">
        <v>4919</v>
      </c>
      <c r="H1236" s="48" t="n">
        <v>4759</v>
      </c>
      <c r="I1236" s="48" t="n">
        <v>4850</v>
      </c>
      <c r="J1236" s="48" t="n">
        <v>4865</v>
      </c>
      <c r="K1236" s="48" t="n">
        <v>4828</v>
      </c>
      <c r="L1236" s="48" t="n">
        <v>105296435</v>
      </c>
      <c r="M1236" s="48" t="n">
        <v>510687709750</v>
      </c>
      <c r="N1236" s="48" t="n">
        <v>5366</v>
      </c>
      <c r="O1236" s="48" t="n">
        <v>48576784</v>
      </c>
      <c r="P1236" s="48" t="n">
        <v>65522963</v>
      </c>
      <c r="Q1236" s="48" t="n">
        <v>3215</v>
      </c>
      <c r="R1236" s="48" t="n">
        <v>1953</v>
      </c>
      <c r="S1236" s="48" t="n">
        <v>56719651</v>
      </c>
      <c r="T1236" s="48" t="n">
        <v>39773472</v>
      </c>
      <c r="U1236" s="46" t="n">
        <f aca="false">IF($A1236=$A1235,$U1235+1,1)</f>
        <v>192</v>
      </c>
      <c r="V1236" s="48" t="n">
        <f aca="false">IF($U1236&gt;=MA_SHORT,AVERAGE(INDEX($I$836:$I1236,402-MA_SHORT):$I1236),"")</f>
        <v>4831.95</v>
      </c>
      <c r="W1236" s="48" t="n">
        <f aca="false">IF($U1236&gt;=MA_MED,AVERAGE(INDEX($I$836:$I1236,402-MA_MED):$I1236),"")</f>
        <v>4750.42</v>
      </c>
      <c r="X1236" s="48" t="n">
        <f aca="false">IF($U1236&gt;=MA_LONG1,AVERAGE(INDEX($I$836:$I1236,402-MA_LONG1):$I1236),"")</f>
        <v>5137.75</v>
      </c>
      <c r="Y1236" s="48" t="str">
        <f aca="false">IF($U1236&gt;=MA_LONG2,AVERAGE(INDEX($I$836:$I1236,402-MA_LONG2):$I1236),"")</f>
        <v/>
      </c>
      <c r="Z1236" s="48" t="n">
        <f aca="false">IF($U1236&gt;=MA_SHORT,AVERAGE(INDEX($L$1116:$L1236,122-MA_SHORT):$L1236),"")</f>
        <v>88414193.9</v>
      </c>
      <c r="AA1236" s="48" t="n">
        <f aca="false">IF($U1236=1,$G1236-$H1236,MAX($G1236-$H1236,ABS($G1236-$I1235),ABS($H1236-$I1235)))</f>
        <v>160</v>
      </c>
      <c r="AB1236" s="48" t="n">
        <f aca="false">IF($U1236&gt;=ATR_PER,AVERAGE(INDEX($AA$1116:$AA1236,122-ATR_PER):$AA1236),"")</f>
        <v>161.785714285714</v>
      </c>
      <c r="AC1236" s="48" t="n">
        <f aca="false">$O1236-$P1236</f>
        <v>-16946179</v>
      </c>
      <c r="AD1236" s="48" t="n">
        <f aca="false">$AC1236*$I1236</f>
        <v>-82188968150</v>
      </c>
      <c r="AE1236" s="49" t="n">
        <f aca="false">IF($Q1236&gt;0,$O1236*$I1236/$Q1236/1000000,"")</f>
        <v>73.2806850388803</v>
      </c>
      <c r="AF1236" s="49" t="n">
        <f aca="false">IF($R1236&gt;0,$P1236*$I1236/$R1236/1000000,"")</f>
        <v>162.717035611879</v>
      </c>
      <c r="AG1236" s="50" t="n">
        <f aca="false">IF(AND(ISNUMBER($AE1236),ISNUMBER($AF1236),$AF1236&gt;0),$AE1236/$AF1236,"")</f>
        <v>0.450356563855262</v>
      </c>
      <c r="AH1236" s="48" t="n">
        <f aca="false">IF($U1236&gt;=5,SUM(INDEX($AD$1206:$AD1236,32-5):$AD1236),"")</f>
        <v>-375834168034</v>
      </c>
      <c r="AI1236" s="48" t="n">
        <f aca="false">IF($U1236&gt;=STRUCT_S,MAX(INDEX($G$1086:$G1236,152-STRUCT_S):$G1236),"")</f>
        <v>5067</v>
      </c>
      <c r="AJ1236" s="48" t="n">
        <f aca="false">IF($U1236&gt;=STRUCT_S,MIN(INDEX($H$1086:$H1236,152-STRUCT_S):$H1236),"")</f>
        <v>4602</v>
      </c>
      <c r="AK1236" s="48" t="n">
        <f aca="false">IF($U1236&gt;=STRUCT_L,MAX(INDEX($G$986:$G1236,252-STRUCT_L):$G1236),"")</f>
        <v>5402</v>
      </c>
      <c r="AL1236" s="48" t="n">
        <f aca="false">IF($U1236&gt;=STRUCT_L,MIN(INDEX($H$986:$H1236,252-STRUCT_L):$H1236),"")</f>
        <v>4240</v>
      </c>
      <c r="AM1236" s="46" t="n">
        <f aca="false">IF($A1236&lt;&gt;$A1237,1,0)</f>
        <v>0</v>
      </c>
      <c r="AN1236" s="47" t="str">
        <f aca="false">IF($AM1236=1,$A1236,"")</f>
        <v/>
      </c>
    </row>
    <row r="1237" customFormat="false" ht="15" hidden="false" customHeight="false" outlineLevel="0" collapsed="false">
      <c r="A1237" s="43" t="s">
        <v>152</v>
      </c>
      <c r="B1237" s="44" t="s">
        <v>154</v>
      </c>
      <c r="C1237" s="45" t="n">
        <v>46174</v>
      </c>
      <c r="D1237" s="46" t="n">
        <v>20260601</v>
      </c>
      <c r="E1237" s="47" t="s">
        <v>480</v>
      </c>
      <c r="F1237" s="48" t="n">
        <v>4918</v>
      </c>
      <c r="G1237" s="48" t="n">
        <v>4940</v>
      </c>
      <c r="H1237" s="48" t="n">
        <v>4661</v>
      </c>
      <c r="I1237" s="48" t="n">
        <v>4749</v>
      </c>
      <c r="J1237" s="48" t="n">
        <v>4788</v>
      </c>
      <c r="K1237" s="48" t="n">
        <v>4850</v>
      </c>
      <c r="L1237" s="48" t="n">
        <v>87361979</v>
      </c>
      <c r="M1237" s="48" t="n">
        <v>414882038271</v>
      </c>
      <c r="N1237" s="48" t="n">
        <v>1983</v>
      </c>
      <c r="O1237" s="48" t="n">
        <v>35401514</v>
      </c>
      <c r="P1237" s="48" t="n">
        <v>52181501</v>
      </c>
      <c r="Q1237" s="48" t="n">
        <v>824</v>
      </c>
      <c r="R1237" s="48" t="n">
        <v>1056</v>
      </c>
      <c r="S1237" s="48" t="n">
        <v>51960465</v>
      </c>
      <c r="T1237" s="48" t="n">
        <v>35180478</v>
      </c>
      <c r="U1237" s="46" t="n">
        <f aca="false">IF($A1237=$A1236,$U1236+1,1)</f>
        <v>193</v>
      </c>
      <c r="V1237" s="48" t="n">
        <f aca="false">IF($U1237&gt;=MA_SHORT,AVERAGE(INDEX($I$837:$I1237,402-MA_SHORT):$I1237),"")</f>
        <v>4837.65</v>
      </c>
      <c r="W1237" s="48" t="n">
        <f aca="false">IF($U1237&gt;=MA_MED,AVERAGE(INDEX($I$837:$I1237,402-MA_MED):$I1237),"")</f>
        <v>4748.86</v>
      </c>
      <c r="X1237" s="48" t="n">
        <f aca="false">IF($U1237&gt;=MA_LONG1,AVERAGE(INDEX($I$837:$I1237,402-MA_LONG1):$I1237),"")</f>
        <v>5128.96</v>
      </c>
      <c r="Y1237" s="48" t="str">
        <f aca="false">IF($U1237&gt;=MA_LONG2,AVERAGE(INDEX($I$837:$I1237,402-MA_LONG2):$I1237),"")</f>
        <v/>
      </c>
      <c r="Z1237" s="48" t="n">
        <f aca="false">IF($U1237&gt;=MA_SHORT,AVERAGE(INDEX($L$1117:$L1237,122-MA_SHORT):$L1237),"")</f>
        <v>88838886.35</v>
      </c>
      <c r="AA1237" s="48" t="n">
        <f aca="false">IF($U1237=1,$G1237-$H1237,MAX($G1237-$H1237,ABS($G1237-$I1236),ABS($H1237-$I1236)))</f>
        <v>279</v>
      </c>
      <c r="AB1237" s="48" t="n">
        <f aca="false">IF($U1237&gt;=ATR_PER,AVERAGE(INDEX($AA$1117:$AA1237,122-ATR_PER):$AA1237),"")</f>
        <v>164.071428571429</v>
      </c>
      <c r="AC1237" s="48" t="n">
        <f aca="false">$O1237-$P1237</f>
        <v>-16779987</v>
      </c>
      <c r="AD1237" s="48" t="n">
        <f aca="false">$AC1237*$I1237</f>
        <v>-79688158263</v>
      </c>
      <c r="AE1237" s="49" t="n">
        <f aca="false">IF($Q1237&gt;0,$O1237*$I1237/$Q1237/1000000,"")</f>
        <v>204.031298526699</v>
      </c>
      <c r="AF1237" s="49" t="n">
        <f aca="false">IF($R1237&gt;0,$P1237*$I1237/$R1237/1000000,"")</f>
        <v>234.668511599432</v>
      </c>
      <c r="AG1237" s="50" t="n">
        <f aca="false">IF(AND(ISNUMBER($AE1237),ISNUMBER($AF1237),$AF1237&gt;0),$AE1237/$AF1237,"")</f>
        <v>0.86944472070872</v>
      </c>
      <c r="AH1237" s="48" t="n">
        <f aca="false">IF($U1237&gt;=5,SUM(INDEX($AD$1207:$AD1237,32-5):$AD1237),"")</f>
        <v>-361286184817</v>
      </c>
      <c r="AI1237" s="48" t="n">
        <f aca="false">IF($U1237&gt;=STRUCT_S,MAX(INDEX($G$1087:$G1237,152-STRUCT_S):$G1237),"")</f>
        <v>5067</v>
      </c>
      <c r="AJ1237" s="48" t="n">
        <f aca="false">IF($U1237&gt;=STRUCT_S,MIN(INDEX($H$1087:$H1237,152-STRUCT_S):$H1237),"")</f>
        <v>4602</v>
      </c>
      <c r="AK1237" s="48" t="n">
        <f aca="false">IF($U1237&gt;=STRUCT_L,MAX(INDEX($G$987:$G1237,252-STRUCT_L):$G1237),"")</f>
        <v>5402</v>
      </c>
      <c r="AL1237" s="48" t="n">
        <f aca="false">IF($U1237&gt;=STRUCT_L,MIN(INDEX($H$987:$H1237,252-STRUCT_L):$H1237),"")</f>
        <v>4240</v>
      </c>
      <c r="AM1237" s="46" t="n">
        <f aca="false">IF($A1237&lt;&gt;$A1238,1,0)</f>
        <v>0</v>
      </c>
      <c r="AN1237" s="47" t="str">
        <f aca="false">IF($AM1237=1,$A1237,"")</f>
        <v/>
      </c>
    </row>
    <row r="1238" customFormat="false" ht="15" hidden="false" customHeight="false" outlineLevel="0" collapsed="false">
      <c r="A1238" s="43" t="s">
        <v>152</v>
      </c>
      <c r="B1238" s="44" t="s">
        <v>154</v>
      </c>
      <c r="C1238" s="45" t="n">
        <v>46175</v>
      </c>
      <c r="D1238" s="46" t="n">
        <v>20260602</v>
      </c>
      <c r="E1238" s="47" t="s">
        <v>481</v>
      </c>
      <c r="F1238" s="48" t="n">
        <v>4779</v>
      </c>
      <c r="G1238" s="48" t="n">
        <v>4805</v>
      </c>
      <c r="H1238" s="48" t="n">
        <v>4689</v>
      </c>
      <c r="I1238" s="48" t="n">
        <v>4745</v>
      </c>
      <c r="J1238" s="48" t="n">
        <v>4775</v>
      </c>
      <c r="K1238" s="48" t="n">
        <v>4749</v>
      </c>
      <c r="L1238" s="48" t="n">
        <v>78051114</v>
      </c>
      <c r="M1238" s="48" t="n">
        <v>370352535930</v>
      </c>
      <c r="N1238" s="48" t="n">
        <v>5529</v>
      </c>
      <c r="O1238" s="48" t="n">
        <v>32570010</v>
      </c>
      <c r="P1238" s="48" t="n">
        <v>41394383</v>
      </c>
      <c r="Q1238" s="48" t="n">
        <v>2415</v>
      </c>
      <c r="R1238" s="48" t="n">
        <v>2827</v>
      </c>
      <c r="S1238" s="48" t="n">
        <v>45481104</v>
      </c>
      <c r="T1238" s="48" t="n">
        <v>36656731</v>
      </c>
      <c r="U1238" s="46" t="n">
        <f aca="false">IF($A1238=$A1237,$U1237+1,1)</f>
        <v>194</v>
      </c>
      <c r="V1238" s="48" t="n">
        <f aca="false">IF($U1238&gt;=MA_SHORT,AVERAGE(INDEX($I$838:$I1238,402-MA_SHORT):$I1238),"")</f>
        <v>4843</v>
      </c>
      <c r="W1238" s="48" t="n">
        <f aca="false">IF($U1238&gt;=MA_MED,AVERAGE(INDEX($I$838:$I1238,402-MA_MED):$I1238),"")</f>
        <v>4747.26</v>
      </c>
      <c r="X1238" s="48" t="n">
        <f aca="false">IF($U1238&gt;=MA_LONG1,AVERAGE(INDEX($I$838:$I1238,402-MA_LONG1):$I1238),"")</f>
        <v>5119.07</v>
      </c>
      <c r="Y1238" s="48" t="str">
        <f aca="false">IF($U1238&gt;=MA_LONG2,AVERAGE(INDEX($I$838:$I1238,402-MA_LONG2):$I1238),"")</f>
        <v/>
      </c>
      <c r="Z1238" s="48" t="n">
        <f aca="false">IF($U1238&gt;=MA_SHORT,AVERAGE(INDEX($L$1118:$L1238,122-MA_SHORT):$L1238),"")</f>
        <v>87283441.85</v>
      </c>
      <c r="AA1238" s="48" t="n">
        <f aca="false">IF($U1238=1,$G1238-$H1238,MAX($G1238-$H1238,ABS($G1238-$I1237),ABS($H1238-$I1237)))</f>
        <v>116</v>
      </c>
      <c r="AB1238" s="48" t="n">
        <f aca="false">IF($U1238&gt;=ATR_PER,AVERAGE(INDEX($AA$1118:$AA1238,122-ATR_PER):$AA1238),"")</f>
        <v>158.714285714286</v>
      </c>
      <c r="AC1238" s="48" t="n">
        <f aca="false">$O1238-$P1238</f>
        <v>-8824373</v>
      </c>
      <c r="AD1238" s="48" t="n">
        <f aca="false">$AC1238*$I1238</f>
        <v>-41871649885</v>
      </c>
      <c r="AE1238" s="49" t="n">
        <f aca="false">IF($Q1238&gt;0,$O1238*$I1238/$Q1238/1000000,"")</f>
        <v>63.9936635403727</v>
      </c>
      <c r="AF1238" s="49" t="n">
        <f aca="false">IF($R1238&gt;0,$P1238*$I1238/$R1238/1000000,"")</f>
        <v>69.4787220852494</v>
      </c>
      <c r="AG1238" s="50" t="n">
        <f aca="false">IF(AND(ISNUMBER($AE1238),ISNUMBER($AF1238),$AF1238&gt;0),$AE1238/$AF1238,"")</f>
        <v>0.921054124482218</v>
      </c>
      <c r="AH1238" s="48" t="n">
        <f aca="false">IF($U1238&gt;=5,SUM(INDEX($AD$1208:$AD1238,32-5):$AD1238),"")</f>
        <v>-345152794102</v>
      </c>
      <c r="AI1238" s="48" t="n">
        <f aca="false">IF($U1238&gt;=STRUCT_S,MAX(INDEX($G$1088:$G1238,152-STRUCT_S):$G1238),"")</f>
        <v>5067</v>
      </c>
      <c r="AJ1238" s="48" t="n">
        <f aca="false">IF($U1238&gt;=STRUCT_S,MIN(INDEX($H$1088:$H1238,152-STRUCT_S):$H1238),"")</f>
        <v>4602</v>
      </c>
      <c r="AK1238" s="48" t="n">
        <f aca="false">IF($U1238&gt;=STRUCT_L,MAX(INDEX($G$988:$G1238,252-STRUCT_L):$G1238),"")</f>
        <v>5275</v>
      </c>
      <c r="AL1238" s="48" t="n">
        <f aca="false">IF($U1238&gt;=STRUCT_L,MIN(INDEX($H$988:$H1238,252-STRUCT_L):$H1238),"")</f>
        <v>4240</v>
      </c>
      <c r="AM1238" s="46" t="n">
        <f aca="false">IF($A1238&lt;&gt;$A1239,1,0)</f>
        <v>0</v>
      </c>
      <c r="AN1238" s="47" t="str">
        <f aca="false">IF($AM1238=1,$A1238,"")</f>
        <v/>
      </c>
    </row>
    <row r="1239" customFormat="false" ht="15" hidden="false" customHeight="false" outlineLevel="0" collapsed="false">
      <c r="A1239" s="43" t="s">
        <v>152</v>
      </c>
      <c r="B1239" s="44" t="s">
        <v>154</v>
      </c>
      <c r="C1239" s="45" t="n">
        <v>46176</v>
      </c>
      <c r="D1239" s="46" t="n">
        <v>20260603</v>
      </c>
      <c r="E1239" s="47" t="s">
        <v>482</v>
      </c>
      <c r="F1239" s="48" t="n">
        <v>4604</v>
      </c>
      <c r="G1239" s="48" t="n">
        <v>5097</v>
      </c>
      <c r="H1239" s="48" t="n">
        <v>4555</v>
      </c>
      <c r="I1239" s="48" t="n">
        <v>4900</v>
      </c>
      <c r="J1239" s="48" t="n">
        <v>4813</v>
      </c>
      <c r="K1239" s="48" t="n">
        <v>4745</v>
      </c>
      <c r="L1239" s="48" t="n">
        <v>92879419</v>
      </c>
      <c r="M1239" s="48" t="n">
        <v>455109153100</v>
      </c>
      <c r="N1239" s="48" t="n">
        <v>3764</v>
      </c>
      <c r="O1239" s="48" t="n">
        <v>52718061</v>
      </c>
      <c r="P1239" s="48" t="n">
        <v>44272018</v>
      </c>
      <c r="Q1239" s="48" t="n">
        <v>1954</v>
      </c>
      <c r="R1239" s="48" t="n">
        <v>1760</v>
      </c>
      <c r="S1239" s="48" t="n">
        <v>40161358</v>
      </c>
      <c r="T1239" s="48" t="n">
        <v>48607401</v>
      </c>
      <c r="U1239" s="46" t="n">
        <f aca="false">IF($A1239=$A1238,$U1238+1,1)</f>
        <v>195</v>
      </c>
      <c r="V1239" s="48" t="n">
        <f aca="false">IF($U1239&gt;=MA_SHORT,AVERAGE(INDEX($I$839:$I1239,402-MA_SHORT):$I1239),"")</f>
        <v>4855.15</v>
      </c>
      <c r="W1239" s="48" t="n">
        <f aca="false">IF($U1239&gt;=MA_MED,AVERAGE(INDEX($I$839:$I1239,402-MA_MED):$I1239),"")</f>
        <v>4748.12</v>
      </c>
      <c r="X1239" s="48" t="n">
        <f aca="false">IF($U1239&gt;=MA_LONG1,AVERAGE(INDEX($I$839:$I1239,402-MA_LONG1):$I1239),"")</f>
        <v>5110.8</v>
      </c>
      <c r="Y1239" s="48" t="str">
        <f aca="false">IF($U1239&gt;=MA_LONG2,AVERAGE(INDEX($I$839:$I1239,402-MA_LONG2):$I1239),"")</f>
        <v/>
      </c>
      <c r="Z1239" s="48" t="n">
        <f aca="false">IF($U1239&gt;=MA_SHORT,AVERAGE(INDEX($L$1119:$L1239,122-MA_SHORT):$L1239),"")</f>
        <v>87949039.5</v>
      </c>
      <c r="AA1239" s="48" t="n">
        <f aca="false">IF($U1239=1,$G1239-$H1239,MAX($G1239-$H1239,ABS($G1239-$I1238),ABS($H1239-$I1238)))</f>
        <v>542</v>
      </c>
      <c r="AB1239" s="48" t="n">
        <f aca="false">IF($U1239&gt;=ATR_PER,AVERAGE(INDEX($AA$1119:$AA1239,122-ATR_PER):$AA1239),"")</f>
        <v>184.071428571429</v>
      </c>
      <c r="AC1239" s="48" t="n">
        <f aca="false">$O1239-$P1239</f>
        <v>8446043</v>
      </c>
      <c r="AD1239" s="48" t="n">
        <f aca="false">$AC1239*$I1239</f>
        <v>41385610700</v>
      </c>
      <c r="AE1239" s="49" t="n">
        <f aca="false">IF($Q1239&gt;0,$O1239*$I1239/$Q1239/1000000,"")</f>
        <v>132.199845905834</v>
      </c>
      <c r="AF1239" s="49" t="n">
        <f aca="false">IF($R1239&gt;0,$P1239*$I1239/$R1239/1000000,"")</f>
        <v>123.257322840909</v>
      </c>
      <c r="AG1239" s="50" t="n">
        <f aca="false">IF(AND(ISNUMBER($AE1239),ISNUMBER($AF1239),$AF1239&gt;0),$AE1239/$AF1239,"")</f>
        <v>1.07255165744974</v>
      </c>
      <c r="AH1239" s="48" t="n">
        <f aca="false">IF($U1239&gt;=5,SUM(INDEX($AD$1209:$AD1239,32-5):$AD1239),"")</f>
        <v>-288585301642</v>
      </c>
      <c r="AI1239" s="48" t="n">
        <f aca="false">IF($U1239&gt;=STRUCT_S,MAX(INDEX($G$1089:$G1239,152-STRUCT_S):$G1239),"")</f>
        <v>5097</v>
      </c>
      <c r="AJ1239" s="48" t="n">
        <f aca="false">IF($U1239&gt;=STRUCT_S,MIN(INDEX($H$1089:$H1239,152-STRUCT_S):$H1239),"")</f>
        <v>4555</v>
      </c>
      <c r="AK1239" s="48" t="n">
        <f aca="false">IF($U1239&gt;=STRUCT_L,MAX(INDEX($G$989:$G1239,252-STRUCT_L):$G1239),"")</f>
        <v>5275</v>
      </c>
      <c r="AL1239" s="48" t="n">
        <f aca="false">IF($U1239&gt;=STRUCT_L,MIN(INDEX($H$989:$H1239,252-STRUCT_L):$H1239),"")</f>
        <v>4240</v>
      </c>
      <c r="AM1239" s="46" t="n">
        <f aca="false">IF($A1239&lt;&gt;$A1240,1,0)</f>
        <v>0</v>
      </c>
      <c r="AN1239" s="47" t="str">
        <f aca="false">IF($AM1239=1,$A1239,"")</f>
        <v/>
      </c>
    </row>
    <row r="1240" customFormat="false" ht="15" hidden="false" customHeight="false" outlineLevel="0" collapsed="false">
      <c r="A1240" s="43" t="s">
        <v>152</v>
      </c>
      <c r="B1240" s="44" t="s">
        <v>154</v>
      </c>
      <c r="C1240" s="45" t="n">
        <v>46179</v>
      </c>
      <c r="D1240" s="46" t="n">
        <v>20260606</v>
      </c>
      <c r="E1240" s="47" t="s">
        <v>483</v>
      </c>
      <c r="F1240" s="48" t="n">
        <v>4933</v>
      </c>
      <c r="G1240" s="48" t="n">
        <v>4941</v>
      </c>
      <c r="H1240" s="48" t="n">
        <v>4885</v>
      </c>
      <c r="I1240" s="48" t="n">
        <v>4926</v>
      </c>
      <c r="J1240" s="48" t="n">
        <v>4934</v>
      </c>
      <c r="K1240" s="48" t="n">
        <v>4900</v>
      </c>
      <c r="L1240" s="48" t="n">
        <v>80131048</v>
      </c>
      <c r="M1240" s="48" t="n">
        <v>394725542448</v>
      </c>
      <c r="N1240" s="48" t="n">
        <v>8466</v>
      </c>
      <c r="O1240" s="48" t="n">
        <v>40528482</v>
      </c>
      <c r="P1240" s="48" t="n">
        <v>36553854</v>
      </c>
      <c r="Q1240" s="48" t="n">
        <v>5087</v>
      </c>
      <c r="R1240" s="48" t="n">
        <v>2364</v>
      </c>
      <c r="S1240" s="48" t="n">
        <v>39602566</v>
      </c>
      <c r="T1240" s="48" t="n">
        <v>43577194</v>
      </c>
      <c r="U1240" s="46" t="n">
        <f aca="false">IF($A1240=$A1239,$U1239+1,1)</f>
        <v>196</v>
      </c>
      <c r="V1240" s="48" t="n">
        <f aca="false">IF($U1240&gt;=MA_SHORT,AVERAGE(INDEX($I$840:$I1240,402-MA_SHORT):$I1240),"")</f>
        <v>4867.9</v>
      </c>
      <c r="W1240" s="48" t="n">
        <f aca="false">IF($U1240&gt;=MA_MED,AVERAGE(INDEX($I$840:$I1240,402-MA_MED):$I1240),"")</f>
        <v>4748.02</v>
      </c>
      <c r="X1240" s="48" t="n">
        <f aca="false">IF($U1240&gt;=MA_LONG1,AVERAGE(INDEX($I$840:$I1240,402-MA_LONG1):$I1240),"")</f>
        <v>5102.31</v>
      </c>
      <c r="Y1240" s="48" t="str">
        <f aca="false">IF($U1240&gt;=MA_LONG2,AVERAGE(INDEX($I$840:$I1240,402-MA_LONG2):$I1240),"")</f>
        <v/>
      </c>
      <c r="Z1240" s="48" t="n">
        <f aca="false">IF($U1240&gt;=MA_SHORT,AVERAGE(INDEX($L$1120:$L1240,122-MA_SHORT):$L1240),"")</f>
        <v>88002621.5</v>
      </c>
      <c r="AA1240" s="48" t="n">
        <f aca="false">IF($U1240=1,$G1240-$H1240,MAX($G1240-$H1240,ABS($G1240-$I1239),ABS($H1240-$I1239)))</f>
        <v>56</v>
      </c>
      <c r="AB1240" s="48" t="n">
        <f aca="false">IF($U1240&gt;=ATR_PER,AVERAGE(INDEX($AA$1120:$AA1240,122-ATR_PER):$AA1240),"")</f>
        <v>181.857142857143</v>
      </c>
      <c r="AC1240" s="48" t="n">
        <f aca="false">$O1240-$P1240</f>
        <v>3974628</v>
      </c>
      <c r="AD1240" s="48" t="n">
        <f aca="false">$AC1240*$I1240</f>
        <v>19579017528</v>
      </c>
      <c r="AE1240" s="49" t="n">
        <f aca="false">IF($Q1240&gt;0,$O1240*$I1240/$Q1240/1000000,"")</f>
        <v>39.2457838277963</v>
      </c>
      <c r="AF1240" s="49" t="n">
        <f aca="false">IF($R1240&gt;0,$P1240*$I1240/$R1240/1000000,"")</f>
        <v>76.169325213198</v>
      </c>
      <c r="AG1240" s="50" t="n">
        <f aca="false">IF(AND(ISNUMBER($AE1240),ISNUMBER($AF1240),$AF1240&gt;0),$AE1240/$AF1240,"")</f>
        <v>0.515243947848394</v>
      </c>
      <c r="AH1240" s="48" t="n">
        <f aca="false">IF($U1240&gt;=5,SUM(INDEX($AD$1210:$AD1240,32-5):$AD1240),"")</f>
        <v>-142784148070</v>
      </c>
      <c r="AI1240" s="48" t="n">
        <f aca="false">IF($U1240&gt;=STRUCT_S,MAX(INDEX($G$1090:$G1240,152-STRUCT_S):$G1240),"")</f>
        <v>5097</v>
      </c>
      <c r="AJ1240" s="48" t="n">
        <f aca="false">IF($U1240&gt;=STRUCT_S,MIN(INDEX($H$1090:$H1240,152-STRUCT_S):$H1240),"")</f>
        <v>4555</v>
      </c>
      <c r="AK1240" s="48" t="n">
        <f aca="false">IF($U1240&gt;=STRUCT_L,MAX(INDEX($G$990:$G1240,252-STRUCT_L):$G1240),"")</f>
        <v>5275</v>
      </c>
      <c r="AL1240" s="48" t="n">
        <f aca="false">IF($U1240&gt;=STRUCT_L,MIN(INDEX($H$990:$H1240,252-STRUCT_L):$H1240),"")</f>
        <v>4240</v>
      </c>
      <c r="AM1240" s="46" t="n">
        <f aca="false">IF($A1240&lt;&gt;$A1241,1,0)</f>
        <v>0</v>
      </c>
      <c r="AN1240" s="47" t="str">
        <f aca="false">IF($AM1240=1,$A1240,"")</f>
        <v/>
      </c>
    </row>
    <row r="1241" customFormat="false" ht="15" hidden="false" customHeight="false" outlineLevel="0" collapsed="false">
      <c r="A1241" s="43" t="s">
        <v>152</v>
      </c>
      <c r="B1241" s="44" t="s">
        <v>154</v>
      </c>
      <c r="C1241" s="45" t="n">
        <v>46180</v>
      </c>
      <c r="D1241" s="46" t="n">
        <v>20260607</v>
      </c>
      <c r="E1241" s="47" t="s">
        <v>484</v>
      </c>
      <c r="F1241" s="48" t="n">
        <v>4899</v>
      </c>
      <c r="G1241" s="48" t="n">
        <v>4953</v>
      </c>
      <c r="H1241" s="48" t="n">
        <v>4872</v>
      </c>
      <c r="I1241" s="48" t="n">
        <v>4899</v>
      </c>
      <c r="J1241" s="48" t="n">
        <v>4886</v>
      </c>
      <c r="K1241" s="48" t="n">
        <v>4926</v>
      </c>
      <c r="L1241" s="48" t="n">
        <v>80212589</v>
      </c>
      <c r="M1241" s="48" t="n">
        <v>392961473511</v>
      </c>
      <c r="N1241" s="48" t="n">
        <v>7334</v>
      </c>
      <c r="O1241" s="48" t="n">
        <v>37543107</v>
      </c>
      <c r="P1241" s="48" t="n">
        <v>38794754</v>
      </c>
      <c r="Q1241" s="48" t="n">
        <v>2250</v>
      </c>
      <c r="R1241" s="48" t="n">
        <v>3422</v>
      </c>
      <c r="S1241" s="48" t="n">
        <v>42669482</v>
      </c>
      <c r="T1241" s="48" t="n">
        <v>41417835</v>
      </c>
      <c r="U1241" s="46" t="n">
        <f aca="false">IF($A1241=$A1240,$U1240+1,1)</f>
        <v>197</v>
      </c>
      <c r="V1241" s="48" t="n">
        <f aca="false">IF($U1241&gt;=MA_SHORT,AVERAGE(INDEX($I$841:$I1241,402-MA_SHORT):$I1241),"")</f>
        <v>4875.55</v>
      </c>
      <c r="W1241" s="48" t="n">
        <f aca="false">IF($U1241&gt;=MA_MED,AVERAGE(INDEX($I$841:$I1241,402-MA_MED):$I1241),"")</f>
        <v>4748.9</v>
      </c>
      <c r="X1241" s="48" t="n">
        <f aca="false">IF($U1241&gt;=MA_LONG1,AVERAGE(INDEX($I$841:$I1241,402-MA_LONG1):$I1241),"")</f>
        <v>5093.34</v>
      </c>
      <c r="Y1241" s="48" t="str">
        <f aca="false">IF($U1241&gt;=MA_LONG2,AVERAGE(INDEX($I$841:$I1241,402-MA_LONG2):$I1241),"")</f>
        <v/>
      </c>
      <c r="Z1241" s="48" t="n">
        <f aca="false">IF($U1241&gt;=MA_SHORT,AVERAGE(INDEX($L$1121:$L1241,122-MA_SHORT):$L1241),"")</f>
        <v>87713876.8</v>
      </c>
      <c r="AA1241" s="48" t="n">
        <f aca="false">IF($U1241=1,$G1241-$H1241,MAX($G1241-$H1241,ABS($G1241-$I1240),ABS($H1241-$I1240)))</f>
        <v>81</v>
      </c>
      <c r="AB1241" s="48" t="n">
        <f aca="false">IF($U1241&gt;=ATR_PER,AVERAGE(INDEX($AA$1121:$AA1241,122-ATR_PER):$AA1241),"")</f>
        <v>171.857142857143</v>
      </c>
      <c r="AC1241" s="48" t="n">
        <f aca="false">$O1241-$P1241</f>
        <v>-1251647</v>
      </c>
      <c r="AD1241" s="48" t="n">
        <f aca="false">$AC1241*$I1241</f>
        <v>-6131818653</v>
      </c>
      <c r="AE1241" s="49" t="n">
        <f aca="false">IF($Q1241&gt;0,$O1241*$I1241/$Q1241/1000000,"")</f>
        <v>81.743858308</v>
      </c>
      <c r="AF1241" s="49" t="n">
        <f aca="false">IF($R1241&gt;0,$P1241*$I1241/$R1241/1000000,"")</f>
        <v>55.5393044552893</v>
      </c>
      <c r="AG1241" s="50" t="n">
        <f aca="false">IF(AND(ISNUMBER($AE1241),ISNUMBER($AF1241),$AF1241&gt;0),$AE1241/$AF1241,"")</f>
        <v>1.47181998603901</v>
      </c>
      <c r="AH1241" s="48" t="n">
        <f aca="false">IF($U1241&gt;=5,SUM(INDEX($AD$1211:$AD1241,32-5):$AD1241),"")</f>
        <v>-66726998573</v>
      </c>
      <c r="AI1241" s="48" t="n">
        <f aca="false">IF($U1241&gt;=STRUCT_S,MAX(INDEX($G$1091:$G1241,152-STRUCT_S):$G1241),"")</f>
        <v>5097</v>
      </c>
      <c r="AJ1241" s="48" t="n">
        <f aca="false">IF($U1241&gt;=STRUCT_S,MIN(INDEX($H$1091:$H1241,152-STRUCT_S):$H1241),"")</f>
        <v>4555</v>
      </c>
      <c r="AK1241" s="48" t="n">
        <f aca="false">IF($U1241&gt;=STRUCT_L,MAX(INDEX($G$991:$G1241,252-STRUCT_L):$G1241),"")</f>
        <v>5145</v>
      </c>
      <c r="AL1241" s="48" t="n">
        <f aca="false">IF($U1241&gt;=STRUCT_L,MIN(INDEX($H$991:$H1241,252-STRUCT_L):$H1241),"")</f>
        <v>4240</v>
      </c>
      <c r="AM1241" s="46" t="n">
        <f aca="false">IF($A1241&lt;&gt;$A1242,1,0)</f>
        <v>0</v>
      </c>
      <c r="AN1241" s="47" t="str">
        <f aca="false">IF($AM1241=1,$A1241,"")</f>
        <v/>
      </c>
    </row>
    <row r="1242" customFormat="false" ht="15" hidden="false" customHeight="false" outlineLevel="0" collapsed="false">
      <c r="A1242" s="43" t="s">
        <v>152</v>
      </c>
      <c r="B1242" s="44" t="s">
        <v>154</v>
      </c>
      <c r="C1242" s="45" t="n">
        <v>46181</v>
      </c>
      <c r="D1242" s="46" t="n">
        <v>20260608</v>
      </c>
      <c r="E1242" s="47" t="s">
        <v>485</v>
      </c>
      <c r="F1242" s="48" t="n">
        <v>4874</v>
      </c>
      <c r="G1242" s="48" t="n">
        <v>4981</v>
      </c>
      <c r="H1242" s="48" t="n">
        <v>4749</v>
      </c>
      <c r="I1242" s="48" t="n">
        <v>4830</v>
      </c>
      <c r="J1242" s="48" t="n">
        <v>4926</v>
      </c>
      <c r="K1242" s="48" t="n">
        <v>4899</v>
      </c>
      <c r="L1242" s="48" t="n">
        <v>84221353</v>
      </c>
      <c r="M1242" s="48" t="n">
        <v>406789134990</v>
      </c>
      <c r="N1242" s="48" t="n">
        <v>3427</v>
      </c>
      <c r="O1242" s="48" t="n">
        <v>32521143</v>
      </c>
      <c r="P1242" s="48" t="n">
        <v>51019546</v>
      </c>
      <c r="Q1242" s="48" t="n">
        <v>1104</v>
      </c>
      <c r="R1242" s="48" t="n">
        <v>2164</v>
      </c>
      <c r="S1242" s="48" t="n">
        <v>51700210</v>
      </c>
      <c r="T1242" s="48" t="n">
        <v>33201807</v>
      </c>
      <c r="U1242" s="46" t="n">
        <f aca="false">IF($A1242=$A1241,$U1241+1,1)</f>
        <v>198</v>
      </c>
      <c r="V1242" s="48" t="n">
        <f aca="false">IF($U1242&gt;=MA_SHORT,AVERAGE(INDEX($I$842:$I1242,402-MA_SHORT):$I1242),"")</f>
        <v>4874.25</v>
      </c>
      <c r="W1242" s="48" t="n">
        <f aca="false">IF($U1242&gt;=MA_MED,AVERAGE(INDEX($I$842:$I1242,402-MA_MED):$I1242),"")</f>
        <v>4746.84</v>
      </c>
      <c r="X1242" s="48" t="n">
        <f aca="false">IF($U1242&gt;=MA_LONG1,AVERAGE(INDEX($I$842:$I1242,402-MA_LONG1):$I1242),"")</f>
        <v>5083.63</v>
      </c>
      <c r="Y1242" s="48" t="str">
        <f aca="false">IF($U1242&gt;=MA_LONG2,AVERAGE(INDEX($I$842:$I1242,402-MA_LONG2):$I1242),"")</f>
        <v/>
      </c>
      <c r="Z1242" s="48" t="n">
        <f aca="false">IF($U1242&gt;=MA_SHORT,AVERAGE(INDEX($L$1122:$L1242,122-MA_SHORT):$L1242),"")</f>
        <v>87502033.95</v>
      </c>
      <c r="AA1242" s="48" t="n">
        <f aca="false">IF($U1242=1,$G1242-$H1242,MAX($G1242-$H1242,ABS($G1242-$I1241),ABS($H1242-$I1241)))</f>
        <v>232</v>
      </c>
      <c r="AB1242" s="48" t="n">
        <f aca="false">IF($U1242&gt;=ATR_PER,AVERAGE(INDEX($AA$1122:$AA1242,122-ATR_PER):$AA1242),"")</f>
        <v>174.571428571429</v>
      </c>
      <c r="AC1242" s="48" t="n">
        <f aca="false">$O1242-$P1242</f>
        <v>-18498403</v>
      </c>
      <c r="AD1242" s="48" t="n">
        <f aca="false">$AC1242*$I1242</f>
        <v>-89347286490</v>
      </c>
      <c r="AE1242" s="49" t="n">
        <f aca="false">IF($Q1242&gt;0,$O1242*$I1242/$Q1242/1000000,"")</f>
        <v>142.280000625</v>
      </c>
      <c r="AF1242" s="49" t="n">
        <f aca="false">IF($R1242&gt;0,$P1242*$I1242/$R1242/1000000,"")</f>
        <v>113.874495</v>
      </c>
      <c r="AG1242" s="50" t="n">
        <f aca="false">IF(AND(ISNUMBER($AE1242),ISNUMBER($AF1242),$AF1242&gt;0),$AE1242/$AF1242,"")</f>
        <v>1.24944572202055</v>
      </c>
      <c r="AH1242" s="48" t="n">
        <f aca="false">IF($U1242&gt;=5,SUM(INDEX($AD$1212:$AD1242,32-5):$AD1242),"")</f>
        <v>-76386126800</v>
      </c>
      <c r="AI1242" s="48" t="n">
        <f aca="false">IF($U1242&gt;=STRUCT_S,MAX(INDEX($G$1092:$G1242,152-STRUCT_S):$G1242),"")</f>
        <v>5097</v>
      </c>
      <c r="AJ1242" s="48" t="n">
        <f aca="false">IF($U1242&gt;=STRUCT_S,MIN(INDEX($H$1092:$H1242,152-STRUCT_S):$H1242),"")</f>
        <v>4555</v>
      </c>
      <c r="AK1242" s="48" t="n">
        <f aca="false">IF($U1242&gt;=STRUCT_L,MAX(INDEX($G$992:$G1242,252-STRUCT_L):$G1242),"")</f>
        <v>5097</v>
      </c>
      <c r="AL1242" s="48" t="n">
        <f aca="false">IF($U1242&gt;=STRUCT_L,MIN(INDEX($H$992:$H1242,252-STRUCT_L):$H1242),"")</f>
        <v>4240</v>
      </c>
      <c r="AM1242" s="46" t="n">
        <f aca="false">IF($A1242&lt;&gt;$A1243,1,0)</f>
        <v>0</v>
      </c>
      <c r="AN1242" s="47" t="str">
        <f aca="false">IF($AM1242=1,$A1242,"")</f>
        <v/>
      </c>
    </row>
    <row r="1243" customFormat="false" ht="15" hidden="false" customHeight="false" outlineLevel="0" collapsed="false">
      <c r="A1243" s="43" t="s">
        <v>152</v>
      </c>
      <c r="B1243" s="44" t="s">
        <v>154</v>
      </c>
      <c r="C1243" s="45" t="n">
        <v>46182</v>
      </c>
      <c r="D1243" s="46" t="n">
        <v>20260609</v>
      </c>
      <c r="E1243" s="47" t="s">
        <v>486</v>
      </c>
      <c r="F1243" s="48" t="n">
        <v>4798</v>
      </c>
      <c r="G1243" s="48" t="n">
        <v>4942</v>
      </c>
      <c r="H1243" s="48" t="n">
        <v>4661</v>
      </c>
      <c r="I1243" s="48" t="n">
        <v>4772</v>
      </c>
      <c r="J1243" s="48" t="n">
        <v>4809</v>
      </c>
      <c r="K1243" s="48" t="n">
        <v>4830</v>
      </c>
      <c r="L1243" s="48" t="n">
        <v>83253932</v>
      </c>
      <c r="M1243" s="48" t="n">
        <v>397287763504</v>
      </c>
      <c r="N1243" s="48" t="n">
        <v>3248</v>
      </c>
      <c r="O1243" s="48" t="n">
        <v>32003628</v>
      </c>
      <c r="P1243" s="48" t="n">
        <v>58554816</v>
      </c>
      <c r="Q1243" s="48" t="n">
        <v>1089</v>
      </c>
      <c r="R1243" s="48" t="n">
        <v>1594</v>
      </c>
      <c r="S1243" s="48" t="n">
        <v>51250304</v>
      </c>
      <c r="T1243" s="48" t="n">
        <v>24699116</v>
      </c>
      <c r="U1243" s="46" t="n">
        <f aca="false">IF($A1243=$A1242,$U1242+1,1)</f>
        <v>199</v>
      </c>
      <c r="V1243" s="48" t="n">
        <f aca="false">IF($U1243&gt;=MA_SHORT,AVERAGE(INDEX($I$843:$I1243,402-MA_SHORT):$I1243),"")</f>
        <v>4870.85</v>
      </c>
      <c r="W1243" s="48" t="n">
        <f aca="false">IF($U1243&gt;=MA_MED,AVERAGE(INDEX($I$843:$I1243,402-MA_MED):$I1243),"")</f>
        <v>4741.34</v>
      </c>
      <c r="X1243" s="48" t="n">
        <f aca="false">IF($U1243&gt;=MA_LONG1,AVERAGE(INDEX($I$843:$I1243,402-MA_LONG1):$I1243),"")</f>
        <v>5072.96</v>
      </c>
      <c r="Y1243" s="48" t="str">
        <f aca="false">IF($U1243&gt;=MA_LONG2,AVERAGE(INDEX($I$843:$I1243,402-MA_LONG2):$I1243),"")</f>
        <v/>
      </c>
      <c r="Z1243" s="48" t="n">
        <f aca="false">IF($U1243&gt;=MA_SHORT,AVERAGE(INDEX($L$1123:$L1243,122-MA_SHORT):$L1243),"")</f>
        <v>87705034.95</v>
      </c>
      <c r="AA1243" s="48" t="n">
        <f aca="false">IF($U1243=1,$G1243-$H1243,MAX($G1243-$H1243,ABS($G1243-$I1242),ABS($H1243-$I1242)))</f>
        <v>281</v>
      </c>
      <c r="AB1243" s="48" t="n">
        <f aca="false">IF($U1243&gt;=ATR_PER,AVERAGE(INDEX($AA$1123:$AA1243,122-ATR_PER):$AA1243),"")</f>
        <v>187.785714285714</v>
      </c>
      <c r="AC1243" s="48" t="n">
        <f aca="false">$O1243-$P1243</f>
        <v>-26551188</v>
      </c>
      <c r="AD1243" s="48" t="n">
        <f aca="false">$AC1243*$I1243</f>
        <v>-126702269136</v>
      </c>
      <c r="AE1243" s="49" t="n">
        <f aca="false">IF($Q1243&gt;0,$O1243*$I1243/$Q1243/1000000,"")</f>
        <v>140.239956672176</v>
      </c>
      <c r="AF1243" s="49" t="n">
        <f aca="false">IF($R1243&gt;0,$P1243*$I1243/$R1243/1000000,"")</f>
        <v>175.297102855709</v>
      </c>
      <c r="AG1243" s="50" t="n">
        <f aca="false">IF(AND(ISNUMBER($AE1243),ISNUMBER($AF1243),$AF1243&gt;0),$AE1243/$AF1243,"")</f>
        <v>0.800012974473463</v>
      </c>
      <c r="AH1243" s="48" t="n">
        <f aca="false">IF($U1243&gt;=5,SUM(INDEX($AD$1213:$AD1243,32-5):$AD1243),"")</f>
        <v>-161216746051</v>
      </c>
      <c r="AI1243" s="48" t="n">
        <f aca="false">IF($U1243&gt;=STRUCT_S,MAX(INDEX($G$1093:$G1243,152-STRUCT_S):$G1243),"")</f>
        <v>5097</v>
      </c>
      <c r="AJ1243" s="48" t="n">
        <f aca="false">IF($U1243&gt;=STRUCT_S,MIN(INDEX($H$1093:$H1243,152-STRUCT_S):$H1243),"")</f>
        <v>4555</v>
      </c>
      <c r="AK1243" s="48" t="n">
        <f aca="false">IF($U1243&gt;=STRUCT_L,MAX(INDEX($G$993:$G1243,252-STRUCT_L):$G1243),"")</f>
        <v>5097</v>
      </c>
      <c r="AL1243" s="48" t="n">
        <f aca="false">IF($U1243&gt;=STRUCT_L,MIN(INDEX($H$993:$H1243,252-STRUCT_L):$H1243),"")</f>
        <v>4240</v>
      </c>
      <c r="AM1243" s="46" t="n">
        <f aca="false">IF($A1243&lt;&gt;$A1244,1,0)</f>
        <v>0</v>
      </c>
      <c r="AN1243" s="47" t="str">
        <f aca="false">IF($AM1243=1,$A1243,"")</f>
        <v/>
      </c>
    </row>
    <row r="1244" customFormat="false" ht="15" hidden="false" customHeight="false" outlineLevel="0" collapsed="false">
      <c r="A1244" s="43" t="s">
        <v>152</v>
      </c>
      <c r="B1244" s="44" t="s">
        <v>154</v>
      </c>
      <c r="C1244" s="45" t="n">
        <v>46183</v>
      </c>
      <c r="D1244" s="46" t="n">
        <v>20260610</v>
      </c>
      <c r="E1244" s="47" t="s">
        <v>487</v>
      </c>
      <c r="F1244" s="48" t="n">
        <v>4808</v>
      </c>
      <c r="G1244" s="48" t="n">
        <v>4833</v>
      </c>
      <c r="H1244" s="48" t="n">
        <v>4598</v>
      </c>
      <c r="I1244" s="48" t="n">
        <v>4657</v>
      </c>
      <c r="J1244" s="48" t="n">
        <v>4697</v>
      </c>
      <c r="K1244" s="48" t="n">
        <v>4772</v>
      </c>
      <c r="L1244" s="48" t="n">
        <v>106259957</v>
      </c>
      <c r="M1244" s="48" t="n">
        <v>494852619749</v>
      </c>
      <c r="N1244" s="48" t="n">
        <v>5451</v>
      </c>
      <c r="O1244" s="48" t="n">
        <v>31658415</v>
      </c>
      <c r="P1244" s="48" t="n">
        <v>74755266</v>
      </c>
      <c r="Q1244" s="48" t="n">
        <v>1507</v>
      </c>
      <c r="R1244" s="48" t="n">
        <v>2440</v>
      </c>
      <c r="S1244" s="48" t="n">
        <v>74601542</v>
      </c>
      <c r="T1244" s="48" t="n">
        <v>31504691</v>
      </c>
      <c r="U1244" s="46" t="n">
        <f aca="false">IF($A1244=$A1243,$U1243+1,1)</f>
        <v>200</v>
      </c>
      <c r="V1244" s="48" t="n">
        <f aca="false">IF($U1244&gt;=MA_SHORT,AVERAGE(INDEX($I$844:$I1244,402-MA_SHORT):$I1244),"")</f>
        <v>4858.2</v>
      </c>
      <c r="W1244" s="48" t="n">
        <f aca="false">IF($U1244&gt;=MA_MED,AVERAGE(INDEX($I$844:$I1244,402-MA_MED):$I1244),"")</f>
        <v>4733.94</v>
      </c>
      <c r="X1244" s="48" t="n">
        <f aca="false">IF($U1244&gt;=MA_LONG1,AVERAGE(INDEX($I$844:$I1244,402-MA_LONG1):$I1244),"")</f>
        <v>5062.4</v>
      </c>
      <c r="Y1244" s="48" t="n">
        <f aca="false">IF($U1244&gt;=MA_LONG2,AVERAGE(INDEX($I$844:$I1244,402-MA_LONG2):$I1244),"")</f>
        <v>5146.755</v>
      </c>
      <c r="Z1244" s="48" t="n">
        <f aca="false">IF($U1244&gt;=MA_SHORT,AVERAGE(INDEX($L$1124:$L1244,122-MA_SHORT):$L1244),"")</f>
        <v>88798151.6</v>
      </c>
      <c r="AA1244" s="48" t="n">
        <f aca="false">IF($U1244=1,$G1244-$H1244,MAX($G1244-$H1244,ABS($G1244-$I1243),ABS($H1244-$I1243)))</f>
        <v>235</v>
      </c>
      <c r="AB1244" s="48" t="n">
        <f aca="false">IF($U1244&gt;=ATR_PER,AVERAGE(INDEX($AA$1124:$AA1244,122-ATR_PER):$AA1244),"")</f>
        <v>187.571428571429</v>
      </c>
      <c r="AC1244" s="48" t="n">
        <f aca="false">$O1244-$P1244</f>
        <v>-43096851</v>
      </c>
      <c r="AD1244" s="48" t="n">
        <f aca="false">$AC1244*$I1244</f>
        <v>-200702035107</v>
      </c>
      <c r="AE1244" s="49" t="n">
        <f aca="false">IF($Q1244&gt;0,$O1244*$I1244/$Q1244/1000000,"")</f>
        <v>97.8322751526211</v>
      </c>
      <c r="AF1244" s="49" t="n">
        <f aca="false">IF($R1244&gt;0,$P1244*$I1244/$R1244/1000000,"")</f>
        <v>142.678390886066</v>
      </c>
      <c r="AG1244" s="50" t="n">
        <f aca="false">IF(AND(ISNUMBER($AE1244),ISNUMBER($AF1244),$AF1244&gt;0),$AE1244/$AF1244,"")</f>
        <v>0.685683897505854</v>
      </c>
      <c r="AH1244" s="48" t="n">
        <f aca="false">IF($U1244&gt;=5,SUM(INDEX($AD$1214:$AD1244,32-5):$AD1244),"")</f>
        <v>-403304391858</v>
      </c>
      <c r="AI1244" s="48" t="n">
        <f aca="false">IF($U1244&gt;=STRUCT_S,MAX(INDEX($G$1094:$G1244,152-STRUCT_S):$G1244),"")</f>
        <v>5097</v>
      </c>
      <c r="AJ1244" s="48" t="n">
        <f aca="false">IF($U1244&gt;=STRUCT_S,MIN(INDEX($H$1094:$H1244,152-STRUCT_S):$H1244),"")</f>
        <v>4555</v>
      </c>
      <c r="AK1244" s="48" t="n">
        <f aca="false">IF($U1244&gt;=STRUCT_L,MAX(INDEX($G$994:$G1244,252-STRUCT_L):$G1244),"")</f>
        <v>5097</v>
      </c>
      <c r="AL1244" s="48" t="n">
        <f aca="false">IF($U1244&gt;=STRUCT_L,MIN(INDEX($H$994:$H1244,252-STRUCT_L):$H1244),"")</f>
        <v>4240</v>
      </c>
      <c r="AM1244" s="46" t="n">
        <f aca="false">IF($A1244&lt;&gt;$A1245,1,0)</f>
        <v>0</v>
      </c>
      <c r="AN1244" s="47" t="str">
        <f aca="false">IF($AM1244=1,$A1244,"")</f>
        <v/>
      </c>
    </row>
    <row r="1245" customFormat="false" ht="15" hidden="false" customHeight="false" outlineLevel="0" collapsed="false">
      <c r="A1245" s="43" t="s">
        <v>152</v>
      </c>
      <c r="B1245" s="44" t="s">
        <v>154</v>
      </c>
      <c r="C1245" s="45" t="n">
        <v>46186</v>
      </c>
      <c r="D1245" s="46" t="n">
        <v>20260613</v>
      </c>
      <c r="E1245" s="47" t="s">
        <v>488</v>
      </c>
      <c r="F1245" s="48" t="n">
        <v>4747</v>
      </c>
      <c r="G1245" s="48" t="n">
        <v>4827</v>
      </c>
      <c r="H1245" s="48" t="n">
        <v>4600</v>
      </c>
      <c r="I1245" s="48" t="n">
        <v>4769</v>
      </c>
      <c r="J1245" s="48" t="n">
        <v>4654</v>
      </c>
      <c r="K1245" s="48" t="n">
        <v>4657</v>
      </c>
      <c r="L1245" s="48" t="n">
        <v>109130592</v>
      </c>
      <c r="M1245" s="48" t="n">
        <v>520443793248</v>
      </c>
      <c r="N1245" s="48" t="n">
        <v>8456</v>
      </c>
      <c r="O1245" s="48" t="n">
        <v>61909871</v>
      </c>
      <c r="P1245" s="48" t="n">
        <v>47476782</v>
      </c>
      <c r="Q1245" s="48" t="n">
        <v>5132</v>
      </c>
      <c r="R1245" s="48" t="n">
        <v>2569</v>
      </c>
      <c r="S1245" s="48" t="n">
        <v>47220721</v>
      </c>
      <c r="T1245" s="48" t="n">
        <v>61653810</v>
      </c>
      <c r="U1245" s="46" t="n">
        <f aca="false">IF($A1245=$A1244,$U1244+1,1)</f>
        <v>201</v>
      </c>
      <c r="V1245" s="48" t="n">
        <f aca="false">IF($U1245&gt;=MA_SHORT,AVERAGE(INDEX($I$845:$I1245,402-MA_SHORT):$I1245),"")</f>
        <v>4849.55</v>
      </c>
      <c r="W1245" s="48" t="n">
        <f aca="false">IF($U1245&gt;=MA_MED,AVERAGE(INDEX($I$845:$I1245,402-MA_MED):$I1245),"")</f>
        <v>4730.7</v>
      </c>
      <c r="X1245" s="48" t="n">
        <f aca="false">IF($U1245&gt;=MA_LONG1,AVERAGE(INDEX($I$845:$I1245,402-MA_LONG1):$I1245),"")</f>
        <v>5052.32</v>
      </c>
      <c r="Y1245" s="48" t="n">
        <f aca="false">IF($U1245&gt;=MA_LONG2,AVERAGE(INDEX($I$845:$I1245,402-MA_LONG2):$I1245),"")</f>
        <v>5145.68</v>
      </c>
      <c r="Z1245" s="48" t="n">
        <f aca="false">IF($U1245&gt;=MA_SHORT,AVERAGE(INDEX($L$1125:$L1245,122-MA_SHORT):$L1245),"")</f>
        <v>90161173.35</v>
      </c>
      <c r="AA1245" s="48" t="n">
        <f aca="false">IF($U1245=1,$G1245-$H1245,MAX($G1245-$H1245,ABS($G1245-$I1244),ABS($H1245-$I1244)))</f>
        <v>227</v>
      </c>
      <c r="AB1245" s="48" t="n">
        <f aca="false">IF($U1245&gt;=ATR_PER,AVERAGE(INDEX($AA$1125:$AA1245,122-ATR_PER):$AA1245),"")</f>
        <v>189.5</v>
      </c>
      <c r="AC1245" s="48" t="n">
        <f aca="false">$O1245-$P1245</f>
        <v>14433089</v>
      </c>
      <c r="AD1245" s="48" t="n">
        <f aca="false">$AC1245*$I1245</f>
        <v>68831401441</v>
      </c>
      <c r="AE1245" s="49" t="n">
        <f aca="false">IF($Q1245&gt;0,$O1245*$I1245/$Q1245/1000000,"")</f>
        <v>57.5308212780592</v>
      </c>
      <c r="AF1245" s="49" t="n">
        <f aca="false">IF($R1245&gt;0,$P1245*$I1245/$R1245/1000000,"")</f>
        <v>88.1342052775399</v>
      </c>
      <c r="AG1245" s="50" t="n">
        <f aca="false">IF(AND(ISNUMBER($AE1245),ISNUMBER($AF1245),$AF1245&gt;0),$AE1245/$AF1245,"")</f>
        <v>0.652763828718841</v>
      </c>
      <c r="AH1245" s="48" t="n">
        <f aca="false">IF($U1245&gt;=5,SUM(INDEX($AD$1215:$AD1245,32-5):$AD1245),"")</f>
        <v>-354052007945</v>
      </c>
      <c r="AI1245" s="48" t="n">
        <f aca="false">IF($U1245&gt;=STRUCT_S,MAX(INDEX($G$1095:$G1245,152-STRUCT_S):$G1245),"")</f>
        <v>5097</v>
      </c>
      <c r="AJ1245" s="48" t="n">
        <f aca="false">IF($U1245&gt;=STRUCT_S,MIN(INDEX($H$1095:$H1245,152-STRUCT_S):$H1245),"")</f>
        <v>4555</v>
      </c>
      <c r="AK1245" s="48" t="n">
        <f aca="false">IF($U1245&gt;=STRUCT_L,MAX(INDEX($G$995:$G1245,252-STRUCT_L):$G1245),"")</f>
        <v>5097</v>
      </c>
      <c r="AL1245" s="48" t="n">
        <f aca="false">IF($U1245&gt;=STRUCT_L,MIN(INDEX($H$995:$H1245,252-STRUCT_L):$H1245),"")</f>
        <v>4240</v>
      </c>
      <c r="AM1245" s="46" t="n">
        <f aca="false">IF($A1245&lt;&gt;$A1246,1,0)</f>
        <v>0</v>
      </c>
      <c r="AN1245" s="47" t="str">
        <f aca="false">IF($AM1245=1,$A1245,"")</f>
        <v/>
      </c>
    </row>
    <row r="1246" customFormat="false" ht="15" hidden="false" customHeight="false" outlineLevel="0" collapsed="false">
      <c r="A1246" s="43" t="s">
        <v>152</v>
      </c>
      <c r="B1246" s="44" t="s">
        <v>154</v>
      </c>
      <c r="C1246" s="45" t="n">
        <v>46187</v>
      </c>
      <c r="D1246" s="46" t="n">
        <v>20260614</v>
      </c>
      <c r="E1246" s="47" t="s">
        <v>489</v>
      </c>
      <c r="F1246" s="48" t="n">
        <v>4824</v>
      </c>
      <c r="G1246" s="48" t="n">
        <v>4875</v>
      </c>
      <c r="H1246" s="48" t="n">
        <v>4688</v>
      </c>
      <c r="I1246" s="48" t="n">
        <v>4793</v>
      </c>
      <c r="J1246" s="48" t="n">
        <v>4745</v>
      </c>
      <c r="K1246" s="48" t="n">
        <v>4769</v>
      </c>
      <c r="L1246" s="48" t="n">
        <v>103697204</v>
      </c>
      <c r="M1246" s="48" t="n">
        <v>497020698772</v>
      </c>
      <c r="N1246" s="48" t="n">
        <v>3102</v>
      </c>
      <c r="O1246" s="48" t="n">
        <v>41124238</v>
      </c>
      <c r="P1246" s="48" t="n">
        <v>59001279</v>
      </c>
      <c r="Q1246" s="48" t="n">
        <v>1353</v>
      </c>
      <c r="R1246" s="48" t="n">
        <v>943</v>
      </c>
      <c r="S1246" s="48" t="n">
        <v>62572966</v>
      </c>
      <c r="T1246" s="48" t="n">
        <v>44695925</v>
      </c>
      <c r="U1246" s="46" t="n">
        <f aca="false">IF($A1246=$A1245,$U1245+1,1)</f>
        <v>202</v>
      </c>
      <c r="V1246" s="48" t="n">
        <f aca="false">IF($U1246&gt;=MA_SHORT,AVERAGE(INDEX($I$846:$I1246,402-MA_SHORT):$I1246),"")</f>
        <v>4839.05</v>
      </c>
      <c r="W1246" s="48" t="n">
        <f aca="false">IF($U1246&gt;=MA_MED,AVERAGE(INDEX($I$846:$I1246,402-MA_MED):$I1246),"")</f>
        <v>4728.64</v>
      </c>
      <c r="X1246" s="48" t="n">
        <f aca="false">IF($U1246&gt;=MA_LONG1,AVERAGE(INDEX($I$846:$I1246,402-MA_LONG1):$I1246),"")</f>
        <v>5042.6</v>
      </c>
      <c r="Y1246" s="48" t="n">
        <f aca="false">IF($U1246&gt;=MA_LONG2,AVERAGE(INDEX($I$846:$I1246,402-MA_LONG2):$I1246),"")</f>
        <v>5145.535</v>
      </c>
      <c r="Z1246" s="48" t="n">
        <f aca="false">IF($U1246&gt;=MA_SHORT,AVERAGE(INDEX($L$1126:$L1246,122-MA_SHORT):$L1246),"")</f>
        <v>90573836.2</v>
      </c>
      <c r="AA1246" s="48" t="n">
        <f aca="false">IF($U1246=1,$G1246-$H1246,MAX($G1246-$H1246,ABS($G1246-$I1245),ABS($H1246-$I1245)))</f>
        <v>187</v>
      </c>
      <c r="AB1246" s="48" t="n">
        <f aca="false">IF($U1246&gt;=ATR_PER,AVERAGE(INDEX($AA$1126:$AA1246,122-ATR_PER):$AA1246),"")</f>
        <v>198.5</v>
      </c>
      <c r="AC1246" s="48" t="n">
        <f aca="false">$O1246-$P1246</f>
        <v>-17877041</v>
      </c>
      <c r="AD1246" s="48" t="n">
        <f aca="false">$AC1246*$I1246</f>
        <v>-85684657513</v>
      </c>
      <c r="AE1246" s="49" t="n">
        <f aca="false">IF($Q1246&gt;0,$O1246*$I1246/$Q1246/1000000,"")</f>
        <v>145.682537127864</v>
      </c>
      <c r="AF1246" s="49" t="n">
        <f aca="false">IF($R1246&gt;0,$P1246*$I1246/$R1246/1000000,"")</f>
        <v>299.886670463415</v>
      </c>
      <c r="AG1246" s="50" t="n">
        <f aca="false">IF(AND(ISNUMBER($AE1246),ISNUMBER($AF1246),$AF1246&gt;0),$AE1246/$AF1246,"")</f>
        <v>0.48579197235656</v>
      </c>
      <c r="AH1246" s="48" t="n">
        <f aca="false">IF($U1246&gt;=5,SUM(INDEX($AD$1216:$AD1246,32-5):$AD1246),"")</f>
        <v>-433604846805</v>
      </c>
      <c r="AI1246" s="48" t="n">
        <f aca="false">IF($U1246&gt;=STRUCT_S,MAX(INDEX($G$1096:$G1246,152-STRUCT_S):$G1246),"")</f>
        <v>5097</v>
      </c>
      <c r="AJ1246" s="48" t="n">
        <f aca="false">IF($U1246&gt;=STRUCT_S,MIN(INDEX($H$1096:$H1246,152-STRUCT_S):$H1246),"")</f>
        <v>4555</v>
      </c>
      <c r="AK1246" s="48" t="n">
        <f aca="false">IF($U1246&gt;=STRUCT_L,MAX(INDEX($G$996:$G1246,252-STRUCT_L):$G1246),"")</f>
        <v>5097</v>
      </c>
      <c r="AL1246" s="48" t="n">
        <f aca="false">IF($U1246&gt;=STRUCT_L,MIN(INDEX($H$996:$H1246,252-STRUCT_L):$H1246),"")</f>
        <v>4240</v>
      </c>
      <c r="AM1246" s="46" t="n">
        <f aca="false">IF($A1246&lt;&gt;$A1247,1,0)</f>
        <v>0</v>
      </c>
      <c r="AN1246" s="47" t="str">
        <f aca="false">IF($AM1246=1,$A1246,"")</f>
        <v/>
      </c>
    </row>
    <row r="1247" customFormat="false" ht="15" hidden="false" customHeight="false" outlineLevel="0" collapsed="false">
      <c r="A1247" s="43" t="s">
        <v>152</v>
      </c>
      <c r="B1247" s="44" t="s">
        <v>154</v>
      </c>
      <c r="C1247" s="45" t="n">
        <v>46188</v>
      </c>
      <c r="D1247" s="46" t="n">
        <v>20260615</v>
      </c>
      <c r="E1247" s="47" t="s">
        <v>490</v>
      </c>
      <c r="F1247" s="48" t="n">
        <v>4943</v>
      </c>
      <c r="G1247" s="48" t="n">
        <v>5017</v>
      </c>
      <c r="H1247" s="48" t="n">
        <v>4726</v>
      </c>
      <c r="I1247" s="48" t="n">
        <v>4948</v>
      </c>
      <c r="J1247" s="48" t="n">
        <v>4802</v>
      </c>
      <c r="K1247" s="48" t="n">
        <v>4793</v>
      </c>
      <c r="L1247" s="48" t="n">
        <v>120707944</v>
      </c>
      <c r="M1247" s="48" t="n">
        <v>597262906912</v>
      </c>
      <c r="N1247" s="48" t="n">
        <v>2760</v>
      </c>
      <c r="O1247" s="48" t="n">
        <v>64448917</v>
      </c>
      <c r="P1247" s="48" t="n">
        <v>54231948</v>
      </c>
      <c r="Q1247" s="48" t="n">
        <v>999</v>
      </c>
      <c r="R1247" s="48" t="n">
        <v>1023</v>
      </c>
      <c r="S1247" s="48" t="n">
        <v>56259027</v>
      </c>
      <c r="T1247" s="48" t="n">
        <v>66475996</v>
      </c>
      <c r="U1247" s="46" t="n">
        <f aca="false">IF($A1247=$A1246,$U1246+1,1)</f>
        <v>203</v>
      </c>
      <c r="V1247" s="48" t="n">
        <f aca="false">IF($U1247&gt;=MA_SHORT,AVERAGE(INDEX($I$847:$I1247,402-MA_SHORT):$I1247),"")</f>
        <v>4842.9</v>
      </c>
      <c r="W1247" s="48" t="n">
        <f aca="false">IF($U1247&gt;=MA_MED,AVERAGE(INDEX($I$847:$I1247,402-MA_MED):$I1247),"")</f>
        <v>4730.88</v>
      </c>
      <c r="X1247" s="48" t="n">
        <f aca="false">IF($U1247&gt;=MA_LONG1,AVERAGE(INDEX($I$847:$I1247,402-MA_LONG1):$I1247),"")</f>
        <v>5034.15</v>
      </c>
      <c r="Y1247" s="48" t="n">
        <f aca="false">IF($U1247&gt;=MA_LONG2,AVERAGE(INDEX($I$847:$I1247,402-MA_LONG2):$I1247),"")</f>
        <v>5146.54</v>
      </c>
      <c r="Z1247" s="48" t="n">
        <f aca="false">IF($U1247&gt;=MA_SHORT,AVERAGE(INDEX($L$1127:$L1247,122-MA_SHORT):$L1247),"")</f>
        <v>92111613.2</v>
      </c>
      <c r="AA1247" s="48" t="n">
        <f aca="false">IF($U1247=1,$G1247-$H1247,MAX($G1247-$H1247,ABS($G1247-$I1246),ABS($H1247-$I1246)))</f>
        <v>291</v>
      </c>
      <c r="AB1247" s="48" t="n">
        <f aca="false">IF($U1247&gt;=ATR_PER,AVERAGE(INDEX($AA$1127:$AA1247,122-ATR_PER):$AA1247),"")</f>
        <v>207.428571428571</v>
      </c>
      <c r="AC1247" s="48" t="n">
        <f aca="false">$O1247-$P1247</f>
        <v>10216969</v>
      </c>
      <c r="AD1247" s="48" t="n">
        <f aca="false">$AC1247*$I1247</f>
        <v>50553562612</v>
      </c>
      <c r="AE1247" s="49" t="n">
        <f aca="false">IF($Q1247&gt;0,$O1247*$I1247/$Q1247/1000000,"")</f>
        <v>319.21245376977</v>
      </c>
      <c r="AF1247" s="49" t="n">
        <f aca="false">IF($R1247&gt;0,$P1247*$I1247/$R1247/1000000,"")</f>
        <v>262.30662629912</v>
      </c>
      <c r="AG1247" s="50" t="n">
        <f aca="false">IF(AND(ISNUMBER($AE1247),ISNUMBER($AF1247),$AF1247&gt;0),$AE1247/$AF1247,"")</f>
        <v>1.21694391893004</v>
      </c>
      <c r="AH1247" s="48" t="n">
        <f aca="false">IF($U1247&gt;=5,SUM(INDEX($AD$1217:$AD1247,32-5):$AD1247),"")</f>
        <v>-293703997703</v>
      </c>
      <c r="AI1247" s="48" t="n">
        <f aca="false">IF($U1247&gt;=STRUCT_S,MAX(INDEX($G$1097:$G1247,152-STRUCT_S):$G1247),"")</f>
        <v>5097</v>
      </c>
      <c r="AJ1247" s="48" t="n">
        <f aca="false">IF($U1247&gt;=STRUCT_S,MIN(INDEX($H$1097:$H1247,152-STRUCT_S):$H1247),"")</f>
        <v>4555</v>
      </c>
      <c r="AK1247" s="48" t="n">
        <f aca="false">IF($U1247&gt;=STRUCT_L,MAX(INDEX($G$997:$G1247,252-STRUCT_L):$G1247),"")</f>
        <v>5097</v>
      </c>
      <c r="AL1247" s="48" t="n">
        <f aca="false">IF($U1247&gt;=STRUCT_L,MIN(INDEX($H$997:$H1247,252-STRUCT_L):$H1247),"")</f>
        <v>4240</v>
      </c>
      <c r="AM1247" s="46" t="n">
        <f aca="false">IF($A1247&lt;&gt;$A1248,1,0)</f>
        <v>0</v>
      </c>
      <c r="AN1247" s="47" t="str">
        <f aca="false">IF($AM1247=1,$A1247,"")</f>
        <v/>
      </c>
    </row>
    <row r="1248" customFormat="false" ht="15" hidden="false" customHeight="false" outlineLevel="0" collapsed="false">
      <c r="A1248" s="43" t="s">
        <v>152</v>
      </c>
      <c r="B1248" s="44" t="s">
        <v>154</v>
      </c>
      <c r="C1248" s="45" t="n">
        <v>46189</v>
      </c>
      <c r="D1248" s="46" t="n">
        <v>20260616</v>
      </c>
      <c r="E1248" s="47" t="s">
        <v>491</v>
      </c>
      <c r="F1248" s="48" t="n">
        <v>5030</v>
      </c>
      <c r="G1248" s="48" t="n">
        <v>5116</v>
      </c>
      <c r="H1248" s="48" t="n">
        <v>4849</v>
      </c>
      <c r="I1248" s="48" t="n">
        <v>5016</v>
      </c>
      <c r="J1248" s="48" t="n">
        <v>4867</v>
      </c>
      <c r="K1248" s="48" t="n">
        <v>4948</v>
      </c>
      <c r="L1248" s="48" t="n">
        <v>97845777</v>
      </c>
      <c r="M1248" s="48" t="n">
        <v>490794417432</v>
      </c>
      <c r="N1248" s="48" t="n">
        <v>3308</v>
      </c>
      <c r="O1248" s="48" t="n">
        <v>46789700</v>
      </c>
      <c r="P1248" s="48" t="n">
        <v>54927925</v>
      </c>
      <c r="Q1248" s="48" t="n">
        <v>2002</v>
      </c>
      <c r="R1248" s="48" t="n">
        <v>1111</v>
      </c>
      <c r="S1248" s="48" t="n">
        <v>51056077</v>
      </c>
      <c r="T1248" s="48" t="n">
        <v>42917852</v>
      </c>
      <c r="U1248" s="46" t="n">
        <f aca="false">IF($A1248=$A1247,$U1247+1,1)</f>
        <v>204</v>
      </c>
      <c r="V1248" s="48" t="n">
        <f aca="false">IF($U1248&gt;=MA_SHORT,AVERAGE(INDEX($I$848:$I1248,402-MA_SHORT):$I1248),"")</f>
        <v>4844.6</v>
      </c>
      <c r="W1248" s="48" t="n">
        <f aca="false">IF($U1248&gt;=MA_MED,AVERAGE(INDEX($I$848:$I1248,402-MA_MED):$I1248),"")</f>
        <v>4737.82</v>
      </c>
      <c r="X1248" s="48" t="n">
        <f aca="false">IF($U1248&gt;=MA_LONG1,AVERAGE(INDEX($I$848:$I1248,402-MA_LONG1):$I1248),"")</f>
        <v>5024.61</v>
      </c>
      <c r="Y1248" s="48" t="n">
        <f aca="false">IF($U1248&gt;=MA_LONG2,AVERAGE(INDEX($I$848:$I1248,402-MA_LONG2):$I1248),"")</f>
        <v>5149.03</v>
      </c>
      <c r="Z1248" s="48" t="n">
        <f aca="false">IF($U1248&gt;=MA_SHORT,AVERAGE(INDEX($L$1128:$L1248,122-MA_SHORT):$L1248),"")</f>
        <v>91619104.5</v>
      </c>
      <c r="AA1248" s="48" t="n">
        <f aca="false">IF($U1248=1,$G1248-$H1248,MAX($G1248-$H1248,ABS($G1248-$I1247),ABS($H1248-$I1247)))</f>
        <v>267</v>
      </c>
      <c r="AB1248" s="48" t="n">
        <f aca="false">IF($U1248&gt;=ATR_PER,AVERAGE(INDEX($AA$1128:$AA1248,122-ATR_PER):$AA1248),"")</f>
        <v>220.357142857143</v>
      </c>
      <c r="AC1248" s="48" t="n">
        <f aca="false">$O1248-$P1248</f>
        <v>-8138225</v>
      </c>
      <c r="AD1248" s="48" t="n">
        <f aca="false">$AC1248*$I1248</f>
        <v>-40821336600</v>
      </c>
      <c r="AE1248" s="49" t="n">
        <f aca="false">IF($Q1248&gt;0,$O1248*$I1248/$Q1248/1000000,"")</f>
        <v>117.231336263736</v>
      </c>
      <c r="AF1248" s="49" t="n">
        <f aca="false">IF($R1248&gt;0,$P1248*$I1248/$R1248/1000000,"")</f>
        <v>247.991423762376</v>
      </c>
      <c r="AG1248" s="50" t="n">
        <f aca="false">IF(AND(ISNUMBER($AE1248),ISNUMBER($AF1248),$AF1248&gt;0),$AE1248/$AF1248,"")</f>
        <v>0.472723348594775</v>
      </c>
      <c r="AH1248" s="48" t="n">
        <f aca="false">IF($U1248&gt;=5,SUM(INDEX($AD$1218:$AD1248,32-5):$AD1248),"")</f>
        <v>-207823065167</v>
      </c>
      <c r="AI1248" s="48" t="n">
        <f aca="false">IF($U1248&gt;=STRUCT_S,MAX(INDEX($G$1098:$G1248,152-STRUCT_S):$G1248),"")</f>
        <v>5116</v>
      </c>
      <c r="AJ1248" s="48" t="n">
        <f aca="false">IF($U1248&gt;=STRUCT_S,MIN(INDEX($H$1098:$H1248,152-STRUCT_S):$H1248),"")</f>
        <v>4555</v>
      </c>
      <c r="AK1248" s="48" t="n">
        <f aca="false">IF($U1248&gt;=STRUCT_L,MAX(INDEX($G$998:$G1248,252-STRUCT_L):$G1248),"")</f>
        <v>5116</v>
      </c>
      <c r="AL1248" s="48" t="n">
        <f aca="false">IF($U1248&gt;=STRUCT_L,MIN(INDEX($H$998:$H1248,252-STRUCT_L):$H1248),"")</f>
        <v>4240</v>
      </c>
      <c r="AM1248" s="46" t="n">
        <f aca="false">IF($A1248&lt;&gt;$A1249,1,0)</f>
        <v>0</v>
      </c>
      <c r="AN1248" s="47" t="str">
        <f aca="false">IF($AM1248=1,$A1248,"")</f>
        <v/>
      </c>
    </row>
    <row r="1249" customFormat="false" ht="15" hidden="false" customHeight="false" outlineLevel="0" collapsed="false">
      <c r="A1249" s="43" t="s">
        <v>152</v>
      </c>
      <c r="B1249" s="44" t="s">
        <v>154</v>
      </c>
      <c r="C1249" s="45" t="n">
        <v>46190</v>
      </c>
      <c r="D1249" s="46" t="n">
        <v>20260617</v>
      </c>
      <c r="E1249" s="47" t="s">
        <v>492</v>
      </c>
      <c r="F1249" s="48" t="n">
        <v>5042</v>
      </c>
      <c r="G1249" s="48" t="n">
        <v>5085</v>
      </c>
      <c r="H1249" s="48" t="n">
        <v>4889</v>
      </c>
      <c r="I1249" s="48" t="n">
        <v>4958</v>
      </c>
      <c r="J1249" s="48" t="n">
        <v>4978</v>
      </c>
      <c r="K1249" s="48" t="n">
        <v>5016</v>
      </c>
      <c r="L1249" s="48" t="n">
        <v>91019704</v>
      </c>
      <c r="M1249" s="48" t="n">
        <v>451275692432</v>
      </c>
      <c r="N1249" s="48" t="n">
        <v>5511</v>
      </c>
      <c r="O1249" s="48" t="n">
        <v>36599723</v>
      </c>
      <c r="P1249" s="48" t="n">
        <v>55374218</v>
      </c>
      <c r="Q1249" s="48" t="n">
        <v>1473</v>
      </c>
      <c r="R1249" s="48" t="n">
        <v>3112</v>
      </c>
      <c r="S1249" s="48" t="n">
        <v>54419981</v>
      </c>
      <c r="T1249" s="48" t="n">
        <v>35645486</v>
      </c>
      <c r="U1249" s="46" t="n">
        <f aca="false">IF($A1249=$A1248,$U1248+1,1)</f>
        <v>205</v>
      </c>
      <c r="V1249" s="48" t="n">
        <f aca="false">IF($U1249&gt;=MA_SHORT,AVERAGE(INDEX($I$849:$I1249,402-MA_SHORT):$I1249),"")</f>
        <v>4843.3</v>
      </c>
      <c r="W1249" s="48" t="n">
        <f aca="false">IF($U1249&gt;=MA_MED,AVERAGE(INDEX($I$849:$I1249,402-MA_MED):$I1249),"")</f>
        <v>4740.62</v>
      </c>
      <c r="X1249" s="48" t="n">
        <f aca="false">IF($U1249&gt;=MA_LONG1,AVERAGE(INDEX($I$849:$I1249,402-MA_LONG1):$I1249),"")</f>
        <v>5015.86</v>
      </c>
      <c r="Y1249" s="48" t="n">
        <f aca="false">IF($U1249&gt;=MA_LONG2,AVERAGE(INDEX($I$849:$I1249,402-MA_LONG2):$I1249),"")</f>
        <v>5151.75</v>
      </c>
      <c r="Z1249" s="48" t="n">
        <f aca="false">IF($U1249&gt;=MA_SHORT,AVERAGE(INDEX($L$1129:$L1249,122-MA_SHORT):$L1249),"")</f>
        <v>91613498.7</v>
      </c>
      <c r="AA1249" s="48" t="n">
        <f aca="false">IF($U1249=1,$G1249-$H1249,MAX($G1249-$H1249,ABS($G1249-$I1248),ABS($H1249-$I1248)))</f>
        <v>196</v>
      </c>
      <c r="AB1249" s="48" t="n">
        <f aca="false">IF($U1249&gt;=ATR_PER,AVERAGE(INDEX($AA$1129:$AA1249,122-ATR_PER):$AA1249),"")</f>
        <v>225</v>
      </c>
      <c r="AC1249" s="48" t="n">
        <f aca="false">$O1249-$P1249</f>
        <v>-18774495</v>
      </c>
      <c r="AD1249" s="48" t="n">
        <f aca="false">$AC1249*$I1249</f>
        <v>-93083946210</v>
      </c>
      <c r="AE1249" s="49" t="n">
        <f aca="false">IF($Q1249&gt;0,$O1249*$I1249/$Q1249/1000000,"")</f>
        <v>123.19173566463</v>
      </c>
      <c r="AF1249" s="49" t="n">
        <f aca="false">IF($R1249&gt;0,$P1249*$I1249/$R1249/1000000,"")</f>
        <v>88.2215208367609</v>
      </c>
      <c r="AG1249" s="50" t="n">
        <f aca="false">IF(AND(ISNUMBER($AE1249),ISNUMBER($AF1249),$AF1249&gt;0),$AE1249/$AF1249,"")</f>
        <v>1.39639097689753</v>
      </c>
      <c r="AH1249" s="48" t="n">
        <f aca="false">IF($U1249&gt;=5,SUM(INDEX($AD$1219:$AD1249,32-5):$AD1249),"")</f>
        <v>-100204976270</v>
      </c>
      <c r="AI1249" s="48" t="n">
        <f aca="false">IF($U1249&gt;=STRUCT_S,MAX(INDEX($G$1099:$G1249,152-STRUCT_S):$G1249),"")</f>
        <v>5116</v>
      </c>
      <c r="AJ1249" s="48" t="n">
        <f aca="false">IF($U1249&gt;=STRUCT_S,MIN(INDEX($H$1099:$H1249,152-STRUCT_S):$H1249),"")</f>
        <v>4555</v>
      </c>
      <c r="AK1249" s="48" t="n">
        <f aca="false">IF($U1249&gt;=STRUCT_L,MAX(INDEX($G$999:$G1249,252-STRUCT_L):$G1249),"")</f>
        <v>5116</v>
      </c>
      <c r="AL1249" s="48" t="n">
        <f aca="false">IF($U1249&gt;=STRUCT_L,MIN(INDEX($H$999:$H1249,252-STRUCT_L):$H1249),"")</f>
        <v>4240</v>
      </c>
      <c r="AM1249" s="46" t="n">
        <f aca="false">IF($A1249&lt;&gt;$A1250,1,0)</f>
        <v>0</v>
      </c>
      <c r="AN1249" s="47" t="str">
        <f aca="false">IF($AM1249=1,$A1249,"")</f>
        <v/>
      </c>
    </row>
    <row r="1250" customFormat="false" ht="15" hidden="false" customHeight="false" outlineLevel="0" collapsed="false">
      <c r="A1250" s="43" t="s">
        <v>152</v>
      </c>
      <c r="B1250" s="44" t="s">
        <v>154</v>
      </c>
      <c r="C1250" s="45" t="n">
        <v>46193</v>
      </c>
      <c r="D1250" s="46" t="n">
        <v>20260620</v>
      </c>
      <c r="E1250" s="47" t="s">
        <v>493</v>
      </c>
      <c r="F1250" s="48" t="n">
        <v>5033</v>
      </c>
      <c r="G1250" s="48" t="n">
        <v>5036</v>
      </c>
      <c r="H1250" s="48" t="n">
        <v>4946</v>
      </c>
      <c r="I1250" s="48" t="n">
        <v>5023</v>
      </c>
      <c r="J1250" s="48" t="n">
        <v>4971</v>
      </c>
      <c r="K1250" s="48" t="n">
        <v>4958</v>
      </c>
      <c r="L1250" s="48" t="n">
        <v>113003111</v>
      </c>
      <c r="M1250" s="48" t="n">
        <v>567614626553</v>
      </c>
      <c r="N1250" s="48" t="n">
        <v>10053</v>
      </c>
      <c r="O1250" s="48" t="n">
        <v>66489412</v>
      </c>
      <c r="P1250" s="48" t="n">
        <v>46104053</v>
      </c>
      <c r="Q1250" s="48" t="n">
        <v>5166</v>
      </c>
      <c r="R1250" s="48" t="n">
        <v>3583</v>
      </c>
      <c r="S1250" s="48" t="n">
        <v>46513699</v>
      </c>
      <c r="T1250" s="48" t="n">
        <v>66899058</v>
      </c>
      <c r="U1250" s="46" t="n">
        <f aca="false">IF($A1250=$A1249,$U1249+1,1)</f>
        <v>206</v>
      </c>
      <c r="V1250" s="48" t="n">
        <f aca="false">IF($U1250&gt;=MA_SHORT,AVERAGE(INDEX($I$850:$I1250,402-MA_SHORT):$I1250),"")</f>
        <v>4848.9</v>
      </c>
      <c r="W1250" s="48" t="n">
        <f aca="false">IF($U1250&gt;=MA_MED,AVERAGE(INDEX($I$850:$I1250,402-MA_MED):$I1250),"")</f>
        <v>4744.7</v>
      </c>
      <c r="X1250" s="48" t="n">
        <f aca="false">IF($U1250&gt;=MA_LONG1,AVERAGE(INDEX($I$850:$I1250,402-MA_LONG1):$I1250),"")</f>
        <v>5008.06</v>
      </c>
      <c r="Y1250" s="48" t="n">
        <f aca="false">IF($U1250&gt;=MA_LONG2,AVERAGE(INDEX($I$850:$I1250,402-MA_LONG2):$I1250),"")</f>
        <v>5154.65</v>
      </c>
      <c r="Z1250" s="48" t="n">
        <f aca="false">IF($U1250&gt;=MA_SHORT,AVERAGE(INDEX($L$1130:$L1250,122-MA_SHORT):$L1250),"")</f>
        <v>93039484.9</v>
      </c>
      <c r="AA1250" s="48" t="n">
        <f aca="false">IF($U1250=1,$G1250-$H1250,MAX($G1250-$H1250,ABS($G1250-$I1249),ABS($H1250-$I1249)))</f>
        <v>90</v>
      </c>
      <c r="AB1250" s="48" t="n">
        <f aca="false">IF($U1250&gt;=ATR_PER,AVERAGE(INDEX($AA$1130:$AA1250,122-ATR_PER):$AA1250),"")</f>
        <v>220</v>
      </c>
      <c r="AC1250" s="48" t="n">
        <f aca="false">$O1250-$P1250</f>
        <v>20385359</v>
      </c>
      <c r="AD1250" s="48" t="n">
        <f aca="false">$AC1250*$I1250</f>
        <v>102395658257</v>
      </c>
      <c r="AE1250" s="49" t="n">
        <f aca="false">IF($Q1250&gt;0,$O1250*$I1250/$Q1250/1000000,"")</f>
        <v>64.6489191784746</v>
      </c>
      <c r="AF1250" s="49" t="n">
        <f aca="false">IF($R1250&gt;0,$P1250*$I1250/$R1250/1000000,"")</f>
        <v>64.6331728213787</v>
      </c>
      <c r="AG1250" s="50" t="n">
        <f aca="false">IF(AND(ISNUMBER($AE1250),ISNUMBER($AF1250),$AF1250&gt;0),$AE1250/$AF1250,"")</f>
        <v>1.00024362655288</v>
      </c>
      <c r="AH1250" s="48" t="n">
        <f aca="false">IF($U1250&gt;=5,SUM(INDEX($AD$1220:$AD1250,32-5):$AD1250),"")</f>
        <v>-66640719454</v>
      </c>
      <c r="AI1250" s="48" t="n">
        <f aca="false">IF($U1250&gt;=STRUCT_S,MAX(INDEX($G$1100:$G1250,152-STRUCT_S):$G1250),"")</f>
        <v>5116</v>
      </c>
      <c r="AJ1250" s="48" t="n">
        <f aca="false">IF($U1250&gt;=STRUCT_S,MIN(INDEX($H$1100:$H1250,152-STRUCT_S):$H1250),"")</f>
        <v>4555</v>
      </c>
      <c r="AK1250" s="48" t="n">
        <f aca="false">IF($U1250&gt;=STRUCT_L,MAX(INDEX($G$1000:$G1250,252-STRUCT_L):$G1250),"")</f>
        <v>5116</v>
      </c>
      <c r="AL1250" s="48" t="n">
        <f aca="false">IF($U1250&gt;=STRUCT_L,MIN(INDEX($H$1000:$H1250,252-STRUCT_L):$H1250),"")</f>
        <v>4240</v>
      </c>
      <c r="AM1250" s="46" t="n">
        <f aca="false">IF($A1250&lt;&gt;$A1251,1,0)</f>
        <v>0</v>
      </c>
      <c r="AN1250" s="47" t="str">
        <f aca="false">IF($AM1250=1,$A1250,"")</f>
        <v/>
      </c>
    </row>
    <row r="1251" customFormat="false" ht="15" hidden="false" customHeight="false" outlineLevel="0" collapsed="false">
      <c r="A1251" s="43" t="s">
        <v>152</v>
      </c>
      <c r="B1251" s="44" t="s">
        <v>154</v>
      </c>
      <c r="C1251" s="45" t="n">
        <v>46194</v>
      </c>
      <c r="D1251" s="46" t="n">
        <v>20260621</v>
      </c>
      <c r="E1251" s="47" t="s">
        <v>494</v>
      </c>
      <c r="F1251" s="48" t="n">
        <v>4970</v>
      </c>
      <c r="G1251" s="48" t="n">
        <v>5041</v>
      </c>
      <c r="H1251" s="48" t="n">
        <v>4933</v>
      </c>
      <c r="I1251" s="48" t="n">
        <v>4950</v>
      </c>
      <c r="J1251" s="48" t="n">
        <v>4992</v>
      </c>
      <c r="K1251" s="48" t="n">
        <v>5023</v>
      </c>
      <c r="L1251" s="48" t="n">
        <v>84430398</v>
      </c>
      <c r="M1251" s="48" t="n">
        <v>417930470100</v>
      </c>
      <c r="N1251" s="48" t="n">
        <v>4934</v>
      </c>
      <c r="O1251" s="48" t="n">
        <v>37272320</v>
      </c>
      <c r="P1251" s="48" t="n">
        <v>45756118</v>
      </c>
      <c r="Q1251" s="48" t="n">
        <v>2262</v>
      </c>
      <c r="R1251" s="48" t="n">
        <v>2363</v>
      </c>
      <c r="S1251" s="48" t="n">
        <v>47158078</v>
      </c>
      <c r="T1251" s="48" t="n">
        <v>38674280</v>
      </c>
      <c r="U1251" s="46" t="n">
        <f aca="false">IF($A1251=$A1250,$U1250+1,1)</f>
        <v>207</v>
      </c>
      <c r="V1251" s="48" t="n">
        <f aca="false">IF($U1251&gt;=MA_SHORT,AVERAGE(INDEX($I$851:$I1251,402-MA_SHORT):$I1251),"")</f>
        <v>4854.4</v>
      </c>
      <c r="W1251" s="48" t="n">
        <f aca="false">IF($U1251&gt;=MA_MED,AVERAGE(INDEX($I$851:$I1251,402-MA_MED):$I1251),"")</f>
        <v>4747.68</v>
      </c>
      <c r="X1251" s="48" t="n">
        <f aca="false">IF($U1251&gt;=MA_LONG1,AVERAGE(INDEX($I$851:$I1251,402-MA_LONG1):$I1251),"")</f>
        <v>4999.39</v>
      </c>
      <c r="Y1251" s="48" t="n">
        <f aca="false">IF($U1251&gt;=MA_LONG2,AVERAGE(INDEX($I$851:$I1251,402-MA_LONG2):$I1251),"")</f>
        <v>5156.595</v>
      </c>
      <c r="Z1251" s="48" t="n">
        <f aca="false">IF($U1251&gt;=MA_SHORT,AVERAGE(INDEX($L$1131:$L1251,122-MA_SHORT):$L1251),"")</f>
        <v>91872943.55</v>
      </c>
      <c r="AA1251" s="48" t="n">
        <f aca="false">IF($U1251=1,$G1251-$H1251,MAX($G1251-$H1251,ABS($G1251-$I1250),ABS($H1251-$I1250)))</f>
        <v>108</v>
      </c>
      <c r="AB1251" s="48" t="n">
        <f aca="false">IF($U1251&gt;=ATR_PER,AVERAGE(INDEX($AA$1131:$AA1251,122-ATR_PER):$AA1251),"")</f>
        <v>207.785714285714</v>
      </c>
      <c r="AC1251" s="48" t="n">
        <f aca="false">$O1251-$P1251</f>
        <v>-8483798</v>
      </c>
      <c r="AD1251" s="48" t="n">
        <f aca="false">$AC1251*$I1251</f>
        <v>-41994800100</v>
      </c>
      <c r="AE1251" s="49" t="n">
        <f aca="false">IF($Q1251&gt;0,$O1251*$I1251/$Q1251/1000000,"")</f>
        <v>81.5640954907162</v>
      </c>
      <c r="AF1251" s="49" t="n">
        <f aca="false">IF($R1251&gt;0,$P1251*$I1251/$R1251/1000000,"")</f>
        <v>95.849675878121</v>
      </c>
      <c r="AG1251" s="50" t="n">
        <f aca="false">IF(AND(ISNUMBER($AE1251),ISNUMBER($AF1251),$AF1251&gt;0),$AE1251/$AF1251,"")</f>
        <v>0.850958490401471</v>
      </c>
      <c r="AH1251" s="48" t="n">
        <f aca="false">IF($U1251&gt;=5,SUM(INDEX($AD$1221:$AD1251,32-5):$AD1251),"")</f>
        <v>-22950862041</v>
      </c>
      <c r="AI1251" s="48" t="n">
        <f aca="false">IF($U1251&gt;=STRUCT_S,MAX(INDEX($G$1101:$G1251,152-STRUCT_S):$G1251),"")</f>
        <v>5116</v>
      </c>
      <c r="AJ1251" s="48" t="n">
        <f aca="false">IF($U1251&gt;=STRUCT_S,MIN(INDEX($H$1101:$H1251,152-STRUCT_S):$H1251),"")</f>
        <v>4555</v>
      </c>
      <c r="AK1251" s="48" t="n">
        <f aca="false">IF($U1251&gt;=STRUCT_L,MAX(INDEX($G$1001:$G1251,252-STRUCT_L):$G1251),"")</f>
        <v>5116</v>
      </c>
      <c r="AL1251" s="48" t="n">
        <f aca="false">IF($U1251&gt;=STRUCT_L,MIN(INDEX($H$1001:$H1251,252-STRUCT_L):$H1251),"")</f>
        <v>4240</v>
      </c>
      <c r="AM1251" s="46" t="n">
        <f aca="false">IF($A1251&lt;&gt;$A1252,1,0)</f>
        <v>0</v>
      </c>
      <c r="AN1251" s="47" t="str">
        <f aca="false">IF($AM1251=1,$A1251,"")</f>
        <v/>
      </c>
    </row>
    <row r="1252" customFormat="false" ht="15" hidden="false" customHeight="false" outlineLevel="0" collapsed="false">
      <c r="A1252" s="43" t="s">
        <v>152</v>
      </c>
      <c r="B1252" s="44" t="s">
        <v>154</v>
      </c>
      <c r="C1252" s="45" t="n">
        <v>46195</v>
      </c>
      <c r="D1252" s="46" t="n">
        <v>20260622</v>
      </c>
      <c r="E1252" s="47" t="s">
        <v>495</v>
      </c>
      <c r="F1252" s="48" t="n">
        <v>4927</v>
      </c>
      <c r="G1252" s="48" t="n">
        <v>4984</v>
      </c>
      <c r="H1252" s="48" t="n">
        <v>4874</v>
      </c>
      <c r="I1252" s="48" t="n">
        <v>4908</v>
      </c>
      <c r="J1252" s="48" t="n">
        <v>4879</v>
      </c>
      <c r="K1252" s="48" t="n">
        <v>4950</v>
      </c>
      <c r="L1252" s="48" t="n">
        <v>81612182</v>
      </c>
      <c r="M1252" s="48" t="n">
        <v>400552589256</v>
      </c>
      <c r="N1252" s="48" t="n">
        <v>2444</v>
      </c>
      <c r="O1252" s="48" t="n">
        <v>34897700</v>
      </c>
      <c r="P1252" s="48" t="n">
        <v>43422905</v>
      </c>
      <c r="Q1252" s="48" t="n">
        <v>646</v>
      </c>
      <c r="R1252" s="48" t="n">
        <v>1135</v>
      </c>
      <c r="S1252" s="48" t="n">
        <v>46714482</v>
      </c>
      <c r="T1252" s="48" t="n">
        <v>38189277</v>
      </c>
      <c r="U1252" s="46" t="n">
        <f aca="false">IF($A1252=$A1251,$U1251+1,1)</f>
        <v>208</v>
      </c>
      <c r="V1252" s="48" t="n">
        <f aca="false">IF($U1252&gt;=MA_SHORT,AVERAGE(INDEX($I$852:$I1252,402-MA_SHORT):$I1252),"")</f>
        <v>4857.55</v>
      </c>
      <c r="W1252" s="48" t="n">
        <f aca="false">IF($U1252&gt;=MA_MED,AVERAGE(INDEX($I$852:$I1252,402-MA_MED):$I1252),"")</f>
        <v>4751.54</v>
      </c>
      <c r="X1252" s="48" t="n">
        <f aca="false">IF($U1252&gt;=MA_LONG1,AVERAGE(INDEX($I$852:$I1252,402-MA_LONG1):$I1252),"")</f>
        <v>4988.79</v>
      </c>
      <c r="Y1252" s="48" t="n">
        <f aca="false">IF($U1252&gt;=MA_LONG2,AVERAGE(INDEX($I$852:$I1252,402-MA_LONG2):$I1252),"")</f>
        <v>5158.055</v>
      </c>
      <c r="Z1252" s="48" t="n">
        <f aca="false">IF($U1252&gt;=MA_SHORT,AVERAGE(INDEX($L$1132:$L1252,122-MA_SHORT):$L1252),"")</f>
        <v>92046552.35</v>
      </c>
      <c r="AA1252" s="48" t="n">
        <f aca="false">IF($U1252=1,$G1252-$H1252,MAX($G1252-$H1252,ABS($G1252-$I1251),ABS($H1252-$I1251)))</f>
        <v>110</v>
      </c>
      <c r="AB1252" s="48" t="n">
        <f aca="false">IF($U1252&gt;=ATR_PER,AVERAGE(INDEX($AA$1132:$AA1252,122-ATR_PER):$AA1252),"")</f>
        <v>207.357142857143</v>
      </c>
      <c r="AC1252" s="48" t="n">
        <f aca="false">$O1252-$P1252</f>
        <v>-8525205</v>
      </c>
      <c r="AD1252" s="48" t="n">
        <f aca="false">$AC1252*$I1252</f>
        <v>-41841706140</v>
      </c>
      <c r="AE1252" s="49" t="n">
        <f aca="false">IF($Q1252&gt;0,$O1252*$I1252/$Q1252/1000000,"")</f>
        <v>265.136086068111</v>
      </c>
      <c r="AF1252" s="49" t="n">
        <f aca="false">IF($R1252&gt;0,$P1252*$I1252/$R1252/1000000,"")</f>
        <v>187.770588317181</v>
      </c>
      <c r="AG1252" s="50" t="n">
        <f aca="false">IF(AND(ISNUMBER($AE1252),ISNUMBER($AF1252),$AF1252&gt;0),$AE1252/$AF1252,"")</f>
        <v>1.41202138441536</v>
      </c>
      <c r="AH1252" s="48" t="n">
        <f aca="false">IF($U1252&gt;=5,SUM(INDEX($AD$1222:$AD1252,32-5):$AD1252),"")</f>
        <v>-115346130793</v>
      </c>
      <c r="AI1252" s="48" t="n">
        <f aca="false">IF($U1252&gt;=STRUCT_S,MAX(INDEX($G$1102:$G1252,152-STRUCT_S):$G1252),"")</f>
        <v>5116</v>
      </c>
      <c r="AJ1252" s="48" t="n">
        <f aca="false">IF($U1252&gt;=STRUCT_S,MIN(INDEX($H$1102:$H1252,152-STRUCT_S):$H1252),"")</f>
        <v>4555</v>
      </c>
      <c r="AK1252" s="48" t="n">
        <f aca="false">IF($U1252&gt;=STRUCT_L,MAX(INDEX($G$1002:$G1252,252-STRUCT_L):$G1252),"")</f>
        <v>5116</v>
      </c>
      <c r="AL1252" s="48" t="n">
        <f aca="false">IF($U1252&gt;=STRUCT_L,MIN(INDEX($H$1002:$H1252,252-STRUCT_L):$H1252),"")</f>
        <v>4240</v>
      </c>
      <c r="AM1252" s="46" t="n">
        <f aca="false">IF($A1252&lt;&gt;$A1253,1,0)</f>
        <v>0</v>
      </c>
      <c r="AN1252" s="47" t="str">
        <f aca="false">IF($AM1252=1,$A1252,"")</f>
        <v/>
      </c>
    </row>
    <row r="1253" customFormat="false" ht="15" hidden="false" customHeight="false" outlineLevel="0" collapsed="false">
      <c r="A1253" s="43" t="s">
        <v>152</v>
      </c>
      <c r="B1253" s="44" t="s">
        <v>154</v>
      </c>
      <c r="C1253" s="45" t="n">
        <v>46196</v>
      </c>
      <c r="D1253" s="46" t="n">
        <v>20260623</v>
      </c>
      <c r="E1253" s="47" t="s">
        <v>496</v>
      </c>
      <c r="F1253" s="48" t="n">
        <v>4954</v>
      </c>
      <c r="G1253" s="48" t="n">
        <v>5047</v>
      </c>
      <c r="H1253" s="48" t="n">
        <v>4895</v>
      </c>
      <c r="I1253" s="48" t="n">
        <v>5033</v>
      </c>
      <c r="J1253" s="48" t="n">
        <v>4904</v>
      </c>
      <c r="K1253" s="48" t="n">
        <v>4908</v>
      </c>
      <c r="L1253" s="48" t="n">
        <v>89525804</v>
      </c>
      <c r="M1253" s="48" t="n">
        <v>450583371532</v>
      </c>
      <c r="N1253" s="48" t="n">
        <v>4257</v>
      </c>
      <c r="O1253" s="48" t="n">
        <v>45711365</v>
      </c>
      <c r="P1253" s="48" t="n">
        <v>40294424</v>
      </c>
      <c r="Q1253" s="48" t="n">
        <v>2464</v>
      </c>
      <c r="R1253" s="48" t="n">
        <v>1452</v>
      </c>
      <c r="S1253" s="48" t="n">
        <v>43814439</v>
      </c>
      <c r="T1253" s="48" t="n">
        <v>49231380</v>
      </c>
      <c r="U1253" s="46" t="n">
        <f aca="false">IF($A1253=$A1252,$U1252+1,1)</f>
        <v>209</v>
      </c>
      <c r="V1253" s="48" t="n">
        <f aca="false">IF($U1253&gt;=MA_SHORT,AVERAGE(INDEX($I$853:$I1253,402-MA_SHORT):$I1253),"")</f>
        <v>4868.7</v>
      </c>
      <c r="W1253" s="48" t="n">
        <f aca="false">IF($U1253&gt;=MA_MED,AVERAGE(INDEX($I$853:$I1253,402-MA_MED):$I1253),"")</f>
        <v>4759.64</v>
      </c>
      <c r="X1253" s="48" t="n">
        <f aca="false">IF($U1253&gt;=MA_LONG1,AVERAGE(INDEX($I$853:$I1253,402-MA_LONG1):$I1253),"")</f>
        <v>4978.11</v>
      </c>
      <c r="Y1253" s="48" t="n">
        <f aca="false">IF($U1253&gt;=MA_LONG2,AVERAGE(INDEX($I$853:$I1253,402-MA_LONG2):$I1253),"")</f>
        <v>5159.91</v>
      </c>
      <c r="Z1253" s="48" t="n">
        <f aca="false">IF($U1253&gt;=MA_SHORT,AVERAGE(INDEX($L$1133:$L1253,122-MA_SHORT):$L1253),"")</f>
        <v>92471609.55</v>
      </c>
      <c r="AA1253" s="48" t="n">
        <f aca="false">IF($U1253=1,$G1253-$H1253,MAX($G1253-$H1253,ABS($G1253-$I1252),ABS($H1253-$I1252)))</f>
        <v>152</v>
      </c>
      <c r="AB1253" s="48" t="n">
        <f aca="false">IF($U1253&gt;=ATR_PER,AVERAGE(INDEX($AA$1133:$AA1253,122-ATR_PER):$AA1253),"")</f>
        <v>179.5</v>
      </c>
      <c r="AC1253" s="48" t="n">
        <f aca="false">$O1253-$P1253</f>
        <v>5416941</v>
      </c>
      <c r="AD1253" s="48" t="n">
        <f aca="false">$AC1253*$I1253</f>
        <v>27263464053</v>
      </c>
      <c r="AE1253" s="49" t="n">
        <f aca="false">IF($Q1253&gt;0,$O1253*$I1253/$Q1253/1000000,"")</f>
        <v>93.3706574857955</v>
      </c>
      <c r="AF1253" s="49" t="n">
        <f aca="false">IF($R1253&gt;0,$P1253*$I1253/$R1253/1000000,"")</f>
        <v>139.670685944904</v>
      </c>
      <c r="AG1253" s="50" t="n">
        <f aca="false">IF(AND(ISNUMBER($AE1253),ISNUMBER($AF1253),$AF1253&gt;0),$AE1253/$AF1253,"")</f>
        <v>0.668505755908063</v>
      </c>
      <c r="AH1253" s="48" t="n">
        <f aca="false">IF($U1253&gt;=5,SUM(INDEX($AD$1223:$AD1253,32-5):$AD1253),"")</f>
        <v>-47261330140</v>
      </c>
      <c r="AI1253" s="48" t="n">
        <f aca="false">IF($U1253&gt;=STRUCT_S,MAX(INDEX($G$1103:$G1253,152-STRUCT_S):$G1253),"")</f>
        <v>5116</v>
      </c>
      <c r="AJ1253" s="48" t="n">
        <f aca="false">IF($U1253&gt;=STRUCT_S,MIN(INDEX($H$1103:$H1253,152-STRUCT_S):$H1253),"")</f>
        <v>4555</v>
      </c>
      <c r="AK1253" s="48" t="n">
        <f aca="false">IF($U1253&gt;=STRUCT_L,MAX(INDEX($G$1003:$G1253,252-STRUCT_L):$G1253),"")</f>
        <v>5116</v>
      </c>
      <c r="AL1253" s="48" t="n">
        <f aca="false">IF($U1253&gt;=STRUCT_L,MIN(INDEX($H$1003:$H1253,252-STRUCT_L):$H1253),"")</f>
        <v>4240</v>
      </c>
      <c r="AM1253" s="46" t="n">
        <f aca="false">IF($A1253&lt;&gt;$A1254,1,0)</f>
        <v>0</v>
      </c>
      <c r="AN1253" s="47" t="str">
        <f aca="false">IF($AM1253=1,$A1253,"")</f>
        <v/>
      </c>
    </row>
    <row r="1254" customFormat="false" ht="15" hidden="false" customHeight="false" outlineLevel="0" collapsed="false">
      <c r="A1254" s="43" t="s">
        <v>152</v>
      </c>
      <c r="B1254" s="44" t="s">
        <v>154</v>
      </c>
      <c r="C1254" s="45" t="n">
        <v>46197</v>
      </c>
      <c r="D1254" s="46" t="n">
        <v>20260624</v>
      </c>
      <c r="E1254" s="47" t="s">
        <v>497</v>
      </c>
      <c r="F1254" s="48" t="n">
        <v>5033</v>
      </c>
      <c r="G1254" s="48" t="n">
        <v>5066</v>
      </c>
      <c r="H1254" s="48" t="n">
        <v>4995</v>
      </c>
      <c r="I1254" s="48" t="n">
        <v>5028</v>
      </c>
      <c r="J1254" s="48" t="n">
        <v>5020</v>
      </c>
      <c r="K1254" s="48" t="n">
        <v>5033</v>
      </c>
      <c r="L1254" s="48" t="n">
        <v>78121547</v>
      </c>
      <c r="M1254" s="48" t="n">
        <v>392795138316</v>
      </c>
      <c r="N1254" s="48" t="n">
        <v>2047</v>
      </c>
      <c r="O1254" s="48" t="n">
        <v>34074191</v>
      </c>
      <c r="P1254" s="48" t="n">
        <v>50087821</v>
      </c>
      <c r="Q1254" s="48" t="n">
        <v>771</v>
      </c>
      <c r="R1254" s="48" t="n">
        <v>1026</v>
      </c>
      <c r="S1254" s="48" t="n">
        <v>44047356</v>
      </c>
      <c r="T1254" s="48" t="n">
        <v>28033726</v>
      </c>
      <c r="U1254" s="46" t="n">
        <f aca="false">IF($A1254=$A1253,$U1253+1,1)</f>
        <v>210</v>
      </c>
      <c r="V1254" s="48" t="n">
        <f aca="false">IF($U1254&gt;=MA_SHORT,AVERAGE(INDEX($I$854:$I1254,402-MA_SHORT):$I1254),"")</f>
        <v>4879.1</v>
      </c>
      <c r="W1254" s="48" t="n">
        <f aca="false">IF($U1254&gt;=MA_MED,AVERAGE(INDEX($I$854:$I1254,402-MA_MED):$I1254),"")</f>
        <v>4768.38</v>
      </c>
      <c r="X1254" s="48" t="n">
        <f aca="false">IF($U1254&gt;=MA_LONG1,AVERAGE(INDEX($I$854:$I1254,402-MA_LONG1):$I1254),"")</f>
        <v>4966.65</v>
      </c>
      <c r="Y1254" s="48" t="n">
        <f aca="false">IF($U1254&gt;=MA_LONG2,AVERAGE(INDEX($I$854:$I1254,402-MA_LONG2):$I1254),"")</f>
        <v>5161.26</v>
      </c>
      <c r="Z1254" s="48" t="n">
        <f aca="false">IF($U1254&gt;=MA_SHORT,AVERAGE(INDEX($L$1134:$L1254,122-MA_SHORT):$L1254),"")</f>
        <v>92446318.65</v>
      </c>
      <c r="AA1254" s="48" t="n">
        <f aca="false">IF($U1254=1,$G1254-$H1254,MAX($G1254-$H1254,ABS($G1254-$I1253),ABS($H1254-$I1253)))</f>
        <v>71</v>
      </c>
      <c r="AB1254" s="48" t="n">
        <f aca="false">IF($U1254&gt;=ATR_PER,AVERAGE(INDEX($AA$1134:$AA1254,122-ATR_PER):$AA1254),"")</f>
        <v>180.571428571429</v>
      </c>
      <c r="AC1254" s="48" t="n">
        <f aca="false">$O1254-$P1254</f>
        <v>-16013630</v>
      </c>
      <c r="AD1254" s="48" t="n">
        <f aca="false">$AC1254*$I1254</f>
        <v>-80516531640</v>
      </c>
      <c r="AE1254" s="49" t="n">
        <f aca="false">IF($Q1254&gt;0,$O1254*$I1254/$Q1254/1000000,"")</f>
        <v>222.21145570428</v>
      </c>
      <c r="AF1254" s="49" t="n">
        <f aca="false">IF($R1254&gt;0,$P1254*$I1254/$R1254/1000000,"")</f>
        <v>245.459614023392</v>
      </c>
      <c r="AG1254" s="50" t="n">
        <f aca="false">IF(AND(ISNUMBER($AE1254),ISNUMBER($AF1254),$AF1254&gt;0),$AE1254/$AF1254,"")</f>
        <v>0.905287236714647</v>
      </c>
      <c r="AH1254" s="48" t="n">
        <f aca="false">IF($U1254&gt;=5,SUM(INDEX($AD$1224:$AD1254,32-5):$AD1254),"")</f>
        <v>-34693915570</v>
      </c>
      <c r="AI1254" s="48" t="n">
        <f aca="false">IF($U1254&gt;=STRUCT_S,MAX(INDEX($G$1104:$G1254,152-STRUCT_S):$G1254),"")</f>
        <v>5116</v>
      </c>
      <c r="AJ1254" s="48" t="n">
        <f aca="false">IF($U1254&gt;=STRUCT_S,MIN(INDEX($H$1104:$H1254,152-STRUCT_S):$H1254),"")</f>
        <v>4555</v>
      </c>
      <c r="AK1254" s="48" t="n">
        <f aca="false">IF($U1254&gt;=STRUCT_L,MAX(INDEX($G$1004:$G1254,252-STRUCT_L):$G1254),"")</f>
        <v>5116</v>
      </c>
      <c r="AL1254" s="48" t="n">
        <f aca="false">IF($U1254&gt;=STRUCT_L,MIN(INDEX($H$1004:$H1254,252-STRUCT_L):$H1254),"")</f>
        <v>4240</v>
      </c>
      <c r="AM1254" s="46" t="n">
        <f aca="false">IF($A1254&lt;&gt;$A1255,1,0)</f>
        <v>0</v>
      </c>
      <c r="AN1254" s="47" t="str">
        <f aca="false">IF($AM1254=1,$A1254,"")</f>
        <v/>
      </c>
    </row>
    <row r="1255" customFormat="false" ht="15" hidden="false" customHeight="false" outlineLevel="0" collapsed="false">
      <c r="A1255" s="43" t="s">
        <v>152</v>
      </c>
      <c r="B1255" s="44" t="s">
        <v>154</v>
      </c>
      <c r="C1255" s="45" t="n">
        <v>46200</v>
      </c>
      <c r="D1255" s="46" t="n">
        <v>20260627</v>
      </c>
      <c r="E1255" s="47" t="s">
        <v>498</v>
      </c>
      <c r="F1255" s="48" t="n">
        <v>5045</v>
      </c>
      <c r="G1255" s="48" t="n">
        <v>5078</v>
      </c>
      <c r="H1255" s="48" t="n">
        <v>4972</v>
      </c>
      <c r="I1255" s="48" t="n">
        <v>5022</v>
      </c>
      <c r="J1255" s="48" t="n">
        <v>5065</v>
      </c>
      <c r="K1255" s="48" t="n">
        <v>5028</v>
      </c>
      <c r="L1255" s="48" t="n">
        <v>89686760</v>
      </c>
      <c r="M1255" s="48" t="n">
        <v>450406908720</v>
      </c>
      <c r="N1255" s="48" t="n">
        <v>3479</v>
      </c>
      <c r="O1255" s="48" t="n">
        <v>40910045</v>
      </c>
      <c r="P1255" s="48" t="n">
        <v>49393108</v>
      </c>
      <c r="Q1255" s="48" t="n">
        <v>1171</v>
      </c>
      <c r="R1255" s="48" t="n">
        <v>1605</v>
      </c>
      <c r="S1255" s="48" t="n">
        <v>48776715</v>
      </c>
      <c r="T1255" s="48" t="n">
        <v>40293652</v>
      </c>
      <c r="U1255" s="46" t="n">
        <f aca="false">IF($A1255=$A1254,$U1254+1,1)</f>
        <v>211</v>
      </c>
      <c r="V1255" s="48" t="n">
        <f aca="false">IF($U1255&gt;=MA_SHORT,AVERAGE(INDEX($I$855:$I1255,402-MA_SHORT):$I1255),"")</f>
        <v>4888.8</v>
      </c>
      <c r="W1255" s="48" t="n">
        <f aca="false">IF($U1255&gt;=MA_MED,AVERAGE(INDEX($I$855:$I1255,402-MA_MED):$I1255),"")</f>
        <v>4777.82</v>
      </c>
      <c r="X1255" s="48" t="n">
        <f aca="false">IF($U1255&gt;=MA_LONG1,AVERAGE(INDEX($I$855:$I1255,402-MA_LONG1):$I1255),"")</f>
        <v>4955.64</v>
      </c>
      <c r="Y1255" s="48" t="n">
        <f aca="false">IF($U1255&gt;=MA_LONG2,AVERAGE(INDEX($I$855:$I1255,402-MA_LONG2):$I1255),"")</f>
        <v>5162.695</v>
      </c>
      <c r="Z1255" s="48" t="n">
        <f aca="false">IF($U1255&gt;=MA_SHORT,AVERAGE(INDEX($L$1135:$L1255,122-MA_SHORT):$L1255),"")</f>
        <v>92822442.45</v>
      </c>
      <c r="AA1255" s="48" t="n">
        <f aca="false">IF($U1255=1,$G1255-$H1255,MAX($G1255-$H1255,ABS($G1255-$I1254),ABS($H1255-$I1254)))</f>
        <v>106</v>
      </c>
      <c r="AB1255" s="48" t="n">
        <f aca="false">IF($U1255&gt;=ATR_PER,AVERAGE(INDEX($AA$1135:$AA1255,122-ATR_PER):$AA1255),"")</f>
        <v>182.357142857143</v>
      </c>
      <c r="AC1255" s="48" t="n">
        <f aca="false">$O1255-$P1255</f>
        <v>-8483063</v>
      </c>
      <c r="AD1255" s="48" t="n">
        <f aca="false">$AC1255*$I1255</f>
        <v>-42601942386</v>
      </c>
      <c r="AE1255" s="49" t="n">
        <f aca="false">IF($Q1255&gt;0,$O1255*$I1255/$Q1255/1000000,"")</f>
        <v>175.448544824936</v>
      </c>
      <c r="AF1255" s="49" t="n">
        <f aca="false">IF($R1255&gt;0,$P1255*$I1255/$R1255/1000000,"")</f>
        <v>154.549650078505</v>
      </c>
      <c r="AG1255" s="50" t="n">
        <f aca="false">IF(AND(ISNUMBER($AE1255),ISNUMBER($AF1255),$AF1255&gt;0),$AE1255/$AF1255,"")</f>
        <v>1.13522447146154</v>
      </c>
      <c r="AH1255" s="48" t="n">
        <f aca="false">IF($U1255&gt;=5,SUM(INDEX($AD$1225:$AD1255,32-5):$AD1255),"")</f>
        <v>-179691516213</v>
      </c>
      <c r="AI1255" s="48" t="n">
        <f aca="false">IF($U1255&gt;=STRUCT_S,MAX(INDEX($G$1105:$G1255,152-STRUCT_S):$G1255),"")</f>
        <v>5116</v>
      </c>
      <c r="AJ1255" s="48" t="n">
        <f aca="false">IF($U1255&gt;=STRUCT_S,MIN(INDEX($H$1105:$H1255,152-STRUCT_S):$H1255),"")</f>
        <v>4555</v>
      </c>
      <c r="AK1255" s="48" t="n">
        <f aca="false">IF($U1255&gt;=STRUCT_L,MAX(INDEX($G$1005:$G1255,252-STRUCT_L):$G1255),"")</f>
        <v>5116</v>
      </c>
      <c r="AL1255" s="48" t="n">
        <f aca="false">IF($U1255&gt;=STRUCT_L,MIN(INDEX($H$1005:$H1255,252-STRUCT_L):$H1255),"")</f>
        <v>4240</v>
      </c>
      <c r="AM1255" s="46" t="n">
        <f aca="false">IF($A1255&lt;&gt;$A1256,1,0)</f>
        <v>0</v>
      </c>
      <c r="AN1255" s="47" t="str">
        <f aca="false">IF($AM1255=1,$A1255,"")</f>
        <v/>
      </c>
    </row>
    <row r="1256" customFormat="false" ht="15" hidden="false" customHeight="false" outlineLevel="0" collapsed="false">
      <c r="A1256" s="43" t="s">
        <v>152</v>
      </c>
      <c r="B1256" s="44" t="s">
        <v>154</v>
      </c>
      <c r="C1256" s="45" t="n">
        <v>46201</v>
      </c>
      <c r="D1256" s="46" t="n">
        <v>20260628</v>
      </c>
      <c r="E1256" s="47" t="s">
        <v>499</v>
      </c>
      <c r="F1256" s="48" t="n">
        <v>4935</v>
      </c>
      <c r="G1256" s="48" t="n">
        <v>5079</v>
      </c>
      <c r="H1256" s="48" t="n">
        <v>4859</v>
      </c>
      <c r="I1256" s="48" t="n">
        <v>4915</v>
      </c>
      <c r="J1256" s="48" t="n">
        <v>4881</v>
      </c>
      <c r="K1256" s="48" t="n">
        <v>5022</v>
      </c>
      <c r="L1256" s="48" t="n">
        <v>87586339</v>
      </c>
      <c r="M1256" s="48" t="n">
        <v>430486856185</v>
      </c>
      <c r="N1256" s="48" t="n">
        <v>3014</v>
      </c>
      <c r="O1256" s="48" t="n">
        <v>28266419</v>
      </c>
      <c r="P1256" s="48" t="n">
        <v>58448728</v>
      </c>
      <c r="Q1256" s="48" t="n">
        <v>1157</v>
      </c>
      <c r="R1256" s="48" t="n">
        <v>1851</v>
      </c>
      <c r="S1256" s="48" t="n">
        <v>59319920</v>
      </c>
      <c r="T1256" s="48" t="n">
        <v>29137611</v>
      </c>
      <c r="U1256" s="46" t="n">
        <f aca="false">IF($A1256=$A1255,$U1255+1,1)</f>
        <v>212</v>
      </c>
      <c r="V1256" s="48" t="n">
        <f aca="false">IF($U1256&gt;=MA_SHORT,AVERAGE(INDEX($I$856:$I1256,402-MA_SHORT):$I1256),"")</f>
        <v>4892.05</v>
      </c>
      <c r="W1256" s="48" t="n">
        <f aca="false">IF($U1256&gt;=MA_MED,AVERAGE(INDEX($I$856:$I1256,402-MA_MED):$I1256),"")</f>
        <v>4782.38</v>
      </c>
      <c r="X1256" s="48" t="n">
        <f aca="false">IF($U1256&gt;=MA_LONG1,AVERAGE(INDEX($I$856:$I1256,402-MA_LONG1):$I1256),"")</f>
        <v>4946.34</v>
      </c>
      <c r="Y1256" s="48" t="n">
        <f aca="false">IF($U1256&gt;=MA_LONG2,AVERAGE(INDEX($I$856:$I1256,402-MA_LONG2):$I1256),"")</f>
        <v>5163.005</v>
      </c>
      <c r="Z1256" s="48" t="n">
        <f aca="false">IF($U1256&gt;=MA_SHORT,AVERAGE(INDEX($L$1136:$L1256,122-MA_SHORT):$L1256),"")</f>
        <v>91936937.65</v>
      </c>
      <c r="AA1256" s="48" t="n">
        <f aca="false">IF($U1256=1,$G1256-$H1256,MAX($G1256-$H1256,ABS($G1256-$I1255),ABS($H1256-$I1255)))</f>
        <v>220</v>
      </c>
      <c r="AB1256" s="48" t="n">
        <f aca="false">IF($U1256&gt;=ATR_PER,AVERAGE(INDEX($AA$1136:$AA1256,122-ATR_PER):$AA1256),"")</f>
        <v>181.5</v>
      </c>
      <c r="AC1256" s="48" t="n">
        <f aca="false">$O1256-$P1256</f>
        <v>-30182309</v>
      </c>
      <c r="AD1256" s="48" t="n">
        <f aca="false">$AC1256*$I1256</f>
        <v>-148346048735</v>
      </c>
      <c r="AE1256" s="49" t="n">
        <f aca="false">IF($Q1256&gt;0,$O1256*$I1256/$Q1256/1000000,"")</f>
        <v>120.077311482282</v>
      </c>
      <c r="AF1256" s="49" t="n">
        <f aca="false">IF($R1256&gt;0,$P1256*$I1256/$R1256/1000000,"")</f>
        <v>155.200161058887</v>
      </c>
      <c r="AG1256" s="50" t="n">
        <f aca="false">IF(AND(ISNUMBER($AE1256),ISNUMBER($AF1256),$AF1256&gt;0),$AE1256/$AF1256,"")</f>
        <v>0.773693214382176</v>
      </c>
      <c r="AH1256" s="48" t="n">
        <f aca="false">IF($U1256&gt;=5,SUM(INDEX($AD$1226:$AD1256,32-5):$AD1256),"")</f>
        <v>-286042764848</v>
      </c>
      <c r="AI1256" s="48" t="n">
        <f aca="false">IF($U1256&gt;=STRUCT_S,MAX(INDEX($G$1106:$G1256,152-STRUCT_S):$G1256),"")</f>
        <v>5116</v>
      </c>
      <c r="AJ1256" s="48" t="n">
        <f aca="false">IF($U1256&gt;=STRUCT_S,MIN(INDEX($H$1106:$H1256,152-STRUCT_S):$H1256),"")</f>
        <v>4555</v>
      </c>
      <c r="AK1256" s="48" t="n">
        <f aca="false">IF($U1256&gt;=STRUCT_L,MAX(INDEX($G$1006:$G1256,252-STRUCT_L):$G1256),"")</f>
        <v>5116</v>
      </c>
      <c r="AL1256" s="48" t="n">
        <f aca="false">IF($U1256&gt;=STRUCT_L,MIN(INDEX($H$1006:$H1256,252-STRUCT_L):$H1256),"")</f>
        <v>4240</v>
      </c>
      <c r="AM1256" s="46" t="n">
        <f aca="false">IF($A1256&lt;&gt;$A1257,1,0)</f>
        <v>0</v>
      </c>
      <c r="AN1256" s="47" t="str">
        <f aca="false">IF($AM1256=1,$A1256,"")</f>
        <v/>
      </c>
    </row>
    <row r="1257" customFormat="false" ht="15" hidden="false" customHeight="false" outlineLevel="0" collapsed="false">
      <c r="A1257" s="43" t="s">
        <v>152</v>
      </c>
      <c r="B1257" s="44" t="s">
        <v>154</v>
      </c>
      <c r="C1257" s="45" t="n">
        <v>46202</v>
      </c>
      <c r="D1257" s="46" t="n">
        <v>20260629</v>
      </c>
      <c r="E1257" s="47" t="s">
        <v>500</v>
      </c>
      <c r="F1257" s="48" t="n">
        <v>4939</v>
      </c>
      <c r="G1257" s="48" t="n">
        <v>4967</v>
      </c>
      <c r="H1257" s="48" t="n">
        <v>4732</v>
      </c>
      <c r="I1257" s="48" t="n">
        <v>4783</v>
      </c>
      <c r="J1257" s="48" t="n">
        <v>4863</v>
      </c>
      <c r="K1257" s="48" t="n">
        <v>4915</v>
      </c>
      <c r="L1257" s="48" t="n">
        <v>90172516</v>
      </c>
      <c r="M1257" s="48" t="n">
        <v>431295144028</v>
      </c>
      <c r="N1257" s="48" t="n">
        <v>2130</v>
      </c>
      <c r="O1257" s="48" t="n">
        <v>31423058</v>
      </c>
      <c r="P1257" s="48" t="n">
        <v>58442272</v>
      </c>
      <c r="Q1257" s="48" t="n">
        <v>840</v>
      </c>
      <c r="R1257" s="48" t="n">
        <v>934</v>
      </c>
      <c r="S1257" s="48" t="n">
        <v>58749458</v>
      </c>
      <c r="T1257" s="48" t="n">
        <v>31730244</v>
      </c>
      <c r="U1257" s="46" t="n">
        <f aca="false">IF($A1257=$A1256,$U1256+1,1)</f>
        <v>213</v>
      </c>
      <c r="V1257" s="48" t="n">
        <f aca="false">IF($U1257&gt;=MA_SHORT,AVERAGE(INDEX($I$857:$I1257,402-MA_SHORT):$I1257),"")</f>
        <v>4893.75</v>
      </c>
      <c r="W1257" s="48" t="n">
        <f aca="false">IF($U1257&gt;=MA_MED,AVERAGE(INDEX($I$857:$I1257,402-MA_MED):$I1257),"")</f>
        <v>4788.9</v>
      </c>
      <c r="X1257" s="48" t="n">
        <f aca="false">IF($U1257&gt;=MA_LONG1,AVERAGE(INDEX($I$857:$I1257,402-MA_LONG1):$I1257),"")</f>
        <v>4936.29</v>
      </c>
      <c r="Y1257" s="48" t="n">
        <f aca="false">IF($U1257&gt;=MA_LONG2,AVERAGE(INDEX($I$857:$I1257,402-MA_LONG2):$I1257),"")</f>
        <v>5162.35</v>
      </c>
      <c r="Z1257" s="48" t="n">
        <f aca="false">IF($U1257&gt;=MA_SHORT,AVERAGE(INDEX($L$1137:$L1257,122-MA_SHORT):$L1257),"")</f>
        <v>92077464.5</v>
      </c>
      <c r="AA1257" s="48" t="n">
        <f aca="false">IF($U1257=1,$G1257-$H1257,MAX($G1257-$H1257,ABS($G1257-$I1256),ABS($H1257-$I1256)))</f>
        <v>235</v>
      </c>
      <c r="AB1257" s="48" t="n">
        <f aca="false">IF($U1257&gt;=ATR_PER,AVERAGE(INDEX($AA$1137:$AA1257,122-ATR_PER):$AA1257),"")</f>
        <v>178.214285714286</v>
      </c>
      <c r="AC1257" s="48" t="n">
        <f aca="false">$O1257-$P1257</f>
        <v>-27019214</v>
      </c>
      <c r="AD1257" s="48" t="n">
        <f aca="false">$AC1257*$I1257</f>
        <v>-129232900562</v>
      </c>
      <c r="AE1257" s="49" t="n">
        <f aca="false">IF($Q1257&gt;0,$O1257*$I1257/$Q1257/1000000,"")</f>
        <v>178.924388588095</v>
      </c>
      <c r="AF1257" s="49" t="n">
        <f aca="false">IF($R1257&gt;0,$P1257*$I1257/$R1257/1000000,"")</f>
        <v>299.28199890364</v>
      </c>
      <c r="AG1257" s="50" t="n">
        <f aca="false">IF(AND(ISNUMBER($AE1257),ISNUMBER($AF1257),$AF1257&gt;0),$AE1257/$AF1257,"")</f>
        <v>0.597845474313687</v>
      </c>
      <c r="AH1257" s="48" t="n">
        <f aca="false">IF($U1257&gt;=5,SUM(INDEX($AD$1227:$AD1257,32-5):$AD1257),"")</f>
        <v>-373433959270</v>
      </c>
      <c r="AI1257" s="48" t="n">
        <f aca="false">IF($U1257&gt;=STRUCT_S,MAX(INDEX($G$1107:$G1257,152-STRUCT_S):$G1257),"")</f>
        <v>5116</v>
      </c>
      <c r="AJ1257" s="48" t="n">
        <f aca="false">IF($U1257&gt;=STRUCT_S,MIN(INDEX($H$1107:$H1257,152-STRUCT_S):$H1257),"")</f>
        <v>4555</v>
      </c>
      <c r="AK1257" s="48" t="n">
        <f aca="false">IF($U1257&gt;=STRUCT_L,MAX(INDEX($G$1007:$G1257,252-STRUCT_L):$G1257),"")</f>
        <v>5116</v>
      </c>
      <c r="AL1257" s="48" t="n">
        <f aca="false">IF($U1257&gt;=STRUCT_L,MIN(INDEX($H$1007:$H1257,252-STRUCT_L):$H1257),"")</f>
        <v>4240</v>
      </c>
      <c r="AM1257" s="46" t="n">
        <f aca="false">IF($A1257&lt;&gt;$A1258,1,0)</f>
        <v>0</v>
      </c>
      <c r="AN1257" s="47" t="str">
        <f aca="false">IF($AM1257=1,$A1257,"")</f>
        <v/>
      </c>
    </row>
    <row r="1258" customFormat="false" ht="15" hidden="false" customHeight="false" outlineLevel="0" collapsed="false">
      <c r="A1258" s="43" t="s">
        <v>152</v>
      </c>
      <c r="B1258" s="44" t="s">
        <v>154</v>
      </c>
      <c r="C1258" s="45" t="n">
        <v>46203</v>
      </c>
      <c r="D1258" s="46" t="n">
        <v>20260630</v>
      </c>
      <c r="E1258" s="47" t="s">
        <v>501</v>
      </c>
      <c r="F1258" s="48" t="n">
        <v>4732</v>
      </c>
      <c r="G1258" s="48" t="n">
        <v>4905</v>
      </c>
      <c r="H1258" s="48" t="n">
        <v>4626</v>
      </c>
      <c r="I1258" s="48" t="n">
        <v>4748</v>
      </c>
      <c r="J1258" s="48" t="n">
        <v>4736</v>
      </c>
      <c r="K1258" s="48" t="n">
        <v>4783</v>
      </c>
      <c r="L1258" s="48" t="n">
        <v>81717364</v>
      </c>
      <c r="M1258" s="48" t="n">
        <v>387994044272</v>
      </c>
      <c r="N1258" s="48" t="n">
        <v>4286</v>
      </c>
      <c r="O1258" s="48" t="n">
        <v>37351274</v>
      </c>
      <c r="P1258" s="48" t="n">
        <v>46376649</v>
      </c>
      <c r="Q1258" s="48" t="n">
        <v>1777</v>
      </c>
      <c r="R1258" s="48" t="n">
        <v>1821</v>
      </c>
      <c r="S1258" s="48" t="n">
        <v>44366090</v>
      </c>
      <c r="T1258" s="48" t="n">
        <v>35340715</v>
      </c>
      <c r="U1258" s="46" t="n">
        <f aca="false">IF($A1258=$A1257,$U1257+1,1)</f>
        <v>214</v>
      </c>
      <c r="V1258" s="48" t="n">
        <f aca="false">IF($U1258&gt;=MA_SHORT,AVERAGE(INDEX($I$858:$I1258,402-MA_SHORT):$I1258),"")</f>
        <v>4893.9</v>
      </c>
      <c r="W1258" s="48" t="n">
        <f aca="false">IF($U1258&gt;=MA_MED,AVERAGE(INDEX($I$858:$I1258,402-MA_MED):$I1258),"")</f>
        <v>4792.4</v>
      </c>
      <c r="X1258" s="48" t="n">
        <f aca="false">IF($U1258&gt;=MA_LONG1,AVERAGE(INDEX($I$858:$I1258,402-MA_LONG1):$I1258),"")</f>
        <v>4924.72</v>
      </c>
      <c r="Y1258" s="48" t="n">
        <f aca="false">IF($U1258&gt;=MA_LONG2,AVERAGE(INDEX($I$858:$I1258,402-MA_LONG2):$I1258),"")</f>
        <v>5161.265</v>
      </c>
      <c r="Z1258" s="48" t="n">
        <f aca="false">IF($U1258&gt;=MA_SHORT,AVERAGE(INDEX($L$1138:$L1258,122-MA_SHORT):$L1258),"")</f>
        <v>92260777</v>
      </c>
      <c r="AA1258" s="48" t="n">
        <f aca="false">IF($U1258=1,$G1258-$H1258,MAX($G1258-$H1258,ABS($G1258-$I1257),ABS($H1258-$I1257)))</f>
        <v>279</v>
      </c>
      <c r="AB1258" s="48" t="n">
        <f aca="false">IF($U1258&gt;=ATR_PER,AVERAGE(INDEX($AA$1138:$AA1258,122-ATR_PER):$AA1258),"")</f>
        <v>181.357142857143</v>
      </c>
      <c r="AC1258" s="48" t="n">
        <f aca="false">$O1258-$P1258</f>
        <v>-9025375</v>
      </c>
      <c r="AD1258" s="48" t="n">
        <f aca="false">$AC1258*$I1258</f>
        <v>-42852480500</v>
      </c>
      <c r="AE1258" s="49" t="n">
        <f aca="false">IF($Q1258&gt;0,$O1258*$I1258/$Q1258/1000000,"")</f>
        <v>99.7995773505909</v>
      </c>
      <c r="AF1258" s="49" t="n">
        <f aca="false">IF($R1258&gt;0,$P1258*$I1258/$R1258/1000000,"")</f>
        <v>120.920554339374</v>
      </c>
      <c r="AG1258" s="50" t="n">
        <f aca="false">IF(AND(ISNUMBER($AE1258),ISNUMBER($AF1258),$AF1258&gt;0),$AE1258/$AF1258,"")</f>
        <v>0.825331788262356</v>
      </c>
      <c r="AH1258" s="48" t="n">
        <f aca="false">IF($U1258&gt;=5,SUM(INDEX($AD$1228:$AD1258,32-5):$AD1258),"")</f>
        <v>-443549903823</v>
      </c>
      <c r="AI1258" s="48" t="n">
        <f aca="false">IF($U1258&gt;=STRUCT_S,MAX(INDEX($G$1108:$G1258,152-STRUCT_S):$G1258),"")</f>
        <v>5116</v>
      </c>
      <c r="AJ1258" s="48" t="n">
        <f aca="false">IF($U1258&gt;=STRUCT_S,MIN(INDEX($H$1108:$H1258,152-STRUCT_S):$H1258),"")</f>
        <v>4555</v>
      </c>
      <c r="AK1258" s="48" t="n">
        <f aca="false">IF($U1258&gt;=STRUCT_L,MAX(INDEX($G$1008:$G1258,252-STRUCT_L):$G1258),"")</f>
        <v>5116</v>
      </c>
      <c r="AL1258" s="48" t="n">
        <f aca="false">IF($U1258&gt;=STRUCT_L,MIN(INDEX($H$1008:$H1258,252-STRUCT_L):$H1258),"")</f>
        <v>4240</v>
      </c>
      <c r="AM1258" s="46" t="n">
        <f aca="false">IF($A1258&lt;&gt;$A1259,1,0)</f>
        <v>0</v>
      </c>
      <c r="AN1258" s="47" t="str">
        <f aca="false">IF($AM1258=1,$A1258,"")</f>
        <v/>
      </c>
    </row>
    <row r="1259" customFormat="false" ht="15" hidden="false" customHeight="false" outlineLevel="0" collapsed="false">
      <c r="A1259" s="43" t="s">
        <v>152</v>
      </c>
      <c r="B1259" s="44" t="s">
        <v>154</v>
      </c>
      <c r="C1259" s="45" t="n">
        <v>46204</v>
      </c>
      <c r="D1259" s="46" t="n">
        <v>20260701</v>
      </c>
      <c r="E1259" s="47" t="s">
        <v>502</v>
      </c>
      <c r="F1259" s="48" t="n">
        <v>4740</v>
      </c>
      <c r="G1259" s="48" t="n">
        <v>4770</v>
      </c>
      <c r="H1259" s="48" t="n">
        <v>4714</v>
      </c>
      <c r="I1259" s="48" t="n">
        <v>4736</v>
      </c>
      <c r="J1259" s="48" t="n">
        <v>4762</v>
      </c>
      <c r="K1259" s="48" t="n">
        <v>4748</v>
      </c>
      <c r="L1259" s="48" t="n">
        <v>78836288</v>
      </c>
      <c r="M1259" s="48" t="n">
        <v>373368659968</v>
      </c>
      <c r="N1259" s="48" t="n">
        <v>2459</v>
      </c>
      <c r="O1259" s="48" t="n">
        <v>29115969</v>
      </c>
      <c r="P1259" s="48" t="n">
        <v>48062027</v>
      </c>
      <c r="Q1259" s="48" t="n">
        <v>641</v>
      </c>
      <c r="R1259" s="48" t="n">
        <v>1417</v>
      </c>
      <c r="S1259" s="48" t="n">
        <v>49720319</v>
      </c>
      <c r="T1259" s="48" t="n">
        <v>30774261</v>
      </c>
      <c r="U1259" s="46" t="n">
        <f aca="false">IF($A1259=$A1258,$U1258+1,1)</f>
        <v>215</v>
      </c>
      <c r="V1259" s="48" t="n">
        <f aca="false">IF($U1259&gt;=MA_SHORT,AVERAGE(INDEX($I$859:$I1259,402-MA_SHORT):$I1259),"")</f>
        <v>4885.7</v>
      </c>
      <c r="W1259" s="48" t="n">
        <f aca="false">IF($U1259&gt;=MA_MED,AVERAGE(INDEX($I$859:$I1259,402-MA_MED):$I1259),"")</f>
        <v>4795.18</v>
      </c>
      <c r="X1259" s="48" t="n">
        <f aca="false">IF($U1259&gt;=MA_LONG1,AVERAGE(INDEX($I$859:$I1259,402-MA_LONG1):$I1259),"")</f>
        <v>4913.9</v>
      </c>
      <c r="Y1259" s="48" t="n">
        <f aca="false">IF($U1259&gt;=MA_LONG2,AVERAGE(INDEX($I$859:$I1259,402-MA_LONG2):$I1259),"")</f>
        <v>5160.21</v>
      </c>
      <c r="Z1259" s="48" t="n">
        <f aca="false">IF($U1259&gt;=MA_SHORT,AVERAGE(INDEX($L$1139:$L1259,122-MA_SHORT):$L1259),"")</f>
        <v>91558620.45</v>
      </c>
      <c r="AA1259" s="48" t="n">
        <f aca="false">IF($U1259=1,$G1259-$H1259,MAX($G1259-$H1259,ABS($G1259-$I1258),ABS($H1259-$I1258)))</f>
        <v>56</v>
      </c>
      <c r="AB1259" s="48" t="n">
        <f aca="false">IF($U1259&gt;=ATR_PER,AVERAGE(INDEX($AA$1139:$AA1259,122-ATR_PER):$AA1259),"")</f>
        <v>169.142857142857</v>
      </c>
      <c r="AC1259" s="48" t="n">
        <f aca="false">$O1259-$P1259</f>
        <v>-18946058</v>
      </c>
      <c r="AD1259" s="48" t="n">
        <f aca="false">$AC1259*$I1259</f>
        <v>-89728530688</v>
      </c>
      <c r="AE1259" s="49" t="n">
        <f aca="false">IF($Q1259&gt;0,$O1259*$I1259/$Q1259/1000000,"")</f>
        <v>215.122042408736</v>
      </c>
      <c r="AF1259" s="49" t="n">
        <f aca="false">IF($R1259&gt;0,$P1259*$I1259/$R1259/1000000,"")</f>
        <v>160.636386642202</v>
      </c>
      <c r="AG1259" s="50" t="n">
        <f aca="false">IF(AND(ISNUMBER($AE1259),ISNUMBER($AF1259),$AF1259&gt;0),$AE1259/$AF1259,"")</f>
        <v>1.33918626349517</v>
      </c>
      <c r="AH1259" s="48" t="n">
        <f aca="false">IF($U1259&gt;=5,SUM(INDEX($AD$1229:$AD1259,32-5):$AD1259),"")</f>
        <v>-452761902871</v>
      </c>
      <c r="AI1259" s="48" t="n">
        <f aca="false">IF($U1259&gt;=STRUCT_S,MAX(INDEX($G$1109:$G1259,152-STRUCT_S):$G1259),"")</f>
        <v>5116</v>
      </c>
      <c r="AJ1259" s="48" t="n">
        <f aca="false">IF($U1259&gt;=STRUCT_S,MIN(INDEX($H$1109:$H1259,152-STRUCT_S):$H1259),"")</f>
        <v>4598</v>
      </c>
      <c r="AK1259" s="48" t="n">
        <f aca="false">IF($U1259&gt;=STRUCT_L,MAX(INDEX($G$1009:$G1259,252-STRUCT_L):$G1259),"")</f>
        <v>5116</v>
      </c>
      <c r="AL1259" s="48" t="n">
        <f aca="false">IF($U1259&gt;=STRUCT_L,MIN(INDEX($H$1009:$H1259,252-STRUCT_L):$H1259),"")</f>
        <v>4240</v>
      </c>
      <c r="AM1259" s="46" t="n">
        <f aca="false">IF($A1259&lt;&gt;$A1260,1,0)</f>
        <v>0</v>
      </c>
      <c r="AN1259" s="47" t="str">
        <f aca="false">IF($AM1259=1,$A1259,"")</f>
        <v/>
      </c>
    </row>
    <row r="1260" customFormat="false" ht="15" hidden="false" customHeight="false" outlineLevel="0" collapsed="false">
      <c r="A1260" s="43" t="s">
        <v>152</v>
      </c>
      <c r="B1260" s="44" t="s">
        <v>154</v>
      </c>
      <c r="C1260" s="45" t="n">
        <v>46207</v>
      </c>
      <c r="D1260" s="46" t="n">
        <v>20260704</v>
      </c>
      <c r="E1260" s="47" t="s">
        <v>503</v>
      </c>
      <c r="F1260" s="48" t="n">
        <v>4691</v>
      </c>
      <c r="G1260" s="48" t="n">
        <v>4860</v>
      </c>
      <c r="H1260" s="48" t="n">
        <v>4687</v>
      </c>
      <c r="I1260" s="48" t="n">
        <v>4810</v>
      </c>
      <c r="J1260" s="48" t="n">
        <v>4736</v>
      </c>
      <c r="K1260" s="48" t="n">
        <v>4736</v>
      </c>
      <c r="L1260" s="48" t="n">
        <v>94112304</v>
      </c>
      <c r="M1260" s="48" t="n">
        <v>452680182240</v>
      </c>
      <c r="N1260" s="48" t="n">
        <v>3835</v>
      </c>
      <c r="O1260" s="48" t="n">
        <v>57578566</v>
      </c>
      <c r="P1260" s="48" t="n">
        <v>41444811</v>
      </c>
      <c r="Q1260" s="48" t="n">
        <v>1611</v>
      </c>
      <c r="R1260" s="48" t="n">
        <v>1034</v>
      </c>
      <c r="S1260" s="48" t="n">
        <v>36533738</v>
      </c>
      <c r="T1260" s="48" t="n">
        <v>52667493</v>
      </c>
      <c r="U1260" s="46" t="n">
        <f aca="false">IF($A1260=$A1259,$U1259+1,1)</f>
        <v>216</v>
      </c>
      <c r="V1260" s="48" t="n">
        <f aca="false">IF($U1260&gt;=MA_SHORT,AVERAGE(INDEX($I$860:$I1260,402-MA_SHORT):$I1260),"")</f>
        <v>4879.9</v>
      </c>
      <c r="W1260" s="48" t="n">
        <f aca="false">IF($U1260&gt;=MA_MED,AVERAGE(INDEX($I$860:$I1260,402-MA_MED):$I1260),"")</f>
        <v>4801.78</v>
      </c>
      <c r="X1260" s="48" t="n">
        <f aca="false">IF($U1260&gt;=MA_LONG1,AVERAGE(INDEX($I$860:$I1260,402-MA_LONG1):$I1260),"")</f>
        <v>4904.29</v>
      </c>
      <c r="Y1260" s="48" t="n">
        <f aca="false">IF($U1260&gt;=MA_LONG2,AVERAGE(INDEX($I$860:$I1260,402-MA_LONG2):$I1260),"")</f>
        <v>5159.44</v>
      </c>
      <c r="Z1260" s="48" t="n">
        <f aca="false">IF($U1260&gt;=MA_SHORT,AVERAGE(INDEX($L$1140:$L1260,122-MA_SHORT):$L1260),"")</f>
        <v>92257683.25</v>
      </c>
      <c r="AA1260" s="48" t="n">
        <f aca="false">IF($U1260=1,$G1260-$H1260,MAX($G1260-$H1260,ABS($G1260-$I1259),ABS($H1260-$I1259)))</f>
        <v>173</v>
      </c>
      <c r="AB1260" s="48" t="n">
        <f aca="false">IF($U1260&gt;=ATR_PER,AVERAGE(INDEX($AA$1140:$AA1260,122-ATR_PER):$AA1260),"")</f>
        <v>168.142857142857</v>
      </c>
      <c r="AC1260" s="48" t="n">
        <f aca="false">$O1260-$P1260</f>
        <v>16133755</v>
      </c>
      <c r="AD1260" s="48" t="n">
        <f aca="false">$AC1260*$I1260</f>
        <v>77603361550</v>
      </c>
      <c r="AE1260" s="49" t="n">
        <f aca="false">IF($Q1260&gt;0,$O1260*$I1260/$Q1260/1000000,"")</f>
        <v>171.913657641217</v>
      </c>
      <c r="AF1260" s="49" t="n">
        <f aca="false">IF($R1260&gt;0,$P1260*$I1260/$R1260/1000000,"")</f>
        <v>192.794526992263</v>
      </c>
      <c r="AG1260" s="50" t="n">
        <f aca="false">IF(AND(ISNUMBER($AE1260),ISNUMBER($AF1260),$AF1260&gt;0),$AE1260/$AF1260,"")</f>
        <v>0.891693661242342</v>
      </c>
      <c r="AH1260" s="48" t="n">
        <f aca="false">IF($U1260&gt;=5,SUM(INDEX($AD$1230:$AD1260,32-5):$AD1260),"")</f>
        <v>-332556598935</v>
      </c>
      <c r="AI1260" s="48" t="n">
        <f aca="false">IF($U1260&gt;=STRUCT_S,MAX(INDEX($G$1110:$G1260,152-STRUCT_S):$G1260),"")</f>
        <v>5116</v>
      </c>
      <c r="AJ1260" s="48" t="n">
        <f aca="false">IF($U1260&gt;=STRUCT_S,MIN(INDEX($H$1110:$H1260,152-STRUCT_S):$H1260),"")</f>
        <v>4598</v>
      </c>
      <c r="AK1260" s="48" t="n">
        <f aca="false">IF($U1260&gt;=STRUCT_L,MAX(INDEX($G$1010:$G1260,252-STRUCT_L):$G1260),"")</f>
        <v>5116</v>
      </c>
      <c r="AL1260" s="48" t="n">
        <f aca="false">IF($U1260&gt;=STRUCT_L,MIN(INDEX($H$1010:$H1260,252-STRUCT_L):$H1260),"")</f>
        <v>4240</v>
      </c>
      <c r="AM1260" s="46" t="n">
        <f aca="false">IF($A1260&lt;&gt;$A1261,1,0)</f>
        <v>0</v>
      </c>
      <c r="AN1260" s="47" t="str">
        <f aca="false">IF($AM1260=1,$A1260,"")</f>
        <v/>
      </c>
    </row>
    <row r="1261" customFormat="false" ht="15" hidden="false" customHeight="false" outlineLevel="0" collapsed="false">
      <c r="A1261" s="43" t="s">
        <v>152</v>
      </c>
      <c r="B1261" s="44" t="s">
        <v>154</v>
      </c>
      <c r="C1261" s="45" t="n">
        <v>46208</v>
      </c>
      <c r="D1261" s="46" t="n">
        <v>20260705</v>
      </c>
      <c r="E1261" s="47" t="s">
        <v>504</v>
      </c>
      <c r="F1261" s="48" t="n">
        <v>4804</v>
      </c>
      <c r="G1261" s="48" t="n">
        <v>4825</v>
      </c>
      <c r="H1261" s="48" t="n">
        <v>4763</v>
      </c>
      <c r="I1261" s="48" t="n">
        <v>4778</v>
      </c>
      <c r="J1261" s="48" t="n">
        <v>4771</v>
      </c>
      <c r="K1261" s="48" t="n">
        <v>4810</v>
      </c>
      <c r="L1261" s="48" t="n">
        <v>80758538</v>
      </c>
      <c r="M1261" s="48" t="n">
        <v>385864294564</v>
      </c>
      <c r="N1261" s="48" t="n">
        <v>2060</v>
      </c>
      <c r="O1261" s="48" t="n">
        <v>32910621</v>
      </c>
      <c r="P1261" s="48" t="n">
        <v>47528417</v>
      </c>
      <c r="Q1261" s="48" t="n">
        <v>918</v>
      </c>
      <c r="R1261" s="48" t="n">
        <v>1252</v>
      </c>
      <c r="S1261" s="48" t="n">
        <v>47847917</v>
      </c>
      <c r="T1261" s="48" t="n">
        <v>33230121</v>
      </c>
      <c r="U1261" s="46" t="n">
        <f aca="false">IF($A1261=$A1260,$U1260+1,1)</f>
        <v>217</v>
      </c>
      <c r="V1261" s="48" t="n">
        <f aca="false">IF($U1261&gt;=MA_SHORT,AVERAGE(INDEX($I$861:$I1261,402-MA_SHORT):$I1261),"")</f>
        <v>4873.85</v>
      </c>
      <c r="W1261" s="48" t="n">
        <f aca="false">IF($U1261&gt;=MA_MED,AVERAGE(INDEX($I$861:$I1261,402-MA_MED):$I1261),"")</f>
        <v>4809.84</v>
      </c>
      <c r="X1261" s="48" t="n">
        <f aca="false">IF($U1261&gt;=MA_LONG1,AVERAGE(INDEX($I$861:$I1261,402-MA_LONG1):$I1261),"")</f>
        <v>4895.95</v>
      </c>
      <c r="Y1261" s="48" t="n">
        <f aca="false">IF($U1261&gt;=MA_LONG2,AVERAGE(INDEX($I$861:$I1261,402-MA_LONG2):$I1261),"")</f>
        <v>5158.035</v>
      </c>
      <c r="Z1261" s="48" t="n">
        <f aca="false">IF($U1261&gt;=MA_SHORT,AVERAGE(INDEX($L$1141:$L1261,122-MA_SHORT):$L1261),"")</f>
        <v>92284980.7</v>
      </c>
      <c r="AA1261" s="48" t="n">
        <f aca="false">IF($U1261=1,$G1261-$H1261,MAX($G1261-$H1261,ABS($G1261-$I1260),ABS($H1261-$I1260)))</f>
        <v>62</v>
      </c>
      <c r="AB1261" s="48" t="n">
        <f aca="false">IF($U1261&gt;=ATR_PER,AVERAGE(INDEX($AA$1141:$AA1261,122-ATR_PER):$AA1261),"")</f>
        <v>151.785714285714</v>
      </c>
      <c r="AC1261" s="48" t="n">
        <f aca="false">$O1261-$P1261</f>
        <v>-14617796</v>
      </c>
      <c r="AD1261" s="48" t="n">
        <f aca="false">$AC1261*$I1261</f>
        <v>-69843829288</v>
      </c>
      <c r="AE1261" s="49" t="n">
        <f aca="false">IF($Q1261&gt;0,$O1261*$I1261/$Q1261/1000000,"")</f>
        <v>171.292970738562</v>
      </c>
      <c r="AF1261" s="49" t="n">
        <f aca="false">IF($R1261&gt;0,$P1261*$I1261/$R1261/1000000,"")</f>
        <v>181.382409285943</v>
      </c>
      <c r="AG1261" s="50" t="n">
        <f aca="false">IF(AND(ISNUMBER($AE1261),ISNUMBER($AF1261),$AF1261&gt;0),$AE1261/$AF1261,"")</f>
        <v>0.944374768274939</v>
      </c>
      <c r="AH1261" s="48" t="n">
        <f aca="false">IF($U1261&gt;=5,SUM(INDEX($AD$1231:$AD1261,32-5):$AD1261),"")</f>
        <v>-254054379488</v>
      </c>
      <c r="AI1261" s="48" t="n">
        <f aca="false">IF($U1261&gt;=STRUCT_S,MAX(INDEX($G$1111:$G1261,152-STRUCT_S):$G1261),"")</f>
        <v>5116</v>
      </c>
      <c r="AJ1261" s="48" t="n">
        <f aca="false">IF($U1261&gt;=STRUCT_S,MIN(INDEX($H$1111:$H1261,152-STRUCT_S):$H1261),"")</f>
        <v>4598</v>
      </c>
      <c r="AK1261" s="48" t="n">
        <f aca="false">IF($U1261&gt;=STRUCT_L,MAX(INDEX($G$1011:$G1261,252-STRUCT_L):$G1261),"")</f>
        <v>5116</v>
      </c>
      <c r="AL1261" s="48" t="n">
        <f aca="false">IF($U1261&gt;=STRUCT_L,MIN(INDEX($H$1011:$H1261,252-STRUCT_L):$H1261),"")</f>
        <v>4240</v>
      </c>
      <c r="AM1261" s="46" t="n">
        <f aca="false">IF($A1261&lt;&gt;$A1262,1,0)</f>
        <v>0</v>
      </c>
      <c r="AN1261" s="47" t="str">
        <f aca="false">IF($AM1261=1,$A1261,"")</f>
        <v/>
      </c>
    </row>
    <row r="1262" customFormat="false" ht="15" hidden="false" customHeight="false" outlineLevel="0" collapsed="false">
      <c r="A1262" s="43" t="s">
        <v>152</v>
      </c>
      <c r="B1262" s="44" t="s">
        <v>154</v>
      </c>
      <c r="C1262" s="45" t="n">
        <v>46209</v>
      </c>
      <c r="D1262" s="46" t="n">
        <v>20260706</v>
      </c>
      <c r="E1262" s="47" t="s">
        <v>505</v>
      </c>
      <c r="F1262" s="48" t="n">
        <v>4782</v>
      </c>
      <c r="G1262" s="48" t="n">
        <v>4837</v>
      </c>
      <c r="H1262" s="48" t="n">
        <v>4766</v>
      </c>
      <c r="I1262" s="48" t="n">
        <v>4825</v>
      </c>
      <c r="J1262" s="48" t="n">
        <v>4834</v>
      </c>
      <c r="K1262" s="48" t="n">
        <v>4778</v>
      </c>
      <c r="L1262" s="48" t="n">
        <v>82242104</v>
      </c>
      <c r="M1262" s="48" t="n">
        <v>396818151800</v>
      </c>
      <c r="N1262" s="48" t="n">
        <v>2148</v>
      </c>
      <c r="O1262" s="48" t="n">
        <v>38559965</v>
      </c>
      <c r="P1262" s="48" t="n">
        <v>39997766</v>
      </c>
      <c r="Q1262" s="48" t="n">
        <v>780</v>
      </c>
      <c r="R1262" s="48" t="n">
        <v>894</v>
      </c>
      <c r="S1262" s="48" t="n">
        <v>43682139</v>
      </c>
      <c r="T1262" s="48" t="n">
        <v>42244338</v>
      </c>
      <c r="U1262" s="46" t="n">
        <f aca="false">IF($A1262=$A1261,$U1261+1,1)</f>
        <v>218</v>
      </c>
      <c r="V1262" s="48" t="n">
        <f aca="false">IF($U1262&gt;=MA_SHORT,AVERAGE(INDEX($I$862:$I1262,402-MA_SHORT):$I1262),"")</f>
        <v>4873.6</v>
      </c>
      <c r="W1262" s="48" t="n">
        <f aca="false">IF($U1262&gt;=MA_MED,AVERAGE(INDEX($I$862:$I1262,402-MA_MED):$I1262),"")</f>
        <v>4819.02</v>
      </c>
      <c r="X1262" s="48" t="n">
        <f aca="false">IF($U1262&gt;=MA_LONG1,AVERAGE(INDEX($I$862:$I1262,402-MA_LONG1):$I1262),"")</f>
        <v>4890.02</v>
      </c>
      <c r="Y1262" s="48" t="n">
        <f aca="false">IF($U1262&gt;=MA_LONG2,AVERAGE(INDEX($I$862:$I1262,402-MA_LONG2):$I1262),"")</f>
        <v>5156.845</v>
      </c>
      <c r="Z1262" s="48" t="n">
        <f aca="false">IF($U1262&gt;=MA_SHORT,AVERAGE(INDEX($L$1142:$L1262,122-MA_SHORT):$L1262),"")</f>
        <v>92186018.25</v>
      </c>
      <c r="AA1262" s="48" t="n">
        <f aca="false">IF($U1262=1,$G1262-$H1262,MAX($G1262-$H1262,ABS($G1262-$I1261),ABS($H1262-$I1261)))</f>
        <v>71</v>
      </c>
      <c r="AB1262" s="48" t="n">
        <f aca="false">IF($U1262&gt;=ATR_PER,AVERAGE(INDEX($AA$1142:$AA1262,122-ATR_PER):$AA1262),"")</f>
        <v>137.785714285714</v>
      </c>
      <c r="AC1262" s="48" t="n">
        <f aca="false">$O1262-$P1262</f>
        <v>-1437801</v>
      </c>
      <c r="AD1262" s="48" t="n">
        <f aca="false">$AC1262*$I1262</f>
        <v>-6937389825</v>
      </c>
      <c r="AE1262" s="49" t="n">
        <f aca="false">IF($Q1262&gt;0,$O1262*$I1262/$Q1262/1000000,"")</f>
        <v>238.527988621795</v>
      </c>
      <c r="AF1262" s="49" t="n">
        <f aca="false">IF($R1262&gt;0,$P1262*$I1262/$R1262/1000000,"")</f>
        <v>215.871611800895</v>
      </c>
      <c r="AG1262" s="50" t="n">
        <f aca="false">IF(AND(ISNUMBER($AE1262),ISNUMBER($AF1262),$AF1262&gt;0),$AE1262/$AF1262,"")</f>
        <v>1.10495301643366</v>
      </c>
      <c r="AH1262" s="48" t="n">
        <f aca="false">IF($U1262&gt;=5,SUM(INDEX($AD$1232:$AD1262,32-5):$AD1262),"")</f>
        <v>-131758868751</v>
      </c>
      <c r="AI1262" s="48" t="n">
        <f aca="false">IF($U1262&gt;=STRUCT_S,MAX(INDEX($G$1112:$G1262,152-STRUCT_S):$G1262),"")</f>
        <v>5116</v>
      </c>
      <c r="AJ1262" s="48" t="n">
        <f aca="false">IF($U1262&gt;=STRUCT_S,MIN(INDEX($H$1112:$H1262,152-STRUCT_S):$H1262),"")</f>
        <v>4598</v>
      </c>
      <c r="AK1262" s="48" t="n">
        <f aca="false">IF($U1262&gt;=STRUCT_L,MAX(INDEX($G$1012:$G1262,252-STRUCT_L):$G1262),"")</f>
        <v>5116</v>
      </c>
      <c r="AL1262" s="48" t="n">
        <f aca="false">IF($U1262&gt;=STRUCT_L,MIN(INDEX($H$1012:$H1262,252-STRUCT_L):$H1262),"")</f>
        <v>4240</v>
      </c>
      <c r="AM1262" s="46" t="n">
        <f aca="false">IF($A1262&lt;&gt;$A1263,1,0)</f>
        <v>0</v>
      </c>
      <c r="AN1262" s="47" t="str">
        <f aca="false">IF($AM1262=1,$A1262,"")</f>
        <v/>
      </c>
    </row>
    <row r="1263" customFormat="false" ht="15" hidden="false" customHeight="false" outlineLevel="0" collapsed="false">
      <c r="A1263" s="43" t="s">
        <v>152</v>
      </c>
      <c r="B1263" s="44" t="s">
        <v>154</v>
      </c>
      <c r="C1263" s="45" t="n">
        <v>46210</v>
      </c>
      <c r="D1263" s="46" t="n">
        <v>20260707</v>
      </c>
      <c r="E1263" s="47" t="s">
        <v>506</v>
      </c>
      <c r="F1263" s="48" t="n">
        <v>4933</v>
      </c>
      <c r="G1263" s="48" t="n">
        <v>4982</v>
      </c>
      <c r="H1263" s="48" t="n">
        <v>4721</v>
      </c>
      <c r="I1263" s="48" t="n">
        <v>4877</v>
      </c>
      <c r="J1263" s="48" t="n">
        <v>4944</v>
      </c>
      <c r="K1263" s="48" t="n">
        <v>4825</v>
      </c>
      <c r="L1263" s="48" t="n">
        <v>113689236</v>
      </c>
      <c r="M1263" s="48" t="n">
        <v>554462403972</v>
      </c>
      <c r="N1263" s="48" t="n">
        <v>9298</v>
      </c>
      <c r="O1263" s="48" t="n">
        <v>55502123</v>
      </c>
      <c r="P1263" s="48" t="n">
        <v>56789682</v>
      </c>
      <c r="Q1263" s="48" t="n">
        <v>3506</v>
      </c>
      <c r="R1263" s="48" t="n">
        <v>3093</v>
      </c>
      <c r="S1263" s="48" t="n">
        <v>58187113</v>
      </c>
      <c r="T1263" s="48" t="n">
        <v>56899554</v>
      </c>
      <c r="U1263" s="46" t="n">
        <f aca="false">IF($A1263=$A1262,$U1262+1,1)</f>
        <v>219</v>
      </c>
      <c r="V1263" s="48" t="n">
        <f aca="false">IF($U1263&gt;=MA_SHORT,AVERAGE(INDEX($I$863:$I1263,402-MA_SHORT):$I1263),"")</f>
        <v>4878.85</v>
      </c>
      <c r="W1263" s="48" t="n">
        <f aca="false">IF($U1263&gt;=MA_MED,AVERAGE(INDEX($I$863:$I1263,402-MA_MED):$I1263),"")</f>
        <v>4829.6</v>
      </c>
      <c r="X1263" s="48" t="n">
        <f aca="false">IF($U1263&gt;=MA_LONG1,AVERAGE(INDEX($I$863:$I1263,402-MA_LONG1):$I1263),"")</f>
        <v>4884.63</v>
      </c>
      <c r="Y1263" s="48" t="n">
        <f aca="false">IF($U1263&gt;=MA_LONG2,AVERAGE(INDEX($I$863:$I1263,402-MA_LONG2):$I1263),"")</f>
        <v>5155.675</v>
      </c>
      <c r="Z1263" s="48" t="n">
        <f aca="false">IF($U1263&gt;=MA_SHORT,AVERAGE(INDEX($L$1143:$L1263,122-MA_SHORT):$L1263),"")</f>
        <v>93707783.45</v>
      </c>
      <c r="AA1263" s="48" t="n">
        <f aca="false">IF($U1263=1,$G1263-$H1263,MAX($G1263-$H1263,ABS($G1263-$I1262),ABS($H1263-$I1262)))</f>
        <v>261</v>
      </c>
      <c r="AB1263" s="48" t="n">
        <f aca="false">IF($U1263&gt;=ATR_PER,AVERAGE(INDEX($AA$1143:$AA1263,122-ATR_PER):$AA1263),"")</f>
        <v>142.428571428571</v>
      </c>
      <c r="AC1263" s="48" t="n">
        <f aca="false">$O1263-$P1263</f>
        <v>-1287559</v>
      </c>
      <c r="AD1263" s="48" t="n">
        <f aca="false">$AC1263*$I1263</f>
        <v>-6279425243</v>
      </c>
      <c r="AE1263" s="49" t="n">
        <f aca="false">IF($Q1263&gt;0,$O1263*$I1263/$Q1263/1000000,"")</f>
        <v>77.2058910071306</v>
      </c>
      <c r="AF1263" s="49" t="n">
        <f aca="false">IF($R1263&gt;0,$P1263*$I1263/$R1263/1000000,"")</f>
        <v>89.5451920834142</v>
      </c>
      <c r="AG1263" s="50" t="n">
        <f aca="false">IF(AND(ISNUMBER($AE1263),ISNUMBER($AF1263),$AF1263&gt;0),$AE1263/$AF1263,"")</f>
        <v>0.862200294742915</v>
      </c>
      <c r="AH1263" s="48" t="n">
        <f aca="false">IF($U1263&gt;=5,SUM(INDEX($AD$1233:$AD1263,32-5):$AD1263),"")</f>
        <v>-95185813494</v>
      </c>
      <c r="AI1263" s="48" t="n">
        <f aca="false">IF($U1263&gt;=STRUCT_S,MAX(INDEX($G$1113:$G1263,152-STRUCT_S):$G1263),"")</f>
        <v>5116</v>
      </c>
      <c r="AJ1263" s="48" t="n">
        <f aca="false">IF($U1263&gt;=STRUCT_S,MIN(INDEX($H$1113:$H1263,152-STRUCT_S):$H1263),"")</f>
        <v>4598</v>
      </c>
      <c r="AK1263" s="48" t="n">
        <f aca="false">IF($U1263&gt;=STRUCT_L,MAX(INDEX($G$1013:$G1263,252-STRUCT_L):$G1263),"")</f>
        <v>5116</v>
      </c>
      <c r="AL1263" s="48" t="n">
        <f aca="false">IF($U1263&gt;=STRUCT_L,MIN(INDEX($H$1013:$H1263,252-STRUCT_L):$H1263),"")</f>
        <v>4240</v>
      </c>
      <c r="AM1263" s="46" t="n">
        <f aca="false">IF($A1263&lt;&gt;$A1264,1,0)</f>
        <v>0</v>
      </c>
      <c r="AN1263" s="47" t="str">
        <f aca="false">IF($AM1263=1,$A1263,"")</f>
        <v/>
      </c>
    </row>
    <row r="1264" customFormat="false" ht="15" hidden="false" customHeight="false" outlineLevel="0" collapsed="false">
      <c r="A1264" s="43" t="s">
        <v>152</v>
      </c>
      <c r="B1264" s="44" t="s">
        <v>154</v>
      </c>
      <c r="C1264" s="45" t="n">
        <v>46211</v>
      </c>
      <c r="D1264" s="46" t="n">
        <v>20260708</v>
      </c>
      <c r="E1264" s="47" t="s">
        <v>507</v>
      </c>
      <c r="F1264" s="48" t="n">
        <v>4865</v>
      </c>
      <c r="G1264" s="48" t="n">
        <v>4958</v>
      </c>
      <c r="H1264" s="48" t="n">
        <v>4745</v>
      </c>
      <c r="I1264" s="48" t="n">
        <v>4826</v>
      </c>
      <c r="J1264" s="48" t="n">
        <v>4795</v>
      </c>
      <c r="K1264" s="48" t="n">
        <v>4877</v>
      </c>
      <c r="L1264" s="48" t="n">
        <v>96961980</v>
      </c>
      <c r="M1264" s="48" t="n">
        <v>467938515480</v>
      </c>
      <c r="N1264" s="48" t="n">
        <v>5754</v>
      </c>
      <c r="O1264" s="48" t="n">
        <v>34171295</v>
      </c>
      <c r="P1264" s="48" t="n">
        <v>67502546</v>
      </c>
      <c r="Q1264" s="48" t="n">
        <v>1718</v>
      </c>
      <c r="R1264" s="48" t="n">
        <v>2717</v>
      </c>
      <c r="S1264" s="48" t="n">
        <v>62790685</v>
      </c>
      <c r="T1264" s="48" t="n">
        <v>29459434</v>
      </c>
      <c r="U1264" s="46" t="n">
        <f aca="false">IF($A1264=$A1263,$U1263+1,1)</f>
        <v>220</v>
      </c>
      <c r="V1264" s="48" t="n">
        <f aca="false">IF($U1264&gt;=MA_SHORT,AVERAGE(INDEX($I$864:$I1264,402-MA_SHORT):$I1264),"")</f>
        <v>4887.3</v>
      </c>
      <c r="W1264" s="48" t="n">
        <f aca="false">IF($U1264&gt;=MA_MED,AVERAGE(INDEX($I$864:$I1264,402-MA_MED):$I1264),"")</f>
        <v>4839.54</v>
      </c>
      <c r="X1264" s="48" t="n">
        <f aca="false">IF($U1264&gt;=MA_LONG1,AVERAGE(INDEX($I$864:$I1264,402-MA_LONG1):$I1264),"")</f>
        <v>4880.04</v>
      </c>
      <c r="Y1264" s="48" t="n">
        <f aca="false">IF($U1264&gt;=MA_LONG2,AVERAGE(INDEX($I$864:$I1264,402-MA_LONG2):$I1264),"")</f>
        <v>5153.755</v>
      </c>
      <c r="Z1264" s="48" t="n">
        <f aca="false">IF($U1264&gt;=MA_SHORT,AVERAGE(INDEX($L$1144:$L1264,122-MA_SHORT):$L1264),"")</f>
        <v>93242884.6</v>
      </c>
      <c r="AA1264" s="48" t="n">
        <f aca="false">IF($U1264=1,$G1264-$H1264,MAX($G1264-$H1264,ABS($G1264-$I1263),ABS($H1264-$I1263)))</f>
        <v>213</v>
      </c>
      <c r="AB1264" s="48" t="n">
        <f aca="false">IF($U1264&gt;=ATR_PER,AVERAGE(INDEX($AA$1144:$AA1264,122-ATR_PER):$AA1264),"")</f>
        <v>151.214285714286</v>
      </c>
      <c r="AC1264" s="48" t="n">
        <f aca="false">$O1264-$P1264</f>
        <v>-33331251</v>
      </c>
      <c r="AD1264" s="48" t="n">
        <f aca="false">$AC1264*$I1264</f>
        <v>-160856617326</v>
      </c>
      <c r="AE1264" s="49" t="n">
        <f aca="false">IF($Q1264&gt;0,$O1264*$I1264/$Q1264/1000000,"")</f>
        <v>95.9899124970896</v>
      </c>
      <c r="AF1264" s="49" t="n">
        <f aca="false">IF($R1264&gt;0,$P1264*$I1264/$R1264/1000000,"")</f>
        <v>119.899627160839</v>
      </c>
      <c r="AG1264" s="50" t="n">
        <f aca="false">IF(AND(ISNUMBER($AE1264),ISNUMBER($AF1264),$AF1264&gt;0),$AE1264/$AF1264,"")</f>
        <v>0.80058557953916</v>
      </c>
      <c r="AH1264" s="48" t="n">
        <f aca="false">IF($U1264&gt;=5,SUM(INDEX($AD$1234:$AD1264,32-5):$AD1264),"")</f>
        <v>-166313900132</v>
      </c>
      <c r="AI1264" s="48" t="n">
        <f aca="false">IF($U1264&gt;=STRUCT_S,MAX(INDEX($G$1114:$G1264,152-STRUCT_S):$G1264),"")</f>
        <v>5116</v>
      </c>
      <c r="AJ1264" s="48" t="n">
        <f aca="false">IF($U1264&gt;=STRUCT_S,MIN(INDEX($H$1114:$H1264,152-STRUCT_S):$H1264),"")</f>
        <v>4600</v>
      </c>
      <c r="AK1264" s="48" t="n">
        <f aca="false">IF($U1264&gt;=STRUCT_L,MAX(INDEX($G$1014:$G1264,252-STRUCT_L):$G1264),"")</f>
        <v>5116</v>
      </c>
      <c r="AL1264" s="48" t="n">
        <f aca="false">IF($U1264&gt;=STRUCT_L,MIN(INDEX($H$1014:$H1264,252-STRUCT_L):$H1264),"")</f>
        <v>4240</v>
      </c>
      <c r="AM1264" s="46" t="n">
        <f aca="false">IF($A1264&lt;&gt;$A1265,1,0)</f>
        <v>0</v>
      </c>
      <c r="AN1264" s="47" t="str">
        <f aca="false">IF($AM1264=1,$A1264,"")</f>
        <v/>
      </c>
    </row>
    <row r="1265" customFormat="false" ht="15" hidden="false" customHeight="false" outlineLevel="0" collapsed="false">
      <c r="A1265" s="43" t="s">
        <v>152</v>
      </c>
      <c r="B1265" s="44" t="s">
        <v>154</v>
      </c>
      <c r="C1265" s="45" t="n">
        <v>46214</v>
      </c>
      <c r="D1265" s="46" t="n">
        <v>20260711</v>
      </c>
      <c r="E1265" s="47" t="s">
        <v>508</v>
      </c>
      <c r="F1265" s="48" t="n">
        <v>4825</v>
      </c>
      <c r="G1265" s="48" t="n">
        <v>4878</v>
      </c>
      <c r="H1265" s="48" t="n">
        <v>4751</v>
      </c>
      <c r="I1265" s="48" t="n">
        <v>4802</v>
      </c>
      <c r="J1265" s="48" t="n">
        <v>4770</v>
      </c>
      <c r="K1265" s="48" t="n">
        <v>4826</v>
      </c>
      <c r="L1265" s="48" t="n">
        <v>79975858</v>
      </c>
      <c r="M1265" s="48" t="n">
        <v>384044070116</v>
      </c>
      <c r="N1265" s="48" t="n">
        <v>2459</v>
      </c>
      <c r="O1265" s="48" t="n">
        <v>28567511</v>
      </c>
      <c r="P1265" s="48" t="n">
        <v>53356881</v>
      </c>
      <c r="Q1265" s="48" t="n">
        <v>765</v>
      </c>
      <c r="R1265" s="48" t="n">
        <v>1257</v>
      </c>
      <c r="S1265" s="48" t="n">
        <v>51408347</v>
      </c>
      <c r="T1265" s="48" t="n">
        <v>26618977</v>
      </c>
      <c r="U1265" s="46" t="n">
        <f aca="false">IF($A1265=$A1264,$U1264+1,1)</f>
        <v>221</v>
      </c>
      <c r="V1265" s="48" t="n">
        <f aca="false">IF($U1265&gt;=MA_SHORT,AVERAGE(INDEX($I$865:$I1265,402-MA_SHORT):$I1265),"")</f>
        <v>4888.95</v>
      </c>
      <c r="W1265" s="48" t="n">
        <f aca="false">IF($U1265&gt;=MA_MED,AVERAGE(INDEX($I$865:$I1265,402-MA_MED):$I1265),"")</f>
        <v>4845.76</v>
      </c>
      <c r="X1265" s="48" t="n">
        <f aca="false">IF($U1265&gt;=MA_LONG1,AVERAGE(INDEX($I$865:$I1265,402-MA_LONG1):$I1265),"")</f>
        <v>4875.42</v>
      </c>
      <c r="Y1265" s="48" t="n">
        <f aca="false">IF($U1265&gt;=MA_LONG2,AVERAGE(INDEX($I$865:$I1265,402-MA_LONG2):$I1265),"")</f>
        <v>5150.765</v>
      </c>
      <c r="Z1265" s="48" t="n">
        <f aca="false">IF($U1265&gt;=MA_SHORT,AVERAGE(INDEX($L$1145:$L1265,122-MA_SHORT):$L1265),"")</f>
        <v>91785147.9</v>
      </c>
      <c r="AA1265" s="48" t="n">
        <f aca="false">IF($U1265=1,$G1265-$H1265,MAX($G1265-$H1265,ABS($G1265-$I1264),ABS($H1265-$I1264)))</f>
        <v>127</v>
      </c>
      <c r="AB1265" s="48" t="n">
        <f aca="false">IF($U1265&gt;=ATR_PER,AVERAGE(INDEX($AA$1145:$AA1265,122-ATR_PER):$AA1265),"")</f>
        <v>152.571428571429</v>
      </c>
      <c r="AC1265" s="48" t="n">
        <f aca="false">$O1265-$P1265</f>
        <v>-24789370</v>
      </c>
      <c r="AD1265" s="48" t="n">
        <f aca="false">$AC1265*$I1265</f>
        <v>-119038554740</v>
      </c>
      <c r="AE1265" s="49" t="n">
        <f aca="false">IF($Q1265&gt;0,$O1265*$I1265/$Q1265/1000000,"")</f>
        <v>179.321814146405</v>
      </c>
      <c r="AF1265" s="49" t="n">
        <f aca="false">IF($R1265&gt;0,$P1265*$I1265/$R1265/1000000,"")</f>
        <v>203.834321847255</v>
      </c>
      <c r="AG1265" s="50" t="n">
        <f aca="false">IF(AND(ISNUMBER($AE1265),ISNUMBER($AF1265),$AF1265&gt;0),$AE1265/$AF1265,"")</f>
        <v>0.879742982051773</v>
      </c>
      <c r="AH1265" s="48" t="n">
        <f aca="false">IF($U1265&gt;=5,SUM(INDEX($AD$1235:$AD1265,32-5):$AD1265),"")</f>
        <v>-362955816422</v>
      </c>
      <c r="AI1265" s="48" t="n">
        <f aca="false">IF($U1265&gt;=STRUCT_S,MAX(INDEX($G$1115:$G1265,152-STRUCT_S):$G1265),"")</f>
        <v>5116</v>
      </c>
      <c r="AJ1265" s="48" t="n">
        <f aca="false">IF($U1265&gt;=STRUCT_S,MIN(INDEX($H$1115:$H1265,152-STRUCT_S):$H1265),"")</f>
        <v>4626</v>
      </c>
      <c r="AK1265" s="48" t="n">
        <f aca="false">IF($U1265&gt;=STRUCT_L,MAX(INDEX($G$1015:$G1265,252-STRUCT_L):$G1265),"")</f>
        <v>5116</v>
      </c>
      <c r="AL1265" s="48" t="n">
        <f aca="false">IF($U1265&gt;=STRUCT_L,MIN(INDEX($H$1015:$H1265,252-STRUCT_L):$H1265),"")</f>
        <v>4240</v>
      </c>
      <c r="AM1265" s="46" t="n">
        <f aca="false">IF($A1265&lt;&gt;$A1266,1,0)</f>
        <v>0</v>
      </c>
      <c r="AN1265" s="47" t="str">
        <f aca="false">IF($AM1265=1,$A1265,"")</f>
        <v/>
      </c>
    </row>
    <row r="1266" customFormat="false" ht="15" hidden="false" customHeight="false" outlineLevel="0" collapsed="false">
      <c r="A1266" s="43" t="s">
        <v>152</v>
      </c>
      <c r="B1266" s="44" t="s">
        <v>154</v>
      </c>
      <c r="C1266" s="45" t="n">
        <v>46215</v>
      </c>
      <c r="D1266" s="46" t="n">
        <v>20260712</v>
      </c>
      <c r="E1266" s="47" t="s">
        <v>509</v>
      </c>
      <c r="F1266" s="48" t="n">
        <v>4805</v>
      </c>
      <c r="G1266" s="48" t="n">
        <v>4823</v>
      </c>
      <c r="H1266" s="48" t="n">
        <v>4759</v>
      </c>
      <c r="I1266" s="48" t="n">
        <v>4780</v>
      </c>
      <c r="J1266" s="48" t="n">
        <v>4797</v>
      </c>
      <c r="K1266" s="48" t="n">
        <v>4802</v>
      </c>
      <c r="L1266" s="48" t="n">
        <v>113231359</v>
      </c>
      <c r="M1266" s="48" t="n">
        <v>541245896020</v>
      </c>
      <c r="N1266" s="48" t="n">
        <v>3012</v>
      </c>
      <c r="O1266" s="48" t="n">
        <v>41982826</v>
      </c>
      <c r="P1266" s="48" t="n">
        <v>70126353</v>
      </c>
      <c r="Q1266" s="48" t="n">
        <v>1112</v>
      </c>
      <c r="R1266" s="48" t="n">
        <v>1258</v>
      </c>
      <c r="S1266" s="48" t="n">
        <v>71248533</v>
      </c>
      <c r="T1266" s="48" t="n">
        <v>43105006</v>
      </c>
      <c r="U1266" s="46" t="n">
        <f aca="false">IF($A1266=$A1265,$U1265+1,1)</f>
        <v>222</v>
      </c>
      <c r="V1266" s="48" t="n">
        <f aca="false">IF($U1266&gt;=MA_SHORT,AVERAGE(INDEX($I$866:$I1266,402-MA_SHORT):$I1266),"")</f>
        <v>4888.3</v>
      </c>
      <c r="W1266" s="48" t="n">
        <f aca="false">IF($U1266&gt;=MA_MED,AVERAGE(INDEX($I$866:$I1266,402-MA_MED):$I1266),"")</f>
        <v>4848.9</v>
      </c>
      <c r="X1266" s="48" t="n">
        <f aca="false">IF($U1266&gt;=MA_LONG1,AVERAGE(INDEX($I$866:$I1266,402-MA_LONG1):$I1266),"")</f>
        <v>4871.3</v>
      </c>
      <c r="Y1266" s="48" t="n">
        <f aca="false">IF($U1266&gt;=MA_LONG2,AVERAGE(INDEX($I$866:$I1266,402-MA_LONG2):$I1266),"")</f>
        <v>5148.02</v>
      </c>
      <c r="Z1266" s="48" t="n">
        <f aca="false">IF($U1266&gt;=MA_SHORT,AVERAGE(INDEX($L$1146:$L1266,122-MA_SHORT):$L1266),"")</f>
        <v>92261855.65</v>
      </c>
      <c r="AA1266" s="48" t="n">
        <f aca="false">IF($U1266=1,$G1266-$H1266,MAX($G1266-$H1266,ABS($G1266-$I1265),ABS($H1266-$I1265)))</f>
        <v>64</v>
      </c>
      <c r="AB1266" s="48" t="n">
        <f aca="false">IF($U1266&gt;=ATR_PER,AVERAGE(INDEX($AA$1146:$AA1266,122-ATR_PER):$AA1266),"")</f>
        <v>149.285714285714</v>
      </c>
      <c r="AC1266" s="48" t="n">
        <f aca="false">$O1266-$P1266</f>
        <v>-28143527</v>
      </c>
      <c r="AD1266" s="48" t="n">
        <f aca="false">$AC1266*$I1266</f>
        <v>-134526059060</v>
      </c>
      <c r="AE1266" s="49" t="n">
        <f aca="false">IF($Q1266&gt;0,$O1266*$I1266/$Q1266/1000000,"")</f>
        <v>180.465744856115</v>
      </c>
      <c r="AF1266" s="49" t="n">
        <f aca="false">IF($R1266&gt;0,$P1266*$I1266/$R1266/1000000,"")</f>
        <v>266.457843672496</v>
      </c>
      <c r="AG1266" s="50" t="n">
        <f aca="false">IF(AND(ISNUMBER($AE1266),ISNUMBER($AF1266),$AF1266&gt;0),$AE1266/$AF1266,"")</f>
        <v>0.677276909430844</v>
      </c>
      <c r="AH1266" s="48" t="n">
        <f aca="false">IF($U1266&gt;=5,SUM(INDEX($AD$1236:$AD1266,32-5):$AD1266),"")</f>
        <v>-427638046194</v>
      </c>
      <c r="AI1266" s="48" t="n">
        <f aca="false">IF($U1266&gt;=STRUCT_S,MAX(INDEX($G$1116:$G1266,152-STRUCT_S):$G1266),"")</f>
        <v>5116</v>
      </c>
      <c r="AJ1266" s="48" t="n">
        <f aca="false">IF($U1266&gt;=STRUCT_S,MIN(INDEX($H$1116:$H1266,152-STRUCT_S):$H1266),"")</f>
        <v>4626</v>
      </c>
      <c r="AK1266" s="48" t="n">
        <f aca="false">IF($U1266&gt;=STRUCT_L,MAX(INDEX($G$1016:$G1266,252-STRUCT_L):$G1266),"")</f>
        <v>5116</v>
      </c>
      <c r="AL1266" s="48" t="n">
        <f aca="false">IF($U1266&gt;=STRUCT_L,MIN(INDEX($H$1016:$H1266,252-STRUCT_L):$H1266),"")</f>
        <v>4240</v>
      </c>
      <c r="AM1266" s="46" t="n">
        <f aca="false">IF($A1266&lt;&gt;$A1267,1,0)</f>
        <v>0</v>
      </c>
      <c r="AN1266" s="47" t="str">
        <f aca="false">IF($AM1266=1,$A1266,"")</f>
        <v/>
      </c>
    </row>
    <row r="1267" customFormat="false" ht="15" hidden="false" customHeight="false" outlineLevel="0" collapsed="false">
      <c r="A1267" s="43" t="s">
        <v>152</v>
      </c>
      <c r="B1267" s="44" t="s">
        <v>154</v>
      </c>
      <c r="C1267" s="45" t="n">
        <v>46216</v>
      </c>
      <c r="D1267" s="46" t="n">
        <v>20260713</v>
      </c>
      <c r="E1267" s="47" t="s">
        <v>510</v>
      </c>
      <c r="F1267" s="48" t="n">
        <v>4586</v>
      </c>
      <c r="G1267" s="48" t="n">
        <v>4819</v>
      </c>
      <c r="H1267" s="48" t="n">
        <v>4578</v>
      </c>
      <c r="I1267" s="48" t="n">
        <v>4616</v>
      </c>
      <c r="J1267" s="48" t="n">
        <v>4798</v>
      </c>
      <c r="K1267" s="48" t="n">
        <v>4780</v>
      </c>
      <c r="L1267" s="48" t="n">
        <v>93645285</v>
      </c>
      <c r="M1267" s="48" t="n">
        <v>432266635560</v>
      </c>
      <c r="N1267" s="48" t="n">
        <v>2807</v>
      </c>
      <c r="O1267" s="48" t="n">
        <v>36714328</v>
      </c>
      <c r="P1267" s="48" t="n">
        <v>49197391</v>
      </c>
      <c r="Q1267" s="48" t="n">
        <v>1049</v>
      </c>
      <c r="R1267" s="48" t="n">
        <v>1203</v>
      </c>
      <c r="S1267" s="48" t="n">
        <v>56930957</v>
      </c>
      <c r="T1267" s="48" t="n">
        <v>44447894</v>
      </c>
      <c r="U1267" s="46" t="n">
        <f aca="false">IF($A1267=$A1266,$U1266+1,1)</f>
        <v>223</v>
      </c>
      <c r="V1267" s="48" t="n">
        <f aca="false">IF($U1267&gt;=MA_SHORT,AVERAGE(INDEX($I$867:$I1267,402-MA_SHORT):$I1267),"")</f>
        <v>4871.7</v>
      </c>
      <c r="W1267" s="48" t="n">
        <f aca="false">IF($U1267&gt;=MA_MED,AVERAGE(INDEX($I$867:$I1267,402-MA_MED):$I1267),"")</f>
        <v>4848.52</v>
      </c>
      <c r="X1267" s="48" t="n">
        <f aca="false">IF($U1267&gt;=MA_LONG1,AVERAGE(INDEX($I$867:$I1267,402-MA_LONG1):$I1267),"")</f>
        <v>4864.46</v>
      </c>
      <c r="Y1267" s="48" t="n">
        <f aca="false">IF($U1267&gt;=MA_LONG2,AVERAGE(INDEX($I$867:$I1267,402-MA_LONG2):$I1267),"")</f>
        <v>5145.195</v>
      </c>
      <c r="Z1267" s="48" t="n">
        <f aca="false">IF($U1267&gt;=MA_SHORT,AVERAGE(INDEX($L$1147:$L1267,122-MA_SHORT):$L1267),"")</f>
        <v>90908722.7</v>
      </c>
      <c r="AA1267" s="48" t="n">
        <f aca="false">IF($U1267=1,$G1267-$H1267,MAX($G1267-$H1267,ABS($G1267-$I1266),ABS($H1267-$I1266)))</f>
        <v>241</v>
      </c>
      <c r="AB1267" s="48" t="n">
        <f aca="false">IF($U1267&gt;=ATR_PER,AVERAGE(INDEX($AA$1147:$AA1267,122-ATR_PER):$AA1267),"")</f>
        <v>155.642857142857</v>
      </c>
      <c r="AC1267" s="48" t="n">
        <f aca="false">$O1267-$P1267</f>
        <v>-12483063</v>
      </c>
      <c r="AD1267" s="48" t="n">
        <f aca="false">$AC1267*$I1267</f>
        <v>-57621818808</v>
      </c>
      <c r="AE1267" s="49" t="n">
        <f aca="false">IF($Q1267&gt;0,$O1267*$I1267/$Q1267/1000000,"")</f>
        <v>161.557042943756</v>
      </c>
      <c r="AF1267" s="49" t="n">
        <f aca="false">IF($R1267&gt;0,$P1267*$I1267/$R1267/1000000,"")</f>
        <v>188.774028974231</v>
      </c>
      <c r="AG1267" s="50" t="n">
        <f aca="false">IF(AND(ISNUMBER($AE1267),ISNUMBER($AF1267),$AF1267&gt;0),$AE1267/$AF1267,"")</f>
        <v>0.855822402168519</v>
      </c>
      <c r="AH1267" s="48" t="n">
        <f aca="false">IF($U1267&gt;=5,SUM(INDEX($AD$1237:$AD1267,32-5):$AD1267),"")</f>
        <v>-478322475177</v>
      </c>
      <c r="AI1267" s="48" t="n">
        <f aca="false">IF($U1267&gt;=STRUCT_S,MAX(INDEX($G$1117:$G1267,152-STRUCT_S):$G1267),"")</f>
        <v>5116</v>
      </c>
      <c r="AJ1267" s="48" t="n">
        <f aca="false">IF($U1267&gt;=STRUCT_S,MIN(INDEX($H$1117:$H1267,152-STRUCT_S):$H1267),"")</f>
        <v>4578</v>
      </c>
      <c r="AK1267" s="48" t="n">
        <f aca="false">IF($U1267&gt;=STRUCT_L,MAX(INDEX($G$1017:$G1267,252-STRUCT_L):$G1267),"")</f>
        <v>5116</v>
      </c>
      <c r="AL1267" s="48" t="n">
        <f aca="false">IF($U1267&gt;=STRUCT_L,MIN(INDEX($H$1017:$H1267,252-STRUCT_L):$H1267),"")</f>
        <v>4240</v>
      </c>
      <c r="AM1267" s="46" t="n">
        <f aca="false">IF($A1267&lt;&gt;$A1268,1,0)</f>
        <v>0</v>
      </c>
      <c r="AN1267" s="47" t="str">
        <f aca="false">IF($AM1267=1,$A1267,"")</f>
        <v/>
      </c>
    </row>
    <row r="1268" customFormat="false" ht="15" hidden="false" customHeight="false" outlineLevel="0" collapsed="false">
      <c r="A1268" s="43" t="s">
        <v>152</v>
      </c>
      <c r="B1268" s="44" t="s">
        <v>154</v>
      </c>
      <c r="C1268" s="45" t="n">
        <v>46217</v>
      </c>
      <c r="D1268" s="46" t="n">
        <v>20260714</v>
      </c>
      <c r="E1268" s="47" t="s">
        <v>511</v>
      </c>
      <c r="F1268" s="48" t="n">
        <v>4551</v>
      </c>
      <c r="G1268" s="48" t="n">
        <v>4642</v>
      </c>
      <c r="H1268" s="48" t="n">
        <v>4539</v>
      </c>
      <c r="I1268" s="48" t="n">
        <v>4565</v>
      </c>
      <c r="J1268" s="48" t="n">
        <v>4557</v>
      </c>
      <c r="K1268" s="48" t="n">
        <v>4616</v>
      </c>
      <c r="L1268" s="48" t="n">
        <v>82806733</v>
      </c>
      <c r="M1268" s="48" t="n">
        <v>378012736145</v>
      </c>
      <c r="N1268" s="48" t="n">
        <v>3766</v>
      </c>
      <c r="O1268" s="48" t="n">
        <v>23829562</v>
      </c>
      <c r="P1268" s="48" t="n">
        <v>54730959</v>
      </c>
      <c r="Q1268" s="48" t="n">
        <v>1414</v>
      </c>
      <c r="R1268" s="48" t="n">
        <v>1416</v>
      </c>
      <c r="S1268" s="48" t="n">
        <v>58977171</v>
      </c>
      <c r="T1268" s="48" t="n">
        <v>28075774</v>
      </c>
      <c r="U1268" s="46" t="n">
        <f aca="false">IF($A1268=$A1267,$U1267+1,1)</f>
        <v>224</v>
      </c>
      <c r="V1268" s="48" t="n">
        <f aca="false">IF($U1268&gt;=MA_SHORT,AVERAGE(INDEX($I$868:$I1268,402-MA_SHORT):$I1268),"")</f>
        <v>4849.15</v>
      </c>
      <c r="W1268" s="48" t="n">
        <f aca="false">IF($U1268&gt;=MA_MED,AVERAGE(INDEX($I$868:$I1268,402-MA_MED):$I1268),"")</f>
        <v>4847.06</v>
      </c>
      <c r="X1268" s="48" t="n">
        <f aca="false">IF($U1268&gt;=MA_LONG1,AVERAGE(INDEX($I$868:$I1268,402-MA_LONG1):$I1268),"")</f>
        <v>4856.35</v>
      </c>
      <c r="Y1268" s="48" t="n">
        <f aca="false">IF($U1268&gt;=MA_LONG2,AVERAGE(INDEX($I$868:$I1268,402-MA_LONG2):$I1268),"")</f>
        <v>5142.68</v>
      </c>
      <c r="Z1268" s="48" t="n">
        <f aca="false">IF($U1268&gt;=MA_SHORT,AVERAGE(INDEX($L$1148:$L1268,122-MA_SHORT):$L1268),"")</f>
        <v>90156770.5</v>
      </c>
      <c r="AA1268" s="48" t="n">
        <f aca="false">IF($U1268=1,$G1268-$H1268,MAX($G1268-$H1268,ABS($G1268-$I1267),ABS($H1268-$I1267)))</f>
        <v>103</v>
      </c>
      <c r="AB1268" s="48" t="n">
        <f aca="false">IF($U1268&gt;=ATR_PER,AVERAGE(INDEX($AA$1148:$AA1268,122-ATR_PER):$AA1268),"")</f>
        <v>157.928571428571</v>
      </c>
      <c r="AC1268" s="48" t="n">
        <f aca="false">$O1268-$P1268</f>
        <v>-30901397</v>
      </c>
      <c r="AD1268" s="48" t="n">
        <f aca="false">$AC1268*$I1268</f>
        <v>-141064877305</v>
      </c>
      <c r="AE1268" s="49" t="n">
        <f aca="false">IF($Q1268&gt;0,$O1268*$I1268/$Q1268/1000000,"")</f>
        <v>76.9320725106082</v>
      </c>
      <c r="AF1268" s="49" t="n">
        <f aca="false">IF($R1268&gt;0,$P1268*$I1268/$R1268/1000000,"")</f>
        <v>176.445499883475</v>
      </c>
      <c r="AG1268" s="50" t="n">
        <f aca="false">IF(AND(ISNUMBER($AE1268),ISNUMBER($AF1268),$AF1268&gt;0),$AE1268/$AF1268,"")</f>
        <v>0.436010397326169</v>
      </c>
      <c r="AH1268" s="48" t="n">
        <f aca="false">IF($U1268&gt;=5,SUM(INDEX($AD$1238:$AD1268,32-5):$AD1268),"")</f>
        <v>-613107927239</v>
      </c>
      <c r="AI1268" s="48" t="n">
        <f aca="false">IF($U1268&gt;=STRUCT_S,MAX(INDEX($G$1118:$G1268,152-STRUCT_S):$G1268),"")</f>
        <v>5085</v>
      </c>
      <c r="AJ1268" s="48" t="n">
        <f aca="false">IF($U1268&gt;=STRUCT_S,MIN(INDEX($H$1118:$H1268,152-STRUCT_S):$H1268),"")</f>
        <v>4539</v>
      </c>
      <c r="AK1268" s="48" t="n">
        <f aca="false">IF($U1268&gt;=STRUCT_L,MAX(INDEX($G$1018:$G1268,252-STRUCT_L):$G1268),"")</f>
        <v>5116</v>
      </c>
      <c r="AL1268" s="48" t="n">
        <f aca="false">IF($U1268&gt;=STRUCT_L,MIN(INDEX($H$1018:$H1268,252-STRUCT_L):$H1268),"")</f>
        <v>4240</v>
      </c>
      <c r="AM1268" s="46" t="n">
        <f aca="false">IF($A1268&lt;&gt;$A1269,1,0)</f>
        <v>0</v>
      </c>
      <c r="AN1268" s="47" t="str">
        <f aca="false">IF($AM1268=1,$A1268,"")</f>
        <v/>
      </c>
    </row>
    <row r="1269" customFormat="false" ht="15" hidden="false" customHeight="false" outlineLevel="0" collapsed="false">
      <c r="A1269" s="43" t="s">
        <v>152</v>
      </c>
      <c r="B1269" s="44" t="s">
        <v>154</v>
      </c>
      <c r="C1269" s="45" t="n">
        <v>46218</v>
      </c>
      <c r="D1269" s="46" t="n">
        <v>20260715</v>
      </c>
      <c r="E1269" s="47" t="s">
        <v>512</v>
      </c>
      <c r="F1269" s="48" t="n">
        <v>4629</v>
      </c>
      <c r="G1269" s="48" t="n">
        <v>4775</v>
      </c>
      <c r="H1269" s="48" t="n">
        <v>4529</v>
      </c>
      <c r="I1269" s="48" t="n">
        <v>4737</v>
      </c>
      <c r="J1269" s="48" t="n">
        <v>4561</v>
      </c>
      <c r="K1269" s="48" t="n">
        <v>4565</v>
      </c>
      <c r="L1269" s="48" t="n">
        <v>95214779</v>
      </c>
      <c r="M1269" s="48" t="n">
        <v>451032408123</v>
      </c>
      <c r="N1269" s="48" t="n">
        <v>3433</v>
      </c>
      <c r="O1269" s="48" t="n">
        <v>50679509</v>
      </c>
      <c r="P1269" s="48" t="n">
        <v>56746664</v>
      </c>
      <c r="Q1269" s="48" t="n">
        <v>1682</v>
      </c>
      <c r="R1269" s="48" t="n">
        <v>1223</v>
      </c>
      <c r="S1269" s="48" t="n">
        <v>44535270</v>
      </c>
      <c r="T1269" s="48" t="n">
        <v>38468115</v>
      </c>
      <c r="U1269" s="46" t="n">
        <f aca="false">IF($A1269=$A1268,$U1268+1,1)</f>
        <v>225</v>
      </c>
      <c r="V1269" s="48" t="n">
        <f aca="false">IF($U1269&gt;=MA_SHORT,AVERAGE(INDEX($I$869:$I1269,402-MA_SHORT):$I1269),"")</f>
        <v>4838.1</v>
      </c>
      <c r="W1269" s="48" t="n">
        <f aca="false">IF($U1269&gt;=MA_MED,AVERAGE(INDEX($I$869:$I1269,402-MA_MED):$I1269),"")</f>
        <v>4848.66</v>
      </c>
      <c r="X1269" s="48" t="n">
        <f aca="false">IF($U1269&gt;=MA_LONG1,AVERAGE(INDEX($I$869:$I1269,402-MA_LONG1):$I1269),"")</f>
        <v>4850.09</v>
      </c>
      <c r="Y1269" s="48" t="n">
        <f aca="false">IF($U1269&gt;=MA_LONG2,AVERAGE(INDEX($I$869:$I1269,402-MA_LONG2):$I1269),"")</f>
        <v>5140.49</v>
      </c>
      <c r="Z1269" s="48" t="n">
        <f aca="false">IF($U1269&gt;=MA_SHORT,AVERAGE(INDEX($L$1149:$L1269,122-MA_SHORT):$L1269),"")</f>
        <v>90366524.25</v>
      </c>
      <c r="AA1269" s="48" t="n">
        <f aca="false">IF($U1269=1,$G1269-$H1269,MAX($G1269-$H1269,ABS($G1269-$I1268),ABS($H1269-$I1268)))</f>
        <v>246</v>
      </c>
      <c r="AB1269" s="48" t="n">
        <f aca="false">IF($U1269&gt;=ATR_PER,AVERAGE(INDEX($AA$1149:$AA1269,122-ATR_PER):$AA1269),"")</f>
        <v>167.928571428571</v>
      </c>
      <c r="AC1269" s="48" t="n">
        <f aca="false">$O1269-$P1269</f>
        <v>-6067155</v>
      </c>
      <c r="AD1269" s="48" t="n">
        <f aca="false">$AC1269*$I1269</f>
        <v>-28740113235</v>
      </c>
      <c r="AE1269" s="49" t="n">
        <f aca="false">IF($Q1269&gt;0,$O1269*$I1269/$Q1269/1000000,"")</f>
        <v>142.728201030321</v>
      </c>
      <c r="AF1269" s="49" t="n">
        <f aca="false">IF($R1269&gt;0,$P1269*$I1269/$R1269/1000000,"")</f>
        <v>219.794723931316</v>
      </c>
      <c r="AG1269" s="50" t="n">
        <f aca="false">IF(AND(ISNUMBER($AE1269),ISNUMBER($AF1269),$AF1269&gt;0),$AE1269/$AF1269,"")</f>
        <v>0.649370460206871</v>
      </c>
      <c r="AH1269" s="48" t="n">
        <f aca="false">IF($U1269&gt;=5,SUM(INDEX($AD$1239:$AD1269,32-5):$AD1269),"")</f>
        <v>-480991423148</v>
      </c>
      <c r="AI1269" s="48" t="n">
        <f aca="false">IF($U1269&gt;=STRUCT_S,MAX(INDEX($G$1119:$G1269,152-STRUCT_S):$G1269),"")</f>
        <v>5079</v>
      </c>
      <c r="AJ1269" s="48" t="n">
        <f aca="false">IF($U1269&gt;=STRUCT_S,MIN(INDEX($H$1119:$H1269,152-STRUCT_S):$H1269),"")</f>
        <v>4529</v>
      </c>
      <c r="AK1269" s="48" t="n">
        <f aca="false">IF($U1269&gt;=STRUCT_L,MAX(INDEX($G$1019:$G1269,252-STRUCT_L):$G1269),"")</f>
        <v>5116</v>
      </c>
      <c r="AL1269" s="48" t="n">
        <f aca="false">IF($U1269&gt;=STRUCT_L,MIN(INDEX($H$1019:$H1269,252-STRUCT_L):$H1269),"")</f>
        <v>4240</v>
      </c>
      <c r="AM1269" s="46" t="n">
        <f aca="false">IF($A1269&lt;&gt;$A1270,1,0)</f>
        <v>0</v>
      </c>
      <c r="AN1269" s="47" t="str">
        <f aca="false">IF($AM1269=1,$A1269,"")</f>
        <v/>
      </c>
    </row>
    <row r="1270" customFormat="false" ht="15" hidden="false" customHeight="false" outlineLevel="0" collapsed="false">
      <c r="A1270" s="43" t="s">
        <v>152</v>
      </c>
      <c r="B1270" s="44" t="s">
        <v>154</v>
      </c>
      <c r="C1270" s="45" t="n">
        <v>46221</v>
      </c>
      <c r="D1270" s="46" t="n">
        <v>20260718</v>
      </c>
      <c r="E1270" s="47" t="s">
        <v>513</v>
      </c>
      <c r="F1270" s="48" t="n">
        <v>4802</v>
      </c>
      <c r="G1270" s="48" t="n">
        <v>4808</v>
      </c>
      <c r="H1270" s="48" t="n">
        <v>4695</v>
      </c>
      <c r="I1270" s="48" t="n">
        <v>4766</v>
      </c>
      <c r="J1270" s="48" t="n">
        <v>4794</v>
      </c>
      <c r="K1270" s="48" t="n">
        <v>4737</v>
      </c>
      <c r="L1270" s="48" t="n">
        <v>116438479</v>
      </c>
      <c r="M1270" s="48" t="n">
        <v>554945790914</v>
      </c>
      <c r="N1270" s="48" t="n">
        <v>4472</v>
      </c>
      <c r="O1270" s="48" t="n">
        <v>54071002</v>
      </c>
      <c r="P1270" s="48" t="n">
        <v>65006243</v>
      </c>
      <c r="Q1270" s="48" t="n">
        <v>1699</v>
      </c>
      <c r="R1270" s="48" t="n">
        <v>1214</v>
      </c>
      <c r="S1270" s="48" t="n">
        <v>62367477</v>
      </c>
      <c r="T1270" s="48" t="n">
        <v>51432236</v>
      </c>
      <c r="U1270" s="46" t="n">
        <f aca="false">IF($A1270=$A1269,$U1269+1,1)</f>
        <v>226</v>
      </c>
      <c r="V1270" s="48" t="n">
        <f aca="false">IF($U1270&gt;=MA_SHORT,AVERAGE(INDEX($I$870:$I1270,402-MA_SHORT):$I1270),"")</f>
        <v>4825.25</v>
      </c>
      <c r="W1270" s="48" t="n">
        <f aca="false">IF($U1270&gt;=MA_MED,AVERAGE(INDEX($I$870:$I1270,402-MA_MED):$I1270),"")</f>
        <v>4850.56</v>
      </c>
      <c r="X1270" s="48" t="n">
        <f aca="false">IF($U1270&gt;=MA_LONG1,AVERAGE(INDEX($I$870:$I1270,402-MA_LONG1):$I1270),"")</f>
        <v>4843.94</v>
      </c>
      <c r="Y1270" s="48" t="n">
        <f aca="false">IF($U1270&gt;=MA_LONG2,AVERAGE(INDEX($I$870:$I1270,402-MA_LONG2):$I1270),"")</f>
        <v>5138.86</v>
      </c>
      <c r="Z1270" s="48" t="n">
        <f aca="false">IF($U1270&gt;=MA_SHORT,AVERAGE(INDEX($L$1150:$L1270,122-MA_SHORT):$L1270),"")</f>
        <v>90538292.65</v>
      </c>
      <c r="AA1270" s="48" t="n">
        <f aca="false">IF($U1270=1,$G1270-$H1270,MAX($G1270-$H1270,ABS($G1270-$I1269),ABS($H1270-$I1269)))</f>
        <v>113</v>
      </c>
      <c r="AB1270" s="48" t="n">
        <f aca="false">IF($U1270&gt;=ATR_PER,AVERAGE(INDEX($AA$1150:$AA1270,122-ATR_PER):$AA1270),"")</f>
        <v>160.285714285714</v>
      </c>
      <c r="AC1270" s="48" t="n">
        <f aca="false">$O1270-$P1270</f>
        <v>-10935241</v>
      </c>
      <c r="AD1270" s="48" t="n">
        <f aca="false">$AC1270*$I1270</f>
        <v>-52117358606</v>
      </c>
      <c r="AE1270" s="49" t="n">
        <f aca="false">IF($Q1270&gt;0,$O1270*$I1270/$Q1270/1000000,"")</f>
        <v>151.678867293702</v>
      </c>
      <c r="AF1270" s="49" t="n">
        <f aca="false">IF($R1270&gt;0,$P1270*$I1270/$R1270/1000000,"")</f>
        <v>255.205728285008</v>
      </c>
      <c r="AG1270" s="50" t="n">
        <f aca="false">IF(AND(ISNUMBER($AE1270),ISNUMBER($AF1270),$AF1270&gt;0),$AE1270/$AF1270,"")</f>
        <v>0.594339587567214</v>
      </c>
      <c r="AH1270" s="48" t="n">
        <f aca="false">IF($U1270&gt;=5,SUM(INDEX($AD$1240:$AD1270,32-5):$AD1270),"")</f>
        <v>-414070227014</v>
      </c>
      <c r="AI1270" s="48" t="n">
        <f aca="false">IF($U1270&gt;=STRUCT_S,MAX(INDEX($G$1120:$G1270,152-STRUCT_S):$G1270),"")</f>
        <v>5079</v>
      </c>
      <c r="AJ1270" s="48" t="n">
        <f aca="false">IF($U1270&gt;=STRUCT_S,MIN(INDEX($H$1120:$H1270,152-STRUCT_S):$H1270),"")</f>
        <v>4529</v>
      </c>
      <c r="AK1270" s="48" t="n">
        <f aca="false">IF($U1270&gt;=STRUCT_L,MAX(INDEX($G$1020:$G1270,252-STRUCT_L):$G1270),"")</f>
        <v>5116</v>
      </c>
      <c r="AL1270" s="48" t="n">
        <f aca="false">IF($U1270&gt;=STRUCT_L,MIN(INDEX($H$1020:$H1270,252-STRUCT_L):$H1270),"")</f>
        <v>4240</v>
      </c>
      <c r="AM1270" s="46" t="n">
        <f aca="false">IF($A1270&lt;&gt;$A1271,1,0)</f>
        <v>0</v>
      </c>
      <c r="AN1270" s="47" t="str">
        <f aca="false">IF($AM1270=1,$A1270,"")</f>
        <v/>
      </c>
    </row>
    <row r="1271" customFormat="false" ht="15" hidden="false" customHeight="false" outlineLevel="0" collapsed="false">
      <c r="A1271" s="43" t="s">
        <v>152</v>
      </c>
      <c r="B1271" s="44" t="s">
        <v>154</v>
      </c>
      <c r="C1271" s="45" t="n">
        <v>46222</v>
      </c>
      <c r="D1271" s="46" t="n">
        <v>20260719</v>
      </c>
      <c r="E1271" s="47" t="s">
        <v>514</v>
      </c>
      <c r="F1271" s="48" t="n">
        <v>4696</v>
      </c>
      <c r="G1271" s="48" t="n">
        <v>4990</v>
      </c>
      <c r="H1271" s="48" t="n">
        <v>4667</v>
      </c>
      <c r="I1271" s="48" t="n">
        <v>4889</v>
      </c>
      <c r="J1271" s="48" t="n">
        <v>4838</v>
      </c>
      <c r="K1271" s="48" t="n">
        <v>4766</v>
      </c>
      <c r="L1271" s="48" t="n">
        <v>115397826</v>
      </c>
      <c r="M1271" s="48" t="n">
        <v>564179971314</v>
      </c>
      <c r="N1271" s="48" t="n">
        <v>3779</v>
      </c>
      <c r="O1271" s="48" t="n">
        <v>59622362</v>
      </c>
      <c r="P1271" s="48" t="n">
        <v>51834416</v>
      </c>
      <c r="Q1271" s="48" t="n">
        <v>1400</v>
      </c>
      <c r="R1271" s="48" t="n">
        <v>1767</v>
      </c>
      <c r="S1271" s="48" t="n">
        <v>55775464</v>
      </c>
      <c r="T1271" s="48" t="n">
        <v>63563410</v>
      </c>
      <c r="U1271" s="46" t="n">
        <f aca="false">IF($A1271=$A1270,$U1270+1,1)</f>
        <v>227</v>
      </c>
      <c r="V1271" s="48" t="n">
        <f aca="false">IF($U1271&gt;=MA_SHORT,AVERAGE(INDEX($I$871:$I1271,402-MA_SHORT):$I1271),"")</f>
        <v>4822.2</v>
      </c>
      <c r="W1271" s="48" t="n">
        <f aca="false">IF($U1271&gt;=MA_MED,AVERAGE(INDEX($I$871:$I1271,402-MA_MED):$I1271),"")</f>
        <v>4853.42</v>
      </c>
      <c r="X1271" s="48" t="n">
        <f aca="false">IF($U1271&gt;=MA_LONG1,AVERAGE(INDEX($I$871:$I1271,402-MA_LONG1):$I1271),"")</f>
        <v>4838.45</v>
      </c>
      <c r="Y1271" s="48" t="n">
        <f aca="false">IF($U1271&gt;=MA_LONG2,AVERAGE(INDEX($I$871:$I1271,402-MA_LONG2):$I1271),"")</f>
        <v>5138.095</v>
      </c>
      <c r="Z1271" s="48" t="n">
        <f aca="false">IF($U1271&gt;=MA_SHORT,AVERAGE(INDEX($L$1151:$L1271,122-MA_SHORT):$L1271),"")</f>
        <v>92086664.05</v>
      </c>
      <c r="AA1271" s="48" t="n">
        <f aca="false">IF($U1271=1,$G1271-$H1271,MAX($G1271-$H1271,ABS($G1271-$I1270),ABS($H1271-$I1270)))</f>
        <v>323</v>
      </c>
      <c r="AB1271" s="48" t="n">
        <f aca="false">IF($U1271&gt;=ATR_PER,AVERAGE(INDEX($AA$1151:$AA1271,122-ATR_PER):$AA1271),"")</f>
        <v>166.571428571429</v>
      </c>
      <c r="AC1271" s="48" t="n">
        <f aca="false">$O1271-$P1271</f>
        <v>7787946</v>
      </c>
      <c r="AD1271" s="48" t="n">
        <f aca="false">$AC1271*$I1271</f>
        <v>38075267994</v>
      </c>
      <c r="AE1271" s="49" t="n">
        <f aca="false">IF($Q1271&gt;0,$O1271*$I1271/$Q1271/1000000,"")</f>
        <v>208.209805584286</v>
      </c>
      <c r="AF1271" s="49" t="n">
        <f aca="false">IF($R1271&gt;0,$P1271*$I1271/$R1271/1000000,"")</f>
        <v>143.41735134352</v>
      </c>
      <c r="AG1271" s="50" t="n">
        <f aca="false">IF(AND(ISNUMBER($AE1271),ISNUMBER($AF1271),$AF1271&gt;0),$AE1271/$AF1271,"")</f>
        <v>1.45177556016616</v>
      </c>
      <c r="AH1271" s="48" t="n">
        <f aca="false">IF($U1271&gt;=5,SUM(INDEX($AD$1241:$AD1271,32-5):$AD1271),"")</f>
        <v>-241468899960</v>
      </c>
      <c r="AI1271" s="48" t="n">
        <f aca="false">IF($U1271&gt;=STRUCT_S,MAX(INDEX($G$1121:$G1271,152-STRUCT_S):$G1271),"")</f>
        <v>5079</v>
      </c>
      <c r="AJ1271" s="48" t="n">
        <f aca="false">IF($U1271&gt;=STRUCT_S,MIN(INDEX($H$1121:$H1271,152-STRUCT_S):$H1271),"")</f>
        <v>4529</v>
      </c>
      <c r="AK1271" s="48" t="n">
        <f aca="false">IF($U1271&gt;=STRUCT_L,MAX(INDEX($G$1021:$G1271,252-STRUCT_L):$G1271),"")</f>
        <v>5116</v>
      </c>
      <c r="AL1271" s="48" t="n">
        <f aca="false">IF($U1271&gt;=STRUCT_L,MIN(INDEX($H$1021:$H1271,252-STRUCT_L):$H1271),"")</f>
        <v>4240</v>
      </c>
      <c r="AM1271" s="46" t="n">
        <f aca="false">IF($A1271&lt;&gt;$A1272,1,0)</f>
        <v>0</v>
      </c>
      <c r="AN1271" s="47" t="str">
        <f aca="false">IF($AM1271=1,$A1271,"")</f>
        <v/>
      </c>
    </row>
    <row r="1272" customFormat="false" ht="15" hidden="false" customHeight="false" outlineLevel="0" collapsed="false">
      <c r="A1272" s="43" t="s">
        <v>152</v>
      </c>
      <c r="B1272" s="44" t="s">
        <v>154</v>
      </c>
      <c r="C1272" s="45" t="n">
        <v>46223</v>
      </c>
      <c r="D1272" s="46" t="n">
        <v>20260720</v>
      </c>
      <c r="E1272" s="47" t="s">
        <v>515</v>
      </c>
      <c r="F1272" s="48" t="n">
        <v>4903</v>
      </c>
      <c r="G1272" s="48" t="n">
        <v>4993</v>
      </c>
      <c r="H1272" s="48" t="n">
        <v>4785</v>
      </c>
      <c r="I1272" s="48" t="n">
        <v>4888</v>
      </c>
      <c r="J1272" s="48" t="n">
        <v>4940</v>
      </c>
      <c r="K1272" s="48" t="n">
        <v>4889</v>
      </c>
      <c r="L1272" s="48" t="n">
        <v>97512456</v>
      </c>
      <c r="M1272" s="48" t="n">
        <v>476640884928</v>
      </c>
      <c r="N1272" s="48" t="n">
        <v>3197</v>
      </c>
      <c r="O1272" s="48" t="n">
        <v>50150839</v>
      </c>
      <c r="P1272" s="48" t="n">
        <v>47658542</v>
      </c>
      <c r="Q1272" s="48" t="n">
        <v>1292</v>
      </c>
      <c r="R1272" s="48" t="n">
        <v>1928</v>
      </c>
      <c r="S1272" s="48" t="n">
        <v>47361617</v>
      </c>
      <c r="T1272" s="48" t="n">
        <v>49853914</v>
      </c>
      <c r="U1272" s="46" t="n">
        <f aca="false">IF($A1272=$A1271,$U1271+1,1)</f>
        <v>228</v>
      </c>
      <c r="V1272" s="48" t="n">
        <f aca="false">IF($U1272&gt;=MA_SHORT,AVERAGE(INDEX($I$872:$I1272,402-MA_SHORT):$I1272),"")</f>
        <v>4821.2</v>
      </c>
      <c r="W1272" s="48" t="n">
        <f aca="false">IF($U1272&gt;=MA_MED,AVERAGE(INDEX($I$872:$I1272,402-MA_MED):$I1272),"")</f>
        <v>4854.06</v>
      </c>
      <c r="X1272" s="48" t="n">
        <f aca="false">IF($U1272&gt;=MA_LONG1,AVERAGE(INDEX($I$872:$I1272,402-MA_LONG1):$I1272),"")</f>
        <v>4833.83</v>
      </c>
      <c r="Y1272" s="48" t="n">
        <f aca="false">IF($U1272&gt;=MA_LONG2,AVERAGE(INDEX($I$872:$I1272,402-MA_LONG2):$I1272),"")</f>
        <v>5137.5</v>
      </c>
      <c r="Z1272" s="48" t="n">
        <f aca="false">IF($U1272&gt;=MA_SHORT,AVERAGE(INDEX($L$1152:$L1272,122-MA_SHORT):$L1272),"")</f>
        <v>92881677.75</v>
      </c>
      <c r="AA1272" s="48" t="n">
        <f aca="false">IF($U1272=1,$G1272-$H1272,MAX($G1272-$H1272,ABS($G1272-$I1271),ABS($H1272-$I1271)))</f>
        <v>208</v>
      </c>
      <c r="AB1272" s="48" t="n">
        <f aca="false">IF($U1272&gt;=ATR_PER,AVERAGE(INDEX($AA$1152:$AA1272,122-ATR_PER):$AA1272),"")</f>
        <v>161.5</v>
      </c>
      <c r="AC1272" s="48" t="n">
        <f aca="false">$O1272-$P1272</f>
        <v>2492297</v>
      </c>
      <c r="AD1272" s="48" t="n">
        <f aca="false">$AC1272*$I1272</f>
        <v>12182347736</v>
      </c>
      <c r="AE1272" s="49" t="n">
        <f aca="false">IF($Q1272&gt;0,$O1272*$I1272/$Q1272/1000000,"")</f>
        <v>189.734753120743</v>
      </c>
      <c r="AF1272" s="49" t="n">
        <f aca="false">IF($R1272&gt;0,$P1272*$I1272/$R1272/1000000,"")</f>
        <v>120.82725793361</v>
      </c>
      <c r="AG1272" s="50" t="n">
        <f aca="false">IF(AND(ISNUMBER($AE1272),ISNUMBER($AF1272),$AF1272&gt;0),$AE1272/$AF1272,"")</f>
        <v>1.57029759977666</v>
      </c>
      <c r="AH1272" s="48" t="n">
        <f aca="false">IF($U1272&gt;=5,SUM(INDEX($AD$1242:$AD1272,32-5):$AD1272),"")</f>
        <v>-171664733416</v>
      </c>
      <c r="AI1272" s="48" t="n">
        <f aca="false">IF($U1272&gt;=STRUCT_S,MAX(INDEX($G$1122:$G1272,152-STRUCT_S):$G1272),"")</f>
        <v>5079</v>
      </c>
      <c r="AJ1272" s="48" t="n">
        <f aca="false">IF($U1272&gt;=STRUCT_S,MIN(INDEX($H$1122:$H1272,152-STRUCT_S):$H1272),"")</f>
        <v>4529</v>
      </c>
      <c r="AK1272" s="48" t="n">
        <f aca="false">IF($U1272&gt;=STRUCT_L,MAX(INDEX($G$1022:$G1272,252-STRUCT_L):$G1272),"")</f>
        <v>5116</v>
      </c>
      <c r="AL1272" s="48" t="n">
        <f aca="false">IF($U1272&gt;=STRUCT_L,MIN(INDEX($H$1022:$H1272,252-STRUCT_L):$H1272),"")</f>
        <v>4240</v>
      </c>
      <c r="AM1272" s="46" t="n">
        <f aca="false">IF($A1272&lt;&gt;$A1273,1,0)</f>
        <v>0</v>
      </c>
      <c r="AN1272" s="47" t="str">
        <f aca="false">IF($AM1272=1,$A1272,"")</f>
        <v/>
      </c>
    </row>
    <row r="1273" customFormat="false" ht="15" hidden="false" customHeight="false" outlineLevel="0" collapsed="false">
      <c r="A1273" s="43" t="s">
        <v>152</v>
      </c>
      <c r="B1273" s="44" t="s">
        <v>154</v>
      </c>
      <c r="C1273" s="45" t="n">
        <v>46224</v>
      </c>
      <c r="D1273" s="46" t="n">
        <v>20260721</v>
      </c>
      <c r="E1273" s="47" t="s">
        <v>516</v>
      </c>
      <c r="F1273" s="48" t="n">
        <v>4908</v>
      </c>
      <c r="G1273" s="48" t="n">
        <v>4915</v>
      </c>
      <c r="H1273" s="48" t="n">
        <v>4846</v>
      </c>
      <c r="I1273" s="48" t="n">
        <v>4873</v>
      </c>
      <c r="J1273" s="48" t="n">
        <v>4870</v>
      </c>
      <c r="K1273" s="48" t="n">
        <v>4888</v>
      </c>
      <c r="L1273" s="48" t="n">
        <v>84075993</v>
      </c>
      <c r="M1273" s="48" t="n">
        <v>409702313889</v>
      </c>
      <c r="N1273" s="48" t="n">
        <v>6066</v>
      </c>
      <c r="O1273" s="48" t="n">
        <v>36621587</v>
      </c>
      <c r="P1273" s="48" t="n">
        <v>40472289</v>
      </c>
      <c r="Q1273" s="48" t="n">
        <v>1809</v>
      </c>
      <c r="R1273" s="48" t="n">
        <v>3134</v>
      </c>
      <c r="S1273" s="48" t="n">
        <v>47454406</v>
      </c>
      <c r="T1273" s="48" t="n">
        <v>43603704</v>
      </c>
      <c r="U1273" s="46" t="n">
        <f aca="false">IF($A1273=$A1272,$U1272+1,1)</f>
        <v>229</v>
      </c>
      <c r="V1273" s="48" t="n">
        <f aca="false">IF($U1273&gt;=MA_SHORT,AVERAGE(INDEX($I$873:$I1273,402-MA_SHORT):$I1273),"")</f>
        <v>4813.2</v>
      </c>
      <c r="W1273" s="48" t="n">
        <f aca="false">IF($U1273&gt;=MA_MED,AVERAGE(INDEX($I$873:$I1273,402-MA_MED):$I1273),"")</f>
        <v>4854.72</v>
      </c>
      <c r="X1273" s="48" t="n">
        <f aca="false">IF($U1273&gt;=MA_LONG1,AVERAGE(INDEX($I$873:$I1273,402-MA_LONG1):$I1273),"")</f>
        <v>4829.92</v>
      </c>
      <c r="Y1273" s="48" t="n">
        <f aca="false">IF($U1273&gt;=MA_LONG2,AVERAGE(INDEX($I$873:$I1273,402-MA_LONG2):$I1273),"")</f>
        <v>5137.34</v>
      </c>
      <c r="Z1273" s="48" t="n">
        <f aca="false">IF($U1273&gt;=MA_SHORT,AVERAGE(INDEX($L$1153:$L1273,122-MA_SHORT):$L1273),"")</f>
        <v>92609187.2</v>
      </c>
      <c r="AA1273" s="48" t="n">
        <f aca="false">IF($U1273=1,$G1273-$H1273,MAX($G1273-$H1273,ABS($G1273-$I1272),ABS($H1273-$I1272)))</f>
        <v>69</v>
      </c>
      <c r="AB1273" s="48" t="n">
        <f aca="false">IF($U1273&gt;=ATR_PER,AVERAGE(INDEX($AA$1153:$AA1273,122-ATR_PER):$AA1273),"")</f>
        <v>162.428571428571</v>
      </c>
      <c r="AC1273" s="48" t="n">
        <f aca="false">$O1273-$P1273</f>
        <v>-3850702</v>
      </c>
      <c r="AD1273" s="48" t="n">
        <f aca="false">$AC1273*$I1273</f>
        <v>-18764470846</v>
      </c>
      <c r="AE1273" s="49" t="n">
        <f aca="false">IF($Q1273&gt;0,$O1273*$I1273/$Q1273/1000000,"")</f>
        <v>98.6495265069099</v>
      </c>
      <c r="AF1273" s="49" t="n">
        <f aca="false">IF($R1273&gt;0,$P1273*$I1273/$R1273/1000000,"")</f>
        <v>62.9296312370772</v>
      </c>
      <c r="AG1273" s="50" t="n">
        <f aca="false">IF(AND(ISNUMBER($AE1273),ISNUMBER($AF1273),$AF1273&gt;0),$AE1273/$AF1273,"")</f>
        <v>1.56761647204421</v>
      </c>
      <c r="AH1273" s="48" t="n">
        <f aca="false">IF($U1273&gt;=5,SUM(INDEX($AD$1243:$AD1273,32-5):$AD1273),"")</f>
        <v>-49364326957</v>
      </c>
      <c r="AI1273" s="48" t="n">
        <f aca="false">IF($U1273&gt;=STRUCT_S,MAX(INDEX($G$1123:$G1273,152-STRUCT_S):$G1273),"")</f>
        <v>5079</v>
      </c>
      <c r="AJ1273" s="48" t="n">
        <f aca="false">IF($U1273&gt;=STRUCT_S,MIN(INDEX($H$1123:$H1273,152-STRUCT_S):$H1273),"")</f>
        <v>4529</v>
      </c>
      <c r="AK1273" s="48" t="n">
        <f aca="false">IF($U1273&gt;=STRUCT_L,MAX(INDEX($G$1023:$G1273,252-STRUCT_L):$G1273),"")</f>
        <v>5116</v>
      </c>
      <c r="AL1273" s="48" t="n">
        <f aca="false">IF($U1273&gt;=STRUCT_L,MIN(INDEX($H$1023:$H1273,252-STRUCT_L):$H1273),"")</f>
        <v>4240</v>
      </c>
      <c r="AM1273" s="46" t="n">
        <f aca="false">IF($A1273&lt;&gt;$A1274,1,0)</f>
        <v>0</v>
      </c>
      <c r="AN1273" s="47" t="str">
        <f aca="false">IF($AM1273=1,$A1273,"")</f>
        <v/>
      </c>
    </row>
    <row r="1274" customFormat="false" ht="15" hidden="false" customHeight="false" outlineLevel="0" collapsed="false">
      <c r="A1274" s="43" t="s">
        <v>152</v>
      </c>
      <c r="B1274" s="44" t="s">
        <v>154</v>
      </c>
      <c r="C1274" s="45" t="n">
        <v>46225</v>
      </c>
      <c r="D1274" s="46" t="n">
        <v>20260722</v>
      </c>
      <c r="E1274" s="47" t="s">
        <v>517</v>
      </c>
      <c r="F1274" s="48" t="n">
        <v>4866</v>
      </c>
      <c r="G1274" s="48" t="n">
        <v>5030</v>
      </c>
      <c r="H1274" s="48" t="n">
        <v>4840</v>
      </c>
      <c r="I1274" s="48" t="n">
        <v>4996</v>
      </c>
      <c r="J1274" s="48" t="n">
        <v>4903</v>
      </c>
      <c r="K1274" s="48" t="n">
        <v>4873</v>
      </c>
      <c r="L1274" s="48" t="n">
        <v>89419801</v>
      </c>
      <c r="M1274" s="48" t="n">
        <v>446741325796</v>
      </c>
      <c r="N1274" s="48" t="n">
        <v>2052</v>
      </c>
      <c r="O1274" s="48" t="n">
        <v>48030016</v>
      </c>
      <c r="P1274" s="48" t="n">
        <v>36578447</v>
      </c>
      <c r="Q1274" s="48" t="n">
        <v>1167</v>
      </c>
      <c r="R1274" s="48" t="n">
        <v>671</v>
      </c>
      <c r="S1274" s="48" t="n">
        <v>41389785</v>
      </c>
      <c r="T1274" s="48" t="n">
        <v>52841354</v>
      </c>
      <c r="U1274" s="46" t="n">
        <f aca="false">IF($A1274=$A1273,$U1273+1,1)</f>
        <v>230</v>
      </c>
      <c r="V1274" s="48" t="n">
        <f aca="false">IF($U1274&gt;=MA_SHORT,AVERAGE(INDEX($I$874:$I1274,402-MA_SHORT):$I1274),"")</f>
        <v>4811.6</v>
      </c>
      <c r="W1274" s="48" t="n">
        <f aca="false">IF($U1274&gt;=MA_MED,AVERAGE(INDEX($I$874:$I1274,402-MA_MED):$I1274),"")</f>
        <v>4856.44</v>
      </c>
      <c r="X1274" s="48" t="n">
        <f aca="false">IF($U1274&gt;=MA_LONG1,AVERAGE(INDEX($I$874:$I1274,402-MA_LONG1):$I1274),"")</f>
        <v>4827.47</v>
      </c>
      <c r="Y1274" s="48" t="n">
        <f aca="false">IF($U1274&gt;=MA_LONG2,AVERAGE(INDEX($I$874:$I1274,402-MA_LONG2):$I1274),"")</f>
        <v>5138.49</v>
      </c>
      <c r="Z1274" s="48" t="n">
        <f aca="false">IF($U1274&gt;=MA_SHORT,AVERAGE(INDEX($L$1154:$L1274,122-MA_SHORT):$L1274),"")</f>
        <v>93174099.9</v>
      </c>
      <c r="AA1274" s="48" t="n">
        <f aca="false">IF($U1274=1,$G1274-$H1274,MAX($G1274-$H1274,ABS($G1274-$I1273),ABS($H1274-$I1273)))</f>
        <v>190</v>
      </c>
      <c r="AB1274" s="48" t="n">
        <f aca="false">IF($U1274&gt;=ATR_PER,AVERAGE(INDEX($AA$1154:$AA1274,122-ATR_PER):$AA1274),"")</f>
        <v>163.642857142857</v>
      </c>
      <c r="AC1274" s="48" t="n">
        <f aca="false">$O1274-$P1274</f>
        <v>11451569</v>
      </c>
      <c r="AD1274" s="48" t="n">
        <f aca="false">$AC1274*$I1274</f>
        <v>57212038724</v>
      </c>
      <c r="AE1274" s="49" t="n">
        <f aca="false">IF($Q1274&gt;0,$O1274*$I1274/$Q1274/1000000,"")</f>
        <v>205.619502944302</v>
      </c>
      <c r="AF1274" s="49" t="n">
        <f aca="false">IF($R1274&gt;0,$P1274*$I1274/$R1274/1000000,"")</f>
        <v>272.348615815201</v>
      </c>
      <c r="AG1274" s="50" t="n">
        <f aca="false">IF(AND(ISNUMBER($AE1274),ISNUMBER($AF1274),$AF1274&gt;0),$AE1274/$AF1274,"")</f>
        <v>0.754986407141582</v>
      </c>
      <c r="AH1274" s="48" t="n">
        <f aca="false">IF($U1274&gt;=5,SUM(INDEX($AD$1244:$AD1274,32-5):$AD1274),"")</f>
        <v>36587825002</v>
      </c>
      <c r="AI1274" s="48" t="n">
        <f aca="false">IF($U1274&gt;=STRUCT_S,MAX(INDEX($G$1124:$G1274,152-STRUCT_S):$G1274),"")</f>
        <v>5079</v>
      </c>
      <c r="AJ1274" s="48" t="n">
        <f aca="false">IF($U1274&gt;=STRUCT_S,MIN(INDEX($H$1124:$H1274,152-STRUCT_S):$H1274),"")</f>
        <v>4529</v>
      </c>
      <c r="AK1274" s="48" t="n">
        <f aca="false">IF($U1274&gt;=STRUCT_L,MAX(INDEX($G$1024:$G1274,252-STRUCT_L):$G1274),"")</f>
        <v>5116</v>
      </c>
      <c r="AL1274" s="48" t="n">
        <f aca="false">IF($U1274&gt;=STRUCT_L,MIN(INDEX($H$1024:$H1274,252-STRUCT_L):$H1274),"")</f>
        <v>4240</v>
      </c>
      <c r="AM1274" s="46" t="n">
        <f aca="false">IF($A1274&lt;&gt;$A1275,1,0)</f>
        <v>0</v>
      </c>
      <c r="AN1274" s="47" t="str">
        <f aca="false">IF($AM1274=1,$A1274,"")</f>
        <v/>
      </c>
    </row>
    <row r="1275" customFormat="false" ht="15" hidden="false" customHeight="false" outlineLevel="0" collapsed="false">
      <c r="A1275" s="43" t="s">
        <v>152</v>
      </c>
      <c r="B1275" s="44" t="s">
        <v>154</v>
      </c>
      <c r="C1275" s="45" t="n">
        <v>46228</v>
      </c>
      <c r="D1275" s="46" t="n">
        <v>20260725</v>
      </c>
      <c r="E1275" s="47" t="s">
        <v>518</v>
      </c>
      <c r="F1275" s="48" t="n">
        <v>5158</v>
      </c>
      <c r="G1275" s="48" t="n">
        <v>5159</v>
      </c>
      <c r="H1275" s="48" t="n">
        <v>4971</v>
      </c>
      <c r="I1275" s="48" t="n">
        <v>5133</v>
      </c>
      <c r="J1275" s="48" t="n">
        <v>5155</v>
      </c>
      <c r="K1275" s="48" t="n">
        <v>4996</v>
      </c>
      <c r="L1275" s="48" t="n">
        <v>90435954</v>
      </c>
      <c r="M1275" s="48" t="n">
        <v>464207751882</v>
      </c>
      <c r="N1275" s="48" t="n">
        <v>2452</v>
      </c>
      <c r="O1275" s="48" t="n">
        <v>51502360</v>
      </c>
      <c r="P1275" s="48" t="n">
        <v>38301074</v>
      </c>
      <c r="Q1275" s="48" t="n">
        <v>1310</v>
      </c>
      <c r="R1275" s="48" t="n">
        <v>1137</v>
      </c>
      <c r="S1275" s="48" t="n">
        <v>38933594</v>
      </c>
      <c r="T1275" s="48" t="n">
        <v>52134880</v>
      </c>
      <c r="U1275" s="46" t="n">
        <f aca="false">IF($A1275=$A1274,$U1274+1,1)</f>
        <v>231</v>
      </c>
      <c r="V1275" s="48" t="n">
        <f aca="false">IF($U1275&gt;=MA_SHORT,AVERAGE(INDEX($I$875:$I1275,402-MA_SHORT):$I1275),"")</f>
        <v>4817.15</v>
      </c>
      <c r="W1275" s="48" t="n">
        <f aca="false">IF($U1275&gt;=MA_MED,AVERAGE(INDEX($I$875:$I1275,402-MA_MED):$I1275),"")</f>
        <v>4860.26</v>
      </c>
      <c r="X1275" s="48" t="n">
        <f aca="false">IF($U1275&gt;=MA_LONG1,AVERAGE(INDEX($I$875:$I1275,402-MA_LONG1):$I1275),"")</f>
        <v>4825.25</v>
      </c>
      <c r="Y1275" s="48" t="n">
        <f aca="false">IF($U1275&gt;=MA_LONG2,AVERAGE(INDEX($I$875:$I1275,402-MA_LONG2):$I1275),"")</f>
        <v>5140.28</v>
      </c>
      <c r="Z1275" s="48" t="n">
        <f aca="false">IF($U1275&gt;=MA_SHORT,AVERAGE(INDEX($L$1155:$L1275,122-MA_SHORT):$L1275),"")</f>
        <v>93211559.6</v>
      </c>
      <c r="AA1275" s="48" t="n">
        <f aca="false">IF($U1275=1,$G1275-$H1275,MAX($G1275-$H1275,ABS($G1275-$I1274),ABS($H1275-$I1274)))</f>
        <v>188</v>
      </c>
      <c r="AB1275" s="48" t="n">
        <f aca="false">IF($U1275&gt;=ATR_PER,AVERAGE(INDEX($AA$1155:$AA1275,122-ATR_PER):$AA1275),"")</f>
        <v>172.642857142857</v>
      </c>
      <c r="AC1275" s="48" t="n">
        <f aca="false">$O1275-$P1275</f>
        <v>13201286</v>
      </c>
      <c r="AD1275" s="48" t="n">
        <f aca="false">$AC1275*$I1275</f>
        <v>67762201038</v>
      </c>
      <c r="AE1275" s="49" t="n">
        <f aca="false">IF($Q1275&gt;0,$O1275*$I1275/$Q1275/1000000,"")</f>
        <v>201.802758687023</v>
      </c>
      <c r="AF1275" s="49" t="n">
        <f aca="false">IF($R1275&gt;0,$P1275*$I1275/$R1275/1000000,"")</f>
        <v>172.910653335092</v>
      </c>
      <c r="AG1275" s="50" t="n">
        <f aca="false">IF(AND(ISNUMBER($AE1275),ISNUMBER($AF1275),$AF1275&gt;0),$AE1275/$AF1275,"")</f>
        <v>1.16709268512183</v>
      </c>
      <c r="AH1275" s="48" t="n">
        <f aca="false">IF($U1275&gt;=5,SUM(INDEX($AD$1245:$AD1275,32-5):$AD1275),"")</f>
        <v>156467384646</v>
      </c>
      <c r="AI1275" s="48" t="n">
        <f aca="false">IF($U1275&gt;=STRUCT_S,MAX(INDEX($G$1125:$G1275,152-STRUCT_S):$G1275),"")</f>
        <v>5159</v>
      </c>
      <c r="AJ1275" s="48" t="n">
        <f aca="false">IF($U1275&gt;=STRUCT_S,MIN(INDEX($H$1125:$H1275,152-STRUCT_S):$H1275),"")</f>
        <v>4529</v>
      </c>
      <c r="AK1275" s="48" t="n">
        <f aca="false">IF($U1275&gt;=STRUCT_L,MAX(INDEX($G$1025:$G1275,252-STRUCT_L):$G1275),"")</f>
        <v>5159</v>
      </c>
      <c r="AL1275" s="48" t="n">
        <f aca="false">IF($U1275&gt;=STRUCT_L,MIN(INDEX($H$1025:$H1275,252-STRUCT_L):$H1275),"")</f>
        <v>4397</v>
      </c>
      <c r="AM1275" s="46" t="n">
        <f aca="false">IF($A1275&lt;&gt;$A1276,1,0)</f>
        <v>0</v>
      </c>
      <c r="AN1275" s="47" t="str">
        <f aca="false">IF($AM1275=1,$A1275,"")</f>
        <v/>
      </c>
    </row>
    <row r="1276" customFormat="false" ht="15" hidden="false" customHeight="false" outlineLevel="0" collapsed="false">
      <c r="A1276" s="43" t="s">
        <v>152</v>
      </c>
      <c r="B1276" s="44" t="s">
        <v>154</v>
      </c>
      <c r="C1276" s="45" t="n">
        <v>46229</v>
      </c>
      <c r="D1276" s="46" t="n">
        <v>20260726</v>
      </c>
      <c r="E1276" s="47" t="s">
        <v>519</v>
      </c>
      <c r="F1276" s="48" t="n">
        <v>5069</v>
      </c>
      <c r="G1276" s="48" t="n">
        <v>5326</v>
      </c>
      <c r="H1276" s="48" t="n">
        <v>4996</v>
      </c>
      <c r="I1276" s="48" t="n">
        <v>5188</v>
      </c>
      <c r="J1276" s="48" t="n">
        <v>5106</v>
      </c>
      <c r="K1276" s="48" t="n">
        <v>5133</v>
      </c>
      <c r="L1276" s="48" t="n">
        <v>90541395</v>
      </c>
      <c r="M1276" s="48" t="n">
        <v>469728757260</v>
      </c>
      <c r="N1276" s="48" t="n">
        <v>4429</v>
      </c>
      <c r="O1276" s="48" t="n">
        <v>43973779</v>
      </c>
      <c r="P1276" s="48" t="n">
        <v>47166680</v>
      </c>
      <c r="Q1276" s="48" t="n">
        <v>1992</v>
      </c>
      <c r="R1276" s="48" t="n">
        <v>1973</v>
      </c>
      <c r="S1276" s="48" t="n">
        <v>46567616</v>
      </c>
      <c r="T1276" s="48" t="n">
        <v>43374715</v>
      </c>
      <c r="U1276" s="46" t="n">
        <f aca="false">IF($A1276=$A1275,$U1275+1,1)</f>
        <v>232</v>
      </c>
      <c r="V1276" s="48" t="n">
        <f aca="false">IF($U1276&gt;=MA_SHORT,AVERAGE(INDEX($I$876:$I1276,402-MA_SHORT):$I1276),"")</f>
        <v>4830.8</v>
      </c>
      <c r="W1276" s="48" t="n">
        <f aca="false">IF($U1276&gt;=MA_MED,AVERAGE(INDEX($I$876:$I1276,402-MA_MED):$I1276),"")</f>
        <v>4863.96</v>
      </c>
      <c r="X1276" s="48" t="n">
        <f aca="false">IF($U1276&gt;=MA_LONG1,AVERAGE(INDEX($I$876:$I1276,402-MA_LONG1):$I1276),"")</f>
        <v>4824.73</v>
      </c>
      <c r="Y1276" s="48" t="n">
        <f aca="false">IF($U1276&gt;=MA_LONG2,AVERAGE(INDEX($I$876:$I1276,402-MA_LONG2):$I1276),"")</f>
        <v>5142.14</v>
      </c>
      <c r="Z1276" s="48" t="n">
        <f aca="false">IF($U1276&gt;=MA_SHORT,AVERAGE(INDEX($L$1156:$L1276,122-MA_SHORT):$L1276),"")</f>
        <v>93359312.4</v>
      </c>
      <c r="AA1276" s="48" t="n">
        <f aca="false">IF($U1276=1,$G1276-$H1276,MAX($G1276-$H1276,ABS($G1276-$I1275),ABS($H1276-$I1275)))</f>
        <v>330</v>
      </c>
      <c r="AB1276" s="48" t="n">
        <f aca="false">IF($U1276&gt;=ATR_PER,AVERAGE(INDEX($AA$1156:$AA1276,122-ATR_PER):$AA1276),"")</f>
        <v>191.142857142857</v>
      </c>
      <c r="AC1276" s="48" t="n">
        <f aca="false">$O1276-$P1276</f>
        <v>-3192901</v>
      </c>
      <c r="AD1276" s="48" t="n">
        <f aca="false">$AC1276*$I1276</f>
        <v>-16564770388</v>
      </c>
      <c r="AE1276" s="49" t="n">
        <f aca="false">IF($Q1276&gt;0,$O1276*$I1276/$Q1276/1000000,"")</f>
        <v>114.526087074297</v>
      </c>
      <c r="AF1276" s="49" t="n">
        <f aca="false">IF($R1276&gt;0,$P1276*$I1276/$R1276/1000000,"")</f>
        <v>124.024701388748</v>
      </c>
      <c r="AG1276" s="50" t="n">
        <f aca="false">IF(AND(ISNUMBER($AE1276),ISNUMBER($AF1276),$AF1276&gt;0),$AE1276/$AF1276,"")</f>
        <v>0.923413528046497</v>
      </c>
      <c r="AH1276" s="48" t="n">
        <f aca="false">IF($U1276&gt;=5,SUM(INDEX($AD$1246:$AD1276,32-5):$AD1276),"")</f>
        <v>101827346264</v>
      </c>
      <c r="AI1276" s="48" t="n">
        <f aca="false">IF($U1276&gt;=STRUCT_S,MAX(INDEX($G$1126:$G1276,152-STRUCT_S):$G1276),"")</f>
        <v>5326</v>
      </c>
      <c r="AJ1276" s="48" t="n">
        <f aca="false">IF($U1276&gt;=STRUCT_S,MIN(INDEX($H$1126:$H1276,152-STRUCT_S):$H1276),"")</f>
        <v>4529</v>
      </c>
      <c r="AK1276" s="48" t="n">
        <f aca="false">IF($U1276&gt;=STRUCT_L,MAX(INDEX($G$1026:$G1276,252-STRUCT_L):$G1276),"")</f>
        <v>5326</v>
      </c>
      <c r="AL1276" s="48" t="n">
        <f aca="false">IF($U1276&gt;=STRUCT_L,MIN(INDEX($H$1026:$H1276,252-STRUCT_L):$H1276),"")</f>
        <v>4529</v>
      </c>
      <c r="AM1276" s="46" t="n">
        <f aca="false">IF($A1276&lt;&gt;$A1277,1,0)</f>
        <v>0</v>
      </c>
      <c r="AN1276" s="47" t="str">
        <f aca="false">IF($AM1276=1,$A1276,"")</f>
        <v/>
      </c>
    </row>
    <row r="1277" customFormat="false" ht="15" hidden="false" customHeight="false" outlineLevel="0" collapsed="false">
      <c r="A1277" s="43" t="s">
        <v>152</v>
      </c>
      <c r="B1277" s="44" t="s">
        <v>154</v>
      </c>
      <c r="C1277" s="45" t="n">
        <v>46230</v>
      </c>
      <c r="D1277" s="46" t="n">
        <v>20260727</v>
      </c>
      <c r="E1277" s="47" t="s">
        <v>520</v>
      </c>
      <c r="F1277" s="48" t="n">
        <v>5177</v>
      </c>
      <c r="G1277" s="48" t="n">
        <v>5216</v>
      </c>
      <c r="H1277" s="48" t="n">
        <v>5166</v>
      </c>
      <c r="I1277" s="48" t="n">
        <v>5194</v>
      </c>
      <c r="J1277" s="48" t="n">
        <v>5180</v>
      </c>
      <c r="K1277" s="48" t="n">
        <v>5188</v>
      </c>
      <c r="L1277" s="48" t="n">
        <v>92571144</v>
      </c>
      <c r="M1277" s="48" t="n">
        <v>480814521936</v>
      </c>
      <c r="N1277" s="48" t="n">
        <v>8548</v>
      </c>
      <c r="O1277" s="48" t="n">
        <v>47044640</v>
      </c>
      <c r="P1277" s="48" t="n">
        <v>43564741</v>
      </c>
      <c r="Q1277" s="48" t="n">
        <v>3788</v>
      </c>
      <c r="R1277" s="48" t="n">
        <v>4053</v>
      </c>
      <c r="S1277" s="48" t="n">
        <v>45526504</v>
      </c>
      <c r="T1277" s="48" t="n">
        <v>49006403</v>
      </c>
      <c r="U1277" s="46" t="n">
        <f aca="false">IF($A1277=$A1276,$U1276+1,1)</f>
        <v>233</v>
      </c>
      <c r="V1277" s="48" t="n">
        <f aca="false">IF($U1277&gt;=MA_SHORT,AVERAGE(INDEX($I$877:$I1277,402-MA_SHORT):$I1277),"")</f>
        <v>4851.35</v>
      </c>
      <c r="W1277" s="48" t="n">
        <f aca="false">IF($U1277&gt;=MA_MED,AVERAGE(INDEX($I$877:$I1277,402-MA_MED):$I1277),"")</f>
        <v>4870.42</v>
      </c>
      <c r="X1277" s="48" t="n">
        <f aca="false">IF($U1277&gt;=MA_LONG1,AVERAGE(INDEX($I$877:$I1277,402-MA_LONG1):$I1277),"")</f>
        <v>4823.42</v>
      </c>
      <c r="Y1277" s="48" t="n">
        <f aca="false">IF($U1277&gt;=MA_LONG2,AVERAGE(INDEX($I$877:$I1277,402-MA_LONG2):$I1277),"")</f>
        <v>5143.425</v>
      </c>
      <c r="Z1277" s="48" t="n">
        <f aca="false">IF($U1277&gt;=MA_SHORT,AVERAGE(INDEX($L$1157:$L1277,122-MA_SHORT):$L1277),"")</f>
        <v>93479243.8</v>
      </c>
      <c r="AA1277" s="48" t="n">
        <f aca="false">IF($U1277=1,$G1277-$H1277,MAX($G1277-$H1277,ABS($G1277-$I1276),ABS($H1277-$I1276)))</f>
        <v>50</v>
      </c>
      <c r="AB1277" s="48" t="n">
        <f aca="false">IF($U1277&gt;=ATR_PER,AVERAGE(INDEX($AA$1157:$AA1277,122-ATR_PER):$AA1277),"")</f>
        <v>176.071428571429</v>
      </c>
      <c r="AC1277" s="48" t="n">
        <f aca="false">$O1277-$P1277</f>
        <v>3479899</v>
      </c>
      <c r="AD1277" s="48" t="n">
        <f aca="false">$AC1277*$I1277</f>
        <v>18074595406</v>
      </c>
      <c r="AE1277" s="49" t="n">
        <f aca="false">IF($Q1277&gt;0,$O1277*$I1277/$Q1277/1000000,"")</f>
        <v>64.5062988806758</v>
      </c>
      <c r="AF1277" s="49" t="n">
        <f aca="false">IF($R1277&gt;0,$P1277*$I1277/$R1277/1000000,"")</f>
        <v>55.8290808670121</v>
      </c>
      <c r="AG1277" s="50" t="n">
        <f aca="false">IF(AND(ISNUMBER($AE1277),ISNUMBER($AF1277),$AF1277&gt;0),$AE1277/$AF1277,"")</f>
        <v>1.15542469764697</v>
      </c>
      <c r="AH1277" s="48" t="n">
        <f aca="false">IF($U1277&gt;=5,SUM(INDEX($AD$1247:$AD1277,32-5):$AD1277),"")</f>
        <v>107719593934</v>
      </c>
      <c r="AI1277" s="48" t="n">
        <f aca="false">IF($U1277&gt;=STRUCT_S,MAX(INDEX($G$1127:$G1277,152-STRUCT_S):$G1277),"")</f>
        <v>5326</v>
      </c>
      <c r="AJ1277" s="48" t="n">
        <f aca="false">IF($U1277&gt;=STRUCT_S,MIN(INDEX($H$1127:$H1277,152-STRUCT_S):$H1277),"")</f>
        <v>4529</v>
      </c>
      <c r="AK1277" s="48" t="n">
        <f aca="false">IF($U1277&gt;=STRUCT_L,MAX(INDEX($G$1027:$G1277,252-STRUCT_L):$G1277),"")</f>
        <v>5326</v>
      </c>
      <c r="AL1277" s="48" t="n">
        <f aca="false">IF($U1277&gt;=STRUCT_L,MIN(INDEX($H$1027:$H1277,252-STRUCT_L):$H1277),"")</f>
        <v>4529</v>
      </c>
      <c r="AM1277" s="46" t="n">
        <f aca="false">IF($A1277&lt;&gt;$A1278,1,0)</f>
        <v>0</v>
      </c>
      <c r="AN1277" s="47" t="str">
        <f aca="false">IF($AM1277=1,$A1277,"")</f>
        <v/>
      </c>
    </row>
    <row r="1278" customFormat="false" ht="15" hidden="false" customHeight="false" outlineLevel="0" collapsed="false">
      <c r="A1278" s="43" t="s">
        <v>152</v>
      </c>
      <c r="B1278" s="44" t="s">
        <v>154</v>
      </c>
      <c r="C1278" s="45" t="n">
        <v>46231</v>
      </c>
      <c r="D1278" s="46" t="n">
        <v>20260728</v>
      </c>
      <c r="E1278" s="47" t="s">
        <v>521</v>
      </c>
      <c r="F1278" s="48" t="n">
        <v>4941</v>
      </c>
      <c r="G1278" s="48" t="n">
        <v>5292</v>
      </c>
      <c r="H1278" s="48" t="n">
        <v>4939</v>
      </c>
      <c r="I1278" s="48" t="n">
        <v>5034</v>
      </c>
      <c r="J1278" s="48" t="n">
        <v>5260</v>
      </c>
      <c r="K1278" s="48" t="n">
        <v>5194</v>
      </c>
      <c r="L1278" s="48" t="n">
        <v>101150453</v>
      </c>
      <c r="M1278" s="48" t="n">
        <v>509191380402</v>
      </c>
      <c r="N1278" s="48" t="n">
        <v>2988</v>
      </c>
      <c r="O1278" s="48" t="n">
        <v>35463745</v>
      </c>
      <c r="P1278" s="48" t="n">
        <v>56572460</v>
      </c>
      <c r="Q1278" s="48" t="n">
        <v>1188</v>
      </c>
      <c r="R1278" s="48" t="n">
        <v>1807</v>
      </c>
      <c r="S1278" s="48" t="n">
        <v>65686708</v>
      </c>
      <c r="T1278" s="48" t="n">
        <v>44577993</v>
      </c>
      <c r="U1278" s="46" t="n">
        <f aca="false">IF($A1278=$A1277,$U1277+1,1)</f>
        <v>234</v>
      </c>
      <c r="V1278" s="48" t="n">
        <f aca="false">IF($U1278&gt;=MA_SHORT,AVERAGE(INDEX($I$878:$I1278,402-MA_SHORT):$I1278),"")</f>
        <v>4865.65</v>
      </c>
      <c r="W1278" s="48" t="n">
        <f aca="false">IF($U1278&gt;=MA_MED,AVERAGE(INDEX($I$878:$I1278,402-MA_MED):$I1278),"")</f>
        <v>4871.46</v>
      </c>
      <c r="X1278" s="48" t="n">
        <f aca="false">IF($U1278&gt;=MA_LONG1,AVERAGE(INDEX($I$878:$I1278,402-MA_LONG1):$I1278),"")</f>
        <v>4823.12</v>
      </c>
      <c r="Y1278" s="48" t="n">
        <f aca="false">IF($U1278&gt;=MA_LONG2,AVERAGE(INDEX($I$878:$I1278,402-MA_LONG2):$I1278),"")</f>
        <v>5143.695</v>
      </c>
      <c r="Z1278" s="48" t="n">
        <f aca="false">IF($U1278&gt;=MA_SHORT,AVERAGE(INDEX($L$1158:$L1278,122-MA_SHORT):$L1278),"")</f>
        <v>94450898.25</v>
      </c>
      <c r="AA1278" s="48" t="n">
        <f aca="false">IF($U1278=1,$G1278-$H1278,MAX($G1278-$H1278,ABS($G1278-$I1277),ABS($H1278-$I1277)))</f>
        <v>353</v>
      </c>
      <c r="AB1278" s="48" t="n">
        <f aca="false">IF($U1278&gt;=ATR_PER,AVERAGE(INDEX($AA$1158:$AA1278,122-ATR_PER):$AA1278),"")</f>
        <v>186.071428571429</v>
      </c>
      <c r="AC1278" s="48" t="n">
        <f aca="false">$O1278-$P1278</f>
        <v>-21108715</v>
      </c>
      <c r="AD1278" s="48" t="n">
        <f aca="false">$AC1278*$I1278</f>
        <v>-106261271310</v>
      </c>
      <c r="AE1278" s="49" t="n">
        <f aca="false">IF($Q1278&gt;0,$O1278*$I1278/$Q1278/1000000,"")</f>
        <v>150.273141691919</v>
      </c>
      <c r="AF1278" s="49" t="n">
        <f aca="false">IF($R1278&gt;0,$P1278*$I1278/$R1278/1000000,"")</f>
        <v>157.601418727172</v>
      </c>
      <c r="AG1278" s="50" t="n">
        <f aca="false">IF(AND(ISNUMBER($AE1278),ISNUMBER($AF1278),$AF1278&gt;0),$AE1278/$AF1278,"")</f>
        <v>0.953501198818907</v>
      </c>
      <c r="AH1278" s="48" t="n">
        <f aca="false">IF($U1278&gt;=5,SUM(INDEX($AD$1248:$AD1278,32-5):$AD1278),"")</f>
        <v>20222793470</v>
      </c>
      <c r="AI1278" s="48" t="n">
        <f aca="false">IF($U1278&gt;=STRUCT_S,MAX(INDEX($G$1128:$G1278,152-STRUCT_S):$G1278),"")</f>
        <v>5326</v>
      </c>
      <c r="AJ1278" s="48" t="n">
        <f aca="false">IF($U1278&gt;=STRUCT_S,MIN(INDEX($H$1128:$H1278,152-STRUCT_S):$H1278),"")</f>
        <v>4529</v>
      </c>
      <c r="AK1278" s="48" t="n">
        <f aca="false">IF($U1278&gt;=STRUCT_L,MAX(INDEX($G$1028:$G1278,252-STRUCT_L):$G1278),"")</f>
        <v>5326</v>
      </c>
      <c r="AL1278" s="48" t="n">
        <f aca="false">IF($U1278&gt;=STRUCT_L,MIN(INDEX($H$1028:$H1278,252-STRUCT_L):$H1278),"")</f>
        <v>4529</v>
      </c>
      <c r="AM1278" s="46" t="n">
        <f aca="false">IF($A1278&lt;&gt;$A1279,1,0)</f>
        <v>0</v>
      </c>
      <c r="AN1278" s="47" t="str">
        <f aca="false">IF($AM1278=1,$A1278,"")</f>
        <v/>
      </c>
    </row>
    <row r="1279" customFormat="false" ht="15" hidden="false" customHeight="false" outlineLevel="0" collapsed="false">
      <c r="A1279" s="43" t="s">
        <v>152</v>
      </c>
      <c r="B1279" s="44" t="s">
        <v>154</v>
      </c>
      <c r="C1279" s="45" t="n">
        <v>46232</v>
      </c>
      <c r="D1279" s="46" t="n">
        <v>20260729</v>
      </c>
      <c r="E1279" s="47" t="s">
        <v>522</v>
      </c>
      <c r="F1279" s="48" t="n">
        <v>5008</v>
      </c>
      <c r="G1279" s="48" t="n">
        <v>5076</v>
      </c>
      <c r="H1279" s="48" t="n">
        <v>4811</v>
      </c>
      <c r="I1279" s="48" t="n">
        <v>4851</v>
      </c>
      <c r="J1279" s="48" t="n">
        <v>4909</v>
      </c>
      <c r="K1279" s="48" t="n">
        <v>5034</v>
      </c>
      <c r="L1279" s="48" t="n">
        <v>99128221</v>
      </c>
      <c r="M1279" s="48" t="n">
        <v>480871000071</v>
      </c>
      <c r="N1279" s="48" t="n">
        <v>7182</v>
      </c>
      <c r="O1279" s="48" t="n">
        <v>32885472</v>
      </c>
      <c r="P1279" s="48" t="n">
        <v>68404994</v>
      </c>
      <c r="Q1279" s="48" t="n">
        <v>2241</v>
      </c>
      <c r="R1279" s="48" t="n">
        <v>4266</v>
      </c>
      <c r="S1279" s="48" t="n">
        <v>66242749</v>
      </c>
      <c r="T1279" s="48" t="n">
        <v>30723227</v>
      </c>
      <c r="U1279" s="46" t="n">
        <f aca="false">IF($A1279=$A1278,$U1278+1,1)</f>
        <v>235</v>
      </c>
      <c r="V1279" s="48" t="n">
        <f aca="false">IF($U1279&gt;=MA_SHORT,AVERAGE(INDEX($I$879:$I1279,402-MA_SHORT):$I1279),"")</f>
        <v>4871.4</v>
      </c>
      <c r="W1279" s="48" t="n">
        <f aca="false">IF($U1279&gt;=MA_MED,AVERAGE(INDEX($I$879:$I1279,402-MA_MED):$I1279),"")</f>
        <v>4868.8</v>
      </c>
      <c r="X1279" s="48" t="n">
        <f aca="false">IF($U1279&gt;=MA_LONG1,AVERAGE(INDEX($I$879:$I1279,402-MA_LONG1):$I1279),"")</f>
        <v>4820.87</v>
      </c>
      <c r="Y1279" s="48" t="n">
        <f aca="false">IF($U1279&gt;=MA_LONG2,AVERAGE(INDEX($I$879:$I1279,402-MA_LONG2):$I1279),"")</f>
        <v>5142.555</v>
      </c>
      <c r="Z1279" s="48" t="n">
        <f aca="false">IF($U1279&gt;=MA_SHORT,AVERAGE(INDEX($L$1159:$L1279,122-MA_SHORT):$L1279),"")</f>
        <v>95465494.9</v>
      </c>
      <c r="AA1279" s="48" t="n">
        <f aca="false">IF($U1279=1,$G1279-$H1279,MAX($G1279-$H1279,ABS($G1279-$I1278),ABS($H1279-$I1278)))</f>
        <v>265</v>
      </c>
      <c r="AB1279" s="48" t="n">
        <f aca="false">IF($U1279&gt;=ATR_PER,AVERAGE(INDEX($AA$1159:$AA1279,122-ATR_PER):$AA1279),"")</f>
        <v>195.928571428571</v>
      </c>
      <c r="AC1279" s="48" t="n">
        <f aca="false">$O1279-$P1279</f>
        <v>-35519522</v>
      </c>
      <c r="AD1279" s="48" t="n">
        <f aca="false">$AC1279*$I1279</f>
        <v>-172305201222</v>
      </c>
      <c r="AE1279" s="49" t="n">
        <f aca="false">IF($Q1279&gt;0,$O1279*$I1279/$Q1279/1000000,"")</f>
        <v>71.1858209156627</v>
      </c>
      <c r="AF1279" s="49" t="n">
        <f aca="false">IF($R1279&gt;0,$P1279*$I1279/$R1279/1000000,"")</f>
        <v>77.7854256666667</v>
      </c>
      <c r="AG1279" s="50" t="n">
        <f aca="false">IF(AND(ISNUMBER($AE1279),ISNUMBER($AF1279),$AF1279&gt;0),$AE1279/$AF1279,"")</f>
        <v>0.915156281598493</v>
      </c>
      <c r="AH1279" s="48" t="n">
        <f aca="false">IF($U1279&gt;=5,SUM(INDEX($AD$1249:$AD1279,32-5):$AD1279),"")</f>
        <v>-209294446476</v>
      </c>
      <c r="AI1279" s="48" t="n">
        <f aca="false">IF($U1279&gt;=STRUCT_S,MAX(INDEX($G$1129:$G1279,152-STRUCT_S):$G1279),"")</f>
        <v>5326</v>
      </c>
      <c r="AJ1279" s="48" t="n">
        <f aca="false">IF($U1279&gt;=STRUCT_S,MIN(INDEX($H$1129:$H1279,152-STRUCT_S):$H1279),"")</f>
        <v>4529</v>
      </c>
      <c r="AK1279" s="48" t="n">
        <f aca="false">IF($U1279&gt;=STRUCT_L,MAX(INDEX($G$1029:$G1279,252-STRUCT_L):$G1279),"")</f>
        <v>5326</v>
      </c>
      <c r="AL1279" s="48" t="n">
        <f aca="false">IF($U1279&gt;=STRUCT_L,MIN(INDEX($H$1029:$H1279,252-STRUCT_L):$H1279),"")</f>
        <v>4529</v>
      </c>
      <c r="AM1279" s="46" t="n">
        <f aca="false">IF($A1279&lt;&gt;$A1280,1,0)</f>
        <v>0</v>
      </c>
      <c r="AN1279" s="47" t="str">
        <f aca="false">IF($AM1279=1,$A1279,"")</f>
        <v/>
      </c>
    </row>
    <row r="1280" customFormat="false" ht="15" hidden="false" customHeight="false" outlineLevel="0" collapsed="false">
      <c r="A1280" s="43" t="s">
        <v>152</v>
      </c>
      <c r="B1280" s="44" t="s">
        <v>154</v>
      </c>
      <c r="C1280" s="45" t="n">
        <v>46235</v>
      </c>
      <c r="D1280" s="46" t="n">
        <v>20260801</v>
      </c>
      <c r="E1280" s="47" t="s">
        <v>523</v>
      </c>
      <c r="F1280" s="48" t="n">
        <v>4775</v>
      </c>
      <c r="G1280" s="48" t="n">
        <v>4960</v>
      </c>
      <c r="H1280" s="48" t="n">
        <v>4615</v>
      </c>
      <c r="I1280" s="48" t="n">
        <v>4721</v>
      </c>
      <c r="J1280" s="48" t="n">
        <v>4761</v>
      </c>
      <c r="K1280" s="48" t="n">
        <v>4851</v>
      </c>
      <c r="L1280" s="48" t="n">
        <v>98505638</v>
      </c>
      <c r="M1280" s="48" t="n">
        <v>465045116998</v>
      </c>
      <c r="N1280" s="48" t="n">
        <v>3038</v>
      </c>
      <c r="O1280" s="48" t="n">
        <v>33425654</v>
      </c>
      <c r="P1280" s="48" t="n">
        <v>62736410</v>
      </c>
      <c r="Q1280" s="48" t="n">
        <v>828</v>
      </c>
      <c r="R1280" s="48" t="n">
        <v>1831</v>
      </c>
      <c r="S1280" s="48" t="n">
        <v>65079984</v>
      </c>
      <c r="T1280" s="48" t="n">
        <v>35769228</v>
      </c>
      <c r="U1280" s="46" t="n">
        <f aca="false">IF($A1280=$A1279,$U1279+1,1)</f>
        <v>236</v>
      </c>
      <c r="V1280" s="48" t="n">
        <f aca="false">IF($U1280&gt;=MA_SHORT,AVERAGE(INDEX($I$880:$I1280,402-MA_SHORT):$I1280),"")</f>
        <v>4866.95</v>
      </c>
      <c r="W1280" s="48" t="n">
        <f aca="false">IF($U1280&gt;=MA_MED,AVERAGE(INDEX($I$880:$I1280,402-MA_MED):$I1280),"")</f>
        <v>4865</v>
      </c>
      <c r="X1280" s="48" t="n">
        <f aca="false">IF($U1280&gt;=MA_LONG1,AVERAGE(INDEX($I$880:$I1280,402-MA_LONG1):$I1280),"")</f>
        <v>4816.4</v>
      </c>
      <c r="Y1280" s="48" t="n">
        <f aca="false">IF($U1280&gt;=MA_LONG2,AVERAGE(INDEX($I$880:$I1280,402-MA_LONG2):$I1280),"")</f>
        <v>5141.145</v>
      </c>
      <c r="Z1280" s="48" t="n">
        <f aca="false">IF($U1280&gt;=MA_SHORT,AVERAGE(INDEX($L$1160:$L1280,122-MA_SHORT):$L1280),"")</f>
        <v>95685161.6</v>
      </c>
      <c r="AA1280" s="48" t="n">
        <f aca="false">IF($U1280=1,$G1280-$H1280,MAX($G1280-$H1280,ABS($G1280-$I1279),ABS($H1280-$I1279)))</f>
        <v>345</v>
      </c>
      <c r="AB1280" s="48" t="n">
        <f aca="false">IF($U1280&gt;=ATR_PER,AVERAGE(INDEX($AA$1160:$AA1280,122-ATR_PER):$AA1280),"")</f>
        <v>216</v>
      </c>
      <c r="AC1280" s="48" t="n">
        <f aca="false">$O1280-$P1280</f>
        <v>-29310756</v>
      </c>
      <c r="AD1280" s="48" t="n">
        <f aca="false">$AC1280*$I1280</f>
        <v>-138376079076</v>
      </c>
      <c r="AE1280" s="49" t="n">
        <f aca="false">IF($Q1280&gt;0,$O1280*$I1280/$Q1280/1000000,"")</f>
        <v>190.58274460628</v>
      </c>
      <c r="AF1280" s="49" t="n">
        <f aca="false">IF($R1280&gt;0,$P1280*$I1280/$R1280/1000000,"")</f>
        <v>161.75783266521</v>
      </c>
      <c r="AG1280" s="50" t="n">
        <f aca="false">IF(AND(ISNUMBER($AE1280),ISNUMBER($AF1280),$AF1280&gt;0),$AE1280/$AF1280,"")</f>
        <v>1.17819793617493</v>
      </c>
      <c r="AH1280" s="48" t="n">
        <f aca="false">IF($U1280&gt;=5,SUM(INDEX($AD$1250:$AD1280,32-5):$AD1280),"")</f>
        <v>-415432726590</v>
      </c>
      <c r="AI1280" s="48" t="n">
        <f aca="false">IF($U1280&gt;=STRUCT_S,MAX(INDEX($G$1130:$G1280,152-STRUCT_S):$G1280),"")</f>
        <v>5326</v>
      </c>
      <c r="AJ1280" s="48" t="n">
        <f aca="false">IF($U1280&gt;=STRUCT_S,MIN(INDEX($H$1130:$H1280,152-STRUCT_S):$H1280),"")</f>
        <v>4529</v>
      </c>
      <c r="AK1280" s="48" t="n">
        <f aca="false">IF($U1280&gt;=STRUCT_L,MAX(INDEX($G$1030:$G1280,252-STRUCT_L):$G1280),"")</f>
        <v>5326</v>
      </c>
      <c r="AL1280" s="48" t="n">
        <f aca="false">IF($U1280&gt;=STRUCT_L,MIN(INDEX($H$1030:$H1280,252-STRUCT_L):$H1280),"")</f>
        <v>4529</v>
      </c>
      <c r="AM1280" s="46" t="n">
        <f aca="false">IF($A1280&lt;&gt;$A1281,1,0)</f>
        <v>0</v>
      </c>
      <c r="AN1280" s="47" t="str">
        <f aca="false">IF($AM1280=1,$A1280,"")</f>
        <v/>
      </c>
    </row>
    <row r="1281" customFormat="false" ht="15" hidden="false" customHeight="false" outlineLevel="0" collapsed="false">
      <c r="A1281" s="43" t="s">
        <v>152</v>
      </c>
      <c r="B1281" s="44" t="s">
        <v>154</v>
      </c>
      <c r="C1281" s="45" t="n">
        <v>46236</v>
      </c>
      <c r="D1281" s="46" t="n">
        <v>20260802</v>
      </c>
      <c r="E1281" s="47" t="s">
        <v>524</v>
      </c>
      <c r="F1281" s="48" t="n">
        <v>4777</v>
      </c>
      <c r="G1281" s="48" t="n">
        <v>4803</v>
      </c>
      <c r="H1281" s="48" t="n">
        <v>4609</v>
      </c>
      <c r="I1281" s="48" t="n">
        <v>4691</v>
      </c>
      <c r="J1281" s="48" t="n">
        <v>4800</v>
      </c>
      <c r="K1281" s="48" t="n">
        <v>4721</v>
      </c>
      <c r="L1281" s="48" t="n">
        <v>80619582</v>
      </c>
      <c r="M1281" s="48" t="n">
        <v>378186459162</v>
      </c>
      <c r="N1281" s="48" t="n">
        <v>1795</v>
      </c>
      <c r="O1281" s="48" t="n">
        <v>37159015</v>
      </c>
      <c r="P1281" s="48" t="n">
        <v>38512558</v>
      </c>
      <c r="Q1281" s="48" t="n">
        <v>752</v>
      </c>
      <c r="R1281" s="48" t="n">
        <v>745</v>
      </c>
      <c r="S1281" s="48" t="n">
        <v>43460567</v>
      </c>
      <c r="T1281" s="48" t="n">
        <v>42107024</v>
      </c>
      <c r="U1281" s="46" t="n">
        <f aca="false">IF($A1281=$A1280,$U1280+1,1)</f>
        <v>237</v>
      </c>
      <c r="V1281" s="48" t="n">
        <f aca="false">IF($U1281&gt;=MA_SHORT,AVERAGE(INDEX($I$881:$I1281,402-MA_SHORT):$I1281),"")</f>
        <v>4862.6</v>
      </c>
      <c r="W1281" s="48" t="n">
        <f aca="false">IF($U1281&gt;=MA_MED,AVERAGE(INDEX($I$881:$I1281,402-MA_MED):$I1281),"")</f>
        <v>4862.02</v>
      </c>
      <c r="X1281" s="48" t="n">
        <f aca="false">IF($U1281&gt;=MA_LONG1,AVERAGE(INDEX($I$881:$I1281,402-MA_LONG1):$I1281),"")</f>
        <v>4813.07</v>
      </c>
      <c r="Y1281" s="48" t="n">
        <f aca="false">IF($U1281&gt;=MA_LONG2,AVERAGE(INDEX($I$881:$I1281,402-MA_LONG2):$I1281),"")</f>
        <v>5139.955</v>
      </c>
      <c r="Z1281" s="48" t="n">
        <f aca="false">IF($U1281&gt;=MA_SHORT,AVERAGE(INDEX($L$1161:$L1281,122-MA_SHORT):$L1281),"")</f>
        <v>95678213.8</v>
      </c>
      <c r="AA1281" s="48" t="n">
        <f aca="false">IF($U1281=1,$G1281-$H1281,MAX($G1281-$H1281,ABS($G1281-$I1280),ABS($H1281-$I1280)))</f>
        <v>194</v>
      </c>
      <c r="AB1281" s="48" t="n">
        <f aca="false">IF($U1281&gt;=ATR_PER,AVERAGE(INDEX($AA$1161:$AA1281,122-ATR_PER):$AA1281),"")</f>
        <v>212.642857142857</v>
      </c>
      <c r="AC1281" s="48" t="n">
        <f aca="false">$O1281-$P1281</f>
        <v>-1353543</v>
      </c>
      <c r="AD1281" s="48" t="n">
        <f aca="false">$AC1281*$I1281</f>
        <v>-6349470213</v>
      </c>
      <c r="AE1281" s="49" t="n">
        <f aca="false">IF($Q1281&gt;0,$O1281*$I1281/$Q1281/1000000,"")</f>
        <v>231.799121496011</v>
      </c>
      <c r="AF1281" s="49" t="n">
        <f aca="false">IF($R1281&gt;0,$P1281*$I1281/$R1281/1000000,"")</f>
        <v>242.499878628188</v>
      </c>
      <c r="AG1281" s="50" t="n">
        <f aca="false">IF(AND(ISNUMBER($AE1281),ISNUMBER($AF1281),$AF1281&gt;0),$AE1281/$AF1281,"")</f>
        <v>0.955873144379655</v>
      </c>
      <c r="AH1281" s="48" t="n">
        <f aca="false">IF($U1281&gt;=5,SUM(INDEX($AD$1251:$AD1281,32-5):$AD1281),"")</f>
        <v>-405217426415</v>
      </c>
      <c r="AI1281" s="48" t="n">
        <f aca="false">IF($U1281&gt;=STRUCT_S,MAX(INDEX($G$1131:$G1281,152-STRUCT_S):$G1281),"")</f>
        <v>5326</v>
      </c>
      <c r="AJ1281" s="48" t="n">
        <f aca="false">IF($U1281&gt;=STRUCT_S,MIN(INDEX($H$1131:$H1281,152-STRUCT_S):$H1281),"")</f>
        <v>4529</v>
      </c>
      <c r="AK1281" s="48" t="n">
        <f aca="false">IF($U1281&gt;=STRUCT_L,MAX(INDEX($G$1031:$G1281,252-STRUCT_L):$G1281),"")</f>
        <v>5326</v>
      </c>
      <c r="AL1281" s="48" t="n">
        <f aca="false">IF($U1281&gt;=STRUCT_L,MIN(INDEX($H$1031:$H1281,252-STRUCT_L):$H1281),"")</f>
        <v>4529</v>
      </c>
      <c r="AM1281" s="46" t="n">
        <f aca="false">IF($A1281&lt;&gt;$A1282,1,0)</f>
        <v>0</v>
      </c>
      <c r="AN1281" s="47" t="str">
        <f aca="false">IF($AM1281=1,$A1281,"")</f>
        <v/>
      </c>
    </row>
    <row r="1282" customFormat="false" ht="15" hidden="false" customHeight="false" outlineLevel="0" collapsed="false">
      <c r="A1282" s="43" t="s">
        <v>152</v>
      </c>
      <c r="B1282" s="44" t="s">
        <v>154</v>
      </c>
      <c r="C1282" s="45" t="n">
        <v>46237</v>
      </c>
      <c r="D1282" s="46" t="n">
        <v>20260803</v>
      </c>
      <c r="E1282" s="47" t="s">
        <v>525</v>
      </c>
      <c r="F1282" s="48" t="n">
        <v>4728</v>
      </c>
      <c r="G1282" s="48" t="n">
        <v>4765</v>
      </c>
      <c r="H1282" s="48" t="n">
        <v>4585</v>
      </c>
      <c r="I1282" s="48" t="n">
        <v>4658</v>
      </c>
      <c r="J1282" s="48" t="n">
        <v>4694</v>
      </c>
      <c r="K1282" s="48" t="n">
        <v>4691</v>
      </c>
      <c r="L1282" s="48" t="n">
        <v>80936504</v>
      </c>
      <c r="M1282" s="48" t="n">
        <v>377002235632</v>
      </c>
      <c r="N1282" s="48" t="n">
        <v>3266</v>
      </c>
      <c r="O1282" s="48" t="n">
        <v>35730843</v>
      </c>
      <c r="P1282" s="48" t="n">
        <v>51240990</v>
      </c>
      <c r="Q1282" s="48" t="n">
        <v>1175</v>
      </c>
      <c r="R1282" s="48" t="n">
        <v>2049</v>
      </c>
      <c r="S1282" s="48" t="n">
        <v>45205661</v>
      </c>
      <c r="T1282" s="48" t="n">
        <v>29695514</v>
      </c>
      <c r="U1282" s="46" t="n">
        <f aca="false">IF($A1282=$A1281,$U1281+1,1)</f>
        <v>238</v>
      </c>
      <c r="V1282" s="48" t="n">
        <f aca="false">IF($U1282&gt;=MA_SHORT,AVERAGE(INDEX($I$882:$I1282,402-MA_SHORT):$I1282),"")</f>
        <v>4854.25</v>
      </c>
      <c r="W1282" s="48" t="n">
        <f aca="false">IF($U1282&gt;=MA_MED,AVERAGE(INDEX($I$882:$I1282,402-MA_MED):$I1282),"")</f>
        <v>4858.28</v>
      </c>
      <c r="X1282" s="48" t="n">
        <f aca="false">IF($U1282&gt;=MA_LONG1,AVERAGE(INDEX($I$882:$I1282,402-MA_LONG1):$I1282),"")</f>
        <v>4809.02</v>
      </c>
      <c r="Y1282" s="48" t="n">
        <f aca="false">IF($U1282&gt;=MA_LONG2,AVERAGE(INDEX($I$882:$I1282,402-MA_LONG2):$I1282),"")</f>
        <v>5138.2</v>
      </c>
      <c r="Z1282" s="48" t="n">
        <f aca="false">IF($U1282&gt;=MA_SHORT,AVERAGE(INDEX($L$1162:$L1282,122-MA_SHORT):$L1282),"")</f>
        <v>95612933.8</v>
      </c>
      <c r="AA1282" s="48" t="n">
        <f aca="false">IF($U1282=1,$G1282-$H1282,MAX($G1282-$H1282,ABS($G1282-$I1281),ABS($H1282-$I1281)))</f>
        <v>180</v>
      </c>
      <c r="AB1282" s="48" t="n">
        <f aca="false">IF($U1282&gt;=ATR_PER,AVERAGE(INDEX($AA$1162:$AA1282,122-ATR_PER):$AA1282),"")</f>
        <v>218.142857142857</v>
      </c>
      <c r="AC1282" s="48" t="n">
        <f aca="false">$O1282-$P1282</f>
        <v>-15510147</v>
      </c>
      <c r="AD1282" s="48" t="n">
        <f aca="false">$AC1282*$I1282</f>
        <v>-72246264726</v>
      </c>
      <c r="AE1282" s="49" t="n">
        <f aca="false">IF($Q1282&gt;0,$O1282*$I1282/$Q1282/1000000,"")</f>
        <v>141.646184420426</v>
      </c>
      <c r="AF1282" s="49" t="n">
        <f aca="false">IF($R1282&gt;0,$P1282*$I1282/$R1282/1000000,"")</f>
        <v>116.486350131772</v>
      </c>
      <c r="AG1282" s="50" t="n">
        <f aca="false">IF(AND(ISNUMBER($AE1282),ISNUMBER($AF1282),$AF1282&gt;0),$AE1282/$AF1282,"")</f>
        <v>1.21598954950681</v>
      </c>
      <c r="AH1282" s="48" t="n">
        <f aca="false">IF($U1282&gt;=5,SUM(INDEX($AD$1252:$AD1282,32-5):$AD1282),"")</f>
        <v>-495538286547</v>
      </c>
      <c r="AI1282" s="48" t="n">
        <f aca="false">IF($U1282&gt;=STRUCT_S,MAX(INDEX($G$1132:$G1282,152-STRUCT_S):$G1282),"")</f>
        <v>5326</v>
      </c>
      <c r="AJ1282" s="48" t="n">
        <f aca="false">IF($U1282&gt;=STRUCT_S,MIN(INDEX($H$1132:$H1282,152-STRUCT_S):$H1282),"")</f>
        <v>4529</v>
      </c>
      <c r="AK1282" s="48" t="n">
        <f aca="false">IF($U1282&gt;=STRUCT_L,MAX(INDEX($G$1032:$G1282,252-STRUCT_L):$G1282),"")</f>
        <v>5326</v>
      </c>
      <c r="AL1282" s="48" t="n">
        <f aca="false">IF($U1282&gt;=STRUCT_L,MIN(INDEX($H$1032:$H1282,252-STRUCT_L):$H1282),"")</f>
        <v>4529</v>
      </c>
      <c r="AM1282" s="46" t="n">
        <f aca="false">IF($A1282&lt;&gt;$A1283,1,0)</f>
        <v>0</v>
      </c>
      <c r="AN1282" s="47" t="str">
        <f aca="false">IF($AM1282=1,$A1282,"")</f>
        <v/>
      </c>
    </row>
    <row r="1283" customFormat="false" ht="15" hidden="false" customHeight="false" outlineLevel="0" collapsed="false">
      <c r="A1283" s="43" t="s">
        <v>152</v>
      </c>
      <c r="B1283" s="44" t="s">
        <v>154</v>
      </c>
      <c r="C1283" s="45" t="n">
        <v>46238</v>
      </c>
      <c r="D1283" s="46" t="n">
        <v>20260804</v>
      </c>
      <c r="E1283" s="47" t="s">
        <v>526</v>
      </c>
      <c r="F1283" s="48" t="n">
        <v>4787</v>
      </c>
      <c r="G1283" s="48" t="n">
        <v>4825</v>
      </c>
      <c r="H1283" s="48" t="n">
        <v>4592</v>
      </c>
      <c r="I1283" s="48" t="n">
        <v>4757</v>
      </c>
      <c r="J1283" s="48" t="n">
        <v>4649</v>
      </c>
      <c r="K1283" s="48" t="n">
        <v>4658</v>
      </c>
      <c r="L1283" s="48" t="n">
        <v>98012928</v>
      </c>
      <c r="M1283" s="48" t="n">
        <v>466247498496</v>
      </c>
      <c r="N1283" s="48" t="n">
        <v>4151</v>
      </c>
      <c r="O1283" s="48" t="n">
        <v>61902588</v>
      </c>
      <c r="P1283" s="48" t="n">
        <v>36535874</v>
      </c>
      <c r="Q1283" s="48" t="n">
        <v>2317</v>
      </c>
      <c r="R1283" s="48" t="n">
        <v>1606</v>
      </c>
      <c r="S1283" s="48" t="n">
        <v>36110340</v>
      </c>
      <c r="T1283" s="48" t="n">
        <v>61477054</v>
      </c>
      <c r="U1283" s="46" t="n">
        <f aca="false">IF($A1283=$A1282,$U1282+1,1)</f>
        <v>239</v>
      </c>
      <c r="V1283" s="48" t="n">
        <f aca="false">IF($U1283&gt;=MA_SHORT,AVERAGE(INDEX($I$883:$I1283,402-MA_SHORT):$I1283),"")</f>
        <v>4848.25</v>
      </c>
      <c r="W1283" s="48" t="n">
        <f aca="false">IF($U1283&gt;=MA_MED,AVERAGE(INDEX($I$883:$I1283,402-MA_MED):$I1283),"")</f>
        <v>4857.22</v>
      </c>
      <c r="X1283" s="48" t="n">
        <f aca="false">IF($U1283&gt;=MA_LONG1,AVERAGE(INDEX($I$883:$I1283,402-MA_LONG1):$I1283),"")</f>
        <v>4806.44</v>
      </c>
      <c r="Y1283" s="48" t="n">
        <f aca="false">IF($U1283&gt;=MA_LONG2,AVERAGE(INDEX($I$883:$I1283,402-MA_LONG2):$I1283),"")</f>
        <v>5136.475</v>
      </c>
      <c r="Z1283" s="48" t="n">
        <f aca="false">IF($U1283&gt;=MA_SHORT,AVERAGE(INDEX($L$1163:$L1283,122-MA_SHORT):$L1283),"")</f>
        <v>94829118.4</v>
      </c>
      <c r="AA1283" s="48" t="n">
        <f aca="false">IF($U1283=1,$G1283-$H1283,MAX($G1283-$H1283,ABS($G1283-$I1282),ABS($H1283-$I1282)))</f>
        <v>233</v>
      </c>
      <c r="AB1283" s="48" t="n">
        <f aca="false">IF($U1283&gt;=ATR_PER,AVERAGE(INDEX($AA$1163:$AA1283,122-ATR_PER):$AA1283),"")</f>
        <v>217.214285714286</v>
      </c>
      <c r="AC1283" s="48" t="n">
        <f aca="false">$O1283-$P1283</f>
        <v>25366714</v>
      </c>
      <c r="AD1283" s="48" t="n">
        <f aca="false">$AC1283*$I1283</f>
        <v>120669458498</v>
      </c>
      <c r="AE1283" s="49" t="n">
        <f aca="false">IF($Q1283&gt;0,$O1283*$I1283/$Q1283/1000000,"")</f>
        <v>127.091329786793</v>
      </c>
      <c r="AF1283" s="49" t="n">
        <f aca="false">IF($R1283&gt;0,$P1283*$I1283/$R1283/1000000,"")</f>
        <v>108.219895777086</v>
      </c>
      <c r="AG1283" s="50" t="n">
        <f aca="false">IF(AND(ISNUMBER($AE1283),ISNUMBER($AF1283),$AF1283&gt;0),$AE1283/$AF1283,"")</f>
        <v>1.1743804489387</v>
      </c>
      <c r="AH1283" s="48" t="n">
        <f aca="false">IF($U1283&gt;=5,SUM(INDEX($AD$1253:$AD1283,32-5):$AD1283),"")</f>
        <v>-268607556739</v>
      </c>
      <c r="AI1283" s="48" t="n">
        <f aca="false">IF($U1283&gt;=STRUCT_S,MAX(INDEX($G$1133:$G1283,152-STRUCT_S):$G1283),"")</f>
        <v>5326</v>
      </c>
      <c r="AJ1283" s="48" t="n">
        <f aca="false">IF($U1283&gt;=STRUCT_S,MIN(INDEX($H$1133:$H1283,152-STRUCT_S):$H1283),"")</f>
        <v>4529</v>
      </c>
      <c r="AK1283" s="48" t="n">
        <f aca="false">IF($U1283&gt;=STRUCT_L,MAX(INDEX($G$1033:$G1283,252-STRUCT_L):$G1283),"")</f>
        <v>5326</v>
      </c>
      <c r="AL1283" s="48" t="n">
        <f aca="false">IF($U1283&gt;=STRUCT_L,MIN(INDEX($H$1033:$H1283,252-STRUCT_L):$H1283),"")</f>
        <v>4529</v>
      </c>
      <c r="AM1283" s="46" t="n">
        <f aca="false">IF($A1283&lt;&gt;$A1284,1,0)</f>
        <v>0</v>
      </c>
      <c r="AN1283" s="47" t="str">
        <f aca="false">IF($AM1283=1,$A1283,"")</f>
        <v/>
      </c>
    </row>
    <row r="1284" customFormat="false" ht="15" hidden="false" customHeight="false" outlineLevel="0" collapsed="false">
      <c r="A1284" s="43" t="s">
        <v>152</v>
      </c>
      <c r="B1284" s="44" t="s">
        <v>154</v>
      </c>
      <c r="C1284" s="45" t="n">
        <v>46239</v>
      </c>
      <c r="D1284" s="46" t="n">
        <v>20260805</v>
      </c>
      <c r="E1284" s="47" t="s">
        <v>527</v>
      </c>
      <c r="F1284" s="48" t="n">
        <v>4693</v>
      </c>
      <c r="G1284" s="48" t="n">
        <v>4779</v>
      </c>
      <c r="H1284" s="48" t="n">
        <v>4650</v>
      </c>
      <c r="I1284" s="48" t="n">
        <v>4672</v>
      </c>
      <c r="J1284" s="48" t="n">
        <v>4751</v>
      </c>
      <c r="K1284" s="48" t="n">
        <v>4757</v>
      </c>
      <c r="L1284" s="48" t="n">
        <v>85984468</v>
      </c>
      <c r="M1284" s="48" t="n">
        <v>401719434496</v>
      </c>
      <c r="N1284" s="48" t="n">
        <v>1922</v>
      </c>
      <c r="O1284" s="48" t="n">
        <v>29212404</v>
      </c>
      <c r="P1284" s="48" t="n">
        <v>56901088</v>
      </c>
      <c r="Q1284" s="48" t="n">
        <v>851</v>
      </c>
      <c r="R1284" s="48" t="n">
        <v>1153</v>
      </c>
      <c r="S1284" s="48" t="n">
        <v>56772064</v>
      </c>
      <c r="T1284" s="48" t="n">
        <v>29083380</v>
      </c>
      <c r="U1284" s="46" t="n">
        <f aca="false">IF($A1284=$A1283,$U1283+1,1)</f>
        <v>240</v>
      </c>
      <c r="V1284" s="48" t="n">
        <f aca="false">IF($U1284&gt;=MA_SHORT,AVERAGE(INDEX($I$884:$I1284,402-MA_SHORT):$I1284),"")</f>
        <v>4840.55</v>
      </c>
      <c r="W1284" s="48" t="n">
        <f aca="false">IF($U1284&gt;=MA_MED,AVERAGE(INDEX($I$884:$I1284,402-MA_MED):$I1284),"")</f>
        <v>4854.26</v>
      </c>
      <c r="X1284" s="48" t="n">
        <f aca="false">IF($U1284&gt;=MA_LONG1,AVERAGE(INDEX($I$884:$I1284,402-MA_LONG1):$I1284),"")</f>
        <v>4803.96</v>
      </c>
      <c r="Y1284" s="48" t="n">
        <f aca="false">IF($U1284&gt;=MA_LONG2,AVERAGE(INDEX($I$884:$I1284,402-MA_LONG2):$I1284),"")</f>
        <v>5134.4</v>
      </c>
      <c r="Z1284" s="48" t="n">
        <f aca="false">IF($U1284&gt;=MA_SHORT,AVERAGE(INDEX($L$1164:$L1284,122-MA_SHORT):$L1284),"")</f>
        <v>94280242.8</v>
      </c>
      <c r="AA1284" s="48" t="n">
        <f aca="false">IF($U1284=1,$G1284-$H1284,MAX($G1284-$H1284,ABS($G1284-$I1283),ABS($H1284-$I1283)))</f>
        <v>129</v>
      </c>
      <c r="AB1284" s="48" t="n">
        <f aca="false">IF($U1284&gt;=ATR_PER,AVERAGE(INDEX($AA$1164:$AA1284,122-ATR_PER):$AA1284),"")</f>
        <v>218.357142857143</v>
      </c>
      <c r="AC1284" s="48" t="n">
        <f aca="false">$O1284-$P1284</f>
        <v>-27688684</v>
      </c>
      <c r="AD1284" s="48" t="n">
        <f aca="false">$AC1284*$I1284</f>
        <v>-129361531648</v>
      </c>
      <c r="AE1284" s="49" t="n">
        <f aca="false">IF($Q1284&gt;0,$O1284*$I1284/$Q1284/1000000,"")</f>
        <v>160.376441231492</v>
      </c>
      <c r="AF1284" s="49" t="n">
        <f aca="false">IF($R1284&gt;0,$P1284*$I1284/$R1284/1000000,"")</f>
        <v>230.565379996531</v>
      </c>
      <c r="AG1284" s="50" t="n">
        <f aca="false">IF(AND(ISNUMBER($AE1284),ISNUMBER($AF1284),$AF1284&gt;0),$AE1284/$AF1284,"")</f>
        <v>0.695579020726813</v>
      </c>
      <c r="AH1284" s="48" t="n">
        <f aca="false">IF($U1284&gt;=5,SUM(INDEX($AD$1254:$AD1284,32-5):$AD1284),"")</f>
        <v>-225663887165</v>
      </c>
      <c r="AI1284" s="48" t="n">
        <f aca="false">IF($U1284&gt;=STRUCT_S,MAX(INDEX($G$1134:$G1284,152-STRUCT_S):$G1284),"")</f>
        <v>5326</v>
      </c>
      <c r="AJ1284" s="48" t="n">
        <f aca="false">IF($U1284&gt;=STRUCT_S,MIN(INDEX($H$1134:$H1284,152-STRUCT_S):$H1284),"")</f>
        <v>4529</v>
      </c>
      <c r="AK1284" s="48" t="n">
        <f aca="false">IF($U1284&gt;=STRUCT_L,MAX(INDEX($G$1034:$G1284,252-STRUCT_L):$G1284),"")</f>
        <v>5326</v>
      </c>
      <c r="AL1284" s="48" t="n">
        <f aca="false">IF($U1284&gt;=STRUCT_L,MIN(INDEX($H$1034:$H1284,252-STRUCT_L):$H1284),"")</f>
        <v>4529</v>
      </c>
      <c r="AM1284" s="46" t="n">
        <f aca="false">IF($A1284&lt;&gt;$A1285,1,0)</f>
        <v>0</v>
      </c>
      <c r="AN1284" s="47" t="str">
        <f aca="false">IF($AM1284=1,$A1284,"")</f>
        <v/>
      </c>
    </row>
    <row r="1285" customFormat="false" ht="15" hidden="false" customHeight="false" outlineLevel="0" collapsed="false">
      <c r="A1285" s="43" t="s">
        <v>152</v>
      </c>
      <c r="B1285" s="44" t="s">
        <v>154</v>
      </c>
      <c r="C1285" s="45" t="n">
        <v>46242</v>
      </c>
      <c r="D1285" s="46" t="n">
        <v>20260808</v>
      </c>
      <c r="E1285" s="47" t="s">
        <v>528</v>
      </c>
      <c r="F1285" s="48" t="n">
        <v>4704</v>
      </c>
      <c r="G1285" s="48" t="n">
        <v>4763</v>
      </c>
      <c r="H1285" s="48" t="n">
        <v>4646</v>
      </c>
      <c r="I1285" s="48" t="n">
        <v>4736</v>
      </c>
      <c r="J1285" s="48" t="n">
        <v>4652</v>
      </c>
      <c r="K1285" s="48" t="n">
        <v>4672</v>
      </c>
      <c r="L1285" s="48" t="n">
        <v>84041553</v>
      </c>
      <c r="M1285" s="48" t="n">
        <v>398020795008</v>
      </c>
      <c r="N1285" s="48" t="n">
        <v>2254</v>
      </c>
      <c r="O1285" s="48" t="n">
        <v>45389843</v>
      </c>
      <c r="P1285" s="48" t="n">
        <v>37638108</v>
      </c>
      <c r="Q1285" s="48" t="n">
        <v>1046</v>
      </c>
      <c r="R1285" s="48" t="n">
        <v>898</v>
      </c>
      <c r="S1285" s="48" t="n">
        <v>38651710</v>
      </c>
      <c r="T1285" s="48" t="n">
        <v>46403445</v>
      </c>
      <c r="U1285" s="46" t="n">
        <f aca="false">IF($A1285=$A1284,$U1284+1,1)</f>
        <v>241</v>
      </c>
      <c r="V1285" s="48" t="n">
        <f aca="false">IF($U1285&gt;=MA_SHORT,AVERAGE(INDEX($I$885:$I1285,402-MA_SHORT):$I1285),"")</f>
        <v>4837.25</v>
      </c>
      <c r="W1285" s="48" t="n">
        <f aca="false">IF($U1285&gt;=MA_MED,AVERAGE(INDEX($I$885:$I1285,402-MA_MED):$I1285),"")</f>
        <v>4852.42</v>
      </c>
      <c r="X1285" s="48" t="n">
        <f aca="false">IF($U1285&gt;=MA_LONG1,AVERAGE(INDEX($I$885:$I1285,402-MA_LONG1):$I1285),"")</f>
        <v>4802.42</v>
      </c>
      <c r="Y1285" s="48" t="n">
        <f aca="false">IF($U1285&gt;=MA_LONG2,AVERAGE(INDEX($I$885:$I1285,402-MA_LONG2):$I1285),"")</f>
        <v>5131.79</v>
      </c>
      <c r="Z1285" s="48" t="n">
        <f aca="false">IF($U1285&gt;=MA_SHORT,AVERAGE(INDEX($L$1165:$L1285,122-MA_SHORT):$L1285),"")</f>
        <v>94483527.55</v>
      </c>
      <c r="AA1285" s="48" t="n">
        <f aca="false">IF($U1285=1,$G1285-$H1285,MAX($G1285-$H1285,ABS($G1285-$I1284),ABS($H1285-$I1284)))</f>
        <v>117</v>
      </c>
      <c r="AB1285" s="48" t="n">
        <f aca="false">IF($U1285&gt;=ATR_PER,AVERAGE(INDEX($AA$1165:$AA1285,122-ATR_PER):$AA1285),"")</f>
        <v>203.642857142857</v>
      </c>
      <c r="AC1285" s="48" t="n">
        <f aca="false">$O1285-$P1285</f>
        <v>7751735</v>
      </c>
      <c r="AD1285" s="48" t="n">
        <f aca="false">$AC1285*$I1285</f>
        <v>36712216960</v>
      </c>
      <c r="AE1285" s="49" t="n">
        <f aca="false">IF($Q1285&gt;0,$O1285*$I1285/$Q1285/1000000,"")</f>
        <v>205.512711709369</v>
      </c>
      <c r="AF1285" s="49" t="n">
        <f aca="false">IF($R1285&gt;0,$P1285*$I1285/$R1285/1000000,"")</f>
        <v>198.50120210245</v>
      </c>
      <c r="AG1285" s="50" t="n">
        <f aca="false">IF(AND(ISNUMBER($AE1285),ISNUMBER($AF1285),$AF1285&gt;0),$AE1285/$AF1285,"")</f>
        <v>1.03532225262445</v>
      </c>
      <c r="AH1285" s="48" t="n">
        <f aca="false">IF($U1285&gt;=5,SUM(INDEX($AD$1255:$AD1285,32-5):$AD1285),"")</f>
        <v>-50575591129</v>
      </c>
      <c r="AI1285" s="48" t="n">
        <f aca="false">IF($U1285&gt;=STRUCT_S,MAX(INDEX($G$1135:$G1285,152-STRUCT_S):$G1285),"")</f>
        <v>5326</v>
      </c>
      <c r="AJ1285" s="48" t="n">
        <f aca="false">IF($U1285&gt;=STRUCT_S,MIN(INDEX($H$1135:$H1285,152-STRUCT_S):$H1285),"")</f>
        <v>4529</v>
      </c>
      <c r="AK1285" s="48" t="n">
        <f aca="false">IF($U1285&gt;=STRUCT_L,MAX(INDEX($G$1035:$G1285,252-STRUCT_L):$G1285),"")</f>
        <v>5326</v>
      </c>
      <c r="AL1285" s="48" t="n">
        <f aca="false">IF($U1285&gt;=STRUCT_L,MIN(INDEX($H$1035:$H1285,252-STRUCT_L):$H1285),"")</f>
        <v>4529</v>
      </c>
      <c r="AM1285" s="46" t="n">
        <f aca="false">IF($A1285&lt;&gt;$A1286,1,0)</f>
        <v>0</v>
      </c>
      <c r="AN1285" s="47" t="str">
        <f aca="false">IF($AM1285=1,$A1285,"")</f>
        <v/>
      </c>
    </row>
    <row r="1286" customFormat="false" ht="15" hidden="false" customHeight="false" outlineLevel="0" collapsed="false">
      <c r="A1286" s="43" t="s">
        <v>152</v>
      </c>
      <c r="B1286" s="44" t="s">
        <v>154</v>
      </c>
      <c r="C1286" s="45" t="n">
        <v>46243</v>
      </c>
      <c r="D1286" s="46" t="n">
        <v>20260809</v>
      </c>
      <c r="E1286" s="47" t="s">
        <v>529</v>
      </c>
      <c r="F1286" s="48" t="n">
        <v>4725</v>
      </c>
      <c r="G1286" s="48" t="n">
        <v>4822</v>
      </c>
      <c r="H1286" s="48" t="n">
        <v>4482</v>
      </c>
      <c r="I1286" s="48" t="n">
        <v>4565</v>
      </c>
      <c r="J1286" s="48" t="n">
        <v>4517</v>
      </c>
      <c r="K1286" s="48" t="n">
        <v>4736</v>
      </c>
      <c r="L1286" s="48" t="n">
        <v>132440547</v>
      </c>
      <c r="M1286" s="48" t="n">
        <v>604591097055</v>
      </c>
      <c r="N1286" s="48" t="n">
        <v>4591</v>
      </c>
      <c r="O1286" s="48" t="n">
        <v>53565526</v>
      </c>
      <c r="P1286" s="48" t="n">
        <v>76493671</v>
      </c>
      <c r="Q1286" s="48" t="n">
        <v>1295</v>
      </c>
      <c r="R1286" s="48" t="n">
        <v>2763</v>
      </c>
      <c r="S1286" s="48" t="n">
        <v>78875021</v>
      </c>
      <c r="T1286" s="48" t="n">
        <v>55946876</v>
      </c>
      <c r="U1286" s="46" t="n">
        <f aca="false">IF($A1286=$A1285,$U1285+1,1)</f>
        <v>242</v>
      </c>
      <c r="V1286" s="48" t="n">
        <f aca="false">IF($U1286&gt;=MA_SHORT,AVERAGE(INDEX($I$886:$I1286,402-MA_SHORT):$I1286),"")</f>
        <v>4826.5</v>
      </c>
      <c r="W1286" s="48" t="n">
        <f aca="false">IF($U1286&gt;=MA_MED,AVERAGE(INDEX($I$886:$I1286,402-MA_MED):$I1286),"")</f>
        <v>4846.72</v>
      </c>
      <c r="X1286" s="48" t="n">
        <f aca="false">IF($U1286&gt;=MA_LONG1,AVERAGE(INDEX($I$886:$I1286,402-MA_LONG1):$I1286),"")</f>
        <v>4798.57</v>
      </c>
      <c r="Y1286" s="48" t="n">
        <f aca="false">IF($U1286&gt;=MA_LONG2,AVERAGE(INDEX($I$886:$I1286,402-MA_LONG2):$I1286),"")</f>
        <v>5128.345</v>
      </c>
      <c r="Z1286" s="48" t="n">
        <f aca="false">IF($U1286&gt;=MA_SHORT,AVERAGE(INDEX($L$1166:$L1286,122-MA_SHORT):$L1286),"")</f>
        <v>95443986.95</v>
      </c>
      <c r="AA1286" s="48" t="n">
        <f aca="false">IF($U1286=1,$G1286-$H1286,MAX($G1286-$H1286,ABS($G1286-$I1285),ABS($H1286-$I1285)))</f>
        <v>340</v>
      </c>
      <c r="AB1286" s="48" t="n">
        <f aca="false">IF($U1286&gt;=ATR_PER,AVERAGE(INDEX($AA$1166:$AA1286,122-ATR_PER):$AA1286),"")</f>
        <v>213.071428571429</v>
      </c>
      <c r="AC1286" s="48" t="n">
        <f aca="false">$O1286-$P1286</f>
        <v>-22928145</v>
      </c>
      <c r="AD1286" s="48" t="n">
        <f aca="false">$AC1286*$I1286</f>
        <v>-104666981925</v>
      </c>
      <c r="AE1286" s="49" t="n">
        <f aca="false">IF($Q1286&gt;0,$O1286*$I1286/$Q1286/1000000,"")</f>
        <v>188.823649567568</v>
      </c>
      <c r="AF1286" s="49" t="n">
        <f aca="false">IF($R1286&gt;0,$P1286*$I1286/$R1286/1000000,"")</f>
        <v>126.382051435034</v>
      </c>
      <c r="AG1286" s="50" t="n">
        <f aca="false">IF(AND(ISNUMBER($AE1286),ISNUMBER($AF1286),$AF1286&gt;0),$AE1286/$AF1286,"")</f>
        <v>1.49407014226724</v>
      </c>
      <c r="AH1286" s="48" t="n">
        <f aca="false">IF($U1286&gt;=5,SUM(INDEX($AD$1256:$AD1286,32-5):$AD1286),"")</f>
        <v>-148893102841</v>
      </c>
      <c r="AI1286" s="48" t="n">
        <f aca="false">IF($U1286&gt;=STRUCT_S,MAX(INDEX($G$1136:$G1286,152-STRUCT_S):$G1286),"")</f>
        <v>5326</v>
      </c>
      <c r="AJ1286" s="48" t="n">
        <f aca="false">IF($U1286&gt;=STRUCT_S,MIN(INDEX($H$1136:$H1286,152-STRUCT_S):$H1286),"")</f>
        <v>4482</v>
      </c>
      <c r="AK1286" s="48" t="n">
        <f aca="false">IF($U1286&gt;=STRUCT_L,MAX(INDEX($G$1036:$G1286,252-STRUCT_L):$G1286),"")</f>
        <v>5326</v>
      </c>
      <c r="AL1286" s="48" t="n">
        <f aca="false">IF($U1286&gt;=STRUCT_L,MIN(INDEX($H$1036:$H1286,252-STRUCT_L):$H1286),"")</f>
        <v>4482</v>
      </c>
      <c r="AM1286" s="46" t="n">
        <f aca="false">IF($A1286&lt;&gt;$A1287,1,0)</f>
        <v>0</v>
      </c>
      <c r="AN1286" s="47" t="str">
        <f aca="false">IF($AM1286=1,$A1286,"")</f>
        <v/>
      </c>
    </row>
    <row r="1287" customFormat="false" ht="15" hidden="false" customHeight="false" outlineLevel="0" collapsed="false">
      <c r="A1287" s="43" t="s">
        <v>152</v>
      </c>
      <c r="B1287" s="44" t="s">
        <v>154</v>
      </c>
      <c r="C1287" s="45" t="n">
        <v>46244</v>
      </c>
      <c r="D1287" s="46" t="n">
        <v>20260810</v>
      </c>
      <c r="E1287" s="47" t="s">
        <v>530</v>
      </c>
      <c r="F1287" s="48" t="n">
        <v>4582</v>
      </c>
      <c r="G1287" s="48" t="n">
        <v>4608</v>
      </c>
      <c r="H1287" s="48" t="n">
        <v>4539</v>
      </c>
      <c r="I1287" s="48" t="n">
        <v>4582</v>
      </c>
      <c r="J1287" s="48" t="n">
        <v>4585</v>
      </c>
      <c r="K1287" s="48" t="n">
        <v>4565</v>
      </c>
      <c r="L1287" s="48" t="n">
        <v>91376728</v>
      </c>
      <c r="M1287" s="48" t="n">
        <v>418688167696</v>
      </c>
      <c r="N1287" s="48" t="n">
        <v>4645</v>
      </c>
      <c r="O1287" s="48" t="n">
        <v>42887827</v>
      </c>
      <c r="P1287" s="48" t="n">
        <v>47879516</v>
      </c>
      <c r="Q1287" s="48" t="n">
        <v>1813</v>
      </c>
      <c r="R1287" s="48" t="n">
        <v>2125</v>
      </c>
      <c r="S1287" s="48" t="n">
        <v>48488901</v>
      </c>
      <c r="T1287" s="48" t="n">
        <v>43497212</v>
      </c>
      <c r="U1287" s="46" t="n">
        <f aca="false">IF($A1287=$A1286,$U1286+1,1)</f>
        <v>243</v>
      </c>
      <c r="V1287" s="48" t="n">
        <f aca="false">IF($U1287&gt;=MA_SHORT,AVERAGE(INDEX($I$887:$I1287,402-MA_SHORT):$I1287),"")</f>
        <v>4824.8</v>
      </c>
      <c r="W1287" s="48" t="n">
        <f aca="false">IF($U1287&gt;=MA_MED,AVERAGE(INDEX($I$887:$I1287,402-MA_MED):$I1287),"")</f>
        <v>4843.38</v>
      </c>
      <c r="X1287" s="48" t="n">
        <f aca="false">IF($U1287&gt;=MA_LONG1,AVERAGE(INDEX($I$887:$I1287,402-MA_LONG1):$I1287),"")</f>
        <v>4796.12</v>
      </c>
      <c r="Y1287" s="48" t="n">
        <f aca="false">IF($U1287&gt;=MA_LONG2,AVERAGE(INDEX($I$887:$I1287,402-MA_LONG2):$I1287),"")</f>
        <v>5125</v>
      </c>
      <c r="Z1287" s="48" t="n">
        <f aca="false">IF($U1287&gt;=MA_SHORT,AVERAGE(INDEX($L$1167:$L1287,122-MA_SHORT):$L1287),"")</f>
        <v>95330559.1</v>
      </c>
      <c r="AA1287" s="48" t="n">
        <f aca="false">IF($U1287=1,$G1287-$H1287,MAX($G1287-$H1287,ABS($G1287-$I1286),ABS($H1287-$I1286)))</f>
        <v>69</v>
      </c>
      <c r="AB1287" s="48" t="n">
        <f aca="false">IF($U1287&gt;=ATR_PER,AVERAGE(INDEX($AA$1167:$AA1287,122-ATR_PER):$AA1287),"")</f>
        <v>213.071428571429</v>
      </c>
      <c r="AC1287" s="48" t="n">
        <f aca="false">$O1287-$P1287</f>
        <v>-4991689</v>
      </c>
      <c r="AD1287" s="48" t="n">
        <f aca="false">$AC1287*$I1287</f>
        <v>-22871918998</v>
      </c>
      <c r="AE1287" s="49" t="n">
        <f aca="false">IF($Q1287&gt;0,$O1287*$I1287/$Q1287/1000000,"")</f>
        <v>108.390525821291</v>
      </c>
      <c r="AF1287" s="49" t="n">
        <f aca="false">IF($R1287&gt;0,$P1287*$I1287/$R1287/1000000,"")</f>
        <v>103.239502264471</v>
      </c>
      <c r="AG1287" s="50" t="n">
        <f aca="false">IF(AND(ISNUMBER($AE1287),ISNUMBER($AF1287),$AF1287&gt;0),$AE1287/$AF1287,"")</f>
        <v>1.04989392087173</v>
      </c>
      <c r="AH1287" s="48" t="n">
        <f aca="false">IF($U1287&gt;=5,SUM(INDEX($AD$1257:$AD1287,32-5):$AD1287),"")</f>
        <v>-99518757113</v>
      </c>
      <c r="AI1287" s="48" t="n">
        <f aca="false">IF($U1287&gt;=STRUCT_S,MAX(INDEX($G$1137:$G1287,152-STRUCT_S):$G1287),"")</f>
        <v>5326</v>
      </c>
      <c r="AJ1287" s="48" t="n">
        <f aca="false">IF($U1287&gt;=STRUCT_S,MIN(INDEX($H$1137:$H1287,152-STRUCT_S):$H1287),"")</f>
        <v>4482</v>
      </c>
      <c r="AK1287" s="48" t="n">
        <f aca="false">IF($U1287&gt;=STRUCT_L,MAX(INDEX($G$1037:$G1287,252-STRUCT_L):$G1287),"")</f>
        <v>5326</v>
      </c>
      <c r="AL1287" s="48" t="n">
        <f aca="false">IF($U1287&gt;=STRUCT_L,MIN(INDEX($H$1037:$H1287,252-STRUCT_L):$H1287),"")</f>
        <v>4482</v>
      </c>
      <c r="AM1287" s="46" t="n">
        <f aca="false">IF($A1287&lt;&gt;$A1288,1,0)</f>
        <v>0</v>
      </c>
      <c r="AN1287" s="47" t="str">
        <f aca="false">IF($AM1287=1,$A1287,"")</f>
        <v/>
      </c>
    </row>
    <row r="1288" customFormat="false" ht="15" hidden="false" customHeight="false" outlineLevel="0" collapsed="false">
      <c r="A1288" s="43" t="s">
        <v>152</v>
      </c>
      <c r="B1288" s="44" t="s">
        <v>154</v>
      </c>
      <c r="C1288" s="45" t="n">
        <v>46245</v>
      </c>
      <c r="D1288" s="46" t="n">
        <v>20260811</v>
      </c>
      <c r="E1288" s="47" t="s">
        <v>531</v>
      </c>
      <c r="F1288" s="48" t="n">
        <v>4514</v>
      </c>
      <c r="G1288" s="48" t="n">
        <v>4621</v>
      </c>
      <c r="H1288" s="48" t="n">
        <v>4501</v>
      </c>
      <c r="I1288" s="48" t="n">
        <v>4540</v>
      </c>
      <c r="J1288" s="48" t="n">
        <v>4617</v>
      </c>
      <c r="K1288" s="48" t="n">
        <v>4582</v>
      </c>
      <c r="L1288" s="48" t="n">
        <v>81929707</v>
      </c>
      <c r="M1288" s="48" t="n">
        <v>371960869780</v>
      </c>
      <c r="N1288" s="48" t="n">
        <v>7983</v>
      </c>
      <c r="O1288" s="48" t="n">
        <v>40080775</v>
      </c>
      <c r="P1288" s="48" t="n">
        <v>43748900</v>
      </c>
      <c r="Q1288" s="48" t="n">
        <v>2839</v>
      </c>
      <c r="R1288" s="48" t="n">
        <v>2986</v>
      </c>
      <c r="S1288" s="48" t="n">
        <v>41848932</v>
      </c>
      <c r="T1288" s="48" t="n">
        <v>38180807</v>
      </c>
      <c r="U1288" s="46" t="n">
        <f aca="false">IF($A1288=$A1287,$U1287+1,1)</f>
        <v>244</v>
      </c>
      <c r="V1288" s="48" t="n">
        <f aca="false">IF($U1288&gt;=MA_SHORT,AVERAGE(INDEX($I$888:$I1288,402-MA_SHORT):$I1288),"")</f>
        <v>4823.55</v>
      </c>
      <c r="W1288" s="48" t="n">
        <f aca="false">IF($U1288&gt;=MA_MED,AVERAGE(INDEX($I$888:$I1288,402-MA_MED):$I1288),"")</f>
        <v>4839.28</v>
      </c>
      <c r="X1288" s="48" t="n">
        <f aca="false">IF($U1288&gt;=MA_LONG1,AVERAGE(INDEX($I$888:$I1288,402-MA_LONG1):$I1288),"")</f>
        <v>4793.27</v>
      </c>
      <c r="Y1288" s="48" t="n">
        <f aca="false">IF($U1288&gt;=MA_LONG2,AVERAGE(INDEX($I$888:$I1288,402-MA_LONG2):$I1288),"")</f>
        <v>5120.475</v>
      </c>
      <c r="Z1288" s="48" t="n">
        <f aca="false">IF($U1288&gt;=MA_SHORT,AVERAGE(INDEX($L$1168:$L1288,122-MA_SHORT):$L1288),"")</f>
        <v>95286707.8</v>
      </c>
      <c r="AA1288" s="48" t="n">
        <f aca="false">IF($U1288=1,$G1288-$H1288,MAX($G1288-$H1288,ABS($G1288-$I1287),ABS($H1288-$I1287)))</f>
        <v>120</v>
      </c>
      <c r="AB1288" s="48" t="n">
        <f aca="false">IF($U1288&gt;=ATR_PER,AVERAGE(INDEX($AA$1168:$AA1288,122-ATR_PER):$AA1288),"")</f>
        <v>208.071428571429</v>
      </c>
      <c r="AC1288" s="48" t="n">
        <f aca="false">$O1288-$P1288</f>
        <v>-3668125</v>
      </c>
      <c r="AD1288" s="48" t="n">
        <f aca="false">$AC1288*$I1288</f>
        <v>-16653287500</v>
      </c>
      <c r="AE1288" s="49" t="n">
        <f aca="false">IF($Q1288&gt;0,$O1288*$I1288/$Q1288/1000000,"")</f>
        <v>64.0953569918986</v>
      </c>
      <c r="AF1288" s="49" t="n">
        <f aca="false">IF($R1288&gt;0,$P1288*$I1288/$R1288/1000000,"")</f>
        <v>66.5170817146685</v>
      </c>
      <c r="AG1288" s="50" t="n">
        <f aca="false">IF(AND(ISNUMBER($AE1288),ISNUMBER($AF1288),$AF1288&gt;0),$AE1288/$AF1288,"")</f>
        <v>0.963592438809055</v>
      </c>
      <c r="AH1288" s="48" t="n">
        <f aca="false">IF($U1288&gt;=5,SUM(INDEX($AD$1258:$AD1288,32-5):$AD1288),"")</f>
        <v>-236841503111</v>
      </c>
      <c r="AI1288" s="48" t="n">
        <f aca="false">IF($U1288&gt;=STRUCT_S,MAX(INDEX($G$1138:$G1288,152-STRUCT_S):$G1288),"")</f>
        <v>5326</v>
      </c>
      <c r="AJ1288" s="48" t="n">
        <f aca="false">IF($U1288&gt;=STRUCT_S,MIN(INDEX($H$1138:$H1288,152-STRUCT_S):$H1288),"")</f>
        <v>4482</v>
      </c>
      <c r="AK1288" s="48" t="n">
        <f aca="false">IF($U1288&gt;=STRUCT_L,MAX(INDEX($G$1038:$G1288,252-STRUCT_L):$G1288),"")</f>
        <v>5326</v>
      </c>
      <c r="AL1288" s="48" t="n">
        <f aca="false">IF($U1288&gt;=STRUCT_L,MIN(INDEX($H$1038:$H1288,252-STRUCT_L):$H1288),"")</f>
        <v>4482</v>
      </c>
      <c r="AM1288" s="46" t="n">
        <f aca="false">IF($A1288&lt;&gt;$A1289,1,0)</f>
        <v>0</v>
      </c>
      <c r="AN1288" s="47" t="str">
        <f aca="false">IF($AM1288=1,$A1288,"")</f>
        <v/>
      </c>
    </row>
    <row r="1289" customFormat="false" ht="15" hidden="false" customHeight="false" outlineLevel="0" collapsed="false">
      <c r="A1289" s="43" t="s">
        <v>152</v>
      </c>
      <c r="B1289" s="44" t="s">
        <v>154</v>
      </c>
      <c r="C1289" s="45" t="n">
        <v>46246</v>
      </c>
      <c r="D1289" s="46" t="n">
        <v>20260812</v>
      </c>
      <c r="E1289" s="47" t="s">
        <v>532</v>
      </c>
      <c r="F1289" s="48" t="n">
        <v>4594</v>
      </c>
      <c r="G1289" s="48" t="n">
        <v>4601</v>
      </c>
      <c r="H1289" s="48" t="n">
        <v>4480</v>
      </c>
      <c r="I1289" s="48" t="n">
        <v>4541</v>
      </c>
      <c r="J1289" s="48" t="n">
        <v>4503</v>
      </c>
      <c r="K1289" s="48" t="n">
        <v>4540</v>
      </c>
      <c r="L1289" s="48" t="n">
        <v>77761283</v>
      </c>
      <c r="M1289" s="48" t="n">
        <v>353113986103</v>
      </c>
      <c r="N1289" s="48" t="n">
        <v>5135</v>
      </c>
      <c r="O1289" s="48" t="n">
        <v>45564833</v>
      </c>
      <c r="P1289" s="48" t="n">
        <v>33432558</v>
      </c>
      <c r="Q1289" s="48" t="n">
        <v>1825</v>
      </c>
      <c r="R1289" s="48" t="n">
        <v>1738</v>
      </c>
      <c r="S1289" s="48" t="n">
        <v>32196450</v>
      </c>
      <c r="T1289" s="48" t="n">
        <v>44328725</v>
      </c>
      <c r="U1289" s="46" t="n">
        <f aca="false">IF($A1289=$A1288,$U1288+1,1)</f>
        <v>245</v>
      </c>
      <c r="V1289" s="48" t="n">
        <f aca="false">IF($U1289&gt;=MA_SHORT,AVERAGE(INDEX($I$889:$I1289,402-MA_SHORT):$I1289),"")</f>
        <v>4813.75</v>
      </c>
      <c r="W1289" s="48" t="n">
        <f aca="false">IF($U1289&gt;=MA_MED,AVERAGE(INDEX($I$889:$I1289,402-MA_MED):$I1289),"")</f>
        <v>4832.1</v>
      </c>
      <c r="X1289" s="48" t="n">
        <f aca="false">IF($U1289&gt;=MA_LONG1,AVERAGE(INDEX($I$889:$I1289,402-MA_LONG1):$I1289),"")</f>
        <v>4790.11</v>
      </c>
      <c r="Y1289" s="48" t="n">
        <f aca="false">IF($U1289&gt;=MA_LONG2,AVERAGE(INDEX($I$889:$I1289,402-MA_LONG2):$I1289),"")</f>
        <v>5117.105</v>
      </c>
      <c r="Z1289" s="48" t="n">
        <f aca="false">IF($U1289&gt;=MA_SHORT,AVERAGE(INDEX($L$1169:$L1289,122-MA_SHORT):$L1289),"")</f>
        <v>94414033</v>
      </c>
      <c r="AA1289" s="48" t="n">
        <f aca="false">IF($U1289=1,$G1289-$H1289,MAX($G1289-$H1289,ABS($G1289-$I1288),ABS($H1289-$I1288)))</f>
        <v>121</v>
      </c>
      <c r="AB1289" s="48" t="n">
        <f aca="false">IF($U1289&gt;=ATR_PER,AVERAGE(INDEX($AA$1169:$AA1289,122-ATR_PER):$AA1289),"")</f>
        <v>203.285714285714</v>
      </c>
      <c r="AC1289" s="48" t="n">
        <f aca="false">$O1289-$P1289</f>
        <v>12132275</v>
      </c>
      <c r="AD1289" s="48" t="n">
        <f aca="false">$AC1289*$I1289</f>
        <v>55092660775</v>
      </c>
      <c r="AE1289" s="49" t="n">
        <f aca="false">IF($Q1289&gt;0,$O1289*$I1289/$Q1289/1000000,"")</f>
        <v>113.375291316712</v>
      </c>
      <c r="AF1289" s="49" t="n">
        <f aca="false">IF($R1289&gt;0,$P1289*$I1289/$R1289/1000000,"")</f>
        <v>87.351694981588</v>
      </c>
      <c r="AG1289" s="50" t="n">
        <f aca="false">IF(AND(ISNUMBER($AE1289),ISNUMBER($AF1289),$AF1289&gt;0),$AE1289/$AF1289,"")</f>
        <v>1.29791747418993</v>
      </c>
      <c r="AH1289" s="48" t="n">
        <f aca="false">IF($U1289&gt;=5,SUM(INDEX($AD$1259:$AD1289,32-5):$AD1289),"")</f>
        <v>-52387310688</v>
      </c>
      <c r="AI1289" s="48" t="n">
        <f aca="false">IF($U1289&gt;=STRUCT_S,MAX(INDEX($G$1139:$G1289,152-STRUCT_S):$G1289),"")</f>
        <v>5326</v>
      </c>
      <c r="AJ1289" s="48" t="n">
        <f aca="false">IF($U1289&gt;=STRUCT_S,MIN(INDEX($H$1139:$H1289,152-STRUCT_S):$H1289),"")</f>
        <v>4480</v>
      </c>
      <c r="AK1289" s="48" t="n">
        <f aca="false">IF($U1289&gt;=STRUCT_L,MAX(INDEX($G$1039:$G1289,252-STRUCT_L):$G1289),"")</f>
        <v>5326</v>
      </c>
      <c r="AL1289" s="48" t="n">
        <f aca="false">IF($U1289&gt;=STRUCT_L,MIN(INDEX($H$1039:$H1289,252-STRUCT_L):$H1289),"")</f>
        <v>4480</v>
      </c>
      <c r="AM1289" s="46" t="n">
        <f aca="false">IF($A1289&lt;&gt;$A1290,1,0)</f>
        <v>0</v>
      </c>
      <c r="AN1289" s="47" t="str">
        <f aca="false">IF($AM1289=1,$A1289,"")</f>
        <v/>
      </c>
    </row>
    <row r="1290" customFormat="false" ht="15" hidden="false" customHeight="false" outlineLevel="0" collapsed="false">
      <c r="A1290" s="43" t="s">
        <v>152</v>
      </c>
      <c r="B1290" s="44" t="s">
        <v>154</v>
      </c>
      <c r="C1290" s="45" t="n">
        <v>46249</v>
      </c>
      <c r="D1290" s="46" t="n">
        <v>20260815</v>
      </c>
      <c r="E1290" s="47" t="s">
        <v>533</v>
      </c>
      <c r="F1290" s="48" t="n">
        <v>4525</v>
      </c>
      <c r="G1290" s="48" t="n">
        <v>4573</v>
      </c>
      <c r="H1290" s="48" t="n">
        <v>4371</v>
      </c>
      <c r="I1290" s="48" t="n">
        <v>4402</v>
      </c>
      <c r="J1290" s="48" t="n">
        <v>4546</v>
      </c>
      <c r="K1290" s="48" t="n">
        <v>4541</v>
      </c>
      <c r="L1290" s="48" t="n">
        <v>139445050</v>
      </c>
      <c r="M1290" s="48" t="n">
        <v>613837110100</v>
      </c>
      <c r="N1290" s="48" t="n">
        <v>14102</v>
      </c>
      <c r="O1290" s="48" t="n">
        <v>47301008</v>
      </c>
      <c r="P1290" s="48" t="n">
        <v>82468353</v>
      </c>
      <c r="Q1290" s="48" t="n">
        <v>3834</v>
      </c>
      <c r="R1290" s="48" t="n">
        <v>7427</v>
      </c>
      <c r="S1290" s="48" t="n">
        <v>92144042</v>
      </c>
      <c r="T1290" s="48" t="n">
        <v>56976697</v>
      </c>
      <c r="U1290" s="46" t="n">
        <f aca="false">IF($A1290=$A1289,$U1289+1,1)</f>
        <v>246</v>
      </c>
      <c r="V1290" s="48" t="n">
        <f aca="false">IF($U1290&gt;=MA_SHORT,AVERAGE(INDEX($I$890:$I1290,402-MA_SHORT):$I1290),"")</f>
        <v>4795.55</v>
      </c>
      <c r="W1290" s="48" t="n">
        <f aca="false">IF($U1290&gt;=MA_MED,AVERAGE(INDEX($I$890:$I1290,402-MA_MED):$I1290),"")</f>
        <v>4821.62</v>
      </c>
      <c r="X1290" s="48" t="n">
        <f aca="false">IF($U1290&gt;=MA_LONG1,AVERAGE(INDEX($I$890:$I1290,402-MA_LONG1):$I1290),"")</f>
        <v>4784.82</v>
      </c>
      <c r="Y1290" s="48" t="n">
        <f aca="false">IF($U1290&gt;=MA_LONG2,AVERAGE(INDEX($I$890:$I1290,402-MA_LONG2):$I1290),"")</f>
        <v>5112.505</v>
      </c>
      <c r="Z1290" s="48" t="n">
        <f aca="false">IF($U1290&gt;=MA_SHORT,AVERAGE(INDEX($L$1170:$L1290,122-MA_SHORT):$L1290),"")</f>
        <v>95564361.55</v>
      </c>
      <c r="AA1290" s="48" t="n">
        <f aca="false">IF($U1290=1,$G1290-$H1290,MAX($G1290-$H1290,ABS($G1290-$I1289),ABS($H1290-$I1289)))</f>
        <v>202</v>
      </c>
      <c r="AB1290" s="48" t="n">
        <f aca="false">IF($U1290&gt;=ATR_PER,AVERAGE(INDEX($AA$1170:$AA1290,122-ATR_PER):$AA1290),"")</f>
        <v>194.142857142857</v>
      </c>
      <c r="AC1290" s="48" t="n">
        <f aca="false">$O1290-$P1290</f>
        <v>-35167345</v>
      </c>
      <c r="AD1290" s="48" t="n">
        <f aca="false">$AC1290*$I1290</f>
        <v>-154806652690</v>
      </c>
      <c r="AE1290" s="49" t="n">
        <f aca="false">IF($Q1290&gt;0,$O1290*$I1290/$Q1290/1000000,"")</f>
        <v>54.3085647407407</v>
      </c>
      <c r="AF1290" s="49" t="n">
        <f aca="false">IF($R1290&gt;0,$P1290*$I1290/$R1290/1000000,"")</f>
        <v>48.879182699071</v>
      </c>
      <c r="AG1290" s="50" t="n">
        <f aca="false">IF(AND(ISNUMBER($AE1290),ISNUMBER($AF1290),$AF1290&gt;0),$AE1290/$AF1290,"")</f>
        <v>1.11107759462952</v>
      </c>
      <c r="AH1290" s="48" t="n">
        <f aca="false">IF($U1290&gt;=5,SUM(INDEX($AD$1260:$AD1290,32-5):$AD1290),"")</f>
        <v>-243906180338</v>
      </c>
      <c r="AI1290" s="48" t="n">
        <f aca="false">IF($U1290&gt;=STRUCT_S,MAX(INDEX($G$1140:$G1290,152-STRUCT_S):$G1290),"")</f>
        <v>5326</v>
      </c>
      <c r="AJ1290" s="48" t="n">
        <f aca="false">IF($U1290&gt;=STRUCT_S,MIN(INDEX($H$1140:$H1290,152-STRUCT_S):$H1290),"")</f>
        <v>4371</v>
      </c>
      <c r="AK1290" s="48" t="n">
        <f aca="false">IF($U1290&gt;=STRUCT_L,MAX(INDEX($G$1040:$G1290,252-STRUCT_L):$G1290),"")</f>
        <v>5326</v>
      </c>
      <c r="AL1290" s="48" t="n">
        <f aca="false">IF($U1290&gt;=STRUCT_L,MIN(INDEX($H$1040:$H1290,252-STRUCT_L):$H1290),"")</f>
        <v>4371</v>
      </c>
      <c r="AM1290" s="46" t="n">
        <f aca="false">IF($A1290&lt;&gt;$A1291,1,0)</f>
        <v>0</v>
      </c>
      <c r="AN1290" s="47" t="str">
        <f aca="false">IF($AM1290=1,$A1290,"")</f>
        <v/>
      </c>
    </row>
    <row r="1291" customFormat="false" ht="15" hidden="false" customHeight="false" outlineLevel="0" collapsed="false">
      <c r="A1291" s="43" t="s">
        <v>152</v>
      </c>
      <c r="B1291" s="44" t="s">
        <v>154</v>
      </c>
      <c r="C1291" s="45" t="n">
        <v>46250</v>
      </c>
      <c r="D1291" s="46" t="n">
        <v>20260816</v>
      </c>
      <c r="E1291" s="47" t="s">
        <v>534</v>
      </c>
      <c r="F1291" s="48" t="n">
        <v>4391</v>
      </c>
      <c r="G1291" s="48" t="n">
        <v>4451</v>
      </c>
      <c r="H1291" s="48" t="n">
        <v>4356</v>
      </c>
      <c r="I1291" s="48" t="n">
        <v>4405</v>
      </c>
      <c r="J1291" s="48" t="n">
        <v>4373</v>
      </c>
      <c r="K1291" s="48" t="n">
        <v>4402</v>
      </c>
      <c r="L1291" s="48" t="n">
        <v>100070452</v>
      </c>
      <c r="M1291" s="48" t="n">
        <v>440810341060</v>
      </c>
      <c r="N1291" s="48" t="n">
        <v>5115</v>
      </c>
      <c r="O1291" s="48" t="n">
        <v>46649348</v>
      </c>
      <c r="P1291" s="48" t="n">
        <v>57220325</v>
      </c>
      <c r="Q1291" s="48" t="n">
        <v>2413</v>
      </c>
      <c r="R1291" s="48" t="n">
        <v>1812</v>
      </c>
      <c r="S1291" s="48" t="n">
        <v>53421104</v>
      </c>
      <c r="T1291" s="48" t="n">
        <v>42850127</v>
      </c>
      <c r="U1291" s="46" t="n">
        <f aca="false">IF($A1291=$A1290,$U1290+1,1)</f>
        <v>247</v>
      </c>
      <c r="V1291" s="48" t="n">
        <f aca="false">IF($U1291&gt;=MA_SHORT,AVERAGE(INDEX($I$891:$I1291,402-MA_SHORT):$I1291),"")</f>
        <v>4771.35</v>
      </c>
      <c r="W1291" s="48" t="n">
        <f aca="false">IF($U1291&gt;=MA_MED,AVERAGE(INDEX($I$891:$I1291,402-MA_MED):$I1291),"")</f>
        <v>4811.74</v>
      </c>
      <c r="X1291" s="48" t="n">
        <f aca="false">IF($U1291&gt;=MA_LONG1,AVERAGE(INDEX($I$891:$I1291,402-MA_LONG1):$I1291),"")</f>
        <v>4780.32</v>
      </c>
      <c r="Y1291" s="48" t="n">
        <f aca="false">IF($U1291&gt;=MA_LONG2,AVERAGE(INDEX($I$891:$I1291,402-MA_LONG2):$I1291),"")</f>
        <v>5107.945</v>
      </c>
      <c r="Z1291" s="48" t="n">
        <f aca="false">IF($U1291&gt;=MA_SHORT,AVERAGE(INDEX($L$1171:$L1291,122-MA_SHORT):$L1291),"")</f>
        <v>94797992.85</v>
      </c>
      <c r="AA1291" s="48" t="n">
        <f aca="false">IF($U1291=1,$G1291-$H1291,MAX($G1291-$H1291,ABS($G1291-$I1290),ABS($H1291-$I1290)))</f>
        <v>95</v>
      </c>
      <c r="AB1291" s="48" t="n">
        <f aca="false">IF($U1291&gt;=ATR_PER,AVERAGE(INDEX($AA$1171:$AA1291,122-ATR_PER):$AA1291),"")</f>
        <v>197.357142857143</v>
      </c>
      <c r="AC1291" s="48" t="n">
        <f aca="false">$O1291-$P1291</f>
        <v>-10570977</v>
      </c>
      <c r="AD1291" s="48" t="n">
        <f aca="false">$AC1291*$I1291</f>
        <v>-46565153685</v>
      </c>
      <c r="AE1291" s="49" t="n">
        <f aca="false">IF($Q1291&gt;0,$O1291*$I1291/$Q1291/1000000,"")</f>
        <v>85.1597090509739</v>
      </c>
      <c r="AF1291" s="49" t="n">
        <f aca="false">IF($R1291&gt;0,$P1291*$I1291/$R1291/1000000,"")</f>
        <v>139.103494274283</v>
      </c>
      <c r="AG1291" s="50" t="n">
        <f aca="false">IF(AND(ISNUMBER($AE1291),ISNUMBER($AF1291),$AF1291&gt;0),$AE1291/$AF1291,"")</f>
        <v>0.612203952857266</v>
      </c>
      <c r="AH1291" s="48" t="n">
        <f aca="false">IF($U1291&gt;=5,SUM(INDEX($AD$1261:$AD1291,32-5):$AD1291),"")</f>
        <v>-185804352098</v>
      </c>
      <c r="AI1291" s="48" t="n">
        <f aca="false">IF($U1291&gt;=STRUCT_S,MAX(INDEX($G$1141:$G1291,152-STRUCT_S):$G1291),"")</f>
        <v>5326</v>
      </c>
      <c r="AJ1291" s="48" t="n">
        <f aca="false">IF($U1291&gt;=STRUCT_S,MIN(INDEX($H$1141:$H1291,152-STRUCT_S):$H1291),"")</f>
        <v>4356</v>
      </c>
      <c r="AK1291" s="48" t="n">
        <f aca="false">IF($U1291&gt;=STRUCT_L,MAX(INDEX($G$1041:$G1291,252-STRUCT_L):$G1291),"")</f>
        <v>5326</v>
      </c>
      <c r="AL1291" s="48" t="n">
        <f aca="false">IF($U1291&gt;=STRUCT_L,MIN(INDEX($H$1041:$H1291,252-STRUCT_L):$H1291),"")</f>
        <v>4356</v>
      </c>
      <c r="AM1291" s="46" t="n">
        <f aca="false">IF($A1291&lt;&gt;$A1292,1,0)</f>
        <v>0</v>
      </c>
      <c r="AN1291" s="47" t="str">
        <f aca="false">IF($AM1291=1,$A1291,"")</f>
        <v/>
      </c>
    </row>
    <row r="1292" customFormat="false" ht="15" hidden="false" customHeight="false" outlineLevel="0" collapsed="false">
      <c r="A1292" s="43" t="s">
        <v>152</v>
      </c>
      <c r="B1292" s="44" t="s">
        <v>154</v>
      </c>
      <c r="C1292" s="45" t="n">
        <v>46251</v>
      </c>
      <c r="D1292" s="46" t="n">
        <v>20260817</v>
      </c>
      <c r="E1292" s="47" t="s">
        <v>535</v>
      </c>
      <c r="F1292" s="48" t="n">
        <v>4473</v>
      </c>
      <c r="G1292" s="48" t="n">
        <v>4483</v>
      </c>
      <c r="H1292" s="48" t="n">
        <v>4210</v>
      </c>
      <c r="I1292" s="48" t="n">
        <v>4286</v>
      </c>
      <c r="J1292" s="48" t="n">
        <v>4461</v>
      </c>
      <c r="K1292" s="48" t="n">
        <v>4405</v>
      </c>
      <c r="L1292" s="48" t="n">
        <v>90246227</v>
      </c>
      <c r="M1292" s="48" t="n">
        <v>386795328922</v>
      </c>
      <c r="N1292" s="48" t="n">
        <v>2042</v>
      </c>
      <c r="O1292" s="48" t="n">
        <v>19335008</v>
      </c>
      <c r="P1292" s="48" t="n">
        <v>68159595</v>
      </c>
      <c r="Q1292" s="48" t="n">
        <v>610</v>
      </c>
      <c r="R1292" s="48" t="n">
        <v>1189</v>
      </c>
      <c r="S1292" s="48" t="n">
        <v>70911219</v>
      </c>
      <c r="T1292" s="48" t="n">
        <v>22086632</v>
      </c>
      <c r="U1292" s="46" t="n">
        <f aca="false">IF($A1292=$A1291,$U1291+1,1)</f>
        <v>248</v>
      </c>
      <c r="V1292" s="48" t="n">
        <f aca="false">IF($U1292&gt;=MA_SHORT,AVERAGE(INDEX($I$892:$I1292,402-MA_SHORT):$I1292),"")</f>
        <v>4741.25</v>
      </c>
      <c r="W1292" s="48" t="n">
        <f aca="false">IF($U1292&gt;=MA_MED,AVERAGE(INDEX($I$892:$I1292,402-MA_MED):$I1292),"")</f>
        <v>4800.86</v>
      </c>
      <c r="X1292" s="48" t="n">
        <f aca="false">IF($U1292&gt;=MA_LONG1,AVERAGE(INDEX($I$892:$I1292,402-MA_LONG1):$I1292),"")</f>
        <v>4773.85</v>
      </c>
      <c r="Y1292" s="48" t="n">
        <f aca="false">IF($U1292&gt;=MA_LONG2,AVERAGE(INDEX($I$892:$I1292,402-MA_LONG2):$I1292),"")</f>
        <v>5102.515</v>
      </c>
      <c r="Z1292" s="48" t="n">
        <f aca="false">IF($U1292&gt;=MA_SHORT,AVERAGE(INDEX($L$1172:$L1292,122-MA_SHORT):$L1292),"")</f>
        <v>94434681.4</v>
      </c>
      <c r="AA1292" s="48" t="n">
        <f aca="false">IF($U1292=1,$G1292-$H1292,MAX($G1292-$H1292,ABS($G1292-$I1291),ABS($H1292-$I1291)))</f>
        <v>273</v>
      </c>
      <c r="AB1292" s="48" t="n">
        <f aca="false">IF($U1292&gt;=ATR_PER,AVERAGE(INDEX($AA$1172:$AA1292,122-ATR_PER):$AA1292),"")</f>
        <v>191.642857142857</v>
      </c>
      <c r="AC1292" s="48" t="n">
        <f aca="false">$O1292-$P1292</f>
        <v>-48824587</v>
      </c>
      <c r="AD1292" s="48" t="n">
        <f aca="false">$AC1292*$I1292</f>
        <v>-209262179882</v>
      </c>
      <c r="AE1292" s="49" t="n">
        <f aca="false">IF($Q1292&gt;0,$O1292*$I1292/$Q1292/1000000,"")</f>
        <v>135.85220375082</v>
      </c>
      <c r="AF1292" s="49" t="n">
        <f aca="false">IF($R1292&gt;0,$P1292*$I1292/$R1292/1000000,"")</f>
        <v>245.695562800673</v>
      </c>
      <c r="AG1292" s="50" t="n">
        <f aca="false">IF(AND(ISNUMBER($AE1292),ISNUMBER($AF1292),$AF1292&gt;0),$AE1292/$AF1292,"")</f>
        <v>0.552929007761664</v>
      </c>
      <c r="AH1292" s="48" t="n">
        <f aca="false">IF($U1292&gt;=5,SUM(INDEX($AD$1262:$AD1292,32-5):$AD1292),"")</f>
        <v>-372194612982</v>
      </c>
      <c r="AI1292" s="48" t="n">
        <f aca="false">IF($U1292&gt;=STRUCT_S,MAX(INDEX($G$1142:$G1292,152-STRUCT_S):$G1292),"")</f>
        <v>5326</v>
      </c>
      <c r="AJ1292" s="48" t="n">
        <f aca="false">IF($U1292&gt;=STRUCT_S,MIN(INDEX($H$1142:$H1292,152-STRUCT_S):$H1292),"")</f>
        <v>4210</v>
      </c>
      <c r="AK1292" s="48" t="n">
        <f aca="false">IF($U1292&gt;=STRUCT_L,MAX(INDEX($G$1042:$G1292,252-STRUCT_L):$G1292),"")</f>
        <v>5326</v>
      </c>
      <c r="AL1292" s="48" t="n">
        <f aca="false">IF($U1292&gt;=STRUCT_L,MIN(INDEX($H$1042:$H1292,252-STRUCT_L):$H1292),"")</f>
        <v>4210</v>
      </c>
      <c r="AM1292" s="46" t="n">
        <f aca="false">IF($A1292&lt;&gt;$A1293,1,0)</f>
        <v>0</v>
      </c>
      <c r="AN1292" s="47" t="str">
        <f aca="false">IF($AM1292=1,$A1292,"")</f>
        <v/>
      </c>
    </row>
    <row r="1293" customFormat="false" ht="15" hidden="false" customHeight="false" outlineLevel="0" collapsed="false">
      <c r="A1293" s="43" t="s">
        <v>152</v>
      </c>
      <c r="B1293" s="44" t="s">
        <v>154</v>
      </c>
      <c r="C1293" s="45" t="n">
        <v>46252</v>
      </c>
      <c r="D1293" s="46" t="n">
        <v>20260818</v>
      </c>
      <c r="E1293" s="47" t="s">
        <v>536</v>
      </c>
      <c r="F1293" s="48" t="n">
        <v>4338</v>
      </c>
      <c r="G1293" s="48" t="n">
        <v>4346</v>
      </c>
      <c r="H1293" s="48" t="n">
        <v>4229</v>
      </c>
      <c r="I1293" s="48" t="n">
        <v>4289</v>
      </c>
      <c r="J1293" s="48" t="n">
        <v>4324</v>
      </c>
      <c r="K1293" s="48" t="n">
        <v>4286</v>
      </c>
      <c r="L1293" s="48" t="n">
        <v>77984795</v>
      </c>
      <c r="M1293" s="48" t="n">
        <v>334476785755</v>
      </c>
      <c r="N1293" s="48" t="n">
        <v>3217</v>
      </c>
      <c r="O1293" s="48" t="n">
        <v>43755961</v>
      </c>
      <c r="P1293" s="48" t="n">
        <v>33624390</v>
      </c>
      <c r="Q1293" s="48" t="n">
        <v>1950</v>
      </c>
      <c r="R1293" s="48" t="n">
        <v>1076</v>
      </c>
      <c r="S1293" s="48" t="n">
        <v>34228834</v>
      </c>
      <c r="T1293" s="48" t="n">
        <v>44360405</v>
      </c>
      <c r="U1293" s="46" t="n">
        <f aca="false">IF($A1293=$A1292,$U1292+1,1)</f>
        <v>249</v>
      </c>
      <c r="V1293" s="48" t="n">
        <f aca="false">IF($U1293&gt;=MA_SHORT,AVERAGE(INDEX($I$893:$I1293,402-MA_SHORT):$I1293),"")</f>
        <v>4712.05</v>
      </c>
      <c r="W1293" s="48" t="n">
        <f aca="false">IF($U1293&gt;=MA_MED,AVERAGE(INDEX($I$893:$I1293,402-MA_MED):$I1293),"")</f>
        <v>4791.2</v>
      </c>
      <c r="X1293" s="48" t="n">
        <f aca="false">IF($U1293&gt;=MA_LONG1,AVERAGE(INDEX($I$893:$I1293,402-MA_LONG1):$I1293),"")</f>
        <v>4766.27</v>
      </c>
      <c r="Y1293" s="48" t="n">
        <f aca="false">IF($U1293&gt;=MA_LONG2,AVERAGE(INDEX($I$893:$I1293,402-MA_LONG2):$I1293),"")</f>
        <v>5097.89</v>
      </c>
      <c r="Z1293" s="48" t="n">
        <f aca="false">IF($U1293&gt;=MA_SHORT,AVERAGE(INDEX($L$1173:$L1293,122-MA_SHORT):$L1293),"")</f>
        <v>94130121.5</v>
      </c>
      <c r="AA1293" s="48" t="n">
        <f aca="false">IF($U1293=1,$G1293-$H1293,MAX($G1293-$H1293,ABS($G1293-$I1292),ABS($H1293-$I1292)))</f>
        <v>117</v>
      </c>
      <c r="AB1293" s="48" t="n">
        <f aca="false">IF($U1293&gt;=ATR_PER,AVERAGE(INDEX($AA$1173:$AA1293,122-ATR_PER):$AA1293),"")</f>
        <v>181.071428571429</v>
      </c>
      <c r="AC1293" s="48" t="n">
        <f aca="false">$O1293-$P1293</f>
        <v>10131571</v>
      </c>
      <c r="AD1293" s="48" t="n">
        <f aca="false">$AC1293*$I1293</f>
        <v>43454308019</v>
      </c>
      <c r="AE1293" s="49" t="n">
        <f aca="false">IF($Q1293&gt;0,$O1293*$I1293/$Q1293/1000000,"")</f>
        <v>96.240675245641</v>
      </c>
      <c r="AF1293" s="49" t="n">
        <f aca="false">IF($R1293&gt;0,$P1293*$I1293/$R1293/1000000,"")</f>
        <v>134.028818503717</v>
      </c>
      <c r="AG1293" s="50" t="n">
        <f aca="false">IF(AND(ISNUMBER($AE1293),ISNUMBER($AF1293),$AF1293&gt;0),$AE1293/$AF1293,"")</f>
        <v>0.718059565995291</v>
      </c>
      <c r="AH1293" s="48" t="n">
        <f aca="false">IF($U1293&gt;=5,SUM(INDEX($AD$1263:$AD1293,32-5):$AD1293),"")</f>
        <v>-312087017463</v>
      </c>
      <c r="AI1293" s="48" t="n">
        <f aca="false">IF($U1293&gt;=STRUCT_S,MAX(INDEX($G$1143:$G1293,152-STRUCT_S):$G1293),"")</f>
        <v>5326</v>
      </c>
      <c r="AJ1293" s="48" t="n">
        <f aca="false">IF($U1293&gt;=STRUCT_S,MIN(INDEX($H$1143:$H1293,152-STRUCT_S):$H1293),"")</f>
        <v>4210</v>
      </c>
      <c r="AK1293" s="48" t="n">
        <f aca="false">IF($U1293&gt;=STRUCT_L,MAX(INDEX($G$1043:$G1293,252-STRUCT_L):$G1293),"")</f>
        <v>5326</v>
      </c>
      <c r="AL1293" s="48" t="n">
        <f aca="false">IF($U1293&gt;=STRUCT_L,MIN(INDEX($H$1043:$H1293,252-STRUCT_L):$H1293),"")</f>
        <v>4210</v>
      </c>
      <c r="AM1293" s="46" t="n">
        <f aca="false">IF($A1293&lt;&gt;$A1294,1,0)</f>
        <v>0</v>
      </c>
      <c r="AN1293" s="47" t="str">
        <f aca="false">IF($AM1293=1,$A1293,"")</f>
        <v/>
      </c>
    </row>
    <row r="1294" customFormat="false" ht="15" hidden="false" customHeight="false" outlineLevel="0" collapsed="false">
      <c r="A1294" s="43" t="s">
        <v>152</v>
      </c>
      <c r="B1294" s="44" t="s">
        <v>154</v>
      </c>
      <c r="C1294" s="45" t="n">
        <v>46253</v>
      </c>
      <c r="D1294" s="46" t="n">
        <v>20260819</v>
      </c>
      <c r="E1294" s="47" t="s">
        <v>537</v>
      </c>
      <c r="F1294" s="48" t="n">
        <v>4386</v>
      </c>
      <c r="G1294" s="48" t="n">
        <v>4413</v>
      </c>
      <c r="H1294" s="48" t="n">
        <v>4270</v>
      </c>
      <c r="I1294" s="48" t="n">
        <v>4393</v>
      </c>
      <c r="J1294" s="48" t="n">
        <v>4273</v>
      </c>
      <c r="K1294" s="48" t="n">
        <v>4289</v>
      </c>
      <c r="L1294" s="48" t="n">
        <v>89103818</v>
      </c>
      <c r="M1294" s="48" t="n">
        <v>391433072474</v>
      </c>
      <c r="N1294" s="48" t="n">
        <v>5971</v>
      </c>
      <c r="O1294" s="48" t="n">
        <v>54529067</v>
      </c>
      <c r="P1294" s="48" t="n">
        <v>37810636</v>
      </c>
      <c r="Q1294" s="48" t="n">
        <v>2565</v>
      </c>
      <c r="R1294" s="48" t="n">
        <v>1933</v>
      </c>
      <c r="S1294" s="48" t="n">
        <v>34574751</v>
      </c>
      <c r="T1294" s="48" t="n">
        <v>51293182</v>
      </c>
      <c r="U1294" s="46" t="n">
        <f aca="false">IF($A1294=$A1293,$U1293+1,1)</f>
        <v>250</v>
      </c>
      <c r="V1294" s="48" t="n">
        <f aca="false">IF($U1294&gt;=MA_SHORT,AVERAGE(INDEX($I$894:$I1294,402-MA_SHORT):$I1294),"")</f>
        <v>4681.9</v>
      </c>
      <c r="W1294" s="48" t="n">
        <f aca="false">IF($U1294&gt;=MA_MED,AVERAGE(INDEX($I$894:$I1294,402-MA_MED):$I1294),"")</f>
        <v>4785.92</v>
      </c>
      <c r="X1294" s="48" t="n">
        <f aca="false">IF($U1294&gt;=MA_LONG1,AVERAGE(INDEX($I$894:$I1294,402-MA_LONG1):$I1294),"")</f>
        <v>4759.93</v>
      </c>
      <c r="Y1294" s="48" t="n">
        <f aca="false">IF($U1294&gt;=MA_LONG2,AVERAGE(INDEX($I$894:$I1294,402-MA_LONG2):$I1294),"")</f>
        <v>5093.7</v>
      </c>
      <c r="Z1294" s="48" t="n">
        <f aca="false">IF($U1294&gt;=MA_SHORT,AVERAGE(INDEX($L$1174:$L1294,122-MA_SHORT):$L1294),"")</f>
        <v>94114322.35</v>
      </c>
      <c r="AA1294" s="48" t="n">
        <f aca="false">IF($U1294=1,$G1294-$H1294,MAX($G1294-$H1294,ABS($G1294-$I1293),ABS($H1294-$I1293)))</f>
        <v>143</v>
      </c>
      <c r="AB1294" s="48" t="n">
        <f aca="false">IF($U1294&gt;=ATR_PER,AVERAGE(INDEX($AA$1174:$AA1294,122-ATR_PER):$AA1294),"")</f>
        <v>166.642857142857</v>
      </c>
      <c r="AC1294" s="48" t="n">
        <f aca="false">$O1294-$P1294</f>
        <v>16718431</v>
      </c>
      <c r="AD1294" s="48" t="n">
        <f aca="false">$AC1294*$I1294</f>
        <v>73444067383</v>
      </c>
      <c r="AE1294" s="49" t="n">
        <f aca="false">IF($Q1294&gt;0,$O1294*$I1294/$Q1294/1000000,"")</f>
        <v>93.3903280042885</v>
      </c>
      <c r="AF1294" s="49" t="n">
        <f aca="false">IF($R1294&gt;0,$P1294*$I1294/$R1294/1000000,"")</f>
        <v>85.9297071639938</v>
      </c>
      <c r="AG1294" s="50" t="n">
        <f aca="false">IF(AND(ISNUMBER($AE1294),ISNUMBER($AF1294),$AF1294&gt;0),$AE1294/$AF1294,"")</f>
        <v>1.08682237012697</v>
      </c>
      <c r="AH1294" s="48" t="n">
        <f aca="false">IF($U1294&gt;=5,SUM(INDEX($AD$1264:$AD1294,32-5):$AD1294),"")</f>
        <v>-293735610855</v>
      </c>
      <c r="AI1294" s="48" t="n">
        <f aca="false">IF($U1294&gt;=STRUCT_S,MAX(INDEX($G$1144:$G1294,152-STRUCT_S):$G1294),"")</f>
        <v>5326</v>
      </c>
      <c r="AJ1294" s="48" t="n">
        <f aca="false">IF($U1294&gt;=STRUCT_S,MIN(INDEX($H$1144:$H1294,152-STRUCT_S):$H1294),"")</f>
        <v>4210</v>
      </c>
      <c r="AK1294" s="48" t="n">
        <f aca="false">IF($U1294&gt;=STRUCT_L,MAX(INDEX($G$1044:$G1294,252-STRUCT_L):$G1294),"")</f>
        <v>5326</v>
      </c>
      <c r="AL1294" s="48" t="n">
        <f aca="false">IF($U1294&gt;=STRUCT_L,MIN(INDEX($H$1044:$H1294,252-STRUCT_L):$H1294),"")</f>
        <v>4210</v>
      </c>
      <c r="AM1294" s="46" t="n">
        <f aca="false">IF($A1294&lt;&gt;$A1295,1,0)</f>
        <v>0</v>
      </c>
      <c r="AN1294" s="47" t="str">
        <f aca="false">IF($AM1294=1,$A1294,"")</f>
        <v/>
      </c>
    </row>
    <row r="1295" customFormat="false" ht="15" hidden="false" customHeight="false" outlineLevel="0" collapsed="false">
      <c r="A1295" s="43" t="s">
        <v>152</v>
      </c>
      <c r="B1295" s="44" t="s">
        <v>154</v>
      </c>
      <c r="C1295" s="45" t="n">
        <v>46256</v>
      </c>
      <c r="D1295" s="46" t="n">
        <v>20260822</v>
      </c>
      <c r="E1295" s="47" t="s">
        <v>538</v>
      </c>
      <c r="F1295" s="48" t="n">
        <v>4355</v>
      </c>
      <c r="G1295" s="48" t="n">
        <v>4424</v>
      </c>
      <c r="H1295" s="48" t="n">
        <v>4331</v>
      </c>
      <c r="I1295" s="48" t="n">
        <v>4362</v>
      </c>
      <c r="J1295" s="48" t="n">
        <v>4367</v>
      </c>
      <c r="K1295" s="48" t="n">
        <v>4393</v>
      </c>
      <c r="L1295" s="48" t="n">
        <v>124182873</v>
      </c>
      <c r="M1295" s="48" t="n">
        <v>541685692026</v>
      </c>
      <c r="N1295" s="48" t="n">
        <v>3244</v>
      </c>
      <c r="O1295" s="48" t="n">
        <v>42677960</v>
      </c>
      <c r="P1295" s="48" t="n">
        <v>71517479</v>
      </c>
      <c r="Q1295" s="48" t="n">
        <v>1369</v>
      </c>
      <c r="R1295" s="48" t="n">
        <v>1469</v>
      </c>
      <c r="S1295" s="48" t="n">
        <v>81504913</v>
      </c>
      <c r="T1295" s="48" t="n">
        <v>52665394</v>
      </c>
      <c r="U1295" s="46" t="n">
        <f aca="false">IF($A1295=$A1294,$U1294+1,1)</f>
        <v>251</v>
      </c>
      <c r="V1295" s="48" t="n">
        <f aca="false">IF($U1295&gt;=MA_SHORT,AVERAGE(INDEX($I$895:$I1295,402-MA_SHORT):$I1295),"")</f>
        <v>4643.35</v>
      </c>
      <c r="W1295" s="48" t="n">
        <f aca="false">IF($U1295&gt;=MA_MED,AVERAGE(INDEX($I$895:$I1295,402-MA_MED):$I1295),"")</f>
        <v>4777.78</v>
      </c>
      <c r="X1295" s="48" t="n">
        <f aca="false">IF($U1295&gt;=MA_LONG1,AVERAGE(INDEX($I$895:$I1295,402-MA_LONG1):$I1295),"")</f>
        <v>4754.24</v>
      </c>
      <c r="Y1295" s="48" t="n">
        <f aca="false">IF($U1295&gt;=MA_LONG2,AVERAGE(INDEX($I$895:$I1295,402-MA_LONG2):$I1295),"")</f>
        <v>5089.715</v>
      </c>
      <c r="Z1295" s="48" t="n">
        <f aca="false">IF($U1295&gt;=MA_SHORT,AVERAGE(INDEX($L$1175:$L1295,122-MA_SHORT):$L1295),"")</f>
        <v>95801668.3</v>
      </c>
      <c r="AA1295" s="48" t="n">
        <f aca="false">IF($U1295=1,$G1295-$H1295,MAX($G1295-$H1295,ABS($G1295-$I1294),ABS($H1295-$I1294)))</f>
        <v>93</v>
      </c>
      <c r="AB1295" s="48" t="n">
        <f aca="false">IF($U1295&gt;=ATR_PER,AVERAGE(INDEX($AA$1175:$AA1295,122-ATR_PER):$AA1295),"")</f>
        <v>159.428571428571</v>
      </c>
      <c r="AC1295" s="48" t="n">
        <f aca="false">$O1295-$P1295</f>
        <v>-28839519</v>
      </c>
      <c r="AD1295" s="48" t="n">
        <f aca="false">$AC1295*$I1295</f>
        <v>-125797981878</v>
      </c>
      <c r="AE1295" s="49" t="n">
        <f aca="false">IF($Q1295&gt;0,$O1295*$I1295/$Q1295/1000000,"")</f>
        <v>135.983390445581</v>
      </c>
      <c r="AF1295" s="49" t="n">
        <f aca="false">IF($R1295&gt;0,$P1295*$I1295/$R1295/1000000,"")</f>
        <v>212.361636077604</v>
      </c>
      <c r="AG1295" s="50" t="n">
        <f aca="false">IF(AND(ISNUMBER($AE1295),ISNUMBER($AF1295),$AF1295&gt;0),$AE1295/$AF1295,"")</f>
        <v>0.640338777555321</v>
      </c>
      <c r="AH1295" s="48" t="n">
        <f aca="false">IF($U1295&gt;=5,SUM(INDEX($AD$1265:$AD1295,32-5):$AD1295),"")</f>
        <v>-264726940043</v>
      </c>
      <c r="AI1295" s="48" t="n">
        <f aca="false">IF($U1295&gt;=STRUCT_S,MAX(INDEX($G$1145:$G1295,152-STRUCT_S):$G1295),"")</f>
        <v>5326</v>
      </c>
      <c r="AJ1295" s="48" t="n">
        <f aca="false">IF($U1295&gt;=STRUCT_S,MIN(INDEX($H$1145:$H1295,152-STRUCT_S):$H1295),"")</f>
        <v>4210</v>
      </c>
      <c r="AK1295" s="48" t="n">
        <f aca="false">IF($U1295&gt;=STRUCT_L,MAX(INDEX($G$1045:$G1295,252-STRUCT_L):$G1295),"")</f>
        <v>5326</v>
      </c>
      <c r="AL1295" s="48" t="n">
        <f aca="false">IF($U1295&gt;=STRUCT_L,MIN(INDEX($H$1045:$H1295,252-STRUCT_L):$H1295),"")</f>
        <v>4210</v>
      </c>
      <c r="AM1295" s="46" t="n">
        <f aca="false">IF($A1295&lt;&gt;$A1296,1,0)</f>
        <v>0</v>
      </c>
      <c r="AN1295" s="47" t="str">
        <f aca="false">IF($AM1295=1,$A1295,"")</f>
        <v/>
      </c>
    </row>
    <row r="1296" customFormat="false" ht="15" hidden="false" customHeight="false" outlineLevel="0" collapsed="false">
      <c r="A1296" s="43" t="s">
        <v>152</v>
      </c>
      <c r="B1296" s="44" t="s">
        <v>154</v>
      </c>
      <c r="C1296" s="45" t="n">
        <v>46257</v>
      </c>
      <c r="D1296" s="46" t="n">
        <v>20260823</v>
      </c>
      <c r="E1296" s="47" t="s">
        <v>539</v>
      </c>
      <c r="F1296" s="48" t="n">
        <v>4357</v>
      </c>
      <c r="G1296" s="48" t="n">
        <v>4388</v>
      </c>
      <c r="H1296" s="48" t="n">
        <v>4281</v>
      </c>
      <c r="I1296" s="48" t="n">
        <v>4306</v>
      </c>
      <c r="J1296" s="48" t="n">
        <v>4310</v>
      </c>
      <c r="K1296" s="48" t="n">
        <v>4362</v>
      </c>
      <c r="L1296" s="48" t="n">
        <v>83640610</v>
      </c>
      <c r="M1296" s="48" t="n">
        <v>360156466660</v>
      </c>
      <c r="N1296" s="48" t="n">
        <v>3303</v>
      </c>
      <c r="O1296" s="48" t="n">
        <v>31722666</v>
      </c>
      <c r="P1296" s="48" t="n">
        <v>48185793</v>
      </c>
      <c r="Q1296" s="48" t="n">
        <v>1493</v>
      </c>
      <c r="R1296" s="48" t="n">
        <v>1315</v>
      </c>
      <c r="S1296" s="48" t="n">
        <v>51917944</v>
      </c>
      <c r="T1296" s="48" t="n">
        <v>35454817</v>
      </c>
      <c r="U1296" s="46" t="n">
        <f aca="false">IF($A1296=$A1295,$U1295+1,1)</f>
        <v>252</v>
      </c>
      <c r="V1296" s="48" t="n">
        <f aca="false">IF($U1296&gt;=MA_SHORT,AVERAGE(INDEX($I$896:$I1296,402-MA_SHORT):$I1296),"")</f>
        <v>4599.25</v>
      </c>
      <c r="W1296" s="48" t="n">
        <f aca="false">IF($U1296&gt;=MA_MED,AVERAGE(INDEX($I$896:$I1296,402-MA_MED):$I1296),"")</f>
        <v>4768.04</v>
      </c>
      <c r="X1296" s="48" t="n">
        <f aca="false">IF($U1296&gt;=MA_LONG1,AVERAGE(INDEX($I$896:$I1296,402-MA_LONG1):$I1296),"")</f>
        <v>4748.34</v>
      </c>
      <c r="Y1296" s="48" t="n">
        <f aca="false">IF($U1296&gt;=MA_LONG2,AVERAGE(INDEX($I$896:$I1296,402-MA_LONG2):$I1296),"")</f>
        <v>5085.94</v>
      </c>
      <c r="Z1296" s="48" t="n">
        <f aca="false">IF($U1296&gt;=MA_SHORT,AVERAGE(INDEX($L$1176:$L1296,122-MA_SHORT):$L1296),"")</f>
        <v>95456629.05</v>
      </c>
      <c r="AA1296" s="48" t="n">
        <f aca="false">IF($U1296=1,$G1296-$H1296,MAX($G1296-$H1296,ABS($G1296-$I1295),ABS($H1296-$I1295)))</f>
        <v>107</v>
      </c>
      <c r="AB1296" s="48" t="n">
        <f aca="false">IF($U1296&gt;=ATR_PER,AVERAGE(INDEX($AA$1176:$AA1296,122-ATR_PER):$AA1296),"")</f>
        <v>154.214285714286</v>
      </c>
      <c r="AC1296" s="48" t="n">
        <f aca="false">$O1296-$P1296</f>
        <v>-16463127</v>
      </c>
      <c r="AD1296" s="48" t="n">
        <f aca="false">$AC1296*$I1296</f>
        <v>-70890224862</v>
      </c>
      <c r="AE1296" s="49" t="n">
        <f aca="false">IF($Q1296&gt;0,$O1296*$I1296/$Q1296/1000000,"")</f>
        <v>91.4921632926993</v>
      </c>
      <c r="AF1296" s="49" t="n">
        <f aca="false">IF($R1296&gt;0,$P1296*$I1296/$R1296/1000000,"")</f>
        <v>157.785570082129</v>
      </c>
      <c r="AG1296" s="50" t="n">
        <f aca="false">IF(AND(ISNUMBER($AE1296),ISNUMBER($AF1296),$AF1296&gt;0),$AE1296/$AF1296,"")</f>
        <v>0.57985127058879</v>
      </c>
      <c r="AH1296" s="48" t="n">
        <f aca="false">IF($U1296&gt;=5,SUM(INDEX($AD$1266:$AD1296,32-5):$AD1296),"")</f>
        <v>-289052011220</v>
      </c>
      <c r="AI1296" s="48" t="n">
        <f aca="false">IF($U1296&gt;=STRUCT_S,MAX(INDEX($G$1146:$G1296,152-STRUCT_S):$G1296),"")</f>
        <v>5292</v>
      </c>
      <c r="AJ1296" s="48" t="n">
        <f aca="false">IF($U1296&gt;=STRUCT_S,MIN(INDEX($H$1146:$H1296,152-STRUCT_S):$H1296),"")</f>
        <v>4210</v>
      </c>
      <c r="AK1296" s="48" t="n">
        <f aca="false">IF($U1296&gt;=STRUCT_L,MAX(INDEX($G$1046:$G1296,252-STRUCT_L):$G1296),"")</f>
        <v>5326</v>
      </c>
      <c r="AL1296" s="48" t="n">
        <f aca="false">IF($U1296&gt;=STRUCT_L,MIN(INDEX($H$1046:$H1296,252-STRUCT_L):$H1296),"")</f>
        <v>4210</v>
      </c>
      <c r="AM1296" s="46" t="n">
        <f aca="false">IF($A1296&lt;&gt;$A1297,1,0)</f>
        <v>0</v>
      </c>
      <c r="AN1296" s="47" t="str">
        <f aca="false">IF($AM1296=1,$A1296,"")</f>
        <v/>
      </c>
    </row>
    <row r="1297" customFormat="false" ht="15" hidden="false" customHeight="false" outlineLevel="0" collapsed="false">
      <c r="A1297" s="43" t="s">
        <v>152</v>
      </c>
      <c r="B1297" s="44" t="s">
        <v>154</v>
      </c>
      <c r="C1297" s="45" t="n">
        <v>46258</v>
      </c>
      <c r="D1297" s="46" t="n">
        <v>20260824</v>
      </c>
      <c r="E1297" s="47" t="s">
        <v>540</v>
      </c>
      <c r="F1297" s="48" t="n">
        <v>4291</v>
      </c>
      <c r="G1297" s="48" t="n">
        <v>4340</v>
      </c>
      <c r="H1297" s="48" t="n">
        <v>4250</v>
      </c>
      <c r="I1297" s="48" t="n">
        <v>4284</v>
      </c>
      <c r="J1297" s="48" t="n">
        <v>4308</v>
      </c>
      <c r="K1297" s="48" t="n">
        <v>4306</v>
      </c>
      <c r="L1297" s="48" t="n">
        <v>80039269</v>
      </c>
      <c r="M1297" s="48" t="n">
        <v>342888228396</v>
      </c>
      <c r="N1297" s="48" t="n">
        <v>1870</v>
      </c>
      <c r="O1297" s="48" t="n">
        <v>35435683</v>
      </c>
      <c r="P1297" s="48" t="n">
        <v>48378547</v>
      </c>
      <c r="Q1297" s="48" t="n">
        <v>828</v>
      </c>
      <c r="R1297" s="48" t="n">
        <v>937</v>
      </c>
      <c r="S1297" s="48" t="n">
        <v>44603586</v>
      </c>
      <c r="T1297" s="48" t="n">
        <v>31660722</v>
      </c>
      <c r="U1297" s="46" t="n">
        <f aca="false">IF($A1297=$A1296,$U1296+1,1)</f>
        <v>253</v>
      </c>
      <c r="V1297" s="48" t="n">
        <f aca="false">IF($U1297&gt;=MA_SHORT,AVERAGE(INDEX($I$897:$I1297,402-MA_SHORT):$I1297),"")</f>
        <v>4553.75</v>
      </c>
      <c r="W1297" s="48" t="n">
        <f aca="false">IF($U1297&gt;=MA_MED,AVERAGE(INDEX($I$897:$I1297,402-MA_MED):$I1297),"")</f>
        <v>4754.76</v>
      </c>
      <c r="X1297" s="48" t="n">
        <f aca="false">IF($U1297&gt;=MA_LONG1,AVERAGE(INDEX($I$897:$I1297,402-MA_LONG1):$I1297),"")</f>
        <v>4742.82</v>
      </c>
      <c r="Y1297" s="48" t="n">
        <f aca="false">IF($U1297&gt;=MA_LONG2,AVERAGE(INDEX($I$897:$I1297,402-MA_LONG2):$I1297),"")</f>
        <v>5081.775</v>
      </c>
      <c r="Z1297" s="48" t="n">
        <f aca="false">IF($U1297&gt;=MA_SHORT,AVERAGE(INDEX($L$1177:$L1297,122-MA_SHORT):$L1297),"")</f>
        <v>94830035.3</v>
      </c>
      <c r="AA1297" s="48" t="n">
        <f aca="false">IF($U1297=1,$G1297-$H1297,MAX($G1297-$H1297,ABS($G1297-$I1296),ABS($H1297-$I1296)))</f>
        <v>90</v>
      </c>
      <c r="AB1297" s="48" t="n">
        <f aca="false">IF($U1297&gt;=ATR_PER,AVERAGE(INDEX($AA$1177:$AA1297,122-ATR_PER):$AA1297),"")</f>
        <v>144</v>
      </c>
      <c r="AC1297" s="48" t="n">
        <f aca="false">$O1297-$P1297</f>
        <v>-12942864</v>
      </c>
      <c r="AD1297" s="48" t="n">
        <f aca="false">$AC1297*$I1297</f>
        <v>-55447229376</v>
      </c>
      <c r="AE1297" s="49" t="n">
        <f aca="false">IF($Q1297&gt;0,$O1297*$I1297/$Q1297/1000000,"")</f>
        <v>183.341142478261</v>
      </c>
      <c r="AF1297" s="49" t="n">
        <f aca="false">IF($R1297&gt;0,$P1297*$I1297/$R1297/1000000,"")</f>
        <v>221.188575611526</v>
      </c>
      <c r="AG1297" s="50" t="n">
        <f aca="false">IF(AND(ISNUMBER($AE1297),ISNUMBER($AF1297),$AF1297&gt;0),$AE1297/$AF1297,"")</f>
        <v>0.828890651207335</v>
      </c>
      <c r="AH1297" s="48" t="n">
        <f aca="false">IF($U1297&gt;=5,SUM(INDEX($AD$1267:$AD1297,32-5):$AD1297),"")</f>
        <v>-135237060714</v>
      </c>
      <c r="AI1297" s="48" t="n">
        <f aca="false">IF($U1297&gt;=STRUCT_S,MAX(INDEX($G$1147:$G1297,152-STRUCT_S):$G1297),"")</f>
        <v>5292</v>
      </c>
      <c r="AJ1297" s="48" t="n">
        <f aca="false">IF($U1297&gt;=STRUCT_S,MIN(INDEX($H$1147:$H1297,152-STRUCT_S):$H1297),"")</f>
        <v>4210</v>
      </c>
      <c r="AK1297" s="48" t="n">
        <f aca="false">IF($U1297&gt;=STRUCT_L,MAX(INDEX($G$1047:$G1297,252-STRUCT_L):$G1297),"")</f>
        <v>5326</v>
      </c>
      <c r="AL1297" s="48" t="n">
        <f aca="false">IF($U1297&gt;=STRUCT_L,MIN(INDEX($H$1047:$H1297,252-STRUCT_L):$H1297),"")</f>
        <v>4210</v>
      </c>
      <c r="AM1297" s="46" t="n">
        <f aca="false">IF($A1297&lt;&gt;$A1298,1,0)</f>
        <v>0</v>
      </c>
      <c r="AN1297" s="47" t="str">
        <f aca="false">IF($AM1297=1,$A1297,"")</f>
        <v/>
      </c>
    </row>
    <row r="1298" customFormat="false" ht="15" hidden="false" customHeight="false" outlineLevel="0" collapsed="false">
      <c r="A1298" s="43" t="s">
        <v>152</v>
      </c>
      <c r="B1298" s="44" t="s">
        <v>154</v>
      </c>
      <c r="C1298" s="45" t="n">
        <v>46259</v>
      </c>
      <c r="D1298" s="46" t="n">
        <v>20260825</v>
      </c>
      <c r="E1298" s="47" t="s">
        <v>541</v>
      </c>
      <c r="F1298" s="48" t="n">
        <v>4359</v>
      </c>
      <c r="G1298" s="48" t="n">
        <v>4384</v>
      </c>
      <c r="H1298" s="48" t="n">
        <v>4263</v>
      </c>
      <c r="I1298" s="48" t="n">
        <v>4363</v>
      </c>
      <c r="J1298" s="48" t="n">
        <v>4351</v>
      </c>
      <c r="K1298" s="48" t="n">
        <v>4284</v>
      </c>
      <c r="L1298" s="48" t="n">
        <v>86251134</v>
      </c>
      <c r="M1298" s="48" t="n">
        <v>376313697642</v>
      </c>
      <c r="N1298" s="48" t="n">
        <v>2033</v>
      </c>
      <c r="O1298" s="48" t="n">
        <v>44732205</v>
      </c>
      <c r="P1298" s="48" t="n">
        <v>44980450</v>
      </c>
      <c r="Q1298" s="48" t="n">
        <v>867</v>
      </c>
      <c r="R1298" s="48" t="n">
        <v>661</v>
      </c>
      <c r="S1298" s="48" t="n">
        <v>41518929</v>
      </c>
      <c r="T1298" s="48" t="n">
        <v>41270684</v>
      </c>
      <c r="U1298" s="46" t="n">
        <f aca="false">IF($A1298=$A1297,$U1297+1,1)</f>
        <v>254</v>
      </c>
      <c r="V1298" s="48" t="n">
        <f aca="false">IF($U1298&gt;=MA_SHORT,AVERAGE(INDEX($I$898:$I1298,402-MA_SHORT):$I1298),"")</f>
        <v>4520.2</v>
      </c>
      <c r="W1298" s="48" t="n">
        <f aca="false">IF($U1298&gt;=MA_MED,AVERAGE(INDEX($I$898:$I1298,402-MA_MED):$I1298),"")</f>
        <v>4741.7</v>
      </c>
      <c r="X1298" s="48" t="n">
        <f aca="false">IF($U1298&gt;=MA_LONG1,AVERAGE(INDEX($I$898:$I1298,402-MA_LONG1):$I1298),"")</f>
        <v>4739.76</v>
      </c>
      <c r="Y1298" s="48" t="n">
        <f aca="false">IF($U1298&gt;=MA_LONG2,AVERAGE(INDEX($I$898:$I1298,402-MA_LONG2):$I1298),"")</f>
        <v>5077.575</v>
      </c>
      <c r="Z1298" s="48" t="n">
        <f aca="false">IF($U1298&gt;=MA_SHORT,AVERAGE(INDEX($L$1178:$L1298,122-MA_SHORT):$L1298),"")</f>
        <v>94085069.35</v>
      </c>
      <c r="AA1298" s="48" t="n">
        <f aca="false">IF($U1298=1,$G1298-$H1298,MAX($G1298-$H1298,ABS($G1298-$I1297),ABS($H1298-$I1297)))</f>
        <v>121</v>
      </c>
      <c r="AB1298" s="48" t="n">
        <f aca="false">IF($U1298&gt;=ATR_PER,AVERAGE(INDEX($AA$1178:$AA1298,122-ATR_PER):$AA1298),"")</f>
        <v>143.428571428571</v>
      </c>
      <c r="AC1298" s="48" t="n">
        <f aca="false">$O1298-$P1298</f>
        <v>-248245</v>
      </c>
      <c r="AD1298" s="48" t="n">
        <f aca="false">$AC1298*$I1298</f>
        <v>-1083092935</v>
      </c>
      <c r="AE1298" s="49" t="n">
        <f aca="false">IF($Q1298&gt;0,$O1298*$I1298/$Q1298/1000000,"")</f>
        <v>225.105663685121</v>
      </c>
      <c r="AF1298" s="49" t="n">
        <f aca="false">IF($R1298&gt;0,$P1298*$I1298/$R1298/1000000,"")</f>
        <v>296.898189636914</v>
      </c>
      <c r="AG1298" s="50" t="n">
        <f aca="false">IF(AND(ISNUMBER($AE1298),ISNUMBER($AF1298),$AF1298&gt;0),$AE1298/$AF1298,"")</f>
        <v>0.758191432424731</v>
      </c>
      <c r="AH1298" s="48" t="n">
        <f aca="false">IF($U1298&gt;=5,SUM(INDEX($AD$1268:$AD1298,32-5):$AD1298),"")</f>
        <v>-179774461668</v>
      </c>
      <c r="AI1298" s="48" t="n">
        <f aca="false">IF($U1298&gt;=STRUCT_S,MAX(INDEX($G$1148:$G1298,152-STRUCT_S):$G1298),"")</f>
        <v>5076</v>
      </c>
      <c r="AJ1298" s="48" t="n">
        <f aca="false">IF($U1298&gt;=STRUCT_S,MIN(INDEX($H$1148:$H1298,152-STRUCT_S):$H1298),"")</f>
        <v>4210</v>
      </c>
      <c r="AK1298" s="48" t="n">
        <f aca="false">IF($U1298&gt;=STRUCT_L,MAX(INDEX($G$1048:$G1298,252-STRUCT_L):$G1298),"")</f>
        <v>5326</v>
      </c>
      <c r="AL1298" s="48" t="n">
        <f aca="false">IF($U1298&gt;=STRUCT_L,MIN(INDEX($H$1048:$H1298,252-STRUCT_L):$H1298),"")</f>
        <v>4210</v>
      </c>
      <c r="AM1298" s="46" t="n">
        <f aca="false">IF($A1298&lt;&gt;$A1299,1,0)</f>
        <v>0</v>
      </c>
      <c r="AN1298" s="47" t="str">
        <f aca="false">IF($AM1298=1,$A1298,"")</f>
        <v/>
      </c>
    </row>
    <row r="1299" customFormat="false" ht="15" hidden="false" customHeight="false" outlineLevel="0" collapsed="false">
      <c r="A1299" s="43" t="s">
        <v>152</v>
      </c>
      <c r="B1299" s="44" t="s">
        <v>154</v>
      </c>
      <c r="C1299" s="45" t="n">
        <v>46260</v>
      </c>
      <c r="D1299" s="46" t="n">
        <v>20260826</v>
      </c>
      <c r="E1299" s="47" t="s">
        <v>542</v>
      </c>
      <c r="F1299" s="48" t="n">
        <v>4402</v>
      </c>
      <c r="G1299" s="48" t="n">
        <v>4464</v>
      </c>
      <c r="H1299" s="48" t="n">
        <v>4343</v>
      </c>
      <c r="I1299" s="48" t="n">
        <v>4444</v>
      </c>
      <c r="J1299" s="48" t="n">
        <v>4372</v>
      </c>
      <c r="K1299" s="48" t="n">
        <v>4363</v>
      </c>
      <c r="L1299" s="48" t="n">
        <v>86309144</v>
      </c>
      <c r="M1299" s="48" t="n">
        <v>383557835936</v>
      </c>
      <c r="N1299" s="48" t="n">
        <v>3295</v>
      </c>
      <c r="O1299" s="48" t="n">
        <v>46546549</v>
      </c>
      <c r="P1299" s="48" t="n">
        <v>39880851</v>
      </c>
      <c r="Q1299" s="48" t="n">
        <v>1768</v>
      </c>
      <c r="R1299" s="48" t="n">
        <v>881</v>
      </c>
      <c r="S1299" s="48" t="n">
        <v>39762595</v>
      </c>
      <c r="T1299" s="48" t="n">
        <v>46428293</v>
      </c>
      <c r="U1299" s="46" t="n">
        <f aca="false">IF($A1299=$A1298,$U1298+1,1)</f>
        <v>255</v>
      </c>
      <c r="V1299" s="48" t="n">
        <f aca="false">IF($U1299&gt;=MA_SHORT,AVERAGE(INDEX($I$899:$I1299,402-MA_SHORT):$I1299),"")</f>
        <v>4499.85</v>
      </c>
      <c r="W1299" s="48" t="n">
        <f aca="false">IF($U1299&gt;=MA_MED,AVERAGE(INDEX($I$899:$I1299,402-MA_MED):$I1299),"")</f>
        <v>4731.42</v>
      </c>
      <c r="X1299" s="48" t="n">
        <f aca="false">IF($U1299&gt;=MA_LONG1,AVERAGE(INDEX($I$899:$I1299,402-MA_LONG1):$I1299),"")</f>
        <v>4736.02</v>
      </c>
      <c r="Y1299" s="48" t="n">
        <f aca="false">IF($U1299&gt;=MA_LONG2,AVERAGE(INDEX($I$899:$I1299,402-MA_LONG2):$I1299),"")</f>
        <v>5073.08</v>
      </c>
      <c r="Z1299" s="48" t="n">
        <f aca="false">IF($U1299&gt;=MA_SHORT,AVERAGE(INDEX($L$1179:$L1299,122-MA_SHORT):$L1299),"")</f>
        <v>93444115.5</v>
      </c>
      <c r="AA1299" s="48" t="n">
        <f aca="false">IF($U1299=1,$G1299-$H1299,MAX($G1299-$H1299,ABS($G1299-$I1298),ABS($H1299-$I1298)))</f>
        <v>121</v>
      </c>
      <c r="AB1299" s="48" t="n">
        <f aca="false">IF($U1299&gt;=ATR_PER,AVERAGE(INDEX($AA$1179:$AA1299,122-ATR_PER):$AA1299),"")</f>
        <v>143.714285714286</v>
      </c>
      <c r="AC1299" s="48" t="n">
        <f aca="false">$O1299-$P1299</f>
        <v>6665698</v>
      </c>
      <c r="AD1299" s="48" t="n">
        <f aca="false">$AC1299*$I1299</f>
        <v>29622361912</v>
      </c>
      <c r="AE1299" s="49" t="n">
        <f aca="false">IF($Q1299&gt;0,$O1299*$I1299/$Q1299/1000000,"")</f>
        <v>116.998226106335</v>
      </c>
      <c r="AF1299" s="49" t="n">
        <f aca="false">IF($R1299&gt;0,$P1299*$I1299/$R1299/1000000,"")</f>
        <v>201.169695623156</v>
      </c>
      <c r="AG1299" s="50" t="n">
        <f aca="false">IF(AND(ISNUMBER($AE1299),ISNUMBER($AF1299),$AF1299&gt;0),$AE1299/$AF1299,"")</f>
        <v>0.581589715806419</v>
      </c>
      <c r="AH1299" s="48" t="n">
        <f aca="false">IF($U1299&gt;=5,SUM(INDEX($AD$1269:$AD1299,32-5):$AD1299),"")</f>
        <v>-223596167139</v>
      </c>
      <c r="AI1299" s="48" t="n">
        <f aca="false">IF($U1299&gt;=STRUCT_S,MAX(INDEX($G$1149:$G1299,152-STRUCT_S):$G1299),"")</f>
        <v>4960</v>
      </c>
      <c r="AJ1299" s="48" t="n">
        <f aca="false">IF($U1299&gt;=STRUCT_S,MIN(INDEX($H$1149:$H1299,152-STRUCT_S):$H1299),"")</f>
        <v>4210</v>
      </c>
      <c r="AK1299" s="48" t="n">
        <f aca="false">IF($U1299&gt;=STRUCT_L,MAX(INDEX($G$1049:$G1299,252-STRUCT_L):$G1299),"")</f>
        <v>5326</v>
      </c>
      <c r="AL1299" s="48" t="n">
        <f aca="false">IF($U1299&gt;=STRUCT_L,MIN(INDEX($H$1049:$H1299,252-STRUCT_L):$H1299),"")</f>
        <v>4210</v>
      </c>
      <c r="AM1299" s="46" t="n">
        <f aca="false">IF($A1299&lt;&gt;$A1300,1,0)</f>
        <v>0</v>
      </c>
      <c r="AN1299" s="47" t="str">
        <f aca="false">IF($AM1299=1,$A1299,"")</f>
        <v/>
      </c>
    </row>
    <row r="1300" customFormat="false" ht="15" hidden="false" customHeight="false" outlineLevel="0" collapsed="false">
      <c r="A1300" s="43" t="s">
        <v>152</v>
      </c>
      <c r="B1300" s="44" t="s">
        <v>154</v>
      </c>
      <c r="C1300" s="45" t="n">
        <v>46263</v>
      </c>
      <c r="D1300" s="46" t="n">
        <v>20260829</v>
      </c>
      <c r="E1300" s="47" t="s">
        <v>543</v>
      </c>
      <c r="F1300" s="48" t="n">
        <v>4434</v>
      </c>
      <c r="G1300" s="48" t="n">
        <v>4491</v>
      </c>
      <c r="H1300" s="48" t="n">
        <v>4356</v>
      </c>
      <c r="I1300" s="48" t="n">
        <v>4402</v>
      </c>
      <c r="J1300" s="48" t="n">
        <v>4393</v>
      </c>
      <c r="K1300" s="48" t="n">
        <v>4444</v>
      </c>
      <c r="L1300" s="48" t="n">
        <v>271544372</v>
      </c>
      <c r="M1300" s="48" t="n">
        <v>1195338325544</v>
      </c>
      <c r="N1300" s="48" t="n">
        <v>10605</v>
      </c>
      <c r="O1300" s="48" t="n">
        <v>117231977</v>
      </c>
      <c r="P1300" s="48" t="n">
        <v>163488542</v>
      </c>
      <c r="Q1300" s="48" t="n">
        <v>2831</v>
      </c>
      <c r="R1300" s="48" t="n">
        <v>4410</v>
      </c>
      <c r="S1300" s="48" t="n">
        <v>154312395</v>
      </c>
      <c r="T1300" s="48" t="n">
        <v>108055830</v>
      </c>
      <c r="U1300" s="46" t="n">
        <f aca="false">IF($A1300=$A1299,$U1299+1,1)</f>
        <v>256</v>
      </c>
      <c r="V1300" s="48" t="n">
        <f aca="false">IF($U1300&gt;=MA_SHORT,AVERAGE(INDEX($I$900:$I1300,402-MA_SHORT):$I1300),"")</f>
        <v>4483.9</v>
      </c>
      <c r="W1300" s="48" t="n">
        <f aca="false">IF($U1300&gt;=MA_MED,AVERAGE(INDEX($I$900:$I1300,402-MA_MED):$I1300),"")</f>
        <v>4719</v>
      </c>
      <c r="X1300" s="48" t="n">
        <f aca="false">IF($U1300&gt;=MA_LONG1,AVERAGE(INDEX($I$900:$I1300,402-MA_LONG1):$I1300),"")</f>
        <v>4731.85</v>
      </c>
      <c r="Y1300" s="48" t="n">
        <f aca="false">IF($U1300&gt;=MA_LONG2,AVERAGE(INDEX($I$900:$I1300,402-MA_LONG2):$I1300),"")</f>
        <v>5068.585</v>
      </c>
      <c r="Z1300" s="48" t="n">
        <f aca="false">IF($U1300&gt;=MA_SHORT,AVERAGE(INDEX($L$1180:$L1300,122-MA_SHORT):$L1300),"")</f>
        <v>102096052.2</v>
      </c>
      <c r="AA1300" s="48" t="n">
        <f aca="false">IF($U1300=1,$G1300-$H1300,MAX($G1300-$H1300,ABS($G1300-$I1299),ABS($H1300-$I1299)))</f>
        <v>135</v>
      </c>
      <c r="AB1300" s="48" t="n">
        <f aca="false">IF($U1300&gt;=ATR_PER,AVERAGE(INDEX($AA$1180:$AA1300,122-ATR_PER):$AA1300),"")</f>
        <v>129.071428571429</v>
      </c>
      <c r="AC1300" s="48" t="n">
        <f aca="false">$O1300-$P1300</f>
        <v>-46256565</v>
      </c>
      <c r="AD1300" s="48" t="n">
        <f aca="false">$AC1300*$I1300</f>
        <v>-203621399130</v>
      </c>
      <c r="AE1300" s="49" t="n">
        <f aca="false">IF($Q1300&gt;0,$O1300*$I1300/$Q1300/1000000,"")</f>
        <v>182.287235165666</v>
      </c>
      <c r="AF1300" s="49" t="n">
        <f aca="false">IF($R1300&gt;0,$P1300*$I1300/$R1300/1000000,"")</f>
        <v>163.191964146032</v>
      </c>
      <c r="AG1300" s="50" t="n">
        <f aca="false">IF(AND(ISNUMBER($AE1300),ISNUMBER($AF1300),$AF1300&gt;0),$AE1300/$AF1300,"")</f>
        <v>1.11701109867485</v>
      </c>
      <c r="AH1300" s="48" t="n">
        <f aca="false">IF($U1300&gt;=5,SUM(INDEX($AD$1270:$AD1300,32-5):$AD1300),"")</f>
        <v>-301419584391</v>
      </c>
      <c r="AI1300" s="48" t="n">
        <f aca="false">IF($U1300&gt;=STRUCT_S,MAX(INDEX($G$1150:$G1300,152-STRUCT_S):$G1300),"")</f>
        <v>4825</v>
      </c>
      <c r="AJ1300" s="48" t="n">
        <f aca="false">IF($U1300&gt;=STRUCT_S,MIN(INDEX($H$1150:$H1300,152-STRUCT_S):$H1300),"")</f>
        <v>4210</v>
      </c>
      <c r="AK1300" s="48" t="n">
        <f aca="false">IF($U1300&gt;=STRUCT_L,MAX(INDEX($G$1050:$G1300,252-STRUCT_L):$G1300),"")</f>
        <v>5326</v>
      </c>
      <c r="AL1300" s="48" t="n">
        <f aca="false">IF($U1300&gt;=STRUCT_L,MIN(INDEX($H$1050:$H1300,252-STRUCT_L):$H1300),"")</f>
        <v>4210</v>
      </c>
      <c r="AM1300" s="46" t="n">
        <f aca="false">IF($A1300&lt;&gt;$A1301,1,0)</f>
        <v>0</v>
      </c>
      <c r="AN1300" s="47" t="str">
        <f aca="false">IF($AM1300=1,$A1300,"")</f>
        <v/>
      </c>
    </row>
    <row r="1301" customFormat="false" ht="15" hidden="false" customHeight="false" outlineLevel="0" collapsed="false">
      <c r="A1301" s="43" t="s">
        <v>152</v>
      </c>
      <c r="B1301" s="44" t="s">
        <v>154</v>
      </c>
      <c r="C1301" s="45" t="n">
        <v>46264</v>
      </c>
      <c r="D1301" s="46" t="n">
        <v>20260830</v>
      </c>
      <c r="E1301" s="47" t="s">
        <v>544</v>
      </c>
      <c r="F1301" s="48" t="n">
        <v>4397</v>
      </c>
      <c r="G1301" s="48" t="n">
        <v>4422</v>
      </c>
      <c r="H1301" s="48" t="n">
        <v>4372</v>
      </c>
      <c r="I1301" s="48" t="n">
        <v>4392</v>
      </c>
      <c r="J1301" s="48" t="n">
        <v>4404</v>
      </c>
      <c r="K1301" s="48" t="n">
        <v>4402</v>
      </c>
      <c r="L1301" s="48" t="n">
        <v>83171271</v>
      </c>
      <c r="M1301" s="48" t="n">
        <v>365288222232</v>
      </c>
      <c r="N1301" s="48" t="n">
        <v>5106</v>
      </c>
      <c r="O1301" s="48" t="n">
        <v>40995640</v>
      </c>
      <c r="P1301" s="48" t="n">
        <v>41355721</v>
      </c>
      <c r="Q1301" s="48" t="n">
        <v>2146</v>
      </c>
      <c r="R1301" s="48" t="n">
        <v>2539</v>
      </c>
      <c r="S1301" s="48" t="n">
        <v>42175631</v>
      </c>
      <c r="T1301" s="48" t="n">
        <v>41815550</v>
      </c>
      <c r="U1301" s="46" t="n">
        <f aca="false">IF($A1301=$A1300,$U1300+1,1)</f>
        <v>257</v>
      </c>
      <c r="V1301" s="48" t="n">
        <f aca="false">IF($U1301&gt;=MA_SHORT,AVERAGE(INDEX($I$901:$I1301,402-MA_SHORT):$I1301),"")</f>
        <v>4468.95</v>
      </c>
      <c r="W1301" s="48" t="n">
        <f aca="false">IF($U1301&gt;=MA_MED,AVERAGE(INDEX($I$901:$I1301,402-MA_MED):$I1301),"")</f>
        <v>4707.84</v>
      </c>
      <c r="X1301" s="48" t="n">
        <f aca="false">IF($U1301&gt;=MA_LONG1,AVERAGE(INDEX($I$901:$I1301,402-MA_LONG1):$I1301),"")</f>
        <v>4727.76</v>
      </c>
      <c r="Y1301" s="48" t="n">
        <f aca="false">IF($U1301&gt;=MA_LONG2,AVERAGE(INDEX($I$901:$I1301,402-MA_LONG2):$I1301),"")</f>
        <v>5063.93</v>
      </c>
      <c r="Z1301" s="48" t="n">
        <f aca="false">IF($U1301&gt;=MA_SHORT,AVERAGE(INDEX($L$1181:$L1301,122-MA_SHORT):$L1301),"")</f>
        <v>102223636.65</v>
      </c>
      <c r="AA1301" s="48" t="n">
        <f aca="false">IF($U1301=1,$G1301-$H1301,MAX($G1301-$H1301,ABS($G1301-$I1300),ABS($H1301-$I1300)))</f>
        <v>50</v>
      </c>
      <c r="AB1301" s="48" t="n">
        <f aca="false">IF($U1301&gt;=ATR_PER,AVERAGE(INDEX($AA$1181:$AA1301,122-ATR_PER):$AA1301),"")</f>
        <v>127.714285714286</v>
      </c>
      <c r="AC1301" s="48" t="n">
        <f aca="false">$O1301-$P1301</f>
        <v>-360081</v>
      </c>
      <c r="AD1301" s="48" t="n">
        <f aca="false">$AC1301*$I1301</f>
        <v>-1581475752</v>
      </c>
      <c r="AE1301" s="49" t="n">
        <f aca="false">IF($Q1301&gt;0,$O1301*$I1301/$Q1301/1000000,"")</f>
        <v>83.9016080521901</v>
      </c>
      <c r="AF1301" s="49" t="n">
        <f aca="false">IF($R1301&gt;0,$P1301*$I1301/$R1301/1000000,"")</f>
        <v>71.5377418794801</v>
      </c>
      <c r="AG1301" s="50" t="n">
        <f aca="false">IF(AND(ISNUMBER($AE1301),ISNUMBER($AF1301),$AF1301&gt;0),$AE1301/$AF1301,"")</f>
        <v>1.17282997544904</v>
      </c>
      <c r="AH1301" s="48" t="n">
        <f aca="false">IF($U1301&gt;=5,SUM(INDEX($AD$1271:$AD1301,32-5):$AD1301),"")</f>
        <v>-232110835281</v>
      </c>
      <c r="AI1301" s="48" t="n">
        <f aca="false">IF($U1301&gt;=STRUCT_S,MAX(INDEX($G$1151:$G1301,152-STRUCT_S):$G1301),"")</f>
        <v>4825</v>
      </c>
      <c r="AJ1301" s="48" t="n">
        <f aca="false">IF($U1301&gt;=STRUCT_S,MIN(INDEX($H$1151:$H1301,152-STRUCT_S):$H1301),"")</f>
        <v>4210</v>
      </c>
      <c r="AK1301" s="48" t="n">
        <f aca="false">IF($U1301&gt;=STRUCT_L,MAX(INDEX($G$1051:$G1301,252-STRUCT_L):$G1301),"")</f>
        <v>5326</v>
      </c>
      <c r="AL1301" s="48" t="n">
        <f aca="false">IF($U1301&gt;=STRUCT_L,MIN(INDEX($H$1051:$H1301,252-STRUCT_L):$H1301),"")</f>
        <v>4210</v>
      </c>
      <c r="AM1301" s="46" t="n">
        <f aca="false">IF($A1301&lt;&gt;$A1302,1,0)</f>
        <v>0</v>
      </c>
      <c r="AN1301" s="47" t="str">
        <f aca="false">IF($AM1301=1,$A1301,"")</f>
        <v/>
      </c>
    </row>
    <row r="1302" customFormat="false" ht="15" hidden="false" customHeight="false" outlineLevel="0" collapsed="false">
      <c r="A1302" s="43" t="s">
        <v>152</v>
      </c>
      <c r="B1302" s="44" t="s">
        <v>154</v>
      </c>
      <c r="C1302" s="45" t="n">
        <v>46265</v>
      </c>
      <c r="D1302" s="46" t="n">
        <v>20260831</v>
      </c>
      <c r="E1302" s="47" t="s">
        <v>545</v>
      </c>
      <c r="F1302" s="48" t="n">
        <v>4435</v>
      </c>
      <c r="G1302" s="48" t="n">
        <v>4556</v>
      </c>
      <c r="H1302" s="48" t="n">
        <v>4373</v>
      </c>
      <c r="I1302" s="48" t="n">
        <v>4537</v>
      </c>
      <c r="J1302" s="48" t="n">
        <v>4402</v>
      </c>
      <c r="K1302" s="48" t="n">
        <v>4392</v>
      </c>
      <c r="L1302" s="48" t="n">
        <v>93041853</v>
      </c>
      <c r="M1302" s="48" t="n">
        <v>422130887061</v>
      </c>
      <c r="N1302" s="48" t="n">
        <v>4260</v>
      </c>
      <c r="O1302" s="48" t="n">
        <v>55613468</v>
      </c>
      <c r="P1302" s="48" t="n">
        <v>35615644</v>
      </c>
      <c r="Q1302" s="48" t="n">
        <v>2040</v>
      </c>
      <c r="R1302" s="48" t="n">
        <v>1928</v>
      </c>
      <c r="S1302" s="48" t="n">
        <v>37428385</v>
      </c>
      <c r="T1302" s="48" t="n">
        <v>57426209</v>
      </c>
      <c r="U1302" s="46" t="n">
        <f aca="false">IF($A1302=$A1301,$U1301+1,1)</f>
        <v>258</v>
      </c>
      <c r="V1302" s="48" t="n">
        <f aca="false">IF($U1302&gt;=MA_SHORT,AVERAGE(INDEX($I$902:$I1302,402-MA_SHORT):$I1302),"")</f>
        <v>4462.9</v>
      </c>
      <c r="W1302" s="48" t="n">
        <f aca="false">IF($U1302&gt;=MA_MED,AVERAGE(INDEX($I$902:$I1302,402-MA_MED):$I1302),"")</f>
        <v>4700.42</v>
      </c>
      <c r="X1302" s="48" t="n">
        <f aca="false">IF($U1302&gt;=MA_LONG1,AVERAGE(INDEX($I$902:$I1302,402-MA_LONG1):$I1302),"")</f>
        <v>4725.98</v>
      </c>
      <c r="Y1302" s="48" t="n">
        <f aca="false">IF($U1302&gt;=MA_LONG2,AVERAGE(INDEX($I$902:$I1302,402-MA_LONG2):$I1302),"")</f>
        <v>5060.285</v>
      </c>
      <c r="Z1302" s="48" t="n">
        <f aca="false">IF($U1302&gt;=MA_SHORT,AVERAGE(INDEX($L$1182:$L1302,122-MA_SHORT):$L1302),"")</f>
        <v>102828904.1</v>
      </c>
      <c r="AA1302" s="48" t="n">
        <f aca="false">IF($U1302=1,$G1302-$H1302,MAX($G1302-$H1302,ABS($G1302-$I1301),ABS($H1302-$I1301)))</f>
        <v>183</v>
      </c>
      <c r="AB1302" s="48" t="n">
        <f aca="false">IF($U1302&gt;=ATR_PER,AVERAGE(INDEX($AA$1182:$AA1302,122-ATR_PER):$AA1302),"")</f>
        <v>132.214285714286</v>
      </c>
      <c r="AC1302" s="48" t="n">
        <f aca="false">$O1302-$P1302</f>
        <v>19997824</v>
      </c>
      <c r="AD1302" s="48" t="n">
        <f aca="false">$AC1302*$I1302</f>
        <v>90730127488</v>
      </c>
      <c r="AE1302" s="49" t="n">
        <f aca="false">IF($Q1302&gt;0,$O1302*$I1302/$Q1302/1000000,"")</f>
        <v>123.685443292157</v>
      </c>
      <c r="AF1302" s="49" t="n">
        <f aca="false">IF($R1302&gt;0,$P1302*$I1302/$R1302/1000000,"")</f>
        <v>83.8112950352697</v>
      </c>
      <c r="AG1302" s="50" t="n">
        <f aca="false">IF(AND(ISNUMBER($AE1302),ISNUMBER($AF1302),$AF1302&gt;0),$AE1302/$AF1302,"")</f>
        <v>1.47576103244923</v>
      </c>
      <c r="AH1302" s="48" t="n">
        <f aca="false">IF($U1302&gt;=5,SUM(INDEX($AD$1272:$AD1302,32-5):$AD1302),"")</f>
        <v>-85933478417</v>
      </c>
      <c r="AI1302" s="48" t="n">
        <f aca="false">IF($U1302&gt;=STRUCT_S,MAX(INDEX($G$1152:$G1302,152-STRUCT_S):$G1302),"")</f>
        <v>4825</v>
      </c>
      <c r="AJ1302" s="48" t="n">
        <f aca="false">IF($U1302&gt;=STRUCT_S,MIN(INDEX($H$1152:$H1302,152-STRUCT_S):$H1302),"")</f>
        <v>4210</v>
      </c>
      <c r="AK1302" s="48" t="n">
        <f aca="false">IF($U1302&gt;=STRUCT_L,MAX(INDEX($G$1052:$G1302,252-STRUCT_L):$G1302),"")</f>
        <v>5326</v>
      </c>
      <c r="AL1302" s="48" t="n">
        <f aca="false">IF($U1302&gt;=STRUCT_L,MIN(INDEX($H$1052:$H1302,252-STRUCT_L):$H1302),"")</f>
        <v>4210</v>
      </c>
      <c r="AM1302" s="46" t="n">
        <f aca="false">IF($A1302&lt;&gt;$A1303,1,0)</f>
        <v>0</v>
      </c>
      <c r="AN1302" s="47" t="str">
        <f aca="false">IF($AM1302=1,$A1302,"")</f>
        <v/>
      </c>
    </row>
    <row r="1303" customFormat="false" ht="15" hidden="false" customHeight="false" outlineLevel="0" collapsed="false">
      <c r="A1303" s="43" t="s">
        <v>152</v>
      </c>
      <c r="B1303" s="44" t="s">
        <v>154</v>
      </c>
      <c r="C1303" s="45" t="n">
        <v>46266</v>
      </c>
      <c r="D1303" s="46" t="n">
        <v>20260901</v>
      </c>
      <c r="E1303" s="47" t="s">
        <v>546</v>
      </c>
      <c r="F1303" s="48" t="n">
        <v>4524</v>
      </c>
      <c r="G1303" s="48" t="n">
        <v>4595</v>
      </c>
      <c r="H1303" s="48" t="n">
        <v>4507</v>
      </c>
      <c r="I1303" s="48" t="n">
        <v>4565</v>
      </c>
      <c r="J1303" s="48" t="n">
        <v>4545</v>
      </c>
      <c r="K1303" s="48" t="n">
        <v>4537</v>
      </c>
      <c r="L1303" s="48" t="n">
        <v>208079821</v>
      </c>
      <c r="M1303" s="48" t="n">
        <v>949884382865</v>
      </c>
      <c r="N1303" s="48" t="n">
        <v>12868</v>
      </c>
      <c r="O1303" s="48" t="n">
        <v>114137750</v>
      </c>
      <c r="P1303" s="48" t="n">
        <v>99953992</v>
      </c>
      <c r="Q1303" s="48" t="n">
        <v>7634</v>
      </c>
      <c r="R1303" s="48" t="n">
        <v>5293</v>
      </c>
      <c r="S1303" s="48" t="n">
        <v>93942071</v>
      </c>
      <c r="T1303" s="48" t="n">
        <v>108125829</v>
      </c>
      <c r="U1303" s="46" t="n">
        <f aca="false">IF($A1303=$A1302,$U1302+1,1)</f>
        <v>259</v>
      </c>
      <c r="V1303" s="48" t="n">
        <f aca="false">IF($U1303&gt;=MA_SHORT,AVERAGE(INDEX($I$903:$I1303,402-MA_SHORT):$I1303),"")</f>
        <v>4453.3</v>
      </c>
      <c r="W1303" s="48" t="n">
        <f aca="false">IF($U1303&gt;=MA_MED,AVERAGE(INDEX($I$903:$I1303,402-MA_MED):$I1303),"")</f>
        <v>4691.06</v>
      </c>
      <c r="X1303" s="48" t="n">
        <f aca="false">IF($U1303&gt;=MA_LONG1,AVERAGE(INDEX($I$903:$I1303,402-MA_LONG1):$I1303),"")</f>
        <v>4725.35</v>
      </c>
      <c r="Y1303" s="48" t="n">
        <f aca="false">IF($U1303&gt;=MA_LONG2,AVERAGE(INDEX($I$903:$I1303,402-MA_LONG2):$I1303),"")</f>
        <v>5056.11</v>
      </c>
      <c r="Z1303" s="48" t="n">
        <f aca="false">IF($U1303&gt;=MA_SHORT,AVERAGE(INDEX($L$1183:$L1303,122-MA_SHORT):$L1303),"")</f>
        <v>108332248.75</v>
      </c>
      <c r="AA1303" s="48" t="n">
        <f aca="false">IF($U1303=1,$G1303-$H1303,MAX($G1303-$H1303,ABS($G1303-$I1302),ABS($H1303-$I1302)))</f>
        <v>88</v>
      </c>
      <c r="AB1303" s="48" t="n">
        <f aca="false">IF($U1303&gt;=ATR_PER,AVERAGE(INDEX($AA$1183:$AA1303,122-ATR_PER):$AA1303),"")</f>
        <v>129.857142857143</v>
      </c>
      <c r="AC1303" s="48" t="n">
        <f aca="false">$O1303-$P1303</f>
        <v>14183758</v>
      </c>
      <c r="AD1303" s="48" t="n">
        <f aca="false">$AC1303*$I1303</f>
        <v>64748855270</v>
      </c>
      <c r="AE1303" s="49" t="n">
        <f aca="false">IF($Q1303&gt;0,$O1303*$I1303/$Q1303/1000000,"")</f>
        <v>68.2524009365994</v>
      </c>
      <c r="AF1303" s="49" t="n">
        <f aca="false">IF($R1303&gt;0,$P1303*$I1303/$R1303/1000000,"")</f>
        <v>86.2063052106556</v>
      </c>
      <c r="AG1303" s="50" t="n">
        <f aca="false">IF(AND(ISNUMBER($AE1303),ISNUMBER($AF1303),$AF1303&gt;0),$AE1303/$AF1303,"")</f>
        <v>0.79173328180365</v>
      </c>
      <c r="AH1303" s="48" t="n">
        <f aca="false">IF($U1303&gt;=5,SUM(INDEX($AD$1273:$AD1303,32-5):$AD1303),"")</f>
        <v>-20101530212</v>
      </c>
      <c r="AI1303" s="48" t="n">
        <f aca="false">IF($U1303&gt;=STRUCT_S,MAX(INDEX($G$1153:$G1303,152-STRUCT_S):$G1303),"")</f>
        <v>4822</v>
      </c>
      <c r="AJ1303" s="48" t="n">
        <f aca="false">IF($U1303&gt;=STRUCT_S,MIN(INDEX($H$1153:$H1303,152-STRUCT_S):$H1303),"")</f>
        <v>4210</v>
      </c>
      <c r="AK1303" s="48" t="n">
        <f aca="false">IF($U1303&gt;=STRUCT_L,MAX(INDEX($G$1053:$G1303,252-STRUCT_L):$G1303),"")</f>
        <v>5326</v>
      </c>
      <c r="AL1303" s="48" t="n">
        <f aca="false">IF($U1303&gt;=STRUCT_L,MIN(INDEX($H$1053:$H1303,252-STRUCT_L):$H1303),"")</f>
        <v>4210</v>
      </c>
      <c r="AM1303" s="46" t="n">
        <f aca="false">IF($A1303&lt;&gt;$A1304,1,0)</f>
        <v>0</v>
      </c>
      <c r="AN1303" s="47" t="str">
        <f aca="false">IF($AM1303=1,$A1303,"")</f>
        <v/>
      </c>
    </row>
    <row r="1304" customFormat="false" ht="15" hidden="false" customHeight="false" outlineLevel="0" collapsed="false">
      <c r="A1304" s="43" t="s">
        <v>152</v>
      </c>
      <c r="B1304" s="44" t="s">
        <v>154</v>
      </c>
      <c r="C1304" s="45" t="n">
        <v>46267</v>
      </c>
      <c r="D1304" s="46" t="n">
        <v>20260902</v>
      </c>
      <c r="E1304" s="47" t="s">
        <v>547</v>
      </c>
      <c r="F1304" s="48" t="n">
        <v>4452</v>
      </c>
      <c r="G1304" s="48" t="n">
        <v>4638</v>
      </c>
      <c r="H1304" s="48" t="n">
        <v>4331</v>
      </c>
      <c r="I1304" s="48" t="n">
        <v>4401</v>
      </c>
      <c r="J1304" s="48" t="n">
        <v>4483</v>
      </c>
      <c r="K1304" s="48" t="n">
        <v>4565</v>
      </c>
      <c r="L1304" s="48" t="n">
        <v>94398215</v>
      </c>
      <c r="M1304" s="48" t="n">
        <v>415446544215</v>
      </c>
      <c r="N1304" s="48" t="n">
        <v>2249</v>
      </c>
      <c r="O1304" s="48" t="n">
        <v>22570399</v>
      </c>
      <c r="P1304" s="48" t="n">
        <v>74298968</v>
      </c>
      <c r="Q1304" s="48" t="n">
        <v>833</v>
      </c>
      <c r="R1304" s="48" t="n">
        <v>1169</v>
      </c>
      <c r="S1304" s="48" t="n">
        <v>71827816</v>
      </c>
      <c r="T1304" s="48" t="n">
        <v>20099247</v>
      </c>
      <c r="U1304" s="46" t="n">
        <f aca="false">IF($A1304=$A1303,$U1303+1,1)</f>
        <v>260</v>
      </c>
      <c r="V1304" s="48" t="n">
        <f aca="false">IF($U1304&gt;=MA_SHORT,AVERAGE(INDEX($I$904:$I1304,402-MA_SHORT):$I1304),"")</f>
        <v>4439.75</v>
      </c>
      <c r="W1304" s="48" t="n">
        <f aca="false">IF($U1304&gt;=MA_MED,AVERAGE(INDEX($I$904:$I1304,402-MA_MED):$I1304),"")</f>
        <v>4678.52</v>
      </c>
      <c r="X1304" s="48" t="n">
        <f aca="false">IF($U1304&gt;=MA_LONG1,AVERAGE(INDEX($I$904:$I1304,402-MA_LONG1):$I1304),"")</f>
        <v>4723.45</v>
      </c>
      <c r="Y1304" s="48" t="n">
        <f aca="false">IF($U1304&gt;=MA_LONG2,AVERAGE(INDEX($I$904:$I1304,402-MA_LONG2):$I1304),"")</f>
        <v>5051.71</v>
      </c>
      <c r="Z1304" s="48" t="n">
        <f aca="false">IF($U1304&gt;=MA_SHORT,AVERAGE(INDEX($L$1184:$L1304,122-MA_SHORT):$L1304),"")</f>
        <v>108752936.1</v>
      </c>
      <c r="AA1304" s="48" t="n">
        <f aca="false">IF($U1304=1,$G1304-$H1304,MAX($G1304-$H1304,ABS($G1304-$I1303),ABS($H1304-$I1303)))</f>
        <v>307</v>
      </c>
      <c r="AB1304" s="48" t="n">
        <f aca="false">IF($U1304&gt;=ATR_PER,AVERAGE(INDEX($AA$1184:$AA1304,122-ATR_PER):$AA1304),"")</f>
        <v>137.357142857143</v>
      </c>
      <c r="AC1304" s="48" t="n">
        <f aca="false">$O1304-$P1304</f>
        <v>-51728569</v>
      </c>
      <c r="AD1304" s="48" t="n">
        <f aca="false">$AC1304*$I1304</f>
        <v>-227657432169</v>
      </c>
      <c r="AE1304" s="49" t="n">
        <f aca="false">IF($Q1304&gt;0,$O1304*$I1304/$Q1304/1000000,"")</f>
        <v>119.246489794718</v>
      </c>
      <c r="AF1304" s="49" t="n">
        <f aca="false">IF($R1304&gt;0,$P1304*$I1304/$R1304/1000000,"")</f>
        <v>279.717500571429</v>
      </c>
      <c r="AG1304" s="50" t="n">
        <f aca="false">IF(AND(ISNUMBER($AE1304),ISNUMBER($AF1304),$AF1304&gt;0),$AE1304/$AF1304,"")</f>
        <v>0.426310436605189</v>
      </c>
      <c r="AH1304" s="48" t="n">
        <f aca="false">IF($U1304&gt;=5,SUM(INDEX($AD$1274:$AD1304,32-5):$AD1304),"")</f>
        <v>-277381324293</v>
      </c>
      <c r="AI1304" s="48" t="n">
        <f aca="false">IF($U1304&gt;=STRUCT_S,MAX(INDEX($G$1154:$G1304,152-STRUCT_S):$G1304),"")</f>
        <v>4822</v>
      </c>
      <c r="AJ1304" s="48" t="n">
        <f aca="false">IF($U1304&gt;=STRUCT_S,MIN(INDEX($H$1154:$H1304,152-STRUCT_S):$H1304),"")</f>
        <v>4210</v>
      </c>
      <c r="AK1304" s="48" t="n">
        <f aca="false">IF($U1304&gt;=STRUCT_L,MAX(INDEX($G$1054:$G1304,252-STRUCT_L):$G1304),"")</f>
        <v>5326</v>
      </c>
      <c r="AL1304" s="48" t="n">
        <f aca="false">IF($U1304&gt;=STRUCT_L,MIN(INDEX($H$1054:$H1304,252-STRUCT_L):$H1304),"")</f>
        <v>4210</v>
      </c>
      <c r="AM1304" s="46" t="n">
        <f aca="false">IF($A1304&lt;&gt;$A1305,1,0)</f>
        <v>1</v>
      </c>
      <c r="AN1304" s="47" t="str">
        <f aca="false">IF($AM1304=1,$A1304,"")</f>
        <v>وبملت</v>
      </c>
    </row>
    <row r="1305" customFormat="false" ht="15" hidden="false" customHeight="false" outlineLevel="0" collapsed="false">
      <c r="A1305" s="43" t="s">
        <v>157</v>
      </c>
      <c r="B1305" s="44" t="s">
        <v>159</v>
      </c>
      <c r="C1305" s="45" t="n">
        <v>45906</v>
      </c>
      <c r="D1305" s="46" t="n">
        <v>20250906</v>
      </c>
      <c r="E1305" s="47" t="s">
        <v>288</v>
      </c>
      <c r="F1305" s="48" t="n">
        <v>1464</v>
      </c>
      <c r="G1305" s="48" t="n">
        <v>1468</v>
      </c>
      <c r="H1305" s="48" t="n">
        <v>1416</v>
      </c>
      <c r="I1305" s="48" t="n">
        <v>1442</v>
      </c>
      <c r="J1305" s="48" t="n">
        <v>1445</v>
      </c>
      <c r="K1305" s="48" t="n">
        <v>1442</v>
      </c>
      <c r="L1305" s="48" t="n">
        <v>80221354</v>
      </c>
      <c r="M1305" s="48" t="n">
        <v>115679192468</v>
      </c>
      <c r="N1305" s="48" t="n">
        <v>3315</v>
      </c>
      <c r="O1305" s="48" t="n">
        <v>37866355</v>
      </c>
      <c r="P1305" s="48" t="n">
        <v>46339955</v>
      </c>
      <c r="Q1305" s="48" t="n">
        <v>1094</v>
      </c>
      <c r="R1305" s="48" t="n">
        <v>1369</v>
      </c>
      <c r="S1305" s="48" t="n">
        <v>42354999</v>
      </c>
      <c r="T1305" s="48" t="n">
        <v>33881399</v>
      </c>
      <c r="U1305" s="46" t="n">
        <f aca="false">IF($A1305=$A1304,$U1304+1,1)</f>
        <v>1</v>
      </c>
      <c r="V1305" s="48" t="str">
        <f aca="false">IF($U1305&gt;=MA_SHORT,AVERAGE(INDEX($I$905:$I1305,402-MA_SHORT):$I1305),"")</f>
        <v/>
      </c>
      <c r="W1305" s="48" t="str">
        <f aca="false">IF($U1305&gt;=MA_MED,AVERAGE(INDEX($I$905:$I1305,402-MA_MED):$I1305),"")</f>
        <v/>
      </c>
      <c r="X1305" s="48" t="str">
        <f aca="false">IF($U1305&gt;=MA_LONG1,AVERAGE(INDEX($I$905:$I1305,402-MA_LONG1):$I1305),"")</f>
        <v/>
      </c>
      <c r="Y1305" s="48" t="str">
        <f aca="false">IF($U1305&gt;=MA_LONG2,AVERAGE(INDEX($I$905:$I1305,402-MA_LONG2):$I1305),"")</f>
        <v/>
      </c>
      <c r="Z1305" s="48" t="str">
        <f aca="false">IF($U1305&gt;=MA_SHORT,AVERAGE(INDEX($L$1185:$L1305,122-MA_SHORT):$L1305),"")</f>
        <v/>
      </c>
      <c r="AA1305" s="48" t="n">
        <f aca="false">IF($U1305=1,$G1305-$H1305,MAX($G1305-$H1305,ABS($G1305-$I1304),ABS($H1305-$I1304)))</f>
        <v>52</v>
      </c>
      <c r="AB1305" s="48" t="str">
        <f aca="false">IF($U1305&gt;=ATR_PER,AVERAGE(INDEX($AA$1185:$AA1305,122-ATR_PER):$AA1305),"")</f>
        <v/>
      </c>
      <c r="AC1305" s="48" t="n">
        <f aca="false">$O1305-$P1305</f>
        <v>-8473600</v>
      </c>
      <c r="AD1305" s="48" t="n">
        <f aca="false">$AC1305*$I1305</f>
        <v>-12218931200</v>
      </c>
      <c r="AE1305" s="49" t="n">
        <f aca="false">IF($Q1305&gt;0,$O1305*$I1305/$Q1305/1000000,"")</f>
        <v>49.9115940676417</v>
      </c>
      <c r="AF1305" s="49" t="n">
        <f aca="false">IF($R1305&gt;0,$P1305*$I1305/$R1305/1000000,"")</f>
        <v>48.8109679401023</v>
      </c>
      <c r="AG1305" s="50" t="n">
        <f aca="false">IF(AND(ISNUMBER($AE1305),ISNUMBER($AF1305),$AF1305&gt;0),$AE1305/$AF1305,"")</f>
        <v>1.02254874619348</v>
      </c>
      <c r="AH1305" s="48" t="str">
        <f aca="false">IF($U1305&gt;=5,SUM(INDEX($AD$1275:$AD1305,32-5):$AD1305),"")</f>
        <v/>
      </c>
      <c r="AI1305" s="48" t="str">
        <f aca="false">IF($U1305&gt;=STRUCT_S,MAX(INDEX($G$1155:$G1305,152-STRUCT_S):$G1305),"")</f>
        <v/>
      </c>
      <c r="AJ1305" s="48" t="str">
        <f aca="false">IF($U1305&gt;=STRUCT_S,MIN(INDEX($H$1155:$H1305,152-STRUCT_S):$H1305),"")</f>
        <v/>
      </c>
      <c r="AK1305" s="48" t="str">
        <f aca="false">IF($U1305&gt;=STRUCT_L,MAX(INDEX($G$1055:$G1305,252-STRUCT_L):$G1305),"")</f>
        <v/>
      </c>
      <c r="AL1305" s="48" t="str">
        <f aca="false">IF($U1305&gt;=STRUCT_L,MIN(INDEX($H$1055:$H1305,252-STRUCT_L):$H1305),"")</f>
        <v/>
      </c>
      <c r="AM1305" s="46" t="n">
        <f aca="false">IF($A1305&lt;&gt;$A1306,1,0)</f>
        <v>0</v>
      </c>
      <c r="AN1305" s="47" t="str">
        <f aca="false">IF($AM1305=1,$A1305,"")</f>
        <v/>
      </c>
    </row>
    <row r="1306" customFormat="false" ht="15" hidden="false" customHeight="false" outlineLevel="0" collapsed="false">
      <c r="A1306" s="43" t="s">
        <v>157</v>
      </c>
      <c r="B1306" s="44" t="s">
        <v>159</v>
      </c>
      <c r="C1306" s="45" t="n">
        <v>45907</v>
      </c>
      <c r="D1306" s="46" t="n">
        <v>20250907</v>
      </c>
      <c r="E1306" s="47" t="s">
        <v>289</v>
      </c>
      <c r="F1306" s="48" t="n">
        <v>1495</v>
      </c>
      <c r="G1306" s="48" t="n">
        <v>1510</v>
      </c>
      <c r="H1306" s="48" t="n">
        <v>1433</v>
      </c>
      <c r="I1306" s="48" t="n">
        <v>1500</v>
      </c>
      <c r="J1306" s="48" t="n">
        <v>1461</v>
      </c>
      <c r="K1306" s="48" t="n">
        <v>1442</v>
      </c>
      <c r="L1306" s="48" t="n">
        <v>84237737</v>
      </c>
      <c r="M1306" s="48" t="n">
        <v>126356605500</v>
      </c>
      <c r="N1306" s="48" t="n">
        <v>2393</v>
      </c>
      <c r="O1306" s="48" t="n">
        <v>55009721</v>
      </c>
      <c r="P1306" s="48" t="n">
        <v>27944063</v>
      </c>
      <c r="Q1306" s="48" t="n">
        <v>1204</v>
      </c>
      <c r="R1306" s="48" t="n">
        <v>886</v>
      </c>
      <c r="S1306" s="48" t="n">
        <v>29228016</v>
      </c>
      <c r="T1306" s="48" t="n">
        <v>56293674</v>
      </c>
      <c r="U1306" s="46" t="n">
        <f aca="false">IF($A1306=$A1305,$U1305+1,1)</f>
        <v>2</v>
      </c>
      <c r="V1306" s="48" t="str">
        <f aca="false">IF($U1306&gt;=MA_SHORT,AVERAGE(INDEX($I$906:$I1306,402-MA_SHORT):$I1306),"")</f>
        <v/>
      </c>
      <c r="W1306" s="48" t="str">
        <f aca="false">IF($U1306&gt;=MA_MED,AVERAGE(INDEX($I$906:$I1306,402-MA_MED):$I1306),"")</f>
        <v/>
      </c>
      <c r="X1306" s="48" t="str">
        <f aca="false">IF($U1306&gt;=MA_LONG1,AVERAGE(INDEX($I$906:$I1306,402-MA_LONG1):$I1306),"")</f>
        <v/>
      </c>
      <c r="Y1306" s="48" t="str">
        <f aca="false">IF($U1306&gt;=MA_LONG2,AVERAGE(INDEX($I$906:$I1306,402-MA_LONG2):$I1306),"")</f>
        <v/>
      </c>
      <c r="Z1306" s="48" t="str">
        <f aca="false">IF($U1306&gt;=MA_SHORT,AVERAGE(INDEX($L$1186:$L1306,122-MA_SHORT):$L1306),"")</f>
        <v/>
      </c>
      <c r="AA1306" s="48" t="n">
        <f aca="false">IF($U1306=1,$G1306-$H1306,MAX($G1306-$H1306,ABS($G1306-$I1305),ABS($H1306-$I1305)))</f>
        <v>77</v>
      </c>
      <c r="AB1306" s="48" t="str">
        <f aca="false">IF($U1306&gt;=ATR_PER,AVERAGE(INDEX($AA$1186:$AA1306,122-ATR_PER):$AA1306),"")</f>
        <v/>
      </c>
      <c r="AC1306" s="48" t="n">
        <f aca="false">$O1306-$P1306</f>
        <v>27065658</v>
      </c>
      <c r="AD1306" s="48" t="n">
        <f aca="false">$AC1306*$I1306</f>
        <v>40598487000</v>
      </c>
      <c r="AE1306" s="49" t="n">
        <f aca="false">IF($Q1306&gt;0,$O1306*$I1306/$Q1306/1000000,"")</f>
        <v>68.533705564784</v>
      </c>
      <c r="AF1306" s="49" t="n">
        <f aca="false">IF($R1306&gt;0,$P1306*$I1306/$R1306/1000000,"")</f>
        <v>47.309361738149</v>
      </c>
      <c r="AG1306" s="50" t="n">
        <f aca="false">IF(AND(ISNUMBER($AE1306),ISNUMBER($AF1306),$AF1306&gt;0),$AE1306/$AF1306,"")</f>
        <v>1.44862883469257</v>
      </c>
      <c r="AH1306" s="48" t="str">
        <f aca="false">IF($U1306&gt;=5,SUM(INDEX($AD$1276:$AD1306,32-5):$AD1306),"")</f>
        <v/>
      </c>
      <c r="AI1306" s="48" t="str">
        <f aca="false">IF($U1306&gt;=STRUCT_S,MAX(INDEX($G$1156:$G1306,152-STRUCT_S):$G1306),"")</f>
        <v/>
      </c>
      <c r="AJ1306" s="48" t="str">
        <f aca="false">IF($U1306&gt;=STRUCT_S,MIN(INDEX($H$1156:$H1306,152-STRUCT_S):$H1306),"")</f>
        <v/>
      </c>
      <c r="AK1306" s="48" t="str">
        <f aca="false">IF($U1306&gt;=STRUCT_L,MAX(INDEX($G$1056:$G1306,252-STRUCT_L):$G1306),"")</f>
        <v/>
      </c>
      <c r="AL1306" s="48" t="str">
        <f aca="false">IF($U1306&gt;=STRUCT_L,MIN(INDEX($H$1056:$H1306,252-STRUCT_L):$H1306),"")</f>
        <v/>
      </c>
      <c r="AM1306" s="46" t="n">
        <f aca="false">IF($A1306&lt;&gt;$A1307,1,0)</f>
        <v>0</v>
      </c>
      <c r="AN1306" s="47" t="str">
        <f aca="false">IF($AM1306=1,$A1306,"")</f>
        <v/>
      </c>
    </row>
    <row r="1307" customFormat="false" ht="15" hidden="false" customHeight="false" outlineLevel="0" collapsed="false">
      <c r="A1307" s="43" t="s">
        <v>157</v>
      </c>
      <c r="B1307" s="44" t="s">
        <v>159</v>
      </c>
      <c r="C1307" s="45" t="n">
        <v>45908</v>
      </c>
      <c r="D1307" s="46" t="n">
        <v>20250908</v>
      </c>
      <c r="E1307" s="47" t="s">
        <v>290</v>
      </c>
      <c r="F1307" s="48" t="n">
        <v>1525</v>
      </c>
      <c r="G1307" s="48" t="n">
        <v>1525</v>
      </c>
      <c r="H1307" s="48" t="n">
        <v>1490</v>
      </c>
      <c r="I1307" s="48" t="n">
        <v>1515</v>
      </c>
      <c r="J1307" s="48" t="n">
        <v>1516</v>
      </c>
      <c r="K1307" s="48" t="n">
        <v>1500</v>
      </c>
      <c r="L1307" s="48" t="n">
        <v>71932439</v>
      </c>
      <c r="M1307" s="48" t="n">
        <v>108977645085</v>
      </c>
      <c r="N1307" s="48" t="n">
        <v>2147</v>
      </c>
      <c r="O1307" s="48" t="n">
        <v>42915105</v>
      </c>
      <c r="P1307" s="48" t="n">
        <v>31122700</v>
      </c>
      <c r="Q1307" s="48" t="n">
        <v>1099</v>
      </c>
      <c r="R1307" s="48" t="n">
        <v>1123</v>
      </c>
      <c r="S1307" s="48" t="n">
        <v>29017334</v>
      </c>
      <c r="T1307" s="48" t="n">
        <v>40809739</v>
      </c>
      <c r="U1307" s="46" t="n">
        <f aca="false">IF($A1307=$A1306,$U1306+1,1)</f>
        <v>3</v>
      </c>
      <c r="V1307" s="48" t="str">
        <f aca="false">IF($U1307&gt;=MA_SHORT,AVERAGE(INDEX($I$907:$I1307,402-MA_SHORT):$I1307),"")</f>
        <v/>
      </c>
      <c r="W1307" s="48" t="str">
        <f aca="false">IF($U1307&gt;=MA_MED,AVERAGE(INDEX($I$907:$I1307,402-MA_MED):$I1307),"")</f>
        <v/>
      </c>
      <c r="X1307" s="48" t="str">
        <f aca="false">IF($U1307&gt;=MA_LONG1,AVERAGE(INDEX($I$907:$I1307,402-MA_LONG1):$I1307),"")</f>
        <v/>
      </c>
      <c r="Y1307" s="48" t="str">
        <f aca="false">IF($U1307&gt;=MA_LONG2,AVERAGE(INDEX($I$907:$I1307,402-MA_LONG2):$I1307),"")</f>
        <v/>
      </c>
      <c r="Z1307" s="48" t="str">
        <f aca="false">IF($U1307&gt;=MA_SHORT,AVERAGE(INDEX($L$1187:$L1307,122-MA_SHORT):$L1307),"")</f>
        <v/>
      </c>
      <c r="AA1307" s="48" t="n">
        <f aca="false">IF($U1307=1,$G1307-$H1307,MAX($G1307-$H1307,ABS($G1307-$I1306),ABS($H1307-$I1306)))</f>
        <v>35</v>
      </c>
      <c r="AB1307" s="48" t="str">
        <f aca="false">IF($U1307&gt;=ATR_PER,AVERAGE(INDEX($AA$1187:$AA1307,122-ATR_PER):$AA1307),"")</f>
        <v/>
      </c>
      <c r="AC1307" s="48" t="n">
        <f aca="false">$O1307-$P1307</f>
        <v>11792405</v>
      </c>
      <c r="AD1307" s="48" t="n">
        <f aca="false">$AC1307*$I1307</f>
        <v>17865493575</v>
      </c>
      <c r="AE1307" s="49" t="n">
        <f aca="false">IF($Q1307&gt;0,$O1307*$I1307/$Q1307/1000000,"")</f>
        <v>59.1595851455869</v>
      </c>
      <c r="AF1307" s="49" t="n">
        <f aca="false">IF($R1307&gt;0,$P1307*$I1307/$R1307/1000000,"")</f>
        <v>41.9865454140695</v>
      </c>
      <c r="AG1307" s="50" t="n">
        <f aca="false">IF(AND(ISNUMBER($AE1307),ISNUMBER($AF1307),$AF1307&gt;0),$AE1307/$AF1307,"")</f>
        <v>1.40901292454899</v>
      </c>
      <c r="AH1307" s="48" t="str">
        <f aca="false">IF($U1307&gt;=5,SUM(INDEX($AD$1277:$AD1307,32-5):$AD1307),"")</f>
        <v/>
      </c>
      <c r="AI1307" s="48" t="str">
        <f aca="false">IF($U1307&gt;=STRUCT_S,MAX(INDEX($G$1157:$G1307,152-STRUCT_S):$G1307),"")</f>
        <v/>
      </c>
      <c r="AJ1307" s="48" t="str">
        <f aca="false">IF($U1307&gt;=STRUCT_S,MIN(INDEX($H$1157:$H1307,152-STRUCT_S):$H1307),"")</f>
        <v/>
      </c>
      <c r="AK1307" s="48" t="str">
        <f aca="false">IF($U1307&gt;=STRUCT_L,MAX(INDEX($G$1057:$G1307,252-STRUCT_L):$G1307),"")</f>
        <v/>
      </c>
      <c r="AL1307" s="48" t="str">
        <f aca="false">IF($U1307&gt;=STRUCT_L,MIN(INDEX($H$1057:$H1307,252-STRUCT_L):$H1307),"")</f>
        <v/>
      </c>
      <c r="AM1307" s="46" t="n">
        <f aca="false">IF($A1307&lt;&gt;$A1308,1,0)</f>
        <v>0</v>
      </c>
      <c r="AN1307" s="47" t="str">
        <f aca="false">IF($AM1307=1,$A1307,"")</f>
        <v/>
      </c>
    </row>
    <row r="1308" customFormat="false" ht="15" hidden="false" customHeight="false" outlineLevel="0" collapsed="false">
      <c r="A1308" s="43" t="s">
        <v>157</v>
      </c>
      <c r="B1308" s="44" t="s">
        <v>159</v>
      </c>
      <c r="C1308" s="45" t="n">
        <v>45909</v>
      </c>
      <c r="D1308" s="46" t="n">
        <v>20250909</v>
      </c>
      <c r="E1308" s="47" t="s">
        <v>291</v>
      </c>
      <c r="F1308" s="48" t="n">
        <v>1541</v>
      </c>
      <c r="G1308" s="48" t="n">
        <v>1545</v>
      </c>
      <c r="H1308" s="48" t="n">
        <v>1494</v>
      </c>
      <c r="I1308" s="48" t="n">
        <v>1524</v>
      </c>
      <c r="J1308" s="48" t="n">
        <v>1545</v>
      </c>
      <c r="K1308" s="48" t="n">
        <v>1515</v>
      </c>
      <c r="L1308" s="48" t="n">
        <v>72861657</v>
      </c>
      <c r="M1308" s="48" t="n">
        <v>111041165268</v>
      </c>
      <c r="N1308" s="48" t="n">
        <v>4384</v>
      </c>
      <c r="O1308" s="48" t="n">
        <v>43190174</v>
      </c>
      <c r="P1308" s="48" t="n">
        <v>35990385</v>
      </c>
      <c r="Q1308" s="48" t="n">
        <v>1318</v>
      </c>
      <c r="R1308" s="48" t="n">
        <v>1714</v>
      </c>
      <c r="S1308" s="48" t="n">
        <v>29671483</v>
      </c>
      <c r="T1308" s="48" t="n">
        <v>36871272</v>
      </c>
      <c r="U1308" s="46" t="n">
        <f aca="false">IF($A1308=$A1307,$U1307+1,1)</f>
        <v>4</v>
      </c>
      <c r="V1308" s="48" t="str">
        <f aca="false">IF($U1308&gt;=MA_SHORT,AVERAGE(INDEX($I$908:$I1308,402-MA_SHORT):$I1308),"")</f>
        <v/>
      </c>
      <c r="W1308" s="48" t="str">
        <f aca="false">IF($U1308&gt;=MA_MED,AVERAGE(INDEX($I$908:$I1308,402-MA_MED):$I1308),"")</f>
        <v/>
      </c>
      <c r="X1308" s="48" t="str">
        <f aca="false">IF($U1308&gt;=MA_LONG1,AVERAGE(INDEX($I$908:$I1308,402-MA_LONG1):$I1308),"")</f>
        <v/>
      </c>
      <c r="Y1308" s="48" t="str">
        <f aca="false">IF($U1308&gt;=MA_LONG2,AVERAGE(INDEX($I$908:$I1308,402-MA_LONG2):$I1308),"")</f>
        <v/>
      </c>
      <c r="Z1308" s="48" t="str">
        <f aca="false">IF($U1308&gt;=MA_SHORT,AVERAGE(INDEX($L$1188:$L1308,122-MA_SHORT):$L1308),"")</f>
        <v/>
      </c>
      <c r="AA1308" s="48" t="n">
        <f aca="false">IF($U1308=1,$G1308-$H1308,MAX($G1308-$H1308,ABS($G1308-$I1307),ABS($H1308-$I1307)))</f>
        <v>51</v>
      </c>
      <c r="AB1308" s="48" t="str">
        <f aca="false">IF($U1308&gt;=ATR_PER,AVERAGE(INDEX($AA$1188:$AA1308,122-ATR_PER):$AA1308),"")</f>
        <v/>
      </c>
      <c r="AC1308" s="48" t="n">
        <f aca="false">$O1308-$P1308</f>
        <v>7199789</v>
      </c>
      <c r="AD1308" s="48" t="n">
        <f aca="false">$AC1308*$I1308</f>
        <v>10972478436</v>
      </c>
      <c r="AE1308" s="49" t="n">
        <f aca="false">IF($Q1308&gt;0,$O1308*$I1308/$Q1308/1000000,"")</f>
        <v>49.9406867799696</v>
      </c>
      <c r="AF1308" s="49" t="n">
        <f aca="false">IF($R1308&gt;0,$P1308*$I1308/$R1308/1000000,"")</f>
        <v>32.0007857292882</v>
      </c>
      <c r="AG1308" s="50" t="n">
        <f aca="false">IF(AND(ISNUMBER($AE1308),ISNUMBER($AF1308),$AF1308&gt;0),$AE1308/$AF1308,"")</f>
        <v>1.56060814263889</v>
      </c>
      <c r="AH1308" s="48" t="str">
        <f aca="false">IF($U1308&gt;=5,SUM(INDEX($AD$1278:$AD1308,32-5):$AD1308),"")</f>
        <v/>
      </c>
      <c r="AI1308" s="48" t="str">
        <f aca="false">IF($U1308&gt;=STRUCT_S,MAX(INDEX($G$1158:$G1308,152-STRUCT_S):$G1308),"")</f>
        <v/>
      </c>
      <c r="AJ1308" s="48" t="str">
        <f aca="false">IF($U1308&gt;=STRUCT_S,MIN(INDEX($H$1158:$H1308,152-STRUCT_S):$H1308),"")</f>
        <v/>
      </c>
      <c r="AK1308" s="48" t="str">
        <f aca="false">IF($U1308&gt;=STRUCT_L,MAX(INDEX($G$1058:$G1308,252-STRUCT_L):$G1308),"")</f>
        <v/>
      </c>
      <c r="AL1308" s="48" t="str">
        <f aca="false">IF($U1308&gt;=STRUCT_L,MIN(INDEX($H$1058:$H1308,252-STRUCT_L):$H1308),"")</f>
        <v/>
      </c>
      <c r="AM1308" s="46" t="n">
        <f aca="false">IF($A1308&lt;&gt;$A1309,1,0)</f>
        <v>0</v>
      </c>
      <c r="AN1308" s="47" t="str">
        <f aca="false">IF($AM1308=1,$A1308,"")</f>
        <v/>
      </c>
    </row>
    <row r="1309" customFormat="false" ht="15" hidden="false" customHeight="false" outlineLevel="0" collapsed="false">
      <c r="A1309" s="43" t="s">
        <v>157</v>
      </c>
      <c r="B1309" s="44" t="s">
        <v>159</v>
      </c>
      <c r="C1309" s="45" t="n">
        <v>45910</v>
      </c>
      <c r="D1309" s="46" t="n">
        <v>20250910</v>
      </c>
      <c r="E1309" s="47" t="s">
        <v>292</v>
      </c>
      <c r="F1309" s="48" t="n">
        <v>1530</v>
      </c>
      <c r="G1309" s="48" t="n">
        <v>1532</v>
      </c>
      <c r="H1309" s="48" t="n">
        <v>1486</v>
      </c>
      <c r="I1309" s="48" t="n">
        <v>1493</v>
      </c>
      <c r="J1309" s="48" t="n">
        <v>1505</v>
      </c>
      <c r="K1309" s="48" t="n">
        <v>1524</v>
      </c>
      <c r="L1309" s="48" t="n">
        <v>76143014</v>
      </c>
      <c r="M1309" s="48" t="n">
        <v>113681519902</v>
      </c>
      <c r="N1309" s="48" t="n">
        <v>2845</v>
      </c>
      <c r="O1309" s="48" t="n">
        <v>42214078</v>
      </c>
      <c r="P1309" s="48" t="n">
        <v>32397530</v>
      </c>
      <c r="Q1309" s="48" t="n">
        <v>1007</v>
      </c>
      <c r="R1309" s="48" t="n">
        <v>1385</v>
      </c>
      <c r="S1309" s="48" t="n">
        <v>33928936</v>
      </c>
      <c r="T1309" s="48" t="n">
        <v>43745484</v>
      </c>
      <c r="U1309" s="46" t="n">
        <f aca="false">IF($A1309=$A1308,$U1308+1,1)</f>
        <v>5</v>
      </c>
      <c r="V1309" s="48" t="str">
        <f aca="false">IF($U1309&gt;=MA_SHORT,AVERAGE(INDEX($I$909:$I1309,402-MA_SHORT):$I1309),"")</f>
        <v/>
      </c>
      <c r="W1309" s="48" t="str">
        <f aca="false">IF($U1309&gt;=MA_MED,AVERAGE(INDEX($I$909:$I1309,402-MA_MED):$I1309),"")</f>
        <v/>
      </c>
      <c r="X1309" s="48" t="str">
        <f aca="false">IF($U1309&gt;=MA_LONG1,AVERAGE(INDEX($I$909:$I1309,402-MA_LONG1):$I1309),"")</f>
        <v/>
      </c>
      <c r="Y1309" s="48" t="str">
        <f aca="false">IF($U1309&gt;=MA_LONG2,AVERAGE(INDEX($I$909:$I1309,402-MA_LONG2):$I1309),"")</f>
        <v/>
      </c>
      <c r="Z1309" s="48" t="str">
        <f aca="false">IF($U1309&gt;=MA_SHORT,AVERAGE(INDEX($L$1189:$L1309,122-MA_SHORT):$L1309),"")</f>
        <v/>
      </c>
      <c r="AA1309" s="48" t="n">
        <f aca="false">IF($U1309=1,$G1309-$H1309,MAX($G1309-$H1309,ABS($G1309-$I1308),ABS($H1309-$I1308)))</f>
        <v>46</v>
      </c>
      <c r="AB1309" s="48" t="str">
        <f aca="false">IF($U1309&gt;=ATR_PER,AVERAGE(INDEX($AA$1189:$AA1309,122-ATR_PER):$AA1309),"")</f>
        <v/>
      </c>
      <c r="AC1309" s="48" t="n">
        <f aca="false">$O1309-$P1309</f>
        <v>9816548</v>
      </c>
      <c r="AD1309" s="48" t="n">
        <f aca="false">$AC1309*$I1309</f>
        <v>14656106164</v>
      </c>
      <c r="AE1309" s="49" t="n">
        <f aca="false">IF($Q1309&gt;0,$O1309*$I1309/$Q1309/1000000,"")</f>
        <v>62.5875059126117</v>
      </c>
      <c r="AF1309" s="49" t="n">
        <f aca="false">IF($R1309&gt;0,$P1309*$I1309/$R1309/1000000,"")</f>
        <v>34.9238355884477</v>
      </c>
      <c r="AG1309" s="50" t="n">
        <f aca="false">IF(AND(ISNUMBER($AE1309),ISNUMBER($AF1309),$AF1309&gt;0),$AE1309/$AF1309,"")</f>
        <v>1.79211432129508</v>
      </c>
      <c r="AH1309" s="48" t="n">
        <f aca="false">IF($U1309&gt;=5,SUM(INDEX($AD$1279:$AD1309,32-5):$AD1309),"")</f>
        <v>71873633975</v>
      </c>
      <c r="AI1309" s="48" t="str">
        <f aca="false">IF($U1309&gt;=STRUCT_S,MAX(INDEX($G$1159:$G1309,152-STRUCT_S):$G1309),"")</f>
        <v/>
      </c>
      <c r="AJ1309" s="48" t="str">
        <f aca="false">IF($U1309&gt;=STRUCT_S,MIN(INDEX($H$1159:$H1309,152-STRUCT_S):$H1309),"")</f>
        <v/>
      </c>
      <c r="AK1309" s="48" t="str">
        <f aca="false">IF($U1309&gt;=STRUCT_L,MAX(INDEX($G$1059:$G1309,252-STRUCT_L):$G1309),"")</f>
        <v/>
      </c>
      <c r="AL1309" s="48" t="str">
        <f aca="false">IF($U1309&gt;=STRUCT_L,MIN(INDEX($H$1059:$H1309,252-STRUCT_L):$H1309),"")</f>
        <v/>
      </c>
      <c r="AM1309" s="46" t="n">
        <f aca="false">IF($A1309&lt;&gt;$A1310,1,0)</f>
        <v>0</v>
      </c>
      <c r="AN1309" s="47" t="str">
        <f aca="false">IF($AM1309=1,$A1309,"")</f>
        <v/>
      </c>
    </row>
    <row r="1310" customFormat="false" ht="15" hidden="false" customHeight="false" outlineLevel="0" collapsed="false">
      <c r="A1310" s="43" t="s">
        <v>157</v>
      </c>
      <c r="B1310" s="44" t="s">
        <v>159</v>
      </c>
      <c r="C1310" s="45" t="n">
        <v>45913</v>
      </c>
      <c r="D1310" s="46" t="n">
        <v>20250913</v>
      </c>
      <c r="E1310" s="47" t="s">
        <v>293</v>
      </c>
      <c r="F1310" s="48" t="n">
        <v>1461</v>
      </c>
      <c r="G1310" s="48" t="n">
        <v>1497</v>
      </c>
      <c r="H1310" s="48" t="n">
        <v>1455</v>
      </c>
      <c r="I1310" s="48" t="n">
        <v>1459</v>
      </c>
      <c r="J1310" s="48" t="n">
        <v>1471</v>
      </c>
      <c r="K1310" s="48" t="n">
        <v>1493</v>
      </c>
      <c r="L1310" s="48" t="n">
        <v>88601371</v>
      </c>
      <c r="M1310" s="48" t="n">
        <v>129269400289</v>
      </c>
      <c r="N1310" s="48" t="n">
        <v>2905</v>
      </c>
      <c r="O1310" s="48" t="n">
        <v>37961860</v>
      </c>
      <c r="P1310" s="48" t="n">
        <v>51133204</v>
      </c>
      <c r="Q1310" s="48" t="n">
        <v>1367</v>
      </c>
      <c r="R1310" s="48" t="n">
        <v>1523</v>
      </c>
      <c r="S1310" s="48" t="n">
        <v>50639511</v>
      </c>
      <c r="T1310" s="48" t="n">
        <v>37468167</v>
      </c>
      <c r="U1310" s="46" t="n">
        <f aca="false">IF($A1310=$A1309,$U1309+1,1)</f>
        <v>6</v>
      </c>
      <c r="V1310" s="48" t="str">
        <f aca="false">IF($U1310&gt;=MA_SHORT,AVERAGE(INDEX($I$910:$I1310,402-MA_SHORT):$I1310),"")</f>
        <v/>
      </c>
      <c r="W1310" s="48" t="str">
        <f aca="false">IF($U1310&gt;=MA_MED,AVERAGE(INDEX($I$910:$I1310,402-MA_MED):$I1310),"")</f>
        <v/>
      </c>
      <c r="X1310" s="48" t="str">
        <f aca="false">IF($U1310&gt;=MA_LONG1,AVERAGE(INDEX($I$910:$I1310,402-MA_LONG1):$I1310),"")</f>
        <v/>
      </c>
      <c r="Y1310" s="48" t="str">
        <f aca="false">IF($U1310&gt;=MA_LONG2,AVERAGE(INDEX($I$910:$I1310,402-MA_LONG2):$I1310),"")</f>
        <v/>
      </c>
      <c r="Z1310" s="48" t="str">
        <f aca="false">IF($U1310&gt;=MA_SHORT,AVERAGE(INDEX($L$1190:$L1310,122-MA_SHORT):$L1310),"")</f>
        <v/>
      </c>
      <c r="AA1310" s="48" t="n">
        <f aca="false">IF($U1310=1,$G1310-$H1310,MAX($G1310-$H1310,ABS($G1310-$I1309),ABS($H1310-$I1309)))</f>
        <v>42</v>
      </c>
      <c r="AB1310" s="48" t="str">
        <f aca="false">IF($U1310&gt;=ATR_PER,AVERAGE(INDEX($AA$1190:$AA1310,122-ATR_PER):$AA1310),"")</f>
        <v/>
      </c>
      <c r="AC1310" s="48" t="n">
        <f aca="false">$O1310-$P1310</f>
        <v>-13171344</v>
      </c>
      <c r="AD1310" s="48" t="n">
        <f aca="false">$AC1310*$I1310</f>
        <v>-19216990896</v>
      </c>
      <c r="AE1310" s="49" t="n">
        <f aca="false">IF($Q1310&gt;0,$O1310*$I1310/$Q1310/1000000,"")</f>
        <v>40.5167181711778</v>
      </c>
      <c r="AF1310" s="49" t="n">
        <f aca="false">IF($R1310&gt;0,$P1310*$I1310/$R1310/1000000,"")</f>
        <v>48.9844679159554</v>
      </c>
      <c r="AG1310" s="50" t="n">
        <f aca="false">IF(AND(ISNUMBER($AE1310),ISNUMBER($AF1310),$AF1310&gt;0),$AE1310/$AF1310,"")</f>
        <v>0.827133985423583</v>
      </c>
      <c r="AH1310" s="48" t="n">
        <f aca="false">IF($U1310&gt;=5,SUM(INDEX($AD$1280:$AD1310,32-5):$AD1310),"")</f>
        <v>64875574279</v>
      </c>
      <c r="AI1310" s="48" t="str">
        <f aca="false">IF($U1310&gt;=STRUCT_S,MAX(INDEX($G$1160:$G1310,152-STRUCT_S):$G1310),"")</f>
        <v/>
      </c>
      <c r="AJ1310" s="48" t="str">
        <f aca="false">IF($U1310&gt;=STRUCT_S,MIN(INDEX($H$1160:$H1310,152-STRUCT_S):$H1310),"")</f>
        <v/>
      </c>
      <c r="AK1310" s="48" t="str">
        <f aca="false">IF($U1310&gt;=STRUCT_L,MAX(INDEX($G$1060:$G1310,252-STRUCT_L):$G1310),"")</f>
        <v/>
      </c>
      <c r="AL1310" s="48" t="str">
        <f aca="false">IF($U1310&gt;=STRUCT_L,MIN(INDEX($H$1060:$H1310,252-STRUCT_L):$H1310),"")</f>
        <v/>
      </c>
      <c r="AM1310" s="46" t="n">
        <f aca="false">IF($A1310&lt;&gt;$A1311,1,0)</f>
        <v>0</v>
      </c>
      <c r="AN1310" s="47" t="str">
        <f aca="false">IF($AM1310=1,$A1310,"")</f>
        <v/>
      </c>
    </row>
    <row r="1311" customFormat="false" ht="15" hidden="false" customHeight="false" outlineLevel="0" collapsed="false">
      <c r="A1311" s="43" t="s">
        <v>157</v>
      </c>
      <c r="B1311" s="44" t="s">
        <v>159</v>
      </c>
      <c r="C1311" s="45" t="n">
        <v>45914</v>
      </c>
      <c r="D1311" s="46" t="n">
        <v>20250914</v>
      </c>
      <c r="E1311" s="47" t="s">
        <v>294</v>
      </c>
      <c r="F1311" s="48" t="n">
        <v>1500</v>
      </c>
      <c r="G1311" s="48" t="n">
        <v>1523</v>
      </c>
      <c r="H1311" s="48" t="n">
        <v>1425</v>
      </c>
      <c r="I1311" s="48" t="n">
        <v>1488</v>
      </c>
      <c r="J1311" s="48" t="n">
        <v>1453</v>
      </c>
      <c r="K1311" s="48" t="n">
        <v>1459</v>
      </c>
      <c r="L1311" s="48" t="n">
        <v>210112582</v>
      </c>
      <c r="M1311" s="48" t="n">
        <v>312647522016</v>
      </c>
      <c r="N1311" s="48" t="n">
        <v>7992</v>
      </c>
      <c r="O1311" s="48" t="n">
        <v>111705552</v>
      </c>
      <c r="P1311" s="48" t="n">
        <v>98681573</v>
      </c>
      <c r="Q1311" s="48" t="n">
        <v>3152</v>
      </c>
      <c r="R1311" s="48" t="n">
        <v>4215</v>
      </c>
      <c r="S1311" s="48" t="n">
        <v>98407030</v>
      </c>
      <c r="T1311" s="48" t="n">
        <v>111431009</v>
      </c>
      <c r="U1311" s="46" t="n">
        <f aca="false">IF($A1311=$A1310,$U1310+1,1)</f>
        <v>7</v>
      </c>
      <c r="V1311" s="48" t="str">
        <f aca="false">IF($U1311&gt;=MA_SHORT,AVERAGE(INDEX($I$911:$I1311,402-MA_SHORT):$I1311),"")</f>
        <v/>
      </c>
      <c r="W1311" s="48" t="str">
        <f aca="false">IF($U1311&gt;=MA_MED,AVERAGE(INDEX($I$911:$I1311,402-MA_MED):$I1311),"")</f>
        <v/>
      </c>
      <c r="X1311" s="48" t="str">
        <f aca="false">IF($U1311&gt;=MA_LONG1,AVERAGE(INDEX($I$911:$I1311,402-MA_LONG1):$I1311),"")</f>
        <v/>
      </c>
      <c r="Y1311" s="48" t="str">
        <f aca="false">IF($U1311&gt;=MA_LONG2,AVERAGE(INDEX($I$911:$I1311,402-MA_LONG2):$I1311),"")</f>
        <v/>
      </c>
      <c r="Z1311" s="48" t="str">
        <f aca="false">IF($U1311&gt;=MA_SHORT,AVERAGE(INDEX($L$1191:$L1311,122-MA_SHORT):$L1311),"")</f>
        <v/>
      </c>
      <c r="AA1311" s="48" t="n">
        <f aca="false">IF($U1311=1,$G1311-$H1311,MAX($G1311-$H1311,ABS($G1311-$I1310),ABS($H1311-$I1310)))</f>
        <v>98</v>
      </c>
      <c r="AB1311" s="48" t="str">
        <f aca="false">IF($U1311&gt;=ATR_PER,AVERAGE(INDEX($AA$1191:$AA1311,122-ATR_PER):$AA1311),"")</f>
        <v/>
      </c>
      <c r="AC1311" s="48" t="n">
        <f aca="false">$O1311-$P1311</f>
        <v>13023979</v>
      </c>
      <c r="AD1311" s="48" t="n">
        <f aca="false">$AC1311*$I1311</f>
        <v>19379680752</v>
      </c>
      <c r="AE1311" s="49" t="n">
        <f aca="false">IF($Q1311&gt;0,$O1311*$I1311/$Q1311/1000000,"")</f>
        <v>52.7340930761421</v>
      </c>
      <c r="AF1311" s="49" t="n">
        <f aca="false">IF($R1311&gt;0,$P1311*$I1311/$R1311/1000000,"")</f>
        <v>34.8370535288256</v>
      </c>
      <c r="AG1311" s="50" t="n">
        <f aca="false">IF(AND(ISNUMBER($AE1311),ISNUMBER($AF1311),$AF1311&gt;0),$AE1311/$AF1311,"")</f>
        <v>1.5137357421031</v>
      </c>
      <c r="AH1311" s="48" t="n">
        <f aca="false">IF($U1311&gt;=5,SUM(INDEX($AD$1281:$AD1311,32-5):$AD1311),"")</f>
        <v>43656768031</v>
      </c>
      <c r="AI1311" s="48" t="str">
        <f aca="false">IF($U1311&gt;=STRUCT_S,MAX(INDEX($G$1161:$G1311,152-STRUCT_S):$G1311),"")</f>
        <v/>
      </c>
      <c r="AJ1311" s="48" t="str">
        <f aca="false">IF($U1311&gt;=STRUCT_S,MIN(INDEX($H$1161:$H1311,152-STRUCT_S):$H1311),"")</f>
        <v/>
      </c>
      <c r="AK1311" s="48" t="str">
        <f aca="false">IF($U1311&gt;=STRUCT_L,MAX(INDEX($G$1061:$G1311,252-STRUCT_L):$G1311),"")</f>
        <v/>
      </c>
      <c r="AL1311" s="48" t="str">
        <f aca="false">IF($U1311&gt;=STRUCT_L,MIN(INDEX($H$1061:$H1311,252-STRUCT_L):$H1311),"")</f>
        <v/>
      </c>
      <c r="AM1311" s="46" t="n">
        <f aca="false">IF($A1311&lt;&gt;$A1312,1,0)</f>
        <v>0</v>
      </c>
      <c r="AN1311" s="47" t="str">
        <f aca="false">IF($AM1311=1,$A1311,"")</f>
        <v/>
      </c>
    </row>
    <row r="1312" customFormat="false" ht="15" hidden="false" customHeight="false" outlineLevel="0" collapsed="false">
      <c r="A1312" s="43" t="s">
        <v>157</v>
      </c>
      <c r="B1312" s="44" t="s">
        <v>159</v>
      </c>
      <c r="C1312" s="45" t="n">
        <v>45915</v>
      </c>
      <c r="D1312" s="46" t="n">
        <v>20250915</v>
      </c>
      <c r="E1312" s="47" t="s">
        <v>295</v>
      </c>
      <c r="F1312" s="48" t="n">
        <v>1443</v>
      </c>
      <c r="G1312" s="48" t="n">
        <v>1492</v>
      </c>
      <c r="H1312" s="48" t="n">
        <v>1432</v>
      </c>
      <c r="I1312" s="48" t="n">
        <v>1436</v>
      </c>
      <c r="J1312" s="48" t="n">
        <v>1435</v>
      </c>
      <c r="K1312" s="48" t="n">
        <v>1488</v>
      </c>
      <c r="L1312" s="48" t="n">
        <v>123829256</v>
      </c>
      <c r="M1312" s="48" t="n">
        <v>177818811616</v>
      </c>
      <c r="N1312" s="48" t="n">
        <v>2914</v>
      </c>
      <c r="O1312" s="48" t="n">
        <v>54778993</v>
      </c>
      <c r="P1312" s="48" t="n">
        <v>65090129</v>
      </c>
      <c r="Q1312" s="48" t="n">
        <v>972</v>
      </c>
      <c r="R1312" s="48" t="n">
        <v>1351</v>
      </c>
      <c r="S1312" s="48" t="n">
        <v>69050263</v>
      </c>
      <c r="T1312" s="48" t="n">
        <v>58739127</v>
      </c>
      <c r="U1312" s="46" t="n">
        <f aca="false">IF($A1312=$A1311,$U1311+1,1)</f>
        <v>8</v>
      </c>
      <c r="V1312" s="48" t="str">
        <f aca="false">IF($U1312&gt;=MA_SHORT,AVERAGE(INDEX($I$912:$I1312,402-MA_SHORT):$I1312),"")</f>
        <v/>
      </c>
      <c r="W1312" s="48" t="str">
        <f aca="false">IF($U1312&gt;=MA_MED,AVERAGE(INDEX($I$912:$I1312,402-MA_MED):$I1312),"")</f>
        <v/>
      </c>
      <c r="X1312" s="48" t="str">
        <f aca="false">IF($U1312&gt;=MA_LONG1,AVERAGE(INDEX($I$912:$I1312,402-MA_LONG1):$I1312),"")</f>
        <v/>
      </c>
      <c r="Y1312" s="48" t="str">
        <f aca="false">IF($U1312&gt;=MA_LONG2,AVERAGE(INDEX($I$912:$I1312,402-MA_LONG2):$I1312),"")</f>
        <v/>
      </c>
      <c r="Z1312" s="48" t="str">
        <f aca="false">IF($U1312&gt;=MA_SHORT,AVERAGE(INDEX($L$1192:$L1312,122-MA_SHORT):$L1312),"")</f>
        <v/>
      </c>
      <c r="AA1312" s="48" t="n">
        <f aca="false">IF($U1312=1,$G1312-$H1312,MAX($G1312-$H1312,ABS($G1312-$I1311),ABS($H1312-$I1311)))</f>
        <v>60</v>
      </c>
      <c r="AB1312" s="48" t="str">
        <f aca="false">IF($U1312&gt;=ATR_PER,AVERAGE(INDEX($AA$1192:$AA1312,122-ATR_PER):$AA1312),"")</f>
        <v/>
      </c>
      <c r="AC1312" s="48" t="n">
        <f aca="false">$O1312-$P1312</f>
        <v>-10311136</v>
      </c>
      <c r="AD1312" s="48" t="n">
        <f aca="false">$AC1312*$I1312</f>
        <v>-14806791296</v>
      </c>
      <c r="AE1312" s="49" t="n">
        <f aca="false">IF($Q1312&gt;0,$O1312*$I1312/$Q1312/1000000,"")</f>
        <v>80.9286357489712</v>
      </c>
      <c r="AF1312" s="49" t="n">
        <f aca="false">IF($R1312&gt;0,$P1312*$I1312/$R1312/1000000,"")</f>
        <v>69.1853628749075</v>
      </c>
      <c r="AG1312" s="50" t="n">
        <f aca="false">IF(AND(ISNUMBER($AE1312),ISNUMBER($AF1312),$AF1312&gt;0),$AE1312/$AF1312,"")</f>
        <v>1.16973637755281</v>
      </c>
      <c r="AH1312" s="48" t="n">
        <f aca="false">IF($U1312&gt;=5,SUM(INDEX($AD$1282:$AD1312,32-5):$AD1312),"")</f>
        <v>10984483160</v>
      </c>
      <c r="AI1312" s="48" t="str">
        <f aca="false">IF($U1312&gt;=STRUCT_S,MAX(INDEX($G$1162:$G1312,152-STRUCT_S):$G1312),"")</f>
        <v/>
      </c>
      <c r="AJ1312" s="48" t="str">
        <f aca="false">IF($U1312&gt;=STRUCT_S,MIN(INDEX($H$1162:$H1312,152-STRUCT_S):$H1312),"")</f>
        <v/>
      </c>
      <c r="AK1312" s="48" t="str">
        <f aca="false">IF($U1312&gt;=STRUCT_L,MAX(INDEX($G$1062:$G1312,252-STRUCT_L):$G1312),"")</f>
        <v/>
      </c>
      <c r="AL1312" s="48" t="str">
        <f aca="false">IF($U1312&gt;=STRUCT_L,MIN(INDEX($H$1062:$H1312,252-STRUCT_L):$H1312),"")</f>
        <v/>
      </c>
      <c r="AM1312" s="46" t="n">
        <f aca="false">IF($A1312&lt;&gt;$A1313,1,0)</f>
        <v>0</v>
      </c>
      <c r="AN1312" s="47" t="str">
        <f aca="false">IF($AM1312=1,$A1312,"")</f>
        <v/>
      </c>
    </row>
    <row r="1313" customFormat="false" ht="15" hidden="false" customHeight="false" outlineLevel="0" collapsed="false">
      <c r="A1313" s="43" t="s">
        <v>157</v>
      </c>
      <c r="B1313" s="44" t="s">
        <v>159</v>
      </c>
      <c r="C1313" s="45" t="n">
        <v>45916</v>
      </c>
      <c r="D1313" s="46" t="n">
        <v>20250916</v>
      </c>
      <c r="E1313" s="47" t="s">
        <v>296</v>
      </c>
      <c r="F1313" s="48" t="n">
        <v>1447</v>
      </c>
      <c r="G1313" s="48" t="n">
        <v>1455</v>
      </c>
      <c r="H1313" s="48" t="n">
        <v>1404</v>
      </c>
      <c r="I1313" s="48" t="n">
        <v>1423</v>
      </c>
      <c r="J1313" s="48" t="n">
        <v>1412</v>
      </c>
      <c r="K1313" s="48" t="n">
        <v>1436</v>
      </c>
      <c r="L1313" s="48" t="n">
        <v>71546823</v>
      </c>
      <c r="M1313" s="48" t="n">
        <v>101811129129</v>
      </c>
      <c r="N1313" s="48" t="n">
        <v>1656</v>
      </c>
      <c r="O1313" s="48" t="n">
        <v>34552224</v>
      </c>
      <c r="P1313" s="48" t="n">
        <v>34189431</v>
      </c>
      <c r="Q1313" s="48" t="n">
        <v>901</v>
      </c>
      <c r="R1313" s="48" t="n">
        <v>577</v>
      </c>
      <c r="S1313" s="48" t="n">
        <v>36994599</v>
      </c>
      <c r="T1313" s="48" t="n">
        <v>37357392</v>
      </c>
      <c r="U1313" s="46" t="n">
        <f aca="false">IF($A1313=$A1312,$U1312+1,1)</f>
        <v>9</v>
      </c>
      <c r="V1313" s="48" t="str">
        <f aca="false">IF($U1313&gt;=MA_SHORT,AVERAGE(INDEX($I$913:$I1313,402-MA_SHORT):$I1313),"")</f>
        <v/>
      </c>
      <c r="W1313" s="48" t="str">
        <f aca="false">IF($U1313&gt;=MA_MED,AVERAGE(INDEX($I$913:$I1313,402-MA_MED):$I1313),"")</f>
        <v/>
      </c>
      <c r="X1313" s="48" t="str">
        <f aca="false">IF($U1313&gt;=MA_LONG1,AVERAGE(INDEX($I$913:$I1313,402-MA_LONG1):$I1313),"")</f>
        <v/>
      </c>
      <c r="Y1313" s="48" t="str">
        <f aca="false">IF($U1313&gt;=MA_LONG2,AVERAGE(INDEX($I$913:$I1313,402-MA_LONG2):$I1313),"")</f>
        <v/>
      </c>
      <c r="Z1313" s="48" t="str">
        <f aca="false">IF($U1313&gt;=MA_SHORT,AVERAGE(INDEX($L$1193:$L1313,122-MA_SHORT):$L1313),"")</f>
        <v/>
      </c>
      <c r="AA1313" s="48" t="n">
        <f aca="false">IF($U1313=1,$G1313-$H1313,MAX($G1313-$H1313,ABS($G1313-$I1312),ABS($H1313-$I1312)))</f>
        <v>51</v>
      </c>
      <c r="AB1313" s="48" t="str">
        <f aca="false">IF($U1313&gt;=ATR_PER,AVERAGE(INDEX($AA$1193:$AA1313,122-ATR_PER):$AA1313),"")</f>
        <v/>
      </c>
      <c r="AC1313" s="48" t="n">
        <f aca="false">$O1313-$P1313</f>
        <v>362793</v>
      </c>
      <c r="AD1313" s="48" t="n">
        <f aca="false">$AC1313*$I1313</f>
        <v>516254439</v>
      </c>
      <c r="AE1313" s="49" t="n">
        <f aca="false">IF($Q1313&gt;0,$O1313*$I1313/$Q1313/1000000,"")</f>
        <v>54.5702716448391</v>
      </c>
      <c r="AF1313" s="49" t="n">
        <f aca="false">IF($R1313&gt;0,$P1313*$I1313/$R1313/1000000,"")</f>
        <v>84.3181287920277</v>
      </c>
      <c r="AG1313" s="50" t="n">
        <f aca="false">IF(AND(ISNUMBER($AE1313),ISNUMBER($AF1313),$AF1313&gt;0),$AE1313/$AF1313,"")</f>
        <v>0.647195003335969</v>
      </c>
      <c r="AH1313" s="48" t="n">
        <f aca="false">IF($U1313&gt;=5,SUM(INDEX($AD$1283:$AD1313,32-5):$AD1313),"")</f>
        <v>528259163</v>
      </c>
      <c r="AI1313" s="48" t="str">
        <f aca="false">IF($U1313&gt;=STRUCT_S,MAX(INDEX($G$1163:$G1313,152-STRUCT_S):$G1313),"")</f>
        <v/>
      </c>
      <c r="AJ1313" s="48" t="str">
        <f aca="false">IF($U1313&gt;=STRUCT_S,MIN(INDEX($H$1163:$H1313,152-STRUCT_S):$H1313),"")</f>
        <v/>
      </c>
      <c r="AK1313" s="48" t="str">
        <f aca="false">IF($U1313&gt;=STRUCT_L,MAX(INDEX($G$1063:$G1313,252-STRUCT_L):$G1313),"")</f>
        <v/>
      </c>
      <c r="AL1313" s="48" t="str">
        <f aca="false">IF($U1313&gt;=STRUCT_L,MIN(INDEX($H$1063:$H1313,252-STRUCT_L):$H1313),"")</f>
        <v/>
      </c>
      <c r="AM1313" s="46" t="n">
        <f aca="false">IF($A1313&lt;&gt;$A1314,1,0)</f>
        <v>0</v>
      </c>
      <c r="AN1313" s="47" t="str">
        <f aca="false">IF($AM1313=1,$A1313,"")</f>
        <v/>
      </c>
    </row>
    <row r="1314" customFormat="false" ht="15" hidden="false" customHeight="false" outlineLevel="0" collapsed="false">
      <c r="A1314" s="43" t="s">
        <v>157</v>
      </c>
      <c r="B1314" s="44" t="s">
        <v>159</v>
      </c>
      <c r="C1314" s="45" t="n">
        <v>45917</v>
      </c>
      <c r="D1314" s="46" t="n">
        <v>20250917</v>
      </c>
      <c r="E1314" s="47" t="s">
        <v>297</v>
      </c>
      <c r="F1314" s="48" t="n">
        <v>1368</v>
      </c>
      <c r="G1314" s="48" t="n">
        <v>1444</v>
      </c>
      <c r="H1314" s="48" t="n">
        <v>1350</v>
      </c>
      <c r="I1314" s="48" t="n">
        <v>1371</v>
      </c>
      <c r="J1314" s="48" t="n">
        <v>1409</v>
      </c>
      <c r="K1314" s="48" t="n">
        <v>1423</v>
      </c>
      <c r="L1314" s="48" t="n">
        <v>82739615</v>
      </c>
      <c r="M1314" s="48" t="n">
        <v>113436012165</v>
      </c>
      <c r="N1314" s="48" t="n">
        <v>2358</v>
      </c>
      <c r="O1314" s="48" t="n">
        <v>35843686</v>
      </c>
      <c r="P1314" s="48" t="n">
        <v>48238206</v>
      </c>
      <c r="Q1314" s="48" t="n">
        <v>1196</v>
      </c>
      <c r="R1314" s="48" t="n">
        <v>1050</v>
      </c>
      <c r="S1314" s="48" t="n">
        <v>46895929</v>
      </c>
      <c r="T1314" s="48" t="n">
        <v>34501409</v>
      </c>
      <c r="U1314" s="46" t="n">
        <f aca="false">IF($A1314=$A1313,$U1313+1,1)</f>
        <v>10</v>
      </c>
      <c r="V1314" s="48" t="str">
        <f aca="false">IF($U1314&gt;=MA_SHORT,AVERAGE(INDEX($I$914:$I1314,402-MA_SHORT):$I1314),"")</f>
        <v/>
      </c>
      <c r="W1314" s="48" t="str">
        <f aca="false">IF($U1314&gt;=MA_MED,AVERAGE(INDEX($I$914:$I1314,402-MA_MED):$I1314),"")</f>
        <v/>
      </c>
      <c r="X1314" s="48" t="str">
        <f aca="false">IF($U1314&gt;=MA_LONG1,AVERAGE(INDEX($I$914:$I1314,402-MA_LONG1):$I1314),"")</f>
        <v/>
      </c>
      <c r="Y1314" s="48" t="str">
        <f aca="false">IF($U1314&gt;=MA_LONG2,AVERAGE(INDEX($I$914:$I1314,402-MA_LONG2):$I1314),"")</f>
        <v/>
      </c>
      <c r="Z1314" s="48" t="str">
        <f aca="false">IF($U1314&gt;=MA_SHORT,AVERAGE(INDEX($L$1194:$L1314,122-MA_SHORT):$L1314),"")</f>
        <v/>
      </c>
      <c r="AA1314" s="48" t="n">
        <f aca="false">IF($U1314=1,$G1314-$H1314,MAX($G1314-$H1314,ABS($G1314-$I1313),ABS($H1314-$I1313)))</f>
        <v>94</v>
      </c>
      <c r="AB1314" s="48" t="str">
        <f aca="false">IF($U1314&gt;=ATR_PER,AVERAGE(INDEX($AA$1194:$AA1314,122-ATR_PER):$AA1314),"")</f>
        <v/>
      </c>
      <c r="AC1314" s="48" t="n">
        <f aca="false">$O1314-$P1314</f>
        <v>-12394520</v>
      </c>
      <c r="AD1314" s="48" t="n">
        <f aca="false">$AC1314*$I1314</f>
        <v>-16992886920</v>
      </c>
      <c r="AE1314" s="49" t="n">
        <f aca="false">IF($Q1314&gt;0,$O1314*$I1314/$Q1314/1000000,"")</f>
        <v>41.0883724966555</v>
      </c>
      <c r="AF1314" s="49" t="n">
        <f aca="false">IF($R1314&gt;0,$P1314*$I1314/$R1314/1000000,"")</f>
        <v>62.9853146914286</v>
      </c>
      <c r="AG1314" s="50" t="n">
        <f aca="false">IF(AND(ISNUMBER($AE1314),ISNUMBER($AF1314),$AF1314&gt;0),$AE1314/$AF1314,"")</f>
        <v>0.652348451348566</v>
      </c>
      <c r="AH1314" s="48" t="n">
        <f aca="false">IF($U1314&gt;=5,SUM(INDEX($AD$1284:$AD1314,32-5):$AD1314),"")</f>
        <v>-31120733921</v>
      </c>
      <c r="AI1314" s="48" t="str">
        <f aca="false">IF($U1314&gt;=STRUCT_S,MAX(INDEX($G$1164:$G1314,152-STRUCT_S):$G1314),"")</f>
        <v/>
      </c>
      <c r="AJ1314" s="48" t="str">
        <f aca="false">IF($U1314&gt;=STRUCT_S,MIN(INDEX($H$1164:$H1314,152-STRUCT_S):$H1314),"")</f>
        <v/>
      </c>
      <c r="AK1314" s="48" t="str">
        <f aca="false">IF($U1314&gt;=STRUCT_L,MAX(INDEX($G$1064:$G1314,252-STRUCT_L):$G1314),"")</f>
        <v/>
      </c>
      <c r="AL1314" s="48" t="str">
        <f aca="false">IF($U1314&gt;=STRUCT_L,MIN(INDEX($H$1064:$H1314,252-STRUCT_L):$H1314),"")</f>
        <v/>
      </c>
      <c r="AM1314" s="46" t="n">
        <f aca="false">IF($A1314&lt;&gt;$A1315,1,0)</f>
        <v>0</v>
      </c>
      <c r="AN1314" s="47" t="str">
        <f aca="false">IF($AM1314=1,$A1314,"")</f>
        <v/>
      </c>
    </row>
    <row r="1315" customFormat="false" ht="15" hidden="false" customHeight="false" outlineLevel="0" collapsed="false">
      <c r="A1315" s="43" t="s">
        <v>157</v>
      </c>
      <c r="B1315" s="44" t="s">
        <v>159</v>
      </c>
      <c r="C1315" s="45" t="n">
        <v>45920</v>
      </c>
      <c r="D1315" s="46" t="n">
        <v>20250920</v>
      </c>
      <c r="E1315" s="47" t="s">
        <v>298</v>
      </c>
      <c r="F1315" s="48" t="n">
        <v>1377</v>
      </c>
      <c r="G1315" s="48" t="n">
        <v>1385</v>
      </c>
      <c r="H1315" s="48" t="n">
        <v>1363</v>
      </c>
      <c r="I1315" s="48" t="n">
        <v>1377</v>
      </c>
      <c r="J1315" s="48" t="n">
        <v>1368</v>
      </c>
      <c r="K1315" s="48" t="n">
        <v>1371</v>
      </c>
      <c r="L1315" s="48" t="n">
        <v>92572397</v>
      </c>
      <c r="M1315" s="48" t="n">
        <v>127472190669</v>
      </c>
      <c r="N1315" s="48" t="n">
        <v>2986</v>
      </c>
      <c r="O1315" s="48" t="n">
        <v>41506540</v>
      </c>
      <c r="P1315" s="48" t="n">
        <v>57788167</v>
      </c>
      <c r="Q1315" s="48" t="n">
        <v>910</v>
      </c>
      <c r="R1315" s="48" t="n">
        <v>1078</v>
      </c>
      <c r="S1315" s="48" t="n">
        <v>51065857</v>
      </c>
      <c r="T1315" s="48" t="n">
        <v>34784230</v>
      </c>
      <c r="U1315" s="46" t="n">
        <f aca="false">IF($A1315=$A1314,$U1314+1,1)</f>
        <v>11</v>
      </c>
      <c r="V1315" s="48" t="str">
        <f aca="false">IF($U1315&gt;=MA_SHORT,AVERAGE(INDEX($I$915:$I1315,402-MA_SHORT):$I1315),"")</f>
        <v/>
      </c>
      <c r="W1315" s="48" t="str">
        <f aca="false">IF($U1315&gt;=MA_MED,AVERAGE(INDEX($I$915:$I1315,402-MA_MED):$I1315),"")</f>
        <v/>
      </c>
      <c r="X1315" s="48" t="str">
        <f aca="false">IF($U1315&gt;=MA_LONG1,AVERAGE(INDEX($I$915:$I1315,402-MA_LONG1):$I1315),"")</f>
        <v/>
      </c>
      <c r="Y1315" s="48" t="str">
        <f aca="false">IF($U1315&gt;=MA_LONG2,AVERAGE(INDEX($I$915:$I1315,402-MA_LONG2):$I1315),"")</f>
        <v/>
      </c>
      <c r="Z1315" s="48" t="str">
        <f aca="false">IF($U1315&gt;=MA_SHORT,AVERAGE(INDEX($L$1195:$L1315,122-MA_SHORT):$L1315),"")</f>
        <v/>
      </c>
      <c r="AA1315" s="48" t="n">
        <f aca="false">IF($U1315=1,$G1315-$H1315,MAX($G1315-$H1315,ABS($G1315-$I1314),ABS($H1315-$I1314)))</f>
        <v>22</v>
      </c>
      <c r="AB1315" s="48" t="str">
        <f aca="false">IF($U1315&gt;=ATR_PER,AVERAGE(INDEX($AA$1195:$AA1315,122-ATR_PER):$AA1315),"")</f>
        <v/>
      </c>
      <c r="AC1315" s="48" t="n">
        <f aca="false">$O1315-$P1315</f>
        <v>-16281627</v>
      </c>
      <c r="AD1315" s="48" t="n">
        <f aca="false">$AC1315*$I1315</f>
        <v>-22419800379</v>
      </c>
      <c r="AE1315" s="49" t="n">
        <f aca="false">IF($Q1315&gt;0,$O1315*$I1315/$Q1315/1000000,"")</f>
        <v>62.807148989011</v>
      </c>
      <c r="AF1315" s="49" t="n">
        <f aca="false">IF($R1315&gt;0,$P1315*$I1315/$R1315/1000000,"")</f>
        <v>73.816610351577</v>
      </c>
      <c r="AG1315" s="50" t="n">
        <f aca="false">IF(AND(ISNUMBER($AE1315),ISNUMBER($AF1315),$AF1315&gt;0),$AE1315/$AF1315,"")</f>
        <v>0.850853875433596</v>
      </c>
      <c r="AH1315" s="48" t="n">
        <f aca="false">IF($U1315&gt;=5,SUM(INDEX($AD$1285:$AD1315,32-5):$AD1315),"")</f>
        <v>-34323543404</v>
      </c>
      <c r="AI1315" s="48" t="str">
        <f aca="false">IF($U1315&gt;=STRUCT_S,MAX(INDEX($G$1165:$G1315,152-STRUCT_S):$G1315),"")</f>
        <v/>
      </c>
      <c r="AJ1315" s="48" t="str">
        <f aca="false">IF($U1315&gt;=STRUCT_S,MIN(INDEX($H$1165:$H1315,152-STRUCT_S):$H1315),"")</f>
        <v/>
      </c>
      <c r="AK1315" s="48" t="str">
        <f aca="false">IF($U1315&gt;=STRUCT_L,MAX(INDEX($G$1065:$G1315,252-STRUCT_L):$G1315),"")</f>
        <v/>
      </c>
      <c r="AL1315" s="48" t="str">
        <f aca="false">IF($U1315&gt;=STRUCT_L,MIN(INDEX($H$1065:$H1315,252-STRUCT_L):$H1315),"")</f>
        <v/>
      </c>
      <c r="AM1315" s="46" t="n">
        <f aca="false">IF($A1315&lt;&gt;$A1316,1,0)</f>
        <v>0</v>
      </c>
      <c r="AN1315" s="47" t="str">
        <f aca="false">IF($AM1315=1,$A1315,"")</f>
        <v/>
      </c>
    </row>
    <row r="1316" customFormat="false" ht="15" hidden="false" customHeight="false" outlineLevel="0" collapsed="false">
      <c r="A1316" s="43" t="s">
        <v>157</v>
      </c>
      <c r="B1316" s="44" t="s">
        <v>159</v>
      </c>
      <c r="C1316" s="45" t="n">
        <v>45921</v>
      </c>
      <c r="D1316" s="46" t="n">
        <v>20250921</v>
      </c>
      <c r="E1316" s="47" t="s">
        <v>299</v>
      </c>
      <c r="F1316" s="48" t="n">
        <v>1382</v>
      </c>
      <c r="G1316" s="48" t="n">
        <v>1400</v>
      </c>
      <c r="H1316" s="48" t="n">
        <v>1370</v>
      </c>
      <c r="I1316" s="48" t="n">
        <v>1393</v>
      </c>
      <c r="J1316" s="48" t="n">
        <v>1376</v>
      </c>
      <c r="K1316" s="48" t="n">
        <v>1377</v>
      </c>
      <c r="L1316" s="48" t="n">
        <v>103523595</v>
      </c>
      <c r="M1316" s="48" t="n">
        <v>144208367835</v>
      </c>
      <c r="N1316" s="48" t="n">
        <v>2595</v>
      </c>
      <c r="O1316" s="48" t="n">
        <v>65376442</v>
      </c>
      <c r="P1316" s="48" t="n">
        <v>33899311</v>
      </c>
      <c r="Q1316" s="48" t="n">
        <v>1364</v>
      </c>
      <c r="R1316" s="48" t="n">
        <v>1436</v>
      </c>
      <c r="S1316" s="48" t="n">
        <v>38147153</v>
      </c>
      <c r="T1316" s="48" t="n">
        <v>69624284</v>
      </c>
      <c r="U1316" s="46" t="n">
        <f aca="false">IF($A1316=$A1315,$U1315+1,1)</f>
        <v>12</v>
      </c>
      <c r="V1316" s="48" t="str">
        <f aca="false">IF($U1316&gt;=MA_SHORT,AVERAGE(INDEX($I$916:$I1316,402-MA_SHORT):$I1316),"")</f>
        <v/>
      </c>
      <c r="W1316" s="48" t="str">
        <f aca="false">IF($U1316&gt;=MA_MED,AVERAGE(INDEX($I$916:$I1316,402-MA_MED):$I1316),"")</f>
        <v/>
      </c>
      <c r="X1316" s="48" t="str">
        <f aca="false">IF($U1316&gt;=MA_LONG1,AVERAGE(INDEX($I$916:$I1316,402-MA_LONG1):$I1316),"")</f>
        <v/>
      </c>
      <c r="Y1316" s="48" t="str">
        <f aca="false">IF($U1316&gt;=MA_LONG2,AVERAGE(INDEX($I$916:$I1316,402-MA_LONG2):$I1316),"")</f>
        <v/>
      </c>
      <c r="Z1316" s="48" t="str">
        <f aca="false">IF($U1316&gt;=MA_SHORT,AVERAGE(INDEX($L$1196:$L1316,122-MA_SHORT):$L1316),"")</f>
        <v/>
      </c>
      <c r="AA1316" s="48" t="n">
        <f aca="false">IF($U1316=1,$G1316-$H1316,MAX($G1316-$H1316,ABS($G1316-$I1315),ABS($H1316-$I1315)))</f>
        <v>30</v>
      </c>
      <c r="AB1316" s="48" t="str">
        <f aca="false">IF($U1316&gt;=ATR_PER,AVERAGE(INDEX($AA$1196:$AA1316,122-ATR_PER):$AA1316),"")</f>
        <v/>
      </c>
      <c r="AC1316" s="48" t="n">
        <f aca="false">$O1316-$P1316</f>
        <v>31477131</v>
      </c>
      <c r="AD1316" s="48" t="n">
        <f aca="false">$AC1316*$I1316</f>
        <v>43847643483</v>
      </c>
      <c r="AE1316" s="49" t="n">
        <f aca="false">IF($Q1316&gt;0,$O1316*$I1316/$Q1316/1000000,"")</f>
        <v>66.7664103416422</v>
      </c>
      <c r="AF1316" s="49" t="n">
        <f aca="false">IF($R1316&gt;0,$P1316*$I1316/$R1316/1000000,"")</f>
        <v>32.8842202110028</v>
      </c>
      <c r="AG1316" s="50" t="n">
        <f aca="false">IF(AND(ISNUMBER($AE1316),ISNUMBER($AF1316),$AF1316&gt;0),$AE1316/$AF1316,"")</f>
        <v>2.03034798797822</v>
      </c>
      <c r="AH1316" s="48" t="n">
        <f aca="false">IF($U1316&gt;=5,SUM(INDEX($AD$1286:$AD1316,32-5):$AD1316),"")</f>
        <v>-9855580673</v>
      </c>
      <c r="AI1316" s="48" t="str">
        <f aca="false">IF($U1316&gt;=STRUCT_S,MAX(INDEX($G$1166:$G1316,152-STRUCT_S):$G1316),"")</f>
        <v/>
      </c>
      <c r="AJ1316" s="48" t="str">
        <f aca="false">IF($U1316&gt;=STRUCT_S,MIN(INDEX($H$1166:$H1316,152-STRUCT_S):$H1316),"")</f>
        <v/>
      </c>
      <c r="AK1316" s="48" t="str">
        <f aca="false">IF($U1316&gt;=STRUCT_L,MAX(INDEX($G$1066:$G1316,252-STRUCT_L):$G1316),"")</f>
        <v/>
      </c>
      <c r="AL1316" s="48" t="str">
        <f aca="false">IF($U1316&gt;=STRUCT_L,MIN(INDEX($H$1066:$H1316,252-STRUCT_L):$H1316),"")</f>
        <v/>
      </c>
      <c r="AM1316" s="46" t="n">
        <f aca="false">IF($A1316&lt;&gt;$A1317,1,0)</f>
        <v>0</v>
      </c>
      <c r="AN1316" s="47" t="str">
        <f aca="false">IF($AM1316=1,$A1316,"")</f>
        <v/>
      </c>
    </row>
    <row r="1317" customFormat="false" ht="15" hidden="false" customHeight="false" outlineLevel="0" collapsed="false">
      <c r="A1317" s="43" t="s">
        <v>157</v>
      </c>
      <c r="B1317" s="44" t="s">
        <v>159</v>
      </c>
      <c r="C1317" s="45" t="n">
        <v>45922</v>
      </c>
      <c r="D1317" s="46" t="n">
        <v>20250922</v>
      </c>
      <c r="E1317" s="47" t="s">
        <v>300</v>
      </c>
      <c r="F1317" s="48" t="n">
        <v>1393</v>
      </c>
      <c r="G1317" s="48" t="n">
        <v>1412</v>
      </c>
      <c r="H1317" s="48" t="n">
        <v>1360</v>
      </c>
      <c r="I1317" s="48" t="n">
        <v>1379</v>
      </c>
      <c r="J1317" s="48" t="n">
        <v>1396</v>
      </c>
      <c r="K1317" s="48" t="n">
        <v>1393</v>
      </c>
      <c r="L1317" s="48" t="n">
        <v>276081173</v>
      </c>
      <c r="M1317" s="48" t="n">
        <v>380715937567</v>
      </c>
      <c r="N1317" s="48" t="n">
        <v>13391</v>
      </c>
      <c r="O1317" s="48" t="n">
        <v>126510106</v>
      </c>
      <c r="P1317" s="48" t="n">
        <v>157896621</v>
      </c>
      <c r="Q1317" s="48" t="n">
        <v>4124</v>
      </c>
      <c r="R1317" s="48" t="n">
        <v>5080</v>
      </c>
      <c r="S1317" s="48" t="n">
        <v>149571067</v>
      </c>
      <c r="T1317" s="48" t="n">
        <v>118184552</v>
      </c>
      <c r="U1317" s="46" t="n">
        <f aca="false">IF($A1317=$A1316,$U1316+1,1)</f>
        <v>13</v>
      </c>
      <c r="V1317" s="48" t="str">
        <f aca="false">IF($U1317&gt;=MA_SHORT,AVERAGE(INDEX($I$917:$I1317,402-MA_SHORT):$I1317),"")</f>
        <v/>
      </c>
      <c r="W1317" s="48" t="str">
        <f aca="false">IF($U1317&gt;=MA_MED,AVERAGE(INDEX($I$917:$I1317,402-MA_MED):$I1317),"")</f>
        <v/>
      </c>
      <c r="X1317" s="48" t="str">
        <f aca="false">IF($U1317&gt;=MA_LONG1,AVERAGE(INDEX($I$917:$I1317,402-MA_LONG1):$I1317),"")</f>
        <v/>
      </c>
      <c r="Y1317" s="48" t="str">
        <f aca="false">IF($U1317&gt;=MA_LONG2,AVERAGE(INDEX($I$917:$I1317,402-MA_LONG2):$I1317),"")</f>
        <v/>
      </c>
      <c r="Z1317" s="48" t="str">
        <f aca="false">IF($U1317&gt;=MA_SHORT,AVERAGE(INDEX($L$1197:$L1317,122-MA_SHORT):$L1317),"")</f>
        <v/>
      </c>
      <c r="AA1317" s="48" t="n">
        <f aca="false">IF($U1317=1,$G1317-$H1317,MAX($G1317-$H1317,ABS($G1317-$I1316),ABS($H1317-$I1316)))</f>
        <v>52</v>
      </c>
      <c r="AB1317" s="48" t="str">
        <f aca="false">IF($U1317&gt;=ATR_PER,AVERAGE(INDEX($AA$1197:$AA1317,122-ATR_PER):$AA1317),"")</f>
        <v/>
      </c>
      <c r="AC1317" s="48" t="n">
        <f aca="false">$O1317-$P1317</f>
        <v>-31386515</v>
      </c>
      <c r="AD1317" s="48" t="n">
        <f aca="false">$AC1317*$I1317</f>
        <v>-43282004185</v>
      </c>
      <c r="AE1317" s="49" t="n">
        <f aca="false">IF($Q1317&gt;0,$O1317*$I1317/$Q1317/1000000,"")</f>
        <v>42.3029670645005</v>
      </c>
      <c r="AF1317" s="49" t="n">
        <f aca="false">IF($R1317&gt;0,$P1317*$I1317/$R1317/1000000,"")</f>
        <v>42.8620945588583</v>
      </c>
      <c r="AG1317" s="50" t="n">
        <f aca="false">IF(AND(ISNUMBER($AE1317),ISNUMBER($AF1317),$AF1317&gt;0),$AE1317/$AF1317,"")</f>
        <v>0.986955198990801</v>
      </c>
      <c r="AH1317" s="48" t="n">
        <f aca="false">IF($U1317&gt;=5,SUM(INDEX($AD$1287:$AD1317,32-5):$AD1317),"")</f>
        <v>-38330793562</v>
      </c>
      <c r="AI1317" s="48" t="str">
        <f aca="false">IF($U1317&gt;=STRUCT_S,MAX(INDEX($G$1167:$G1317,152-STRUCT_S):$G1317),"")</f>
        <v/>
      </c>
      <c r="AJ1317" s="48" t="str">
        <f aca="false">IF($U1317&gt;=STRUCT_S,MIN(INDEX($H$1167:$H1317,152-STRUCT_S):$H1317),"")</f>
        <v/>
      </c>
      <c r="AK1317" s="48" t="str">
        <f aca="false">IF($U1317&gt;=STRUCT_L,MAX(INDEX($G$1067:$G1317,252-STRUCT_L):$G1317),"")</f>
        <v/>
      </c>
      <c r="AL1317" s="48" t="str">
        <f aca="false">IF($U1317&gt;=STRUCT_L,MIN(INDEX($H$1067:$H1317,252-STRUCT_L):$H1317),"")</f>
        <v/>
      </c>
      <c r="AM1317" s="46" t="n">
        <f aca="false">IF($A1317&lt;&gt;$A1318,1,0)</f>
        <v>0</v>
      </c>
      <c r="AN1317" s="47" t="str">
        <f aca="false">IF($AM1317=1,$A1317,"")</f>
        <v/>
      </c>
    </row>
    <row r="1318" customFormat="false" ht="15" hidden="false" customHeight="false" outlineLevel="0" collapsed="false">
      <c r="A1318" s="43" t="s">
        <v>157</v>
      </c>
      <c r="B1318" s="44" t="s">
        <v>159</v>
      </c>
      <c r="C1318" s="45" t="n">
        <v>45923</v>
      </c>
      <c r="D1318" s="46" t="n">
        <v>20250923</v>
      </c>
      <c r="E1318" s="47" t="s">
        <v>301</v>
      </c>
      <c r="F1318" s="48" t="n">
        <v>1412</v>
      </c>
      <c r="G1318" s="48" t="n">
        <v>1425</v>
      </c>
      <c r="H1318" s="48" t="n">
        <v>1374</v>
      </c>
      <c r="I1318" s="48" t="n">
        <v>1420</v>
      </c>
      <c r="J1318" s="48" t="n">
        <v>1397</v>
      </c>
      <c r="K1318" s="48" t="n">
        <v>1379</v>
      </c>
      <c r="L1318" s="48" t="n">
        <v>79966487</v>
      </c>
      <c r="M1318" s="48" t="n">
        <v>113552411540</v>
      </c>
      <c r="N1318" s="48" t="n">
        <v>2772</v>
      </c>
      <c r="O1318" s="48" t="n">
        <v>48717553</v>
      </c>
      <c r="P1318" s="48" t="n">
        <v>33980360</v>
      </c>
      <c r="Q1318" s="48" t="n">
        <v>960</v>
      </c>
      <c r="R1318" s="48" t="n">
        <v>1066</v>
      </c>
      <c r="S1318" s="48" t="n">
        <v>31248934</v>
      </c>
      <c r="T1318" s="48" t="n">
        <v>45986127</v>
      </c>
      <c r="U1318" s="46" t="n">
        <f aca="false">IF($A1318=$A1317,$U1317+1,1)</f>
        <v>14</v>
      </c>
      <c r="V1318" s="48" t="str">
        <f aca="false">IF($U1318&gt;=MA_SHORT,AVERAGE(INDEX($I$918:$I1318,402-MA_SHORT):$I1318),"")</f>
        <v/>
      </c>
      <c r="W1318" s="48" t="str">
        <f aca="false">IF($U1318&gt;=MA_MED,AVERAGE(INDEX($I$918:$I1318,402-MA_MED):$I1318),"")</f>
        <v/>
      </c>
      <c r="X1318" s="48" t="str">
        <f aca="false">IF($U1318&gt;=MA_LONG1,AVERAGE(INDEX($I$918:$I1318,402-MA_LONG1):$I1318),"")</f>
        <v/>
      </c>
      <c r="Y1318" s="48" t="str">
        <f aca="false">IF($U1318&gt;=MA_LONG2,AVERAGE(INDEX($I$918:$I1318,402-MA_LONG2):$I1318),"")</f>
        <v/>
      </c>
      <c r="Z1318" s="48" t="str">
        <f aca="false">IF($U1318&gt;=MA_SHORT,AVERAGE(INDEX($L$1198:$L1318,122-MA_SHORT):$L1318),"")</f>
        <v/>
      </c>
      <c r="AA1318" s="48" t="n">
        <f aca="false">IF($U1318=1,$G1318-$H1318,MAX($G1318-$H1318,ABS($G1318-$I1317),ABS($H1318-$I1317)))</f>
        <v>51</v>
      </c>
      <c r="AB1318" s="48" t="n">
        <f aca="false">IF($U1318&gt;=ATR_PER,AVERAGE(INDEX($AA$1198:$AA1318,122-ATR_PER):$AA1318),"")</f>
        <v>54.3571428571429</v>
      </c>
      <c r="AC1318" s="48" t="n">
        <f aca="false">$O1318-$P1318</f>
        <v>14737193</v>
      </c>
      <c r="AD1318" s="48" t="n">
        <f aca="false">$AC1318*$I1318</f>
        <v>20926814060</v>
      </c>
      <c r="AE1318" s="49" t="n">
        <f aca="false">IF($Q1318&gt;0,$O1318*$I1318/$Q1318/1000000,"")</f>
        <v>72.0613804791667</v>
      </c>
      <c r="AF1318" s="49" t="n">
        <f aca="false">IF($R1318&gt;0,$P1318*$I1318/$R1318/1000000,"")</f>
        <v>45.2646446529081</v>
      </c>
      <c r="AG1318" s="50" t="n">
        <f aca="false">IF(AND(ISNUMBER($AE1318),ISNUMBER($AF1318),$AF1318&gt;0),$AE1318/$AF1318,"")</f>
        <v>1.59200146232755</v>
      </c>
      <c r="AH1318" s="48" t="n">
        <f aca="false">IF($U1318&gt;=5,SUM(INDEX($AD$1288:$AD1318,32-5):$AD1318),"")</f>
        <v>-17920233941</v>
      </c>
      <c r="AI1318" s="48" t="str">
        <f aca="false">IF($U1318&gt;=STRUCT_S,MAX(INDEX($G$1168:$G1318,152-STRUCT_S):$G1318),"")</f>
        <v/>
      </c>
      <c r="AJ1318" s="48" t="str">
        <f aca="false">IF($U1318&gt;=STRUCT_S,MIN(INDEX($H$1168:$H1318,152-STRUCT_S):$H1318),"")</f>
        <v/>
      </c>
      <c r="AK1318" s="48" t="str">
        <f aca="false">IF($U1318&gt;=STRUCT_L,MAX(INDEX($G$1068:$G1318,252-STRUCT_L):$G1318),"")</f>
        <v/>
      </c>
      <c r="AL1318" s="48" t="str">
        <f aca="false">IF($U1318&gt;=STRUCT_L,MIN(INDEX($H$1068:$H1318,252-STRUCT_L):$H1318),"")</f>
        <v/>
      </c>
      <c r="AM1318" s="46" t="n">
        <f aca="false">IF($A1318&lt;&gt;$A1319,1,0)</f>
        <v>0</v>
      </c>
      <c r="AN1318" s="47" t="str">
        <f aca="false">IF($AM1318=1,$A1318,"")</f>
        <v/>
      </c>
    </row>
    <row r="1319" customFormat="false" ht="15" hidden="false" customHeight="false" outlineLevel="0" collapsed="false">
      <c r="A1319" s="43" t="s">
        <v>157</v>
      </c>
      <c r="B1319" s="44" t="s">
        <v>159</v>
      </c>
      <c r="C1319" s="45" t="n">
        <v>45924</v>
      </c>
      <c r="D1319" s="46" t="n">
        <v>20250924</v>
      </c>
      <c r="E1319" s="47" t="s">
        <v>302</v>
      </c>
      <c r="F1319" s="48" t="n">
        <v>1440</v>
      </c>
      <c r="G1319" s="48" t="n">
        <v>1452</v>
      </c>
      <c r="H1319" s="48" t="n">
        <v>1407</v>
      </c>
      <c r="I1319" s="48" t="n">
        <v>1438</v>
      </c>
      <c r="J1319" s="48" t="n">
        <v>1442</v>
      </c>
      <c r="K1319" s="48" t="n">
        <v>1420</v>
      </c>
      <c r="L1319" s="48" t="n">
        <v>90137871</v>
      </c>
      <c r="M1319" s="48" t="n">
        <v>129618258498</v>
      </c>
      <c r="N1319" s="48" t="n">
        <v>7374</v>
      </c>
      <c r="O1319" s="48" t="n">
        <v>54318323</v>
      </c>
      <c r="P1319" s="48" t="n">
        <v>34414711</v>
      </c>
      <c r="Q1319" s="48" t="n">
        <v>2562</v>
      </c>
      <c r="R1319" s="48" t="n">
        <v>2634</v>
      </c>
      <c r="S1319" s="48" t="n">
        <v>35819548</v>
      </c>
      <c r="T1319" s="48" t="n">
        <v>55723160</v>
      </c>
      <c r="U1319" s="46" t="n">
        <f aca="false">IF($A1319=$A1318,$U1318+1,1)</f>
        <v>15</v>
      </c>
      <c r="V1319" s="48" t="str">
        <f aca="false">IF($U1319&gt;=MA_SHORT,AVERAGE(INDEX($I$919:$I1319,402-MA_SHORT):$I1319),"")</f>
        <v/>
      </c>
      <c r="W1319" s="48" t="str">
        <f aca="false">IF($U1319&gt;=MA_MED,AVERAGE(INDEX($I$919:$I1319,402-MA_MED):$I1319),"")</f>
        <v/>
      </c>
      <c r="X1319" s="48" t="str">
        <f aca="false">IF($U1319&gt;=MA_LONG1,AVERAGE(INDEX($I$919:$I1319,402-MA_LONG1):$I1319),"")</f>
        <v/>
      </c>
      <c r="Y1319" s="48" t="str">
        <f aca="false">IF($U1319&gt;=MA_LONG2,AVERAGE(INDEX($I$919:$I1319,402-MA_LONG2):$I1319),"")</f>
        <v/>
      </c>
      <c r="Z1319" s="48" t="str">
        <f aca="false">IF($U1319&gt;=MA_SHORT,AVERAGE(INDEX($L$1199:$L1319,122-MA_SHORT):$L1319),"")</f>
        <v/>
      </c>
      <c r="AA1319" s="48" t="n">
        <f aca="false">IF($U1319=1,$G1319-$H1319,MAX($G1319-$H1319,ABS($G1319-$I1318),ABS($H1319-$I1318)))</f>
        <v>45</v>
      </c>
      <c r="AB1319" s="48" t="n">
        <f aca="false">IF($U1319&gt;=ATR_PER,AVERAGE(INDEX($AA$1199:$AA1319,122-ATR_PER):$AA1319),"")</f>
        <v>53.8571428571429</v>
      </c>
      <c r="AC1319" s="48" t="n">
        <f aca="false">$O1319-$P1319</f>
        <v>19903612</v>
      </c>
      <c r="AD1319" s="48" t="n">
        <f aca="false">$AC1319*$I1319</f>
        <v>28621394056</v>
      </c>
      <c r="AE1319" s="49" t="n">
        <f aca="false">IF($Q1319&gt;0,$O1319*$I1319/$Q1319/1000000,"")</f>
        <v>30.48780190242</v>
      </c>
      <c r="AF1319" s="49" t="n">
        <f aca="false">IF($R1319&gt;0,$P1319*$I1319/$R1319/1000000,"")</f>
        <v>18.7882894525437</v>
      </c>
      <c r="AG1319" s="50" t="n">
        <f aca="false">IF(AND(ISNUMBER($AE1319),ISNUMBER($AF1319),$AF1319&gt;0),$AE1319/$AF1319,"")</f>
        <v>1.62270237423303</v>
      </c>
      <c r="AH1319" s="48" t="n">
        <f aca="false">IF($U1319&gt;=5,SUM(INDEX($AD$1289:$AD1319,32-5):$AD1319),"")</f>
        <v>27694047035</v>
      </c>
      <c r="AI1319" s="48" t="str">
        <f aca="false">IF($U1319&gt;=STRUCT_S,MAX(INDEX($G$1169:$G1319,152-STRUCT_S):$G1319),"")</f>
        <v/>
      </c>
      <c r="AJ1319" s="48" t="str">
        <f aca="false">IF($U1319&gt;=STRUCT_S,MIN(INDEX($H$1169:$H1319,152-STRUCT_S):$H1319),"")</f>
        <v/>
      </c>
      <c r="AK1319" s="48" t="str">
        <f aca="false">IF($U1319&gt;=STRUCT_L,MAX(INDEX($G$1069:$G1319,252-STRUCT_L):$G1319),"")</f>
        <v/>
      </c>
      <c r="AL1319" s="48" t="str">
        <f aca="false">IF($U1319&gt;=STRUCT_L,MIN(INDEX($H$1069:$H1319,252-STRUCT_L):$H1319),"")</f>
        <v/>
      </c>
      <c r="AM1319" s="46" t="n">
        <f aca="false">IF($A1319&lt;&gt;$A1320,1,0)</f>
        <v>0</v>
      </c>
      <c r="AN1319" s="47" t="str">
        <f aca="false">IF($AM1319=1,$A1319,"")</f>
        <v/>
      </c>
    </row>
    <row r="1320" customFormat="false" ht="15" hidden="false" customHeight="false" outlineLevel="0" collapsed="false">
      <c r="A1320" s="43" t="s">
        <v>157</v>
      </c>
      <c r="B1320" s="44" t="s">
        <v>159</v>
      </c>
      <c r="C1320" s="45" t="n">
        <v>45927</v>
      </c>
      <c r="D1320" s="46" t="n">
        <v>20250927</v>
      </c>
      <c r="E1320" s="47" t="s">
        <v>303</v>
      </c>
      <c r="F1320" s="48" t="n">
        <v>1419</v>
      </c>
      <c r="G1320" s="48" t="n">
        <v>1474</v>
      </c>
      <c r="H1320" s="48" t="n">
        <v>1367</v>
      </c>
      <c r="I1320" s="48" t="n">
        <v>1403</v>
      </c>
      <c r="J1320" s="48" t="n">
        <v>1466</v>
      </c>
      <c r="K1320" s="48" t="n">
        <v>1438</v>
      </c>
      <c r="L1320" s="48" t="n">
        <v>104247272</v>
      </c>
      <c r="M1320" s="48" t="n">
        <v>146258922616</v>
      </c>
      <c r="N1320" s="48" t="n">
        <v>3607</v>
      </c>
      <c r="O1320" s="48" t="n">
        <v>45131148</v>
      </c>
      <c r="P1320" s="48" t="n">
        <v>61519917</v>
      </c>
      <c r="Q1320" s="48" t="n">
        <v>1187</v>
      </c>
      <c r="R1320" s="48" t="n">
        <v>1147</v>
      </c>
      <c r="S1320" s="48" t="n">
        <v>59116124</v>
      </c>
      <c r="T1320" s="48" t="n">
        <v>42727355</v>
      </c>
      <c r="U1320" s="46" t="n">
        <f aca="false">IF($A1320=$A1319,$U1319+1,1)</f>
        <v>16</v>
      </c>
      <c r="V1320" s="48" t="str">
        <f aca="false">IF($U1320&gt;=MA_SHORT,AVERAGE(INDEX($I$920:$I1320,402-MA_SHORT):$I1320),"")</f>
        <v/>
      </c>
      <c r="W1320" s="48" t="str">
        <f aca="false">IF($U1320&gt;=MA_MED,AVERAGE(INDEX($I$920:$I1320,402-MA_MED):$I1320),"")</f>
        <v/>
      </c>
      <c r="X1320" s="48" t="str">
        <f aca="false">IF($U1320&gt;=MA_LONG1,AVERAGE(INDEX($I$920:$I1320,402-MA_LONG1):$I1320),"")</f>
        <v/>
      </c>
      <c r="Y1320" s="48" t="str">
        <f aca="false">IF($U1320&gt;=MA_LONG2,AVERAGE(INDEX($I$920:$I1320,402-MA_LONG2):$I1320),"")</f>
        <v/>
      </c>
      <c r="Z1320" s="48" t="str">
        <f aca="false">IF($U1320&gt;=MA_SHORT,AVERAGE(INDEX($L$1200:$L1320,122-MA_SHORT):$L1320),"")</f>
        <v/>
      </c>
      <c r="AA1320" s="48" t="n">
        <f aca="false">IF($U1320=1,$G1320-$H1320,MAX($G1320-$H1320,ABS($G1320-$I1319),ABS($H1320-$I1319)))</f>
        <v>107</v>
      </c>
      <c r="AB1320" s="48" t="n">
        <f aca="false">IF($U1320&gt;=ATR_PER,AVERAGE(INDEX($AA$1200:$AA1320,122-ATR_PER):$AA1320),"")</f>
        <v>56</v>
      </c>
      <c r="AC1320" s="48" t="n">
        <f aca="false">$O1320-$P1320</f>
        <v>-16388769</v>
      </c>
      <c r="AD1320" s="48" t="n">
        <f aca="false">$AC1320*$I1320</f>
        <v>-22993442907</v>
      </c>
      <c r="AE1320" s="49" t="n">
        <f aca="false">IF($Q1320&gt;0,$O1320*$I1320/$Q1320/1000000,"")</f>
        <v>53.3437242156698</v>
      </c>
      <c r="AF1320" s="49" t="n">
        <f aca="false">IF($R1320&gt;0,$P1320*$I1320/$R1320/1000000,"")</f>
        <v>75.2506046652136</v>
      </c>
      <c r="AG1320" s="50" t="n">
        <f aca="false">IF(AND(ISNUMBER($AE1320),ISNUMBER($AF1320),$AF1320&gt;0),$AE1320/$AF1320,"")</f>
        <v>0.708881004385194</v>
      </c>
      <c r="AH1320" s="48" t="n">
        <f aca="false">IF($U1320&gt;=5,SUM(INDEX($AD$1290:$AD1320,32-5):$AD1320),"")</f>
        <v>27120404507</v>
      </c>
      <c r="AI1320" s="48" t="str">
        <f aca="false">IF($U1320&gt;=STRUCT_S,MAX(INDEX($G$1170:$G1320,152-STRUCT_S):$G1320),"")</f>
        <v/>
      </c>
      <c r="AJ1320" s="48" t="str">
        <f aca="false">IF($U1320&gt;=STRUCT_S,MIN(INDEX($H$1170:$H1320,152-STRUCT_S):$H1320),"")</f>
        <v/>
      </c>
      <c r="AK1320" s="48" t="str">
        <f aca="false">IF($U1320&gt;=STRUCT_L,MAX(INDEX($G$1070:$G1320,252-STRUCT_L):$G1320),"")</f>
        <v/>
      </c>
      <c r="AL1320" s="48" t="str">
        <f aca="false">IF($U1320&gt;=STRUCT_L,MIN(INDEX($H$1070:$H1320,252-STRUCT_L):$H1320),"")</f>
        <v/>
      </c>
      <c r="AM1320" s="46" t="n">
        <f aca="false">IF($A1320&lt;&gt;$A1321,1,0)</f>
        <v>0</v>
      </c>
      <c r="AN1320" s="47" t="str">
        <f aca="false">IF($AM1320=1,$A1320,"")</f>
        <v/>
      </c>
    </row>
    <row r="1321" customFormat="false" ht="15" hidden="false" customHeight="false" outlineLevel="0" collapsed="false">
      <c r="A1321" s="43" t="s">
        <v>157</v>
      </c>
      <c r="B1321" s="44" t="s">
        <v>159</v>
      </c>
      <c r="C1321" s="45" t="n">
        <v>45928</v>
      </c>
      <c r="D1321" s="46" t="n">
        <v>20250928</v>
      </c>
      <c r="E1321" s="47" t="s">
        <v>304</v>
      </c>
      <c r="F1321" s="48" t="n">
        <v>1411</v>
      </c>
      <c r="G1321" s="48" t="n">
        <v>1439</v>
      </c>
      <c r="H1321" s="48" t="n">
        <v>1380</v>
      </c>
      <c r="I1321" s="48" t="n">
        <v>1415</v>
      </c>
      <c r="J1321" s="48" t="n">
        <v>1431</v>
      </c>
      <c r="K1321" s="48" t="n">
        <v>1403</v>
      </c>
      <c r="L1321" s="48" t="n">
        <v>79553385</v>
      </c>
      <c r="M1321" s="48" t="n">
        <v>112568039775</v>
      </c>
      <c r="N1321" s="48" t="n">
        <v>3454</v>
      </c>
      <c r="O1321" s="48" t="n">
        <v>37711237</v>
      </c>
      <c r="P1321" s="48" t="n">
        <v>42506189</v>
      </c>
      <c r="Q1321" s="48" t="n">
        <v>1336</v>
      </c>
      <c r="R1321" s="48" t="n">
        <v>1200</v>
      </c>
      <c r="S1321" s="48" t="n">
        <v>41842148</v>
      </c>
      <c r="T1321" s="48" t="n">
        <v>37047196</v>
      </c>
      <c r="U1321" s="46" t="n">
        <f aca="false">IF($A1321=$A1320,$U1320+1,1)</f>
        <v>17</v>
      </c>
      <c r="V1321" s="48" t="str">
        <f aca="false">IF($U1321&gt;=MA_SHORT,AVERAGE(INDEX($I$921:$I1321,402-MA_SHORT):$I1321),"")</f>
        <v/>
      </c>
      <c r="W1321" s="48" t="str">
        <f aca="false">IF($U1321&gt;=MA_MED,AVERAGE(INDEX($I$921:$I1321,402-MA_MED):$I1321),"")</f>
        <v/>
      </c>
      <c r="X1321" s="48" t="str">
        <f aca="false">IF($U1321&gt;=MA_LONG1,AVERAGE(INDEX($I$921:$I1321,402-MA_LONG1):$I1321),"")</f>
        <v/>
      </c>
      <c r="Y1321" s="48" t="str">
        <f aca="false">IF($U1321&gt;=MA_LONG2,AVERAGE(INDEX($I$921:$I1321,402-MA_LONG2):$I1321),"")</f>
        <v/>
      </c>
      <c r="Z1321" s="48" t="str">
        <f aca="false">IF($U1321&gt;=MA_SHORT,AVERAGE(INDEX($L$1201:$L1321,122-MA_SHORT):$L1321),"")</f>
        <v/>
      </c>
      <c r="AA1321" s="48" t="n">
        <f aca="false">IF($U1321=1,$G1321-$H1321,MAX($G1321-$H1321,ABS($G1321-$I1320),ABS($H1321-$I1320)))</f>
        <v>59</v>
      </c>
      <c r="AB1321" s="48" t="n">
        <f aca="false">IF($U1321&gt;=ATR_PER,AVERAGE(INDEX($AA$1201:$AA1321,122-ATR_PER):$AA1321),"")</f>
        <v>57.7142857142857</v>
      </c>
      <c r="AC1321" s="48" t="n">
        <f aca="false">$O1321-$P1321</f>
        <v>-4794952</v>
      </c>
      <c r="AD1321" s="48" t="n">
        <f aca="false">$AC1321*$I1321</f>
        <v>-6784857080</v>
      </c>
      <c r="AE1321" s="49" t="n">
        <f aca="false">IF($Q1321&gt;0,$O1321*$I1321/$Q1321/1000000,"")</f>
        <v>39.9411679303892</v>
      </c>
      <c r="AF1321" s="49" t="n">
        <f aca="false">IF($R1321&gt;0,$P1321*$I1321/$R1321/1000000,"")</f>
        <v>50.1218811958333</v>
      </c>
      <c r="AG1321" s="50" t="n">
        <f aca="false">IF(AND(ISNUMBER($AE1321),ISNUMBER($AF1321),$AF1321&gt;0),$AE1321/$AF1321,"")</f>
        <v>0.796880862757992</v>
      </c>
      <c r="AH1321" s="48" t="n">
        <f aca="false">IF($U1321&gt;=5,SUM(INDEX($AD$1291:$AD1321,32-5):$AD1321),"")</f>
        <v>-23512096056</v>
      </c>
      <c r="AI1321" s="48" t="str">
        <f aca="false">IF($U1321&gt;=STRUCT_S,MAX(INDEX($G$1171:$G1321,152-STRUCT_S):$G1321),"")</f>
        <v/>
      </c>
      <c r="AJ1321" s="48" t="str">
        <f aca="false">IF($U1321&gt;=STRUCT_S,MIN(INDEX($H$1171:$H1321,152-STRUCT_S):$H1321),"")</f>
        <v/>
      </c>
      <c r="AK1321" s="48" t="str">
        <f aca="false">IF($U1321&gt;=STRUCT_L,MAX(INDEX($G$1071:$G1321,252-STRUCT_L):$G1321),"")</f>
        <v/>
      </c>
      <c r="AL1321" s="48" t="str">
        <f aca="false">IF($U1321&gt;=STRUCT_L,MIN(INDEX($H$1071:$H1321,252-STRUCT_L):$H1321),"")</f>
        <v/>
      </c>
      <c r="AM1321" s="46" t="n">
        <f aca="false">IF($A1321&lt;&gt;$A1322,1,0)</f>
        <v>0</v>
      </c>
      <c r="AN1321" s="47" t="str">
        <f aca="false">IF($AM1321=1,$A1321,"")</f>
        <v/>
      </c>
    </row>
    <row r="1322" customFormat="false" ht="15" hidden="false" customHeight="false" outlineLevel="0" collapsed="false">
      <c r="A1322" s="43" t="s">
        <v>157</v>
      </c>
      <c r="B1322" s="44" t="s">
        <v>159</v>
      </c>
      <c r="C1322" s="45" t="n">
        <v>45929</v>
      </c>
      <c r="D1322" s="46" t="n">
        <v>20250929</v>
      </c>
      <c r="E1322" s="47" t="s">
        <v>305</v>
      </c>
      <c r="F1322" s="48" t="n">
        <v>1445</v>
      </c>
      <c r="G1322" s="48" t="n">
        <v>1454</v>
      </c>
      <c r="H1322" s="48" t="n">
        <v>1408</v>
      </c>
      <c r="I1322" s="48" t="n">
        <v>1446</v>
      </c>
      <c r="J1322" s="48" t="n">
        <v>1435</v>
      </c>
      <c r="K1322" s="48" t="n">
        <v>1415</v>
      </c>
      <c r="L1322" s="48" t="n">
        <v>95773086</v>
      </c>
      <c r="M1322" s="48" t="n">
        <v>138487882356</v>
      </c>
      <c r="N1322" s="48" t="n">
        <v>2675</v>
      </c>
      <c r="O1322" s="48" t="n">
        <v>64624889</v>
      </c>
      <c r="P1322" s="48" t="n">
        <v>29912751</v>
      </c>
      <c r="Q1322" s="48" t="n">
        <v>1313</v>
      </c>
      <c r="R1322" s="48" t="n">
        <v>1008</v>
      </c>
      <c r="S1322" s="48" t="n">
        <v>31148197</v>
      </c>
      <c r="T1322" s="48" t="n">
        <v>65860335</v>
      </c>
      <c r="U1322" s="46" t="n">
        <f aca="false">IF($A1322=$A1321,$U1321+1,1)</f>
        <v>18</v>
      </c>
      <c r="V1322" s="48" t="str">
        <f aca="false">IF($U1322&gt;=MA_SHORT,AVERAGE(INDEX($I$922:$I1322,402-MA_SHORT):$I1322),"")</f>
        <v/>
      </c>
      <c r="W1322" s="48" t="str">
        <f aca="false">IF($U1322&gt;=MA_MED,AVERAGE(INDEX($I$922:$I1322,402-MA_MED):$I1322),"")</f>
        <v/>
      </c>
      <c r="X1322" s="48" t="str">
        <f aca="false">IF($U1322&gt;=MA_LONG1,AVERAGE(INDEX($I$922:$I1322,402-MA_LONG1):$I1322),"")</f>
        <v/>
      </c>
      <c r="Y1322" s="48" t="str">
        <f aca="false">IF($U1322&gt;=MA_LONG2,AVERAGE(INDEX($I$922:$I1322,402-MA_LONG2):$I1322),"")</f>
        <v/>
      </c>
      <c r="Z1322" s="48" t="str">
        <f aca="false">IF($U1322&gt;=MA_SHORT,AVERAGE(INDEX($L$1202:$L1322,122-MA_SHORT):$L1322),"")</f>
        <v/>
      </c>
      <c r="AA1322" s="48" t="n">
        <f aca="false">IF($U1322=1,$G1322-$H1322,MAX($G1322-$H1322,ABS($G1322-$I1321),ABS($H1322-$I1321)))</f>
        <v>46</v>
      </c>
      <c r="AB1322" s="48" t="n">
        <f aca="false">IF($U1322&gt;=ATR_PER,AVERAGE(INDEX($AA$1202:$AA1322,122-ATR_PER):$AA1322),"")</f>
        <v>57.3571428571429</v>
      </c>
      <c r="AC1322" s="48" t="n">
        <f aca="false">$O1322-$P1322</f>
        <v>34712138</v>
      </c>
      <c r="AD1322" s="48" t="n">
        <f aca="false">$AC1322*$I1322</f>
        <v>50193751548</v>
      </c>
      <c r="AE1322" s="49" t="n">
        <f aca="false">IF($Q1322&gt;0,$O1322*$I1322/$Q1322/1000000,"")</f>
        <v>71.1710506428027</v>
      </c>
      <c r="AF1322" s="49" t="n">
        <f aca="false">IF($R1322&gt;0,$P1322*$I1322/$R1322/1000000,"")</f>
        <v>42.9105535178571</v>
      </c>
      <c r="AG1322" s="50" t="n">
        <f aca="false">IF(AND(ISNUMBER($AE1322),ISNUMBER($AF1322),$AF1322&gt;0),$AE1322/$AF1322,"")</f>
        <v>1.65859083158144</v>
      </c>
      <c r="AH1322" s="48" t="n">
        <f aca="false">IF($U1322&gt;=5,SUM(INDEX($AD$1292:$AD1322,32-5):$AD1322),"")</f>
        <v>69963659677</v>
      </c>
      <c r="AI1322" s="48" t="str">
        <f aca="false">IF($U1322&gt;=STRUCT_S,MAX(INDEX($G$1172:$G1322,152-STRUCT_S):$G1322),"")</f>
        <v/>
      </c>
      <c r="AJ1322" s="48" t="str">
        <f aca="false">IF($U1322&gt;=STRUCT_S,MIN(INDEX($H$1172:$H1322,152-STRUCT_S):$H1322),"")</f>
        <v/>
      </c>
      <c r="AK1322" s="48" t="str">
        <f aca="false">IF($U1322&gt;=STRUCT_L,MAX(INDEX($G$1072:$G1322,252-STRUCT_L):$G1322),"")</f>
        <v/>
      </c>
      <c r="AL1322" s="48" t="str">
        <f aca="false">IF($U1322&gt;=STRUCT_L,MIN(INDEX($H$1072:$H1322,252-STRUCT_L):$H1322),"")</f>
        <v/>
      </c>
      <c r="AM1322" s="46" t="n">
        <f aca="false">IF($A1322&lt;&gt;$A1323,1,0)</f>
        <v>0</v>
      </c>
      <c r="AN1322" s="47" t="str">
        <f aca="false">IF($AM1322=1,$A1322,"")</f>
        <v/>
      </c>
    </row>
    <row r="1323" customFormat="false" ht="15" hidden="false" customHeight="false" outlineLevel="0" collapsed="false">
      <c r="A1323" s="43" t="s">
        <v>157</v>
      </c>
      <c r="B1323" s="44" t="s">
        <v>159</v>
      </c>
      <c r="C1323" s="45" t="n">
        <v>45930</v>
      </c>
      <c r="D1323" s="46" t="n">
        <v>20250930</v>
      </c>
      <c r="E1323" s="47" t="s">
        <v>306</v>
      </c>
      <c r="F1323" s="48" t="n">
        <v>1443</v>
      </c>
      <c r="G1323" s="48" t="n">
        <v>1456</v>
      </c>
      <c r="H1323" s="48" t="n">
        <v>1440</v>
      </c>
      <c r="I1323" s="48" t="n">
        <v>1450</v>
      </c>
      <c r="J1323" s="48" t="n">
        <v>1444</v>
      </c>
      <c r="K1323" s="48" t="n">
        <v>1446</v>
      </c>
      <c r="L1323" s="48" t="n">
        <v>165115096</v>
      </c>
      <c r="M1323" s="48" t="n">
        <v>239416889200</v>
      </c>
      <c r="N1323" s="48" t="n">
        <v>9246</v>
      </c>
      <c r="O1323" s="48" t="n">
        <v>86395432</v>
      </c>
      <c r="P1323" s="48" t="n">
        <v>74049479</v>
      </c>
      <c r="Q1323" s="48" t="n">
        <v>3845</v>
      </c>
      <c r="R1323" s="48" t="n">
        <v>3007</v>
      </c>
      <c r="S1323" s="48" t="n">
        <v>78719664</v>
      </c>
      <c r="T1323" s="48" t="n">
        <v>91065617</v>
      </c>
      <c r="U1323" s="46" t="n">
        <f aca="false">IF($A1323=$A1322,$U1322+1,1)</f>
        <v>19</v>
      </c>
      <c r="V1323" s="48" t="str">
        <f aca="false">IF($U1323&gt;=MA_SHORT,AVERAGE(INDEX($I$923:$I1323,402-MA_SHORT):$I1323),"")</f>
        <v/>
      </c>
      <c r="W1323" s="48" t="str">
        <f aca="false">IF($U1323&gt;=MA_MED,AVERAGE(INDEX($I$923:$I1323,402-MA_MED):$I1323),"")</f>
        <v/>
      </c>
      <c r="X1323" s="48" t="str">
        <f aca="false">IF($U1323&gt;=MA_LONG1,AVERAGE(INDEX($I$923:$I1323,402-MA_LONG1):$I1323),"")</f>
        <v/>
      </c>
      <c r="Y1323" s="48" t="str">
        <f aca="false">IF($U1323&gt;=MA_LONG2,AVERAGE(INDEX($I$923:$I1323,402-MA_LONG2):$I1323),"")</f>
        <v/>
      </c>
      <c r="Z1323" s="48" t="str">
        <f aca="false">IF($U1323&gt;=MA_SHORT,AVERAGE(INDEX($L$1203:$L1323,122-MA_SHORT):$L1323),"")</f>
        <v/>
      </c>
      <c r="AA1323" s="48" t="n">
        <f aca="false">IF($U1323=1,$G1323-$H1323,MAX($G1323-$H1323,ABS($G1323-$I1322),ABS($H1323-$I1322)))</f>
        <v>16</v>
      </c>
      <c r="AB1323" s="48" t="n">
        <f aca="false">IF($U1323&gt;=ATR_PER,AVERAGE(INDEX($AA$1203:$AA1323,122-ATR_PER):$AA1323),"")</f>
        <v>55.2142857142857</v>
      </c>
      <c r="AC1323" s="48" t="n">
        <f aca="false">$O1323-$P1323</f>
        <v>12345953</v>
      </c>
      <c r="AD1323" s="48" t="n">
        <f aca="false">$AC1323*$I1323</f>
        <v>17901631850</v>
      </c>
      <c r="AE1323" s="49" t="n">
        <f aca="false">IF($Q1323&gt;0,$O1323*$I1323/$Q1323/1000000,"")</f>
        <v>32.5808521196359</v>
      </c>
      <c r="AF1323" s="49" t="n">
        <f aca="false">IF($R1323&gt;0,$P1323*$I1323/$R1323/1000000,"")</f>
        <v>35.7072645660126</v>
      </c>
      <c r="AG1323" s="50" t="n">
        <f aca="false">IF(AND(ISNUMBER($AE1323),ISNUMBER($AF1323),$AF1323&gt;0),$AE1323/$AF1323,"")</f>
        <v>0.912443238529323</v>
      </c>
      <c r="AH1323" s="48" t="n">
        <f aca="false">IF($U1323&gt;=5,SUM(INDEX($AD$1293:$AD1323,32-5):$AD1323),"")</f>
        <v>66938477467</v>
      </c>
      <c r="AI1323" s="48" t="str">
        <f aca="false">IF($U1323&gt;=STRUCT_S,MAX(INDEX($G$1173:$G1323,152-STRUCT_S):$G1323),"")</f>
        <v/>
      </c>
      <c r="AJ1323" s="48" t="str">
        <f aca="false">IF($U1323&gt;=STRUCT_S,MIN(INDEX($H$1173:$H1323,152-STRUCT_S):$H1323),"")</f>
        <v/>
      </c>
      <c r="AK1323" s="48" t="str">
        <f aca="false">IF($U1323&gt;=STRUCT_L,MAX(INDEX($G$1073:$G1323,252-STRUCT_L):$G1323),"")</f>
        <v/>
      </c>
      <c r="AL1323" s="48" t="str">
        <f aca="false">IF($U1323&gt;=STRUCT_L,MIN(INDEX($H$1073:$H1323,252-STRUCT_L):$H1323),"")</f>
        <v/>
      </c>
      <c r="AM1323" s="46" t="n">
        <f aca="false">IF($A1323&lt;&gt;$A1324,1,0)</f>
        <v>0</v>
      </c>
      <c r="AN1323" s="47" t="str">
        <f aca="false">IF($AM1323=1,$A1323,"")</f>
        <v/>
      </c>
    </row>
    <row r="1324" customFormat="false" ht="15" hidden="false" customHeight="false" outlineLevel="0" collapsed="false">
      <c r="A1324" s="43" t="s">
        <v>157</v>
      </c>
      <c r="B1324" s="44" t="s">
        <v>159</v>
      </c>
      <c r="C1324" s="45" t="n">
        <v>45931</v>
      </c>
      <c r="D1324" s="46" t="n">
        <v>20251001</v>
      </c>
      <c r="E1324" s="47" t="s">
        <v>307</v>
      </c>
      <c r="F1324" s="48" t="n">
        <v>1473</v>
      </c>
      <c r="G1324" s="48" t="n">
        <v>1506</v>
      </c>
      <c r="H1324" s="48" t="n">
        <v>1393</v>
      </c>
      <c r="I1324" s="48" t="n">
        <v>1449</v>
      </c>
      <c r="J1324" s="48" t="n">
        <v>1424</v>
      </c>
      <c r="K1324" s="48" t="n">
        <v>1450</v>
      </c>
      <c r="L1324" s="48" t="n">
        <v>76457485</v>
      </c>
      <c r="M1324" s="48" t="n">
        <v>110786895765</v>
      </c>
      <c r="N1324" s="48" t="n">
        <v>2541</v>
      </c>
      <c r="O1324" s="48" t="n">
        <v>37988221</v>
      </c>
      <c r="P1324" s="48" t="n">
        <v>39538020</v>
      </c>
      <c r="Q1324" s="48" t="n">
        <v>1180</v>
      </c>
      <c r="R1324" s="48" t="n">
        <v>1291</v>
      </c>
      <c r="S1324" s="48" t="n">
        <v>38469264</v>
      </c>
      <c r="T1324" s="48" t="n">
        <v>36919465</v>
      </c>
      <c r="U1324" s="46" t="n">
        <f aca="false">IF($A1324=$A1323,$U1323+1,1)</f>
        <v>20</v>
      </c>
      <c r="V1324" s="48" t="n">
        <f aca="false">IF($U1324&gt;=MA_SHORT,AVERAGE(INDEX($I$924:$I1324,402-MA_SHORT):$I1324),"")</f>
        <v>1441.05</v>
      </c>
      <c r="W1324" s="48" t="str">
        <f aca="false">IF($U1324&gt;=MA_MED,AVERAGE(INDEX($I$924:$I1324,402-MA_MED):$I1324),"")</f>
        <v/>
      </c>
      <c r="X1324" s="48" t="str">
        <f aca="false">IF($U1324&gt;=MA_LONG1,AVERAGE(INDEX($I$924:$I1324,402-MA_LONG1):$I1324),"")</f>
        <v/>
      </c>
      <c r="Y1324" s="48" t="str">
        <f aca="false">IF($U1324&gt;=MA_LONG2,AVERAGE(INDEX($I$924:$I1324,402-MA_LONG2):$I1324),"")</f>
        <v/>
      </c>
      <c r="Z1324" s="48" t="n">
        <f aca="false">IF($U1324&gt;=MA_SHORT,AVERAGE(INDEX($L$1204:$L1324,122-MA_SHORT):$L1324),"")</f>
        <v>106282684.75</v>
      </c>
      <c r="AA1324" s="48" t="n">
        <f aca="false">IF($U1324=1,$G1324-$H1324,MAX($G1324-$H1324,ABS($G1324-$I1323),ABS($H1324-$I1323)))</f>
        <v>113</v>
      </c>
      <c r="AB1324" s="48" t="n">
        <f aca="false">IF($U1324&gt;=ATR_PER,AVERAGE(INDEX($AA$1204:$AA1324,122-ATR_PER):$AA1324),"")</f>
        <v>60.2857142857143</v>
      </c>
      <c r="AC1324" s="48" t="n">
        <f aca="false">$O1324-$P1324</f>
        <v>-1549799</v>
      </c>
      <c r="AD1324" s="48" t="n">
        <f aca="false">$AC1324*$I1324</f>
        <v>-2245658751</v>
      </c>
      <c r="AE1324" s="49" t="n">
        <f aca="false">IF($Q1324&gt;0,$O1324*$I1324/$Q1324/1000000,"")</f>
        <v>46.6482476516949</v>
      </c>
      <c r="AF1324" s="49" t="n">
        <f aca="false">IF($R1324&gt;0,$P1324*$I1324/$R1324/1000000,"")</f>
        <v>44.3769101316809</v>
      </c>
      <c r="AG1324" s="50" t="n">
        <f aca="false">IF(AND(ISNUMBER($AE1324),ISNUMBER($AF1324),$AF1324&gt;0),$AE1324/$AF1324,"")</f>
        <v>1.05118286769571</v>
      </c>
      <c r="AH1324" s="48" t="n">
        <f aca="false">IF($U1324&gt;=5,SUM(INDEX($AD$1294:$AD1324,32-5):$AD1324),"")</f>
        <v>36071424660</v>
      </c>
      <c r="AI1324" s="48" t="n">
        <f aca="false">IF($U1324&gt;=STRUCT_S,MAX(INDEX($G$1174:$G1324,152-STRUCT_S):$G1324),"")</f>
        <v>1545</v>
      </c>
      <c r="AJ1324" s="48" t="n">
        <f aca="false">IF($U1324&gt;=STRUCT_S,MIN(INDEX($H$1174:$H1324,152-STRUCT_S):$H1324),"")</f>
        <v>1350</v>
      </c>
      <c r="AK1324" s="48" t="str">
        <f aca="false">IF($U1324&gt;=STRUCT_L,MAX(INDEX($G$1074:$G1324,252-STRUCT_L):$G1324),"")</f>
        <v/>
      </c>
      <c r="AL1324" s="48" t="str">
        <f aca="false">IF($U1324&gt;=STRUCT_L,MIN(INDEX($H$1074:$H1324,252-STRUCT_L):$H1324),"")</f>
        <v/>
      </c>
      <c r="AM1324" s="46" t="n">
        <f aca="false">IF($A1324&lt;&gt;$A1325,1,0)</f>
        <v>0</v>
      </c>
      <c r="AN1324" s="47" t="str">
        <f aca="false">IF($AM1324=1,$A1324,"")</f>
        <v/>
      </c>
    </row>
    <row r="1325" customFormat="false" ht="15" hidden="false" customHeight="false" outlineLevel="0" collapsed="false">
      <c r="A1325" s="43" t="s">
        <v>157</v>
      </c>
      <c r="B1325" s="44" t="s">
        <v>159</v>
      </c>
      <c r="C1325" s="45" t="n">
        <v>45934</v>
      </c>
      <c r="D1325" s="46" t="n">
        <v>20251004</v>
      </c>
      <c r="E1325" s="47" t="s">
        <v>308</v>
      </c>
      <c r="F1325" s="48" t="n">
        <v>1438</v>
      </c>
      <c r="G1325" s="48" t="n">
        <v>1463</v>
      </c>
      <c r="H1325" s="48" t="n">
        <v>1436</v>
      </c>
      <c r="I1325" s="48" t="n">
        <v>1450</v>
      </c>
      <c r="J1325" s="48" t="n">
        <v>1438</v>
      </c>
      <c r="K1325" s="48" t="n">
        <v>1449</v>
      </c>
      <c r="L1325" s="48" t="n">
        <v>68141788</v>
      </c>
      <c r="M1325" s="48" t="n">
        <v>98805592600</v>
      </c>
      <c r="N1325" s="48" t="n">
        <v>2925</v>
      </c>
      <c r="O1325" s="48" t="n">
        <v>37330987</v>
      </c>
      <c r="P1325" s="48" t="n">
        <v>34220363</v>
      </c>
      <c r="Q1325" s="48" t="n">
        <v>1132</v>
      </c>
      <c r="R1325" s="48" t="n">
        <v>1071</v>
      </c>
      <c r="S1325" s="48" t="n">
        <v>30810801</v>
      </c>
      <c r="T1325" s="48" t="n">
        <v>33921425</v>
      </c>
      <c r="U1325" s="46" t="n">
        <f aca="false">IF($A1325=$A1324,$U1324+1,1)</f>
        <v>21</v>
      </c>
      <c r="V1325" s="48" t="n">
        <f aca="false">IF($U1325&gt;=MA_SHORT,AVERAGE(INDEX($I$925:$I1325,402-MA_SHORT):$I1325),"")</f>
        <v>1441.45</v>
      </c>
      <c r="W1325" s="48" t="str">
        <f aca="false">IF($U1325&gt;=MA_MED,AVERAGE(INDEX($I$925:$I1325,402-MA_MED):$I1325),"")</f>
        <v/>
      </c>
      <c r="X1325" s="48" t="str">
        <f aca="false">IF($U1325&gt;=MA_LONG1,AVERAGE(INDEX($I$925:$I1325,402-MA_LONG1):$I1325),"")</f>
        <v/>
      </c>
      <c r="Y1325" s="48" t="str">
        <f aca="false">IF($U1325&gt;=MA_LONG2,AVERAGE(INDEX($I$925:$I1325,402-MA_LONG2):$I1325),"")</f>
        <v/>
      </c>
      <c r="Z1325" s="48" t="n">
        <f aca="false">IF($U1325&gt;=MA_SHORT,AVERAGE(INDEX($L$1205:$L1325,122-MA_SHORT):$L1325),"")</f>
        <v>105678706.45</v>
      </c>
      <c r="AA1325" s="48" t="n">
        <f aca="false">IF($U1325=1,$G1325-$H1325,MAX($G1325-$H1325,ABS($G1325-$I1324),ABS($H1325-$I1324)))</f>
        <v>27</v>
      </c>
      <c r="AB1325" s="48" t="n">
        <f aca="false">IF($U1325&gt;=ATR_PER,AVERAGE(INDEX($AA$1205:$AA1325,122-ATR_PER):$AA1325),"")</f>
        <v>55.2142857142857</v>
      </c>
      <c r="AC1325" s="48" t="n">
        <f aca="false">$O1325-$P1325</f>
        <v>3110624</v>
      </c>
      <c r="AD1325" s="48" t="n">
        <f aca="false">$AC1325*$I1325</f>
        <v>4510404800</v>
      </c>
      <c r="AE1325" s="49" t="n">
        <f aca="false">IF($Q1325&gt;0,$O1325*$I1325/$Q1325/1000000,"")</f>
        <v>47.8179603798587</v>
      </c>
      <c r="AF1325" s="49" t="n">
        <f aca="false">IF($R1325&gt;0,$P1325*$I1325/$R1325/1000000,"")</f>
        <v>46.3300899626517</v>
      </c>
      <c r="AG1325" s="50" t="n">
        <f aca="false">IF(AND(ISNUMBER($AE1325),ISNUMBER($AF1325),$AF1325&gt;0),$AE1325/$AF1325,"")</f>
        <v>1.03211455920777</v>
      </c>
      <c r="AH1325" s="48" t="n">
        <f aca="false">IF($U1325&gt;=5,SUM(INDEX($AD$1295:$AD1325,32-5):$AD1325),"")</f>
        <v>63575272367</v>
      </c>
      <c r="AI1325" s="48" t="n">
        <f aca="false">IF($U1325&gt;=STRUCT_S,MAX(INDEX($G$1175:$G1325,152-STRUCT_S):$G1325),"")</f>
        <v>1545</v>
      </c>
      <c r="AJ1325" s="48" t="n">
        <f aca="false">IF($U1325&gt;=STRUCT_S,MIN(INDEX($H$1175:$H1325,152-STRUCT_S):$H1325),"")</f>
        <v>1350</v>
      </c>
      <c r="AK1325" s="48" t="str">
        <f aca="false">IF($U1325&gt;=STRUCT_L,MAX(INDEX($G$1075:$G1325,252-STRUCT_L):$G1325),"")</f>
        <v/>
      </c>
      <c r="AL1325" s="48" t="str">
        <f aca="false">IF($U1325&gt;=STRUCT_L,MIN(INDEX($H$1075:$H1325,252-STRUCT_L):$H1325),"")</f>
        <v/>
      </c>
      <c r="AM1325" s="46" t="n">
        <f aca="false">IF($A1325&lt;&gt;$A1326,1,0)</f>
        <v>0</v>
      </c>
      <c r="AN1325" s="47" t="str">
        <f aca="false">IF($AM1325=1,$A1325,"")</f>
        <v/>
      </c>
    </row>
    <row r="1326" customFormat="false" ht="15" hidden="false" customHeight="false" outlineLevel="0" collapsed="false">
      <c r="A1326" s="43" t="s">
        <v>157</v>
      </c>
      <c r="B1326" s="44" t="s">
        <v>159</v>
      </c>
      <c r="C1326" s="45" t="n">
        <v>45935</v>
      </c>
      <c r="D1326" s="46" t="n">
        <v>20251005</v>
      </c>
      <c r="E1326" s="47" t="s">
        <v>309</v>
      </c>
      <c r="F1326" s="48" t="n">
        <v>1466</v>
      </c>
      <c r="G1326" s="48" t="n">
        <v>1469</v>
      </c>
      <c r="H1326" s="48" t="n">
        <v>1437</v>
      </c>
      <c r="I1326" s="48" t="n">
        <v>1456</v>
      </c>
      <c r="J1326" s="48" t="n">
        <v>1468</v>
      </c>
      <c r="K1326" s="48" t="n">
        <v>1450</v>
      </c>
      <c r="L1326" s="48" t="n">
        <v>81205306</v>
      </c>
      <c r="M1326" s="48" t="n">
        <v>118234925536</v>
      </c>
      <c r="N1326" s="48" t="n">
        <v>2120</v>
      </c>
      <c r="O1326" s="48" t="n">
        <v>42434018</v>
      </c>
      <c r="P1326" s="48" t="n">
        <v>46010691</v>
      </c>
      <c r="Q1326" s="48" t="n">
        <v>1039</v>
      </c>
      <c r="R1326" s="48" t="n">
        <v>1107</v>
      </c>
      <c r="S1326" s="48" t="n">
        <v>38771288</v>
      </c>
      <c r="T1326" s="48" t="n">
        <v>35194615</v>
      </c>
      <c r="U1326" s="46" t="n">
        <f aca="false">IF($A1326=$A1325,$U1325+1,1)</f>
        <v>22</v>
      </c>
      <c r="V1326" s="48" t="n">
        <f aca="false">IF($U1326&gt;=MA_SHORT,AVERAGE(INDEX($I$926:$I1326,402-MA_SHORT):$I1326),"")</f>
        <v>1439.25</v>
      </c>
      <c r="W1326" s="48" t="str">
        <f aca="false">IF($U1326&gt;=MA_MED,AVERAGE(INDEX($I$926:$I1326,402-MA_MED):$I1326),"")</f>
        <v/>
      </c>
      <c r="X1326" s="48" t="str">
        <f aca="false">IF($U1326&gt;=MA_LONG1,AVERAGE(INDEX($I$926:$I1326,402-MA_LONG1):$I1326),"")</f>
        <v/>
      </c>
      <c r="Y1326" s="48" t="str">
        <f aca="false">IF($U1326&gt;=MA_LONG2,AVERAGE(INDEX($I$926:$I1326,402-MA_LONG2):$I1326),"")</f>
        <v/>
      </c>
      <c r="Z1326" s="48" t="n">
        <f aca="false">IF($U1326&gt;=MA_SHORT,AVERAGE(INDEX($L$1206:$L1326,122-MA_SHORT):$L1326),"")</f>
        <v>105527084.9</v>
      </c>
      <c r="AA1326" s="48" t="n">
        <f aca="false">IF($U1326=1,$G1326-$H1326,MAX($G1326-$H1326,ABS($G1326-$I1325),ABS($H1326-$I1325)))</f>
        <v>32</v>
      </c>
      <c r="AB1326" s="48" t="n">
        <f aca="false">IF($U1326&gt;=ATR_PER,AVERAGE(INDEX($AA$1206:$AA1326,122-ATR_PER):$AA1326),"")</f>
        <v>53.2142857142857</v>
      </c>
      <c r="AC1326" s="48" t="n">
        <f aca="false">$O1326-$P1326</f>
        <v>-3576673</v>
      </c>
      <c r="AD1326" s="48" t="n">
        <f aca="false">$AC1326*$I1326</f>
        <v>-5207635888</v>
      </c>
      <c r="AE1326" s="49" t="n">
        <f aca="false">IF($Q1326&gt;0,$O1326*$I1326/$Q1326/1000000,"")</f>
        <v>59.4648028950914</v>
      </c>
      <c r="AF1326" s="49" t="n">
        <f aca="false">IF($R1326&gt;0,$P1326*$I1326/$R1326/1000000,"")</f>
        <v>60.5163198699187</v>
      </c>
      <c r="AG1326" s="50" t="n">
        <f aca="false">IF(AND(ISNUMBER($AE1326),ISNUMBER($AF1326),$AF1326&gt;0),$AE1326/$AF1326,"")</f>
        <v>0.982624241244552</v>
      </c>
      <c r="AH1326" s="48" t="n">
        <f aca="false">IF($U1326&gt;=5,SUM(INDEX($AD$1296:$AD1326,32-5):$AD1326),"")</f>
        <v>65152493559</v>
      </c>
      <c r="AI1326" s="48" t="n">
        <f aca="false">IF($U1326&gt;=STRUCT_S,MAX(INDEX($G$1176:$G1326,152-STRUCT_S):$G1326),"")</f>
        <v>1545</v>
      </c>
      <c r="AJ1326" s="48" t="n">
        <f aca="false">IF($U1326&gt;=STRUCT_S,MIN(INDEX($H$1176:$H1326,152-STRUCT_S):$H1326),"")</f>
        <v>1350</v>
      </c>
      <c r="AK1326" s="48" t="str">
        <f aca="false">IF($U1326&gt;=STRUCT_L,MAX(INDEX($G$1076:$G1326,252-STRUCT_L):$G1326),"")</f>
        <v/>
      </c>
      <c r="AL1326" s="48" t="str">
        <f aca="false">IF($U1326&gt;=STRUCT_L,MIN(INDEX($H$1076:$H1326,252-STRUCT_L):$H1326),"")</f>
        <v/>
      </c>
      <c r="AM1326" s="46" t="n">
        <f aca="false">IF($A1326&lt;&gt;$A1327,1,0)</f>
        <v>0</v>
      </c>
      <c r="AN1326" s="47" t="str">
        <f aca="false">IF($AM1326=1,$A1326,"")</f>
        <v/>
      </c>
    </row>
    <row r="1327" customFormat="false" ht="15" hidden="false" customHeight="false" outlineLevel="0" collapsed="false">
      <c r="A1327" s="43" t="s">
        <v>157</v>
      </c>
      <c r="B1327" s="44" t="s">
        <v>159</v>
      </c>
      <c r="C1327" s="45" t="n">
        <v>45936</v>
      </c>
      <c r="D1327" s="46" t="n">
        <v>20251006</v>
      </c>
      <c r="E1327" s="47" t="s">
        <v>310</v>
      </c>
      <c r="F1327" s="48" t="n">
        <v>1467</v>
      </c>
      <c r="G1327" s="48" t="n">
        <v>1471</v>
      </c>
      <c r="H1327" s="48" t="n">
        <v>1446</v>
      </c>
      <c r="I1327" s="48" t="n">
        <v>1461</v>
      </c>
      <c r="J1327" s="48" t="n">
        <v>1468</v>
      </c>
      <c r="K1327" s="48" t="n">
        <v>1456</v>
      </c>
      <c r="L1327" s="48" t="n">
        <v>69259022</v>
      </c>
      <c r="M1327" s="48" t="n">
        <v>101187431142</v>
      </c>
      <c r="N1327" s="48" t="n">
        <v>2641</v>
      </c>
      <c r="O1327" s="48" t="n">
        <v>39726212</v>
      </c>
      <c r="P1327" s="48" t="n">
        <v>27886501</v>
      </c>
      <c r="Q1327" s="48" t="n">
        <v>940</v>
      </c>
      <c r="R1327" s="48" t="n">
        <v>1031</v>
      </c>
      <c r="S1327" s="48" t="n">
        <v>29532810</v>
      </c>
      <c r="T1327" s="48" t="n">
        <v>41372521</v>
      </c>
      <c r="U1327" s="46" t="n">
        <f aca="false">IF($A1327=$A1326,$U1326+1,1)</f>
        <v>23</v>
      </c>
      <c r="V1327" s="48" t="n">
        <f aca="false">IF($U1327&gt;=MA_SHORT,AVERAGE(INDEX($I$927:$I1327,402-MA_SHORT):$I1327),"")</f>
        <v>1436.55</v>
      </c>
      <c r="W1327" s="48" t="str">
        <f aca="false">IF($U1327&gt;=MA_MED,AVERAGE(INDEX($I$927:$I1327,402-MA_MED):$I1327),"")</f>
        <v/>
      </c>
      <c r="X1327" s="48" t="str">
        <f aca="false">IF($U1327&gt;=MA_LONG1,AVERAGE(INDEX($I$927:$I1327,402-MA_LONG1):$I1327),"")</f>
        <v/>
      </c>
      <c r="Y1327" s="48" t="str">
        <f aca="false">IF($U1327&gt;=MA_LONG2,AVERAGE(INDEX($I$927:$I1327,402-MA_LONG2):$I1327),"")</f>
        <v/>
      </c>
      <c r="Z1327" s="48" t="n">
        <f aca="false">IF($U1327&gt;=MA_SHORT,AVERAGE(INDEX($L$1207:$L1327,122-MA_SHORT):$L1327),"")</f>
        <v>105393414.05</v>
      </c>
      <c r="AA1327" s="48" t="n">
        <f aca="false">IF($U1327=1,$G1327-$H1327,MAX($G1327-$H1327,ABS($G1327-$I1326),ABS($H1327-$I1326)))</f>
        <v>25</v>
      </c>
      <c r="AB1327" s="48" t="n">
        <f aca="false">IF($U1327&gt;=ATR_PER,AVERAGE(INDEX($AA$1207:$AA1327,122-ATR_PER):$AA1327),"")</f>
        <v>51.3571428571429</v>
      </c>
      <c r="AC1327" s="48" t="n">
        <f aca="false">$O1327-$P1327</f>
        <v>11839711</v>
      </c>
      <c r="AD1327" s="48" t="n">
        <f aca="false">$AC1327*$I1327</f>
        <v>17297817771</v>
      </c>
      <c r="AE1327" s="49" t="n">
        <f aca="false">IF($Q1327&gt;0,$O1327*$I1327/$Q1327/1000000,"")</f>
        <v>61.7446763106383</v>
      </c>
      <c r="AF1327" s="49" t="n">
        <f aca="false">IF($R1327&gt;0,$P1327*$I1327/$R1327/1000000,"")</f>
        <v>39.5171464219205</v>
      </c>
      <c r="AG1327" s="50" t="n">
        <f aca="false">IF(AND(ISNUMBER($AE1327),ISNUMBER($AF1327),$AF1327&gt;0),$AE1327/$AF1327,"")</f>
        <v>1.5624781114354</v>
      </c>
      <c r="AH1327" s="48" t="n">
        <f aca="false">IF($U1327&gt;=5,SUM(INDEX($AD$1297:$AD1327,32-5):$AD1327),"")</f>
        <v>32256559782</v>
      </c>
      <c r="AI1327" s="48" t="n">
        <f aca="false">IF($U1327&gt;=STRUCT_S,MAX(INDEX($G$1177:$G1327,152-STRUCT_S):$G1327),"")</f>
        <v>1545</v>
      </c>
      <c r="AJ1327" s="48" t="n">
        <f aca="false">IF($U1327&gt;=STRUCT_S,MIN(INDEX($H$1177:$H1327,152-STRUCT_S):$H1327),"")</f>
        <v>1350</v>
      </c>
      <c r="AK1327" s="48" t="str">
        <f aca="false">IF($U1327&gt;=STRUCT_L,MAX(INDEX($G$1077:$G1327,252-STRUCT_L):$G1327),"")</f>
        <v/>
      </c>
      <c r="AL1327" s="48" t="str">
        <f aca="false">IF($U1327&gt;=STRUCT_L,MIN(INDEX($H$1077:$H1327,252-STRUCT_L):$H1327),"")</f>
        <v/>
      </c>
      <c r="AM1327" s="46" t="n">
        <f aca="false">IF($A1327&lt;&gt;$A1328,1,0)</f>
        <v>0</v>
      </c>
      <c r="AN1327" s="47" t="str">
        <f aca="false">IF($AM1327=1,$A1327,"")</f>
        <v/>
      </c>
    </row>
    <row r="1328" customFormat="false" ht="15" hidden="false" customHeight="false" outlineLevel="0" collapsed="false">
      <c r="A1328" s="43" t="s">
        <v>157</v>
      </c>
      <c r="B1328" s="44" t="s">
        <v>159</v>
      </c>
      <c r="C1328" s="45" t="n">
        <v>45937</v>
      </c>
      <c r="D1328" s="46" t="n">
        <v>20251007</v>
      </c>
      <c r="E1328" s="47" t="s">
        <v>311</v>
      </c>
      <c r="F1328" s="48" t="n">
        <v>1450</v>
      </c>
      <c r="G1328" s="48" t="n">
        <v>1503</v>
      </c>
      <c r="H1328" s="48" t="n">
        <v>1448</v>
      </c>
      <c r="I1328" s="48" t="n">
        <v>1490</v>
      </c>
      <c r="J1328" s="48" t="n">
        <v>1478</v>
      </c>
      <c r="K1328" s="48" t="n">
        <v>1461</v>
      </c>
      <c r="L1328" s="48" t="n">
        <v>84688926</v>
      </c>
      <c r="M1328" s="48" t="n">
        <v>126186499740</v>
      </c>
      <c r="N1328" s="48" t="n">
        <v>2320</v>
      </c>
      <c r="O1328" s="48" t="n">
        <v>46206936</v>
      </c>
      <c r="P1328" s="48" t="n">
        <v>37286707</v>
      </c>
      <c r="Q1328" s="48" t="n">
        <v>1030</v>
      </c>
      <c r="R1328" s="48" t="n">
        <v>712</v>
      </c>
      <c r="S1328" s="48" t="n">
        <v>38481990</v>
      </c>
      <c r="T1328" s="48" t="n">
        <v>47402219</v>
      </c>
      <c r="U1328" s="46" t="n">
        <f aca="false">IF($A1328=$A1327,$U1327+1,1)</f>
        <v>24</v>
      </c>
      <c r="V1328" s="48" t="n">
        <f aca="false">IF($U1328&gt;=MA_SHORT,AVERAGE(INDEX($I$928:$I1328,402-MA_SHORT):$I1328),"")</f>
        <v>1434.85</v>
      </c>
      <c r="W1328" s="48" t="str">
        <f aca="false">IF($U1328&gt;=MA_MED,AVERAGE(INDEX($I$928:$I1328,402-MA_MED):$I1328),"")</f>
        <v/>
      </c>
      <c r="X1328" s="48" t="str">
        <f aca="false">IF($U1328&gt;=MA_LONG1,AVERAGE(INDEX($I$928:$I1328,402-MA_LONG1):$I1328),"")</f>
        <v/>
      </c>
      <c r="Y1328" s="48" t="str">
        <f aca="false">IF($U1328&gt;=MA_LONG2,AVERAGE(INDEX($I$928:$I1328,402-MA_LONG2):$I1328),"")</f>
        <v/>
      </c>
      <c r="Z1328" s="48" t="n">
        <f aca="false">IF($U1328&gt;=MA_SHORT,AVERAGE(INDEX($L$1208:$L1328,122-MA_SHORT):$L1328),"")</f>
        <v>105984777.5</v>
      </c>
      <c r="AA1328" s="48" t="n">
        <f aca="false">IF($U1328=1,$G1328-$H1328,MAX($G1328-$H1328,ABS($G1328-$I1327),ABS($H1328-$I1327)))</f>
        <v>55</v>
      </c>
      <c r="AB1328" s="48" t="n">
        <f aca="false">IF($U1328&gt;=ATR_PER,AVERAGE(INDEX($AA$1208:$AA1328,122-ATR_PER):$AA1328),"")</f>
        <v>48.5714285714286</v>
      </c>
      <c r="AC1328" s="48" t="n">
        <f aca="false">$O1328-$P1328</f>
        <v>8920229</v>
      </c>
      <c r="AD1328" s="48" t="n">
        <f aca="false">$AC1328*$I1328</f>
        <v>13291141210</v>
      </c>
      <c r="AE1328" s="49" t="n">
        <f aca="false">IF($Q1328&gt;0,$O1328*$I1328/$Q1328/1000000,"")</f>
        <v>66.8430433398058</v>
      </c>
      <c r="AF1328" s="49" t="n">
        <f aca="false">IF($R1328&gt;0,$P1328*$I1328/$R1328/1000000,"")</f>
        <v>78.0297660533708</v>
      </c>
      <c r="AG1328" s="50" t="n">
        <f aca="false">IF(AND(ISNUMBER($AE1328),ISNUMBER($AF1328),$AF1328&gt;0),$AE1328/$AF1328,"")</f>
        <v>0.856635188347054</v>
      </c>
      <c r="AH1328" s="48" t="n">
        <f aca="false">IF($U1328&gt;=5,SUM(INDEX($AD$1298:$AD1328,32-5):$AD1328),"")</f>
        <v>27646069142</v>
      </c>
      <c r="AI1328" s="48" t="n">
        <f aca="false">IF($U1328&gt;=STRUCT_S,MAX(INDEX($G$1178:$G1328,152-STRUCT_S):$G1328),"")</f>
        <v>1532</v>
      </c>
      <c r="AJ1328" s="48" t="n">
        <f aca="false">IF($U1328&gt;=STRUCT_S,MIN(INDEX($H$1178:$H1328,152-STRUCT_S):$H1328),"")</f>
        <v>1350</v>
      </c>
      <c r="AK1328" s="48" t="str">
        <f aca="false">IF($U1328&gt;=STRUCT_L,MAX(INDEX($G$1078:$G1328,252-STRUCT_L):$G1328),"")</f>
        <v/>
      </c>
      <c r="AL1328" s="48" t="str">
        <f aca="false">IF($U1328&gt;=STRUCT_L,MIN(INDEX($H$1078:$H1328,252-STRUCT_L):$H1328),"")</f>
        <v/>
      </c>
      <c r="AM1328" s="46" t="n">
        <f aca="false">IF($A1328&lt;&gt;$A1329,1,0)</f>
        <v>0</v>
      </c>
      <c r="AN1328" s="47" t="str">
        <f aca="false">IF($AM1328=1,$A1328,"")</f>
        <v/>
      </c>
    </row>
    <row r="1329" customFormat="false" ht="15" hidden="false" customHeight="false" outlineLevel="0" collapsed="false">
      <c r="A1329" s="43" t="s">
        <v>157</v>
      </c>
      <c r="B1329" s="44" t="s">
        <v>159</v>
      </c>
      <c r="C1329" s="45" t="n">
        <v>45938</v>
      </c>
      <c r="D1329" s="46" t="n">
        <v>20251008</v>
      </c>
      <c r="E1329" s="47" t="s">
        <v>312</v>
      </c>
      <c r="F1329" s="48" t="n">
        <v>1463</v>
      </c>
      <c r="G1329" s="48" t="n">
        <v>1502</v>
      </c>
      <c r="H1329" s="48" t="n">
        <v>1450</v>
      </c>
      <c r="I1329" s="48" t="n">
        <v>1462</v>
      </c>
      <c r="J1329" s="48" t="n">
        <v>1492</v>
      </c>
      <c r="K1329" s="48" t="n">
        <v>1490</v>
      </c>
      <c r="L1329" s="48" t="n">
        <v>75512209</v>
      </c>
      <c r="M1329" s="48" t="n">
        <v>110398849558</v>
      </c>
      <c r="N1329" s="48" t="n">
        <v>7934</v>
      </c>
      <c r="O1329" s="48" t="n">
        <v>30350421</v>
      </c>
      <c r="P1329" s="48" t="n">
        <v>46311464</v>
      </c>
      <c r="Q1329" s="48" t="n">
        <v>2971</v>
      </c>
      <c r="R1329" s="48" t="n">
        <v>4249</v>
      </c>
      <c r="S1329" s="48" t="n">
        <v>45161788</v>
      </c>
      <c r="T1329" s="48" t="n">
        <v>29200745</v>
      </c>
      <c r="U1329" s="46" t="n">
        <f aca="false">IF($A1329=$A1328,$U1328+1,1)</f>
        <v>25</v>
      </c>
      <c r="V1329" s="48" t="n">
        <f aca="false">IF($U1329&gt;=MA_SHORT,AVERAGE(INDEX($I$929:$I1329,402-MA_SHORT):$I1329),"")</f>
        <v>1433.3</v>
      </c>
      <c r="W1329" s="48" t="str">
        <f aca="false">IF($U1329&gt;=MA_MED,AVERAGE(INDEX($I$929:$I1329,402-MA_MED):$I1329),"")</f>
        <v/>
      </c>
      <c r="X1329" s="48" t="str">
        <f aca="false">IF($U1329&gt;=MA_LONG1,AVERAGE(INDEX($I$929:$I1329,402-MA_LONG1):$I1329),"")</f>
        <v/>
      </c>
      <c r="Y1329" s="48" t="str">
        <f aca="false">IF($U1329&gt;=MA_LONG2,AVERAGE(INDEX($I$929:$I1329,402-MA_LONG2):$I1329),"")</f>
        <v/>
      </c>
      <c r="Z1329" s="48" t="n">
        <f aca="false">IF($U1329&gt;=MA_SHORT,AVERAGE(INDEX($L$1209:$L1329,122-MA_SHORT):$L1329),"")</f>
        <v>105953237.25</v>
      </c>
      <c r="AA1329" s="48" t="n">
        <f aca="false">IF($U1329=1,$G1329-$H1329,MAX($G1329-$H1329,ABS($G1329-$I1328),ABS($H1329-$I1328)))</f>
        <v>52</v>
      </c>
      <c r="AB1329" s="48" t="n">
        <f aca="false">IF($U1329&gt;=ATR_PER,AVERAGE(INDEX($AA$1209:$AA1329,122-ATR_PER):$AA1329),"")</f>
        <v>50.7142857142857</v>
      </c>
      <c r="AC1329" s="48" t="n">
        <f aca="false">$O1329-$P1329</f>
        <v>-15961043</v>
      </c>
      <c r="AD1329" s="48" t="n">
        <f aca="false">$AC1329*$I1329</f>
        <v>-23335044866</v>
      </c>
      <c r="AE1329" s="49" t="n">
        <f aca="false">IF($Q1329&gt;0,$O1329*$I1329/$Q1329/1000000,"")</f>
        <v>14.93514490138</v>
      </c>
      <c r="AF1329" s="49" t="n">
        <f aca="false">IF($R1329&gt;0,$P1329*$I1329/$R1329/1000000,"")</f>
        <v>15.9348930025888</v>
      </c>
      <c r="AG1329" s="50" t="n">
        <f aca="false">IF(AND(ISNUMBER($AE1329),ISNUMBER($AF1329),$AF1329&gt;0),$AE1329/$AF1329,"")</f>
        <v>0.937260444670296</v>
      </c>
      <c r="AH1329" s="48" t="n">
        <f aca="false">IF($U1329&gt;=5,SUM(INDEX($AD$1299:$AD1329,32-5):$AD1329),"")</f>
        <v>6556683027</v>
      </c>
      <c r="AI1329" s="48" t="n">
        <f aca="false">IF($U1329&gt;=STRUCT_S,MAX(INDEX($G$1179:$G1329,152-STRUCT_S):$G1329),"")</f>
        <v>1523</v>
      </c>
      <c r="AJ1329" s="48" t="n">
        <f aca="false">IF($U1329&gt;=STRUCT_S,MIN(INDEX($H$1179:$H1329,152-STRUCT_S):$H1329),"")</f>
        <v>1350</v>
      </c>
      <c r="AK1329" s="48" t="str">
        <f aca="false">IF($U1329&gt;=STRUCT_L,MAX(INDEX($G$1079:$G1329,252-STRUCT_L):$G1329),"")</f>
        <v/>
      </c>
      <c r="AL1329" s="48" t="str">
        <f aca="false">IF($U1329&gt;=STRUCT_L,MIN(INDEX($H$1079:$H1329,252-STRUCT_L):$H1329),"")</f>
        <v/>
      </c>
      <c r="AM1329" s="46" t="n">
        <f aca="false">IF($A1329&lt;&gt;$A1330,1,0)</f>
        <v>0</v>
      </c>
      <c r="AN1329" s="47" t="str">
        <f aca="false">IF($AM1329=1,$A1329,"")</f>
        <v/>
      </c>
    </row>
    <row r="1330" customFormat="false" ht="15" hidden="false" customHeight="false" outlineLevel="0" collapsed="false">
      <c r="A1330" s="43" t="s">
        <v>157</v>
      </c>
      <c r="B1330" s="44" t="s">
        <v>159</v>
      </c>
      <c r="C1330" s="45" t="n">
        <v>45941</v>
      </c>
      <c r="D1330" s="46" t="n">
        <v>20251011</v>
      </c>
      <c r="E1330" s="47" t="s">
        <v>313</v>
      </c>
      <c r="F1330" s="48" t="n">
        <v>1440</v>
      </c>
      <c r="G1330" s="48" t="n">
        <v>1488</v>
      </c>
      <c r="H1330" s="48" t="n">
        <v>1388</v>
      </c>
      <c r="I1330" s="48" t="n">
        <v>1413</v>
      </c>
      <c r="J1330" s="48" t="n">
        <v>1397</v>
      </c>
      <c r="K1330" s="48" t="n">
        <v>1462</v>
      </c>
      <c r="L1330" s="48" t="n">
        <v>122042236</v>
      </c>
      <c r="M1330" s="48" t="n">
        <v>172445679468</v>
      </c>
      <c r="N1330" s="48" t="n">
        <v>7272</v>
      </c>
      <c r="O1330" s="48" t="n">
        <v>41662359</v>
      </c>
      <c r="P1330" s="48" t="n">
        <v>73375372</v>
      </c>
      <c r="Q1330" s="48" t="n">
        <v>4061</v>
      </c>
      <c r="R1330" s="48" t="n">
        <v>2886</v>
      </c>
      <c r="S1330" s="48" t="n">
        <v>80379877</v>
      </c>
      <c r="T1330" s="48" t="n">
        <v>48666864</v>
      </c>
      <c r="U1330" s="46" t="n">
        <f aca="false">IF($A1330=$A1329,$U1329+1,1)</f>
        <v>26</v>
      </c>
      <c r="V1330" s="48" t="n">
        <f aca="false">IF($U1330&gt;=MA_SHORT,AVERAGE(INDEX($I$930:$I1330,402-MA_SHORT):$I1330),"")</f>
        <v>1431</v>
      </c>
      <c r="W1330" s="48" t="str">
        <f aca="false">IF($U1330&gt;=MA_MED,AVERAGE(INDEX($I$930:$I1330,402-MA_MED):$I1330),"")</f>
        <v/>
      </c>
      <c r="X1330" s="48" t="str">
        <f aca="false">IF($U1330&gt;=MA_LONG1,AVERAGE(INDEX($I$930:$I1330,402-MA_LONG1):$I1330),"")</f>
        <v/>
      </c>
      <c r="Y1330" s="48" t="str">
        <f aca="false">IF($U1330&gt;=MA_LONG2,AVERAGE(INDEX($I$930:$I1330,402-MA_LONG2):$I1330),"")</f>
        <v/>
      </c>
      <c r="Z1330" s="48" t="n">
        <f aca="false">IF($U1330&gt;=MA_SHORT,AVERAGE(INDEX($L$1210:$L1330,122-MA_SHORT):$L1330),"")</f>
        <v>107625280.5</v>
      </c>
      <c r="AA1330" s="48" t="n">
        <f aca="false">IF($U1330=1,$G1330-$H1330,MAX($G1330-$H1330,ABS($G1330-$I1329),ABS($H1330-$I1329)))</f>
        <v>100</v>
      </c>
      <c r="AB1330" s="48" t="n">
        <f aca="false">IF($U1330&gt;=ATR_PER,AVERAGE(INDEX($AA$1210:$AA1330,122-ATR_PER):$AA1330),"")</f>
        <v>55.7142857142857</v>
      </c>
      <c r="AC1330" s="48" t="n">
        <f aca="false">$O1330-$P1330</f>
        <v>-31713013</v>
      </c>
      <c r="AD1330" s="48" t="n">
        <f aca="false">$AC1330*$I1330</f>
        <v>-44810487369</v>
      </c>
      <c r="AE1330" s="49" t="n">
        <f aca="false">IF($Q1330&gt;0,$O1330*$I1330/$Q1330/1000000,"")</f>
        <v>14.4961618485595</v>
      </c>
      <c r="AF1330" s="49" t="n">
        <f aca="false">IF($R1330&gt;0,$P1330*$I1330/$R1330/1000000,"")</f>
        <v>35.9249482453222</v>
      </c>
      <c r="AG1330" s="50" t="n">
        <f aca="false">IF(AND(ISNUMBER($AE1330),ISNUMBER($AF1330),$AF1330&gt;0),$AE1330/$AF1330,"")</f>
        <v>0.403512393381026</v>
      </c>
      <c r="AH1330" s="48" t="n">
        <f aca="false">IF($U1330&gt;=5,SUM(INDEX($AD$1300:$AD1330,32-5):$AD1330),"")</f>
        <v>-42764209142</v>
      </c>
      <c r="AI1330" s="48" t="n">
        <f aca="false">IF($U1330&gt;=STRUCT_S,MAX(INDEX($G$1180:$G1330,152-STRUCT_S):$G1330),"")</f>
        <v>1523</v>
      </c>
      <c r="AJ1330" s="48" t="n">
        <f aca="false">IF($U1330&gt;=STRUCT_S,MIN(INDEX($H$1180:$H1330,152-STRUCT_S):$H1330),"")</f>
        <v>1350</v>
      </c>
      <c r="AK1330" s="48" t="str">
        <f aca="false">IF($U1330&gt;=STRUCT_L,MAX(INDEX($G$1080:$G1330,252-STRUCT_L):$G1330),"")</f>
        <v/>
      </c>
      <c r="AL1330" s="48" t="str">
        <f aca="false">IF($U1330&gt;=STRUCT_L,MIN(INDEX($H$1080:$H1330,252-STRUCT_L):$H1330),"")</f>
        <v/>
      </c>
      <c r="AM1330" s="46" t="n">
        <f aca="false">IF($A1330&lt;&gt;$A1331,1,0)</f>
        <v>0</v>
      </c>
      <c r="AN1330" s="47" t="str">
        <f aca="false">IF($AM1330=1,$A1330,"")</f>
        <v/>
      </c>
    </row>
    <row r="1331" customFormat="false" ht="15" hidden="false" customHeight="false" outlineLevel="0" collapsed="false">
      <c r="A1331" s="43" t="s">
        <v>157</v>
      </c>
      <c r="B1331" s="44" t="s">
        <v>159</v>
      </c>
      <c r="C1331" s="45" t="n">
        <v>45942</v>
      </c>
      <c r="D1331" s="46" t="n">
        <v>20251012</v>
      </c>
      <c r="E1331" s="47" t="s">
        <v>314</v>
      </c>
      <c r="F1331" s="48" t="n">
        <v>1407</v>
      </c>
      <c r="G1331" s="48" t="n">
        <v>1472</v>
      </c>
      <c r="H1331" s="48" t="n">
        <v>1379</v>
      </c>
      <c r="I1331" s="48" t="n">
        <v>1437</v>
      </c>
      <c r="J1331" s="48" t="n">
        <v>1446</v>
      </c>
      <c r="K1331" s="48" t="n">
        <v>1413</v>
      </c>
      <c r="L1331" s="48" t="n">
        <v>87079828</v>
      </c>
      <c r="M1331" s="48" t="n">
        <v>125133712836</v>
      </c>
      <c r="N1331" s="48" t="n">
        <v>9285</v>
      </c>
      <c r="O1331" s="48" t="n">
        <v>50206606</v>
      </c>
      <c r="P1331" s="48" t="n">
        <v>39451641</v>
      </c>
      <c r="Q1331" s="48" t="n">
        <v>3807</v>
      </c>
      <c r="R1331" s="48" t="n">
        <v>3794</v>
      </c>
      <c r="S1331" s="48" t="n">
        <v>36873222</v>
      </c>
      <c r="T1331" s="48" t="n">
        <v>47628187</v>
      </c>
      <c r="U1331" s="46" t="n">
        <f aca="false">IF($A1331=$A1330,$U1330+1,1)</f>
        <v>27</v>
      </c>
      <c r="V1331" s="48" t="n">
        <f aca="false">IF($U1331&gt;=MA_SHORT,AVERAGE(INDEX($I$931:$I1331,402-MA_SHORT):$I1331),"")</f>
        <v>1428.45</v>
      </c>
      <c r="W1331" s="48" t="str">
        <f aca="false">IF($U1331&gt;=MA_MED,AVERAGE(INDEX($I$931:$I1331,402-MA_MED):$I1331),"")</f>
        <v/>
      </c>
      <c r="X1331" s="48" t="str">
        <f aca="false">IF($U1331&gt;=MA_LONG1,AVERAGE(INDEX($I$931:$I1331,402-MA_LONG1):$I1331),"")</f>
        <v/>
      </c>
      <c r="Y1331" s="48" t="str">
        <f aca="false">IF($U1331&gt;=MA_LONG2,AVERAGE(INDEX($I$931:$I1331,402-MA_LONG2):$I1331),"")</f>
        <v/>
      </c>
      <c r="Z1331" s="48" t="n">
        <f aca="false">IF($U1331&gt;=MA_SHORT,AVERAGE(INDEX($L$1211:$L1331,122-MA_SHORT):$L1331),"")</f>
        <v>101473642.8</v>
      </c>
      <c r="AA1331" s="48" t="n">
        <f aca="false">IF($U1331=1,$G1331-$H1331,MAX($G1331-$H1331,ABS($G1331-$I1330),ABS($H1331-$I1330)))</f>
        <v>93</v>
      </c>
      <c r="AB1331" s="48" t="n">
        <f aca="false">IF($U1331&gt;=ATR_PER,AVERAGE(INDEX($AA$1211:$AA1331,122-ATR_PER):$AA1331),"")</f>
        <v>58.6428571428571</v>
      </c>
      <c r="AC1331" s="48" t="n">
        <f aca="false">$O1331-$P1331</f>
        <v>10754965</v>
      </c>
      <c r="AD1331" s="48" t="n">
        <f aca="false">$AC1331*$I1331</f>
        <v>15454884705</v>
      </c>
      <c r="AE1331" s="49" t="n">
        <f aca="false">IF($Q1331&gt;0,$O1331*$I1331/$Q1331/1000000,"")</f>
        <v>18.9511144791174</v>
      </c>
      <c r="AF1331" s="49" t="n">
        <f aca="false">IF($R1331&gt;0,$P1331*$I1331/$R1331/1000000,"")</f>
        <v>14.9425429934107</v>
      </c>
      <c r="AG1331" s="50" t="n">
        <f aca="false">IF(AND(ISNUMBER($AE1331),ISNUMBER($AF1331),$AF1331&gt;0),$AE1331/$AF1331,"")</f>
        <v>1.26826568191736</v>
      </c>
      <c r="AH1331" s="48" t="n">
        <f aca="false">IF($U1331&gt;=5,SUM(INDEX($AD$1301:$AD1331,32-5):$AD1331),"")</f>
        <v>-22101688549</v>
      </c>
      <c r="AI1331" s="48" t="n">
        <f aca="false">IF($U1331&gt;=STRUCT_S,MAX(INDEX($G$1181:$G1331,152-STRUCT_S):$G1331),"")</f>
        <v>1506</v>
      </c>
      <c r="AJ1331" s="48" t="n">
        <f aca="false">IF($U1331&gt;=STRUCT_S,MIN(INDEX($H$1181:$H1331,152-STRUCT_S):$H1331),"")</f>
        <v>1350</v>
      </c>
      <c r="AK1331" s="48" t="str">
        <f aca="false">IF($U1331&gt;=STRUCT_L,MAX(INDEX($G$1081:$G1331,252-STRUCT_L):$G1331),"")</f>
        <v/>
      </c>
      <c r="AL1331" s="48" t="str">
        <f aca="false">IF($U1331&gt;=STRUCT_L,MIN(INDEX($H$1081:$H1331,252-STRUCT_L):$H1331),"")</f>
        <v/>
      </c>
      <c r="AM1331" s="46" t="n">
        <f aca="false">IF($A1331&lt;&gt;$A1332,1,0)</f>
        <v>0</v>
      </c>
      <c r="AN1331" s="47" t="str">
        <f aca="false">IF($AM1331=1,$A1331,"")</f>
        <v/>
      </c>
    </row>
    <row r="1332" customFormat="false" ht="15" hidden="false" customHeight="false" outlineLevel="0" collapsed="false">
      <c r="A1332" s="43" t="s">
        <v>157</v>
      </c>
      <c r="B1332" s="44" t="s">
        <v>159</v>
      </c>
      <c r="C1332" s="45" t="n">
        <v>45943</v>
      </c>
      <c r="D1332" s="46" t="n">
        <v>20251013</v>
      </c>
      <c r="E1332" s="47" t="s">
        <v>315</v>
      </c>
      <c r="F1332" s="48" t="n">
        <v>1466</v>
      </c>
      <c r="G1332" s="48" t="n">
        <v>1479</v>
      </c>
      <c r="H1332" s="48" t="n">
        <v>1403</v>
      </c>
      <c r="I1332" s="48" t="n">
        <v>1445</v>
      </c>
      <c r="J1332" s="48" t="n">
        <v>1409</v>
      </c>
      <c r="K1332" s="48" t="n">
        <v>1437</v>
      </c>
      <c r="L1332" s="48" t="n">
        <v>70127540</v>
      </c>
      <c r="M1332" s="48" t="n">
        <v>101334295300</v>
      </c>
      <c r="N1332" s="48" t="n">
        <v>2618</v>
      </c>
      <c r="O1332" s="48" t="n">
        <v>33078488</v>
      </c>
      <c r="P1332" s="48" t="n">
        <v>40465592</v>
      </c>
      <c r="Q1332" s="48" t="n">
        <v>1052</v>
      </c>
      <c r="R1332" s="48" t="n">
        <v>1201</v>
      </c>
      <c r="S1332" s="48" t="n">
        <v>37049052</v>
      </c>
      <c r="T1332" s="48" t="n">
        <v>29661948</v>
      </c>
      <c r="U1332" s="46" t="n">
        <f aca="false">IF($A1332=$A1331,$U1331+1,1)</f>
        <v>28</v>
      </c>
      <c r="V1332" s="48" t="n">
        <f aca="false">IF($U1332&gt;=MA_SHORT,AVERAGE(INDEX($I$932:$I1332,402-MA_SHORT):$I1332),"")</f>
        <v>1428.9</v>
      </c>
      <c r="W1332" s="48" t="str">
        <f aca="false">IF($U1332&gt;=MA_MED,AVERAGE(INDEX($I$932:$I1332,402-MA_MED):$I1332),"")</f>
        <v/>
      </c>
      <c r="X1332" s="48" t="str">
        <f aca="false">IF($U1332&gt;=MA_LONG1,AVERAGE(INDEX($I$932:$I1332,402-MA_LONG1):$I1332),"")</f>
        <v/>
      </c>
      <c r="Y1332" s="48" t="str">
        <f aca="false">IF($U1332&gt;=MA_LONG2,AVERAGE(INDEX($I$932:$I1332,402-MA_LONG2):$I1332),"")</f>
        <v/>
      </c>
      <c r="Z1332" s="48" t="n">
        <f aca="false">IF($U1332&gt;=MA_SHORT,AVERAGE(INDEX($L$1212:$L1332,122-MA_SHORT):$L1332),"")</f>
        <v>98788557</v>
      </c>
      <c r="AA1332" s="48" t="n">
        <f aca="false">IF($U1332=1,$G1332-$H1332,MAX($G1332-$H1332,ABS($G1332-$I1331),ABS($H1332-$I1331)))</f>
        <v>76</v>
      </c>
      <c r="AB1332" s="48" t="n">
        <f aca="false">IF($U1332&gt;=ATR_PER,AVERAGE(INDEX($AA$1212:$AA1332,122-ATR_PER):$AA1332),"")</f>
        <v>60.4285714285714</v>
      </c>
      <c r="AC1332" s="48" t="n">
        <f aca="false">$O1332-$P1332</f>
        <v>-7387104</v>
      </c>
      <c r="AD1332" s="48" t="n">
        <f aca="false">$AC1332*$I1332</f>
        <v>-10674365280</v>
      </c>
      <c r="AE1332" s="49" t="n">
        <f aca="false">IF($Q1332&gt;0,$O1332*$I1332/$Q1332/1000000,"")</f>
        <v>45.4357558555133</v>
      </c>
      <c r="AF1332" s="49" t="n">
        <f aca="false">IF($R1332&gt;0,$P1332*$I1332/$R1332/1000000,"")</f>
        <v>48.686744746045</v>
      </c>
      <c r="AG1332" s="50" t="n">
        <f aca="false">IF(AND(ISNUMBER($AE1332),ISNUMBER($AF1332),$AF1332&gt;0),$AE1332/$AF1332,"")</f>
        <v>0.933226406746043</v>
      </c>
      <c r="AH1332" s="48" t="n">
        <f aca="false">IF($U1332&gt;=5,SUM(INDEX($AD$1302:$AD1332,32-5):$AD1332),"")</f>
        <v>-50073871600</v>
      </c>
      <c r="AI1332" s="48" t="n">
        <f aca="false">IF($U1332&gt;=STRUCT_S,MAX(INDEX($G$1182:$G1332,152-STRUCT_S):$G1332),"")</f>
        <v>1506</v>
      </c>
      <c r="AJ1332" s="48" t="n">
        <f aca="false">IF($U1332&gt;=STRUCT_S,MIN(INDEX($H$1182:$H1332,152-STRUCT_S):$H1332),"")</f>
        <v>1350</v>
      </c>
      <c r="AK1332" s="48" t="str">
        <f aca="false">IF($U1332&gt;=STRUCT_L,MAX(INDEX($G$1082:$G1332,252-STRUCT_L):$G1332),"")</f>
        <v/>
      </c>
      <c r="AL1332" s="48" t="str">
        <f aca="false">IF($U1332&gt;=STRUCT_L,MIN(INDEX($H$1082:$H1332,252-STRUCT_L):$H1332),"")</f>
        <v/>
      </c>
      <c r="AM1332" s="46" t="n">
        <f aca="false">IF($A1332&lt;&gt;$A1333,1,0)</f>
        <v>0</v>
      </c>
      <c r="AN1332" s="47" t="str">
        <f aca="false">IF($AM1332=1,$A1332,"")</f>
        <v/>
      </c>
    </row>
    <row r="1333" customFormat="false" ht="15" hidden="false" customHeight="false" outlineLevel="0" collapsed="false">
      <c r="A1333" s="43" t="s">
        <v>157</v>
      </c>
      <c r="B1333" s="44" t="s">
        <v>159</v>
      </c>
      <c r="C1333" s="45" t="n">
        <v>45944</v>
      </c>
      <c r="D1333" s="46" t="n">
        <v>20251014</v>
      </c>
      <c r="E1333" s="47" t="s">
        <v>316</v>
      </c>
      <c r="F1333" s="48" t="n">
        <v>1448</v>
      </c>
      <c r="G1333" s="48" t="n">
        <v>1485</v>
      </c>
      <c r="H1333" s="48" t="n">
        <v>1431</v>
      </c>
      <c r="I1333" s="48" t="n">
        <v>1471</v>
      </c>
      <c r="J1333" s="48" t="n">
        <v>1436</v>
      </c>
      <c r="K1333" s="48" t="n">
        <v>1445</v>
      </c>
      <c r="L1333" s="48" t="n">
        <v>75186939</v>
      </c>
      <c r="M1333" s="48" t="n">
        <v>110599987269</v>
      </c>
      <c r="N1333" s="48" t="n">
        <v>1789</v>
      </c>
      <c r="O1333" s="48" t="n">
        <v>43309427</v>
      </c>
      <c r="P1333" s="48" t="n">
        <v>27021747</v>
      </c>
      <c r="Q1333" s="48" t="n">
        <v>759</v>
      </c>
      <c r="R1333" s="48" t="n">
        <v>941</v>
      </c>
      <c r="S1333" s="48" t="n">
        <v>31877512</v>
      </c>
      <c r="T1333" s="48" t="n">
        <v>48165192</v>
      </c>
      <c r="U1333" s="46" t="n">
        <f aca="false">IF($A1333=$A1332,$U1332+1,1)</f>
        <v>29</v>
      </c>
      <c r="V1333" s="48" t="n">
        <f aca="false">IF($U1333&gt;=MA_SHORT,AVERAGE(INDEX($I$933:$I1333,402-MA_SHORT):$I1333),"")</f>
        <v>1431.3</v>
      </c>
      <c r="W1333" s="48" t="str">
        <f aca="false">IF($U1333&gt;=MA_MED,AVERAGE(INDEX($I$933:$I1333,402-MA_MED):$I1333),"")</f>
        <v/>
      </c>
      <c r="X1333" s="48" t="str">
        <f aca="false">IF($U1333&gt;=MA_LONG1,AVERAGE(INDEX($I$933:$I1333,402-MA_LONG1):$I1333),"")</f>
        <v/>
      </c>
      <c r="Y1333" s="48" t="str">
        <f aca="false">IF($U1333&gt;=MA_LONG2,AVERAGE(INDEX($I$933:$I1333,402-MA_LONG2):$I1333),"")</f>
        <v/>
      </c>
      <c r="Z1333" s="48" t="n">
        <f aca="false">IF($U1333&gt;=MA_SHORT,AVERAGE(INDEX($L$1213:$L1333,122-MA_SHORT):$L1333),"")</f>
        <v>98970562.8</v>
      </c>
      <c r="AA1333" s="48" t="n">
        <f aca="false">IF($U1333=1,$G1333-$H1333,MAX($G1333-$H1333,ABS($G1333-$I1332),ABS($H1333-$I1332)))</f>
        <v>54</v>
      </c>
      <c r="AB1333" s="48" t="n">
        <f aca="false">IF($U1333&gt;=ATR_PER,AVERAGE(INDEX($AA$1213:$AA1333,122-ATR_PER):$AA1333),"")</f>
        <v>61.0714285714286</v>
      </c>
      <c r="AC1333" s="48" t="n">
        <f aca="false">$O1333-$P1333</f>
        <v>16287680</v>
      </c>
      <c r="AD1333" s="48" t="n">
        <f aca="false">$AC1333*$I1333</f>
        <v>23959177280</v>
      </c>
      <c r="AE1333" s="49" t="n">
        <f aca="false">IF($Q1333&gt;0,$O1333*$I1333/$Q1333/1000000,"")</f>
        <v>83.9369790737813</v>
      </c>
      <c r="AF1333" s="49" t="n">
        <f aca="false">IF($R1333&gt;0,$P1333*$I1333/$R1333/1000000,"")</f>
        <v>42.2412219309246</v>
      </c>
      <c r="AG1333" s="50" t="n">
        <f aca="false">IF(AND(ISNUMBER($AE1333),ISNUMBER($AF1333),$AF1333&gt;0),$AE1333/$AF1333,"")</f>
        <v>1.98708690792705</v>
      </c>
      <c r="AH1333" s="48" t="n">
        <f aca="false">IF($U1333&gt;=5,SUM(INDEX($AD$1303:$AD1333,32-5):$AD1333),"")</f>
        <v>-39405835530</v>
      </c>
      <c r="AI1333" s="48" t="n">
        <f aca="false">IF($U1333&gt;=STRUCT_S,MAX(INDEX($G$1183:$G1333,152-STRUCT_S):$G1333),"")</f>
        <v>1506</v>
      </c>
      <c r="AJ1333" s="48" t="n">
        <f aca="false">IF($U1333&gt;=STRUCT_S,MIN(INDEX($H$1183:$H1333,152-STRUCT_S):$H1333),"")</f>
        <v>1350</v>
      </c>
      <c r="AK1333" s="48" t="str">
        <f aca="false">IF($U1333&gt;=STRUCT_L,MAX(INDEX($G$1083:$G1333,252-STRUCT_L):$G1333),"")</f>
        <v/>
      </c>
      <c r="AL1333" s="48" t="str">
        <f aca="false">IF($U1333&gt;=STRUCT_L,MIN(INDEX($H$1083:$H1333,252-STRUCT_L):$H1333),"")</f>
        <v/>
      </c>
      <c r="AM1333" s="46" t="n">
        <f aca="false">IF($A1333&lt;&gt;$A1334,1,0)</f>
        <v>0</v>
      </c>
      <c r="AN1333" s="47" t="str">
        <f aca="false">IF($AM1333=1,$A1333,"")</f>
        <v/>
      </c>
    </row>
    <row r="1334" customFormat="false" ht="15" hidden="false" customHeight="false" outlineLevel="0" collapsed="false">
      <c r="A1334" s="43" t="s">
        <v>157</v>
      </c>
      <c r="B1334" s="44" t="s">
        <v>159</v>
      </c>
      <c r="C1334" s="45" t="n">
        <v>45945</v>
      </c>
      <c r="D1334" s="46" t="n">
        <v>20251015</v>
      </c>
      <c r="E1334" s="47" t="s">
        <v>317</v>
      </c>
      <c r="F1334" s="48" t="n">
        <v>1458</v>
      </c>
      <c r="G1334" s="48" t="n">
        <v>1482</v>
      </c>
      <c r="H1334" s="48" t="n">
        <v>1425</v>
      </c>
      <c r="I1334" s="48" t="n">
        <v>1436</v>
      </c>
      <c r="J1334" s="48" t="n">
        <v>1469</v>
      </c>
      <c r="K1334" s="48" t="n">
        <v>1471</v>
      </c>
      <c r="L1334" s="48" t="n">
        <v>77548600</v>
      </c>
      <c r="M1334" s="48" t="n">
        <v>111359789600</v>
      </c>
      <c r="N1334" s="48" t="n">
        <v>2650</v>
      </c>
      <c r="O1334" s="48" t="n">
        <v>30881147</v>
      </c>
      <c r="P1334" s="48" t="n">
        <v>53638542</v>
      </c>
      <c r="Q1334" s="48" t="n">
        <v>1088</v>
      </c>
      <c r="R1334" s="48" t="n">
        <v>886</v>
      </c>
      <c r="S1334" s="48" t="n">
        <v>46667453</v>
      </c>
      <c r="T1334" s="48" t="n">
        <v>23910058</v>
      </c>
      <c r="U1334" s="46" t="n">
        <f aca="false">IF($A1334=$A1333,$U1333+1,1)</f>
        <v>30</v>
      </c>
      <c r="V1334" s="48" t="n">
        <f aca="false">IF($U1334&gt;=MA_SHORT,AVERAGE(INDEX($I$934:$I1334,402-MA_SHORT):$I1334),"")</f>
        <v>1434.55</v>
      </c>
      <c r="W1334" s="48" t="str">
        <f aca="false">IF($U1334&gt;=MA_MED,AVERAGE(INDEX($I$934:$I1334,402-MA_MED):$I1334),"")</f>
        <v/>
      </c>
      <c r="X1334" s="48" t="str">
        <f aca="false">IF($U1334&gt;=MA_LONG1,AVERAGE(INDEX($I$934:$I1334,402-MA_LONG1):$I1334),"")</f>
        <v/>
      </c>
      <c r="Y1334" s="48" t="str">
        <f aca="false">IF($U1334&gt;=MA_LONG2,AVERAGE(INDEX($I$934:$I1334,402-MA_LONG2):$I1334),"")</f>
        <v/>
      </c>
      <c r="Z1334" s="48" t="n">
        <f aca="false">IF($U1334&gt;=MA_SHORT,AVERAGE(INDEX($L$1214:$L1334,122-MA_SHORT):$L1334),"")</f>
        <v>98711012.05</v>
      </c>
      <c r="AA1334" s="48" t="n">
        <f aca="false">IF($U1334=1,$G1334-$H1334,MAX($G1334-$H1334,ABS($G1334-$I1333),ABS($H1334-$I1333)))</f>
        <v>57</v>
      </c>
      <c r="AB1334" s="48" t="n">
        <f aca="false">IF($U1334&gt;=ATR_PER,AVERAGE(INDEX($AA$1214:$AA1334,122-ATR_PER):$AA1334),"")</f>
        <v>57.5</v>
      </c>
      <c r="AC1334" s="48" t="n">
        <f aca="false">$O1334-$P1334</f>
        <v>-22757395</v>
      </c>
      <c r="AD1334" s="48" t="n">
        <f aca="false">$AC1334*$I1334</f>
        <v>-32679619220</v>
      </c>
      <c r="AE1334" s="49" t="n">
        <f aca="false">IF($Q1334&gt;0,$O1334*$I1334/$Q1334/1000000,"")</f>
        <v>40.7585726948529</v>
      </c>
      <c r="AF1334" s="49" t="n">
        <f aca="false">IF($R1334&gt;0,$P1334*$I1334/$R1334/1000000,"")</f>
        <v>86.9356053182844</v>
      </c>
      <c r="AG1334" s="50" t="n">
        <f aca="false">IF(AND(ISNUMBER($AE1334),ISNUMBER($AF1334),$AF1334&gt;0),$AE1334/$AF1334,"")</f>
        <v>0.468836359344709</v>
      </c>
      <c r="AH1334" s="48" t="n">
        <f aca="false">IF($U1334&gt;=5,SUM(INDEX($AD$1304:$AD1334,32-5):$AD1334),"")</f>
        <v>-48750409884</v>
      </c>
      <c r="AI1334" s="48" t="n">
        <f aca="false">IF($U1334&gt;=STRUCT_S,MAX(INDEX($G$1184:$G1334,152-STRUCT_S):$G1334),"")</f>
        <v>1506</v>
      </c>
      <c r="AJ1334" s="48" t="n">
        <f aca="false">IF($U1334&gt;=STRUCT_S,MIN(INDEX($H$1184:$H1334,152-STRUCT_S):$H1334),"")</f>
        <v>1360</v>
      </c>
      <c r="AK1334" s="48" t="str">
        <f aca="false">IF($U1334&gt;=STRUCT_L,MAX(INDEX($G$1084:$G1334,252-STRUCT_L):$G1334),"")</f>
        <v/>
      </c>
      <c r="AL1334" s="48" t="str">
        <f aca="false">IF($U1334&gt;=STRUCT_L,MIN(INDEX($H$1084:$H1334,252-STRUCT_L):$H1334),"")</f>
        <v/>
      </c>
      <c r="AM1334" s="46" t="n">
        <f aca="false">IF($A1334&lt;&gt;$A1335,1,0)</f>
        <v>0</v>
      </c>
      <c r="AN1334" s="47" t="str">
        <f aca="false">IF($AM1334=1,$A1334,"")</f>
        <v/>
      </c>
    </row>
    <row r="1335" customFormat="false" ht="15" hidden="false" customHeight="false" outlineLevel="0" collapsed="false">
      <c r="A1335" s="43" t="s">
        <v>157</v>
      </c>
      <c r="B1335" s="44" t="s">
        <v>159</v>
      </c>
      <c r="C1335" s="45" t="n">
        <v>45948</v>
      </c>
      <c r="D1335" s="46" t="n">
        <v>20251018</v>
      </c>
      <c r="E1335" s="47" t="s">
        <v>318</v>
      </c>
      <c r="F1335" s="48" t="n">
        <v>1485</v>
      </c>
      <c r="G1335" s="48" t="n">
        <v>1514</v>
      </c>
      <c r="H1335" s="48" t="n">
        <v>1404</v>
      </c>
      <c r="I1335" s="48" t="n">
        <v>1481</v>
      </c>
      <c r="J1335" s="48" t="n">
        <v>1459</v>
      </c>
      <c r="K1335" s="48" t="n">
        <v>1436</v>
      </c>
      <c r="L1335" s="48" t="n">
        <v>80620132</v>
      </c>
      <c r="M1335" s="48" t="n">
        <v>119398415492</v>
      </c>
      <c r="N1335" s="48" t="n">
        <v>3974</v>
      </c>
      <c r="O1335" s="48" t="n">
        <v>50480837</v>
      </c>
      <c r="P1335" s="48" t="n">
        <v>28339408</v>
      </c>
      <c r="Q1335" s="48" t="n">
        <v>1841</v>
      </c>
      <c r="R1335" s="48" t="n">
        <v>2008</v>
      </c>
      <c r="S1335" s="48" t="n">
        <v>30139295</v>
      </c>
      <c r="T1335" s="48" t="n">
        <v>52280724</v>
      </c>
      <c r="U1335" s="46" t="n">
        <f aca="false">IF($A1335=$A1334,$U1334+1,1)</f>
        <v>31</v>
      </c>
      <c r="V1335" s="48" t="n">
        <f aca="false">IF($U1335&gt;=MA_SHORT,AVERAGE(INDEX($I$935:$I1335,402-MA_SHORT):$I1335),"")</f>
        <v>1439.75</v>
      </c>
      <c r="W1335" s="48" t="str">
        <f aca="false">IF($U1335&gt;=MA_MED,AVERAGE(INDEX($I$935:$I1335,402-MA_MED):$I1335),"")</f>
        <v/>
      </c>
      <c r="X1335" s="48" t="str">
        <f aca="false">IF($U1335&gt;=MA_LONG1,AVERAGE(INDEX($I$935:$I1335,402-MA_LONG1):$I1335),"")</f>
        <v/>
      </c>
      <c r="Y1335" s="48" t="str">
        <f aca="false">IF($U1335&gt;=MA_LONG2,AVERAGE(INDEX($I$935:$I1335,402-MA_LONG2):$I1335),"")</f>
        <v/>
      </c>
      <c r="Z1335" s="48" t="n">
        <f aca="false">IF($U1335&gt;=MA_SHORT,AVERAGE(INDEX($L$1215:$L1335,122-MA_SHORT):$L1335),"")</f>
        <v>98113398.8</v>
      </c>
      <c r="AA1335" s="48" t="n">
        <f aca="false">IF($U1335=1,$G1335-$H1335,MAX($G1335-$H1335,ABS($G1335-$I1334),ABS($H1335-$I1334)))</f>
        <v>110</v>
      </c>
      <c r="AB1335" s="48" t="n">
        <f aca="false">IF($U1335&gt;=ATR_PER,AVERAGE(INDEX($AA$1215:$AA1335,122-ATR_PER):$AA1335),"")</f>
        <v>61.1428571428571</v>
      </c>
      <c r="AC1335" s="48" t="n">
        <f aca="false">$O1335-$P1335</f>
        <v>22141429</v>
      </c>
      <c r="AD1335" s="48" t="n">
        <f aca="false">$AC1335*$I1335</f>
        <v>32791456349</v>
      </c>
      <c r="AE1335" s="49" t="n">
        <f aca="false">IF($Q1335&gt;0,$O1335*$I1335/$Q1335/1000000,"")</f>
        <v>40.6095163481803</v>
      </c>
      <c r="AF1335" s="49" t="n">
        <f aca="false">IF($R1335&gt;0,$P1335*$I1335/$R1335/1000000,"")</f>
        <v>20.9017247250996</v>
      </c>
      <c r="AG1335" s="50" t="n">
        <f aca="false">IF(AND(ISNUMBER($AE1335),ISNUMBER($AF1335),$AF1335&gt;0),$AE1335/$AF1335,"")</f>
        <v>1.94287872806089</v>
      </c>
      <c r="AH1335" s="48" t="n">
        <f aca="false">IF($U1335&gt;=5,SUM(INDEX($AD$1305:$AD1335,32-5):$AD1335),"")</f>
        <v>28851533834</v>
      </c>
      <c r="AI1335" s="48" t="n">
        <f aca="false">IF($U1335&gt;=STRUCT_S,MAX(INDEX($G$1185:$G1335,152-STRUCT_S):$G1335),"")</f>
        <v>1514</v>
      </c>
      <c r="AJ1335" s="48" t="n">
        <f aca="false">IF($U1335&gt;=STRUCT_S,MIN(INDEX($H$1185:$H1335,152-STRUCT_S):$H1335),"")</f>
        <v>1360</v>
      </c>
      <c r="AK1335" s="48" t="str">
        <f aca="false">IF($U1335&gt;=STRUCT_L,MAX(INDEX($G$1085:$G1335,252-STRUCT_L):$G1335),"")</f>
        <v/>
      </c>
      <c r="AL1335" s="48" t="str">
        <f aca="false">IF($U1335&gt;=STRUCT_L,MIN(INDEX($H$1085:$H1335,252-STRUCT_L):$H1335),"")</f>
        <v/>
      </c>
      <c r="AM1335" s="46" t="n">
        <f aca="false">IF($A1335&lt;&gt;$A1336,1,0)</f>
        <v>0</v>
      </c>
      <c r="AN1335" s="47" t="str">
        <f aca="false">IF($AM1335=1,$A1335,"")</f>
        <v/>
      </c>
    </row>
    <row r="1336" customFormat="false" ht="15" hidden="false" customHeight="false" outlineLevel="0" collapsed="false">
      <c r="A1336" s="43" t="s">
        <v>157</v>
      </c>
      <c r="B1336" s="44" t="s">
        <v>159</v>
      </c>
      <c r="C1336" s="45" t="n">
        <v>45949</v>
      </c>
      <c r="D1336" s="46" t="n">
        <v>20251019</v>
      </c>
      <c r="E1336" s="47" t="s">
        <v>319</v>
      </c>
      <c r="F1336" s="48" t="n">
        <v>1481</v>
      </c>
      <c r="G1336" s="48" t="n">
        <v>1503</v>
      </c>
      <c r="H1336" s="48" t="n">
        <v>1465</v>
      </c>
      <c r="I1336" s="48" t="n">
        <v>1487</v>
      </c>
      <c r="J1336" s="48" t="n">
        <v>1502</v>
      </c>
      <c r="K1336" s="48" t="n">
        <v>1481</v>
      </c>
      <c r="L1336" s="48" t="n">
        <v>108988432</v>
      </c>
      <c r="M1336" s="48" t="n">
        <v>162065798384</v>
      </c>
      <c r="N1336" s="48" t="n">
        <v>12005</v>
      </c>
      <c r="O1336" s="48" t="n">
        <v>51489220</v>
      </c>
      <c r="P1336" s="48" t="n">
        <v>59037008</v>
      </c>
      <c r="Q1336" s="48" t="n">
        <v>4949</v>
      </c>
      <c r="R1336" s="48" t="n">
        <v>5793</v>
      </c>
      <c r="S1336" s="48" t="n">
        <v>57499212</v>
      </c>
      <c r="T1336" s="48" t="n">
        <v>49951424</v>
      </c>
      <c r="U1336" s="46" t="n">
        <f aca="false">IF($A1336=$A1335,$U1335+1,1)</f>
        <v>32</v>
      </c>
      <c r="V1336" s="48" t="n">
        <f aca="false">IF($U1336&gt;=MA_SHORT,AVERAGE(INDEX($I$936:$I1336,402-MA_SHORT):$I1336),"")</f>
        <v>1444.45</v>
      </c>
      <c r="W1336" s="48" t="str">
        <f aca="false">IF($U1336&gt;=MA_MED,AVERAGE(INDEX($I$936:$I1336,402-MA_MED):$I1336),"")</f>
        <v/>
      </c>
      <c r="X1336" s="48" t="str">
        <f aca="false">IF($U1336&gt;=MA_LONG1,AVERAGE(INDEX($I$936:$I1336,402-MA_LONG1):$I1336),"")</f>
        <v/>
      </c>
      <c r="Y1336" s="48" t="str">
        <f aca="false">IF($U1336&gt;=MA_LONG2,AVERAGE(INDEX($I$936:$I1336,402-MA_LONG2):$I1336),"")</f>
        <v/>
      </c>
      <c r="Z1336" s="48" t="n">
        <f aca="false">IF($U1336&gt;=MA_SHORT,AVERAGE(INDEX($L$1216:$L1336,122-MA_SHORT):$L1336),"")</f>
        <v>98386640.65</v>
      </c>
      <c r="AA1336" s="48" t="n">
        <f aca="false">IF($U1336=1,$G1336-$H1336,MAX($G1336-$H1336,ABS($G1336-$I1335),ABS($H1336-$I1335)))</f>
        <v>38</v>
      </c>
      <c r="AB1336" s="48" t="n">
        <f aca="false">IF($U1336&gt;=ATR_PER,AVERAGE(INDEX($AA$1216:$AA1336,122-ATR_PER):$AA1336),"")</f>
        <v>60.5714285714286</v>
      </c>
      <c r="AC1336" s="48" t="n">
        <f aca="false">$O1336-$P1336</f>
        <v>-7547788</v>
      </c>
      <c r="AD1336" s="48" t="n">
        <f aca="false">$AC1336*$I1336</f>
        <v>-11223560756</v>
      </c>
      <c r="AE1336" s="49" t="n">
        <f aca="false">IF($Q1336&gt;0,$O1336*$I1336/$Q1336/1000000,"")</f>
        <v>15.4706951182057</v>
      </c>
      <c r="AF1336" s="49" t="n">
        <f aca="false">IF($R1336&gt;0,$P1336*$I1336/$R1336/1000000,"")</f>
        <v>15.1541568955636</v>
      </c>
      <c r="AG1336" s="50" t="n">
        <f aca="false">IF(AND(ISNUMBER($AE1336),ISNUMBER($AF1336),$AF1336&gt;0),$AE1336/$AF1336,"")</f>
        <v>1.02088788078568</v>
      </c>
      <c r="AH1336" s="48" t="n">
        <f aca="false">IF($U1336&gt;=5,SUM(INDEX($AD$1306:$AD1336,32-5):$AD1336),"")</f>
        <v>2173088373</v>
      </c>
      <c r="AI1336" s="48" t="n">
        <f aca="false">IF($U1336&gt;=STRUCT_S,MAX(INDEX($G$1186:$G1336,152-STRUCT_S):$G1336),"")</f>
        <v>1514</v>
      </c>
      <c r="AJ1336" s="48" t="n">
        <f aca="false">IF($U1336&gt;=STRUCT_S,MIN(INDEX($H$1186:$H1336,152-STRUCT_S):$H1336),"")</f>
        <v>1360</v>
      </c>
      <c r="AK1336" s="48" t="str">
        <f aca="false">IF($U1336&gt;=STRUCT_L,MAX(INDEX($G$1086:$G1336,252-STRUCT_L):$G1336),"")</f>
        <v/>
      </c>
      <c r="AL1336" s="48" t="str">
        <f aca="false">IF($U1336&gt;=STRUCT_L,MIN(INDEX($H$1086:$H1336,252-STRUCT_L):$H1336),"")</f>
        <v/>
      </c>
      <c r="AM1336" s="46" t="n">
        <f aca="false">IF($A1336&lt;&gt;$A1337,1,0)</f>
        <v>0</v>
      </c>
      <c r="AN1336" s="47" t="str">
        <f aca="false">IF($AM1336=1,$A1336,"")</f>
        <v/>
      </c>
    </row>
    <row r="1337" customFormat="false" ht="15" hidden="false" customHeight="false" outlineLevel="0" collapsed="false">
      <c r="A1337" s="43" t="s">
        <v>157</v>
      </c>
      <c r="B1337" s="44" t="s">
        <v>159</v>
      </c>
      <c r="C1337" s="45" t="n">
        <v>45950</v>
      </c>
      <c r="D1337" s="46" t="n">
        <v>20251020</v>
      </c>
      <c r="E1337" s="47" t="s">
        <v>320</v>
      </c>
      <c r="F1337" s="48" t="n">
        <v>1451</v>
      </c>
      <c r="G1337" s="48" t="n">
        <v>1502</v>
      </c>
      <c r="H1337" s="48" t="n">
        <v>1444</v>
      </c>
      <c r="I1337" s="48" t="n">
        <v>1459</v>
      </c>
      <c r="J1337" s="48" t="n">
        <v>1449</v>
      </c>
      <c r="K1337" s="48" t="n">
        <v>1487</v>
      </c>
      <c r="L1337" s="48" t="n">
        <v>86813738</v>
      </c>
      <c r="M1337" s="48" t="n">
        <v>126661243742</v>
      </c>
      <c r="N1337" s="48" t="n">
        <v>2761</v>
      </c>
      <c r="O1337" s="48" t="n">
        <v>38205803</v>
      </c>
      <c r="P1337" s="48" t="n">
        <v>46660723</v>
      </c>
      <c r="Q1337" s="48" t="n">
        <v>1148</v>
      </c>
      <c r="R1337" s="48" t="n">
        <v>814</v>
      </c>
      <c r="S1337" s="48" t="n">
        <v>48607935</v>
      </c>
      <c r="T1337" s="48" t="n">
        <v>40153015</v>
      </c>
      <c r="U1337" s="46" t="n">
        <f aca="false">IF($A1337=$A1336,$U1336+1,1)</f>
        <v>33</v>
      </c>
      <c r="V1337" s="48" t="n">
        <f aca="false">IF($U1337&gt;=MA_SHORT,AVERAGE(INDEX($I$937:$I1337,402-MA_SHORT):$I1337),"")</f>
        <v>1448.45</v>
      </c>
      <c r="W1337" s="48" t="str">
        <f aca="false">IF($U1337&gt;=MA_MED,AVERAGE(INDEX($I$937:$I1337,402-MA_MED):$I1337),"")</f>
        <v/>
      </c>
      <c r="X1337" s="48" t="str">
        <f aca="false">IF($U1337&gt;=MA_LONG1,AVERAGE(INDEX($I$937:$I1337,402-MA_LONG1):$I1337),"")</f>
        <v/>
      </c>
      <c r="Y1337" s="48" t="str">
        <f aca="false">IF($U1337&gt;=MA_LONG2,AVERAGE(INDEX($I$937:$I1337,402-MA_LONG2):$I1337),"")</f>
        <v/>
      </c>
      <c r="Z1337" s="48" t="n">
        <f aca="false">IF($U1337&gt;=MA_SHORT,AVERAGE(INDEX($L$1217:$L1337,122-MA_SHORT):$L1337),"")</f>
        <v>88923268.9</v>
      </c>
      <c r="AA1337" s="48" t="n">
        <f aca="false">IF($U1337=1,$G1337-$H1337,MAX($G1337-$H1337,ABS($G1337-$I1336),ABS($H1337-$I1336)))</f>
        <v>58</v>
      </c>
      <c r="AB1337" s="48" t="n">
        <f aca="false">IF($U1337&gt;=ATR_PER,AVERAGE(INDEX($AA$1217:$AA1337,122-ATR_PER):$AA1337),"")</f>
        <v>63.5714285714286</v>
      </c>
      <c r="AC1337" s="48" t="n">
        <f aca="false">$O1337-$P1337</f>
        <v>-8454920</v>
      </c>
      <c r="AD1337" s="48" t="n">
        <f aca="false">$AC1337*$I1337</f>
        <v>-12335728280</v>
      </c>
      <c r="AE1337" s="49" t="n">
        <f aca="false">IF($Q1337&gt;0,$O1337*$I1337/$Q1337/1000000,"")</f>
        <v>48.5559813388502</v>
      </c>
      <c r="AF1337" s="49" t="n">
        <f aca="false">IF($R1337&gt;0,$P1337*$I1337/$R1337/1000000,"")</f>
        <v>83.6339003157248</v>
      </c>
      <c r="AG1337" s="50" t="n">
        <f aca="false">IF(AND(ISNUMBER($AE1337),ISNUMBER($AF1337),$AF1337&gt;0),$AE1337/$AF1337,"")</f>
        <v>0.580577746052108</v>
      </c>
      <c r="AH1337" s="48" t="n">
        <f aca="false">IF($U1337&gt;=5,SUM(INDEX($AD$1307:$AD1337,32-5):$AD1337),"")</f>
        <v>511725373</v>
      </c>
      <c r="AI1337" s="48" t="n">
        <f aca="false">IF($U1337&gt;=STRUCT_S,MAX(INDEX($G$1187:$G1337,152-STRUCT_S):$G1337),"")</f>
        <v>1514</v>
      </c>
      <c r="AJ1337" s="48" t="n">
        <f aca="false">IF($U1337&gt;=STRUCT_S,MIN(INDEX($H$1187:$H1337,152-STRUCT_S):$H1337),"")</f>
        <v>1367</v>
      </c>
      <c r="AK1337" s="48" t="str">
        <f aca="false">IF($U1337&gt;=STRUCT_L,MAX(INDEX($G$1087:$G1337,252-STRUCT_L):$G1337),"")</f>
        <v/>
      </c>
      <c r="AL1337" s="48" t="str">
        <f aca="false">IF($U1337&gt;=STRUCT_L,MIN(INDEX($H$1087:$H1337,252-STRUCT_L):$H1337),"")</f>
        <v/>
      </c>
      <c r="AM1337" s="46" t="n">
        <f aca="false">IF($A1337&lt;&gt;$A1338,1,0)</f>
        <v>0</v>
      </c>
      <c r="AN1337" s="47" t="str">
        <f aca="false">IF($AM1337=1,$A1337,"")</f>
        <v/>
      </c>
    </row>
    <row r="1338" customFormat="false" ht="15" hidden="false" customHeight="false" outlineLevel="0" collapsed="false">
      <c r="A1338" s="43" t="s">
        <v>157</v>
      </c>
      <c r="B1338" s="44" t="s">
        <v>159</v>
      </c>
      <c r="C1338" s="45" t="n">
        <v>45951</v>
      </c>
      <c r="D1338" s="46" t="n">
        <v>20251021</v>
      </c>
      <c r="E1338" s="47" t="s">
        <v>321</v>
      </c>
      <c r="F1338" s="48" t="n">
        <v>1471</v>
      </c>
      <c r="G1338" s="48" t="n">
        <v>1503</v>
      </c>
      <c r="H1338" s="48" t="n">
        <v>1439</v>
      </c>
      <c r="I1338" s="48" t="n">
        <v>1482</v>
      </c>
      <c r="J1338" s="48" t="n">
        <v>1493</v>
      </c>
      <c r="K1338" s="48" t="n">
        <v>1459</v>
      </c>
      <c r="L1338" s="48" t="n">
        <v>74279427</v>
      </c>
      <c r="M1338" s="48" t="n">
        <v>110082110814</v>
      </c>
      <c r="N1338" s="48" t="n">
        <v>1745</v>
      </c>
      <c r="O1338" s="48" t="n">
        <v>40541875</v>
      </c>
      <c r="P1338" s="48" t="n">
        <v>35336121</v>
      </c>
      <c r="Q1338" s="48" t="n">
        <v>828</v>
      </c>
      <c r="R1338" s="48" t="n">
        <v>595</v>
      </c>
      <c r="S1338" s="48" t="n">
        <v>33737552</v>
      </c>
      <c r="T1338" s="48" t="n">
        <v>38943306</v>
      </c>
      <c r="U1338" s="46" t="n">
        <f aca="false">IF($A1338=$A1337,$U1337+1,1)</f>
        <v>34</v>
      </c>
      <c r="V1338" s="48" t="n">
        <f aca="false">IF($U1338&gt;=MA_SHORT,AVERAGE(INDEX($I$938:$I1338,402-MA_SHORT):$I1338),"")</f>
        <v>1451.55</v>
      </c>
      <c r="W1338" s="48" t="str">
        <f aca="false">IF($U1338&gt;=MA_MED,AVERAGE(INDEX($I$938:$I1338,402-MA_MED):$I1338),"")</f>
        <v/>
      </c>
      <c r="X1338" s="48" t="str">
        <f aca="false">IF($U1338&gt;=MA_LONG1,AVERAGE(INDEX($I$938:$I1338,402-MA_LONG1):$I1338),"")</f>
        <v/>
      </c>
      <c r="Y1338" s="48" t="str">
        <f aca="false">IF($U1338&gt;=MA_LONG2,AVERAGE(INDEX($I$938:$I1338,402-MA_LONG2):$I1338),"")</f>
        <v/>
      </c>
      <c r="Z1338" s="48" t="n">
        <f aca="false">IF($U1338&gt;=MA_SHORT,AVERAGE(INDEX($L$1218:$L1338,122-MA_SHORT):$L1338),"")</f>
        <v>88638915.9</v>
      </c>
      <c r="AA1338" s="48" t="n">
        <f aca="false">IF($U1338=1,$G1338-$H1338,MAX($G1338-$H1338,ABS($G1338-$I1337),ABS($H1338-$I1337)))</f>
        <v>64</v>
      </c>
      <c r="AB1338" s="48" t="n">
        <f aca="false">IF($U1338&gt;=ATR_PER,AVERAGE(INDEX($AA$1218:$AA1338,122-ATR_PER):$AA1338),"")</f>
        <v>60.0714285714286</v>
      </c>
      <c r="AC1338" s="48" t="n">
        <f aca="false">$O1338-$P1338</f>
        <v>5205754</v>
      </c>
      <c r="AD1338" s="48" t="n">
        <f aca="false">$AC1338*$I1338</f>
        <v>7714927428</v>
      </c>
      <c r="AE1338" s="49" t="n">
        <f aca="false">IF($Q1338&gt;0,$O1338*$I1338/$Q1338/1000000,"")</f>
        <v>72.564080615942</v>
      </c>
      <c r="AF1338" s="49" t="n">
        <f aca="false">IF($R1338&gt;0,$P1338*$I1338/$R1338/1000000,"")</f>
        <v>88.013666087395</v>
      </c>
      <c r="AG1338" s="50" t="n">
        <f aca="false">IF(AND(ISNUMBER($AE1338),ISNUMBER($AF1338),$AF1338&gt;0),$AE1338/$AF1338,"")</f>
        <v>0.824463788883513</v>
      </c>
      <c r="AH1338" s="48" t="n">
        <f aca="false">IF($U1338&gt;=5,SUM(INDEX($AD$1308:$AD1338,32-5):$AD1338),"")</f>
        <v>-15732524479</v>
      </c>
      <c r="AI1338" s="48" t="n">
        <f aca="false">IF($U1338&gt;=STRUCT_S,MAX(INDEX($G$1188:$G1338,152-STRUCT_S):$G1338),"")</f>
        <v>1514</v>
      </c>
      <c r="AJ1338" s="48" t="n">
        <f aca="false">IF($U1338&gt;=STRUCT_S,MIN(INDEX($H$1188:$H1338,152-STRUCT_S):$H1338),"")</f>
        <v>1367</v>
      </c>
      <c r="AK1338" s="48" t="str">
        <f aca="false">IF($U1338&gt;=STRUCT_L,MAX(INDEX($G$1088:$G1338,252-STRUCT_L):$G1338),"")</f>
        <v/>
      </c>
      <c r="AL1338" s="48" t="str">
        <f aca="false">IF($U1338&gt;=STRUCT_L,MIN(INDEX($H$1088:$H1338,252-STRUCT_L):$H1338),"")</f>
        <v/>
      </c>
      <c r="AM1338" s="46" t="n">
        <f aca="false">IF($A1338&lt;&gt;$A1339,1,0)</f>
        <v>0</v>
      </c>
      <c r="AN1338" s="47" t="str">
        <f aca="false">IF($AM1338=1,$A1338,"")</f>
        <v/>
      </c>
    </row>
    <row r="1339" customFormat="false" ht="15" hidden="false" customHeight="false" outlineLevel="0" collapsed="false">
      <c r="A1339" s="43" t="s">
        <v>157</v>
      </c>
      <c r="B1339" s="44" t="s">
        <v>159</v>
      </c>
      <c r="C1339" s="45" t="n">
        <v>45952</v>
      </c>
      <c r="D1339" s="46" t="n">
        <v>20251022</v>
      </c>
      <c r="E1339" s="47" t="s">
        <v>322</v>
      </c>
      <c r="F1339" s="48" t="n">
        <v>1507</v>
      </c>
      <c r="G1339" s="48" t="n">
        <v>1512</v>
      </c>
      <c r="H1339" s="48" t="n">
        <v>1461</v>
      </c>
      <c r="I1339" s="48" t="n">
        <v>1491</v>
      </c>
      <c r="J1339" s="48" t="n">
        <v>1501</v>
      </c>
      <c r="K1339" s="48" t="n">
        <v>1482</v>
      </c>
      <c r="L1339" s="48" t="n">
        <v>70333452</v>
      </c>
      <c r="M1339" s="48" t="n">
        <v>104867176932</v>
      </c>
      <c r="N1339" s="48" t="n">
        <v>3735</v>
      </c>
      <c r="O1339" s="48" t="n">
        <v>37021686</v>
      </c>
      <c r="P1339" s="48" t="n">
        <v>33065474</v>
      </c>
      <c r="Q1339" s="48" t="n">
        <v>1716</v>
      </c>
      <c r="R1339" s="48" t="n">
        <v>1494</v>
      </c>
      <c r="S1339" s="48" t="n">
        <v>33311766</v>
      </c>
      <c r="T1339" s="48" t="n">
        <v>37267978</v>
      </c>
      <c r="U1339" s="46" t="n">
        <f aca="false">IF($A1339=$A1338,$U1338+1,1)</f>
        <v>35</v>
      </c>
      <c r="V1339" s="48" t="n">
        <f aca="false">IF($U1339&gt;=MA_SHORT,AVERAGE(INDEX($I$939:$I1339,402-MA_SHORT):$I1339),"")</f>
        <v>1454.2</v>
      </c>
      <c r="W1339" s="48" t="str">
        <f aca="false">IF($U1339&gt;=MA_MED,AVERAGE(INDEX($I$939:$I1339,402-MA_MED):$I1339),"")</f>
        <v/>
      </c>
      <c r="X1339" s="48" t="str">
        <f aca="false">IF($U1339&gt;=MA_LONG1,AVERAGE(INDEX($I$939:$I1339,402-MA_LONG1):$I1339),"")</f>
        <v/>
      </c>
      <c r="Y1339" s="48" t="str">
        <f aca="false">IF($U1339&gt;=MA_LONG2,AVERAGE(INDEX($I$939:$I1339,402-MA_LONG2):$I1339),"")</f>
        <v/>
      </c>
      <c r="Z1339" s="48" t="n">
        <f aca="false">IF($U1339&gt;=MA_SHORT,AVERAGE(INDEX($L$1219:$L1339,122-MA_SHORT):$L1339),"")</f>
        <v>87648694.95</v>
      </c>
      <c r="AA1339" s="48" t="n">
        <f aca="false">IF($U1339=1,$G1339-$H1339,MAX($G1339-$H1339,ABS($G1339-$I1338),ABS($H1339-$I1338)))</f>
        <v>51</v>
      </c>
      <c r="AB1339" s="48" t="n">
        <f aca="false">IF($U1339&gt;=ATR_PER,AVERAGE(INDEX($AA$1219:$AA1339,122-ATR_PER):$AA1339),"")</f>
        <v>61.7857142857143</v>
      </c>
      <c r="AC1339" s="48" t="n">
        <f aca="false">$O1339-$P1339</f>
        <v>3956212</v>
      </c>
      <c r="AD1339" s="48" t="n">
        <f aca="false">$AC1339*$I1339</f>
        <v>5898712092</v>
      </c>
      <c r="AE1339" s="49" t="n">
        <f aca="false">IF($Q1339&gt;0,$O1339*$I1339/$Q1339/1000000,"")</f>
        <v>32.1674439545455</v>
      </c>
      <c r="AF1339" s="49" t="n">
        <f aca="false">IF($R1339&gt;0,$P1339*$I1339/$R1339/1000000,"")</f>
        <v>32.9990774658635</v>
      </c>
      <c r="AG1339" s="50" t="n">
        <f aca="false">IF(AND(ISNUMBER($AE1339),ISNUMBER($AF1339),$AF1339&gt;0),$AE1339/$AF1339,"")</f>
        <v>0.974798279976817</v>
      </c>
      <c r="AH1339" s="48" t="n">
        <f aca="false">IF($U1339&gt;=5,SUM(INDEX($AD$1309:$AD1339,32-5):$AD1339),"")</f>
        <v>22845806833</v>
      </c>
      <c r="AI1339" s="48" t="n">
        <f aca="false">IF($U1339&gt;=STRUCT_S,MAX(INDEX($G$1189:$G1339,152-STRUCT_S):$G1339),"")</f>
        <v>1514</v>
      </c>
      <c r="AJ1339" s="48" t="n">
        <f aca="false">IF($U1339&gt;=STRUCT_S,MIN(INDEX($H$1189:$H1339,152-STRUCT_S):$H1339),"")</f>
        <v>1367</v>
      </c>
      <c r="AK1339" s="48" t="str">
        <f aca="false">IF($U1339&gt;=STRUCT_L,MAX(INDEX($G$1089:$G1339,252-STRUCT_L):$G1339),"")</f>
        <v/>
      </c>
      <c r="AL1339" s="48" t="str">
        <f aca="false">IF($U1339&gt;=STRUCT_L,MIN(INDEX($H$1089:$H1339,252-STRUCT_L):$H1339),"")</f>
        <v/>
      </c>
      <c r="AM1339" s="46" t="n">
        <f aca="false">IF($A1339&lt;&gt;$A1340,1,0)</f>
        <v>0</v>
      </c>
      <c r="AN1339" s="47" t="str">
        <f aca="false">IF($AM1339=1,$A1339,"")</f>
        <v/>
      </c>
    </row>
    <row r="1340" customFormat="false" ht="15" hidden="false" customHeight="false" outlineLevel="0" collapsed="false">
      <c r="A1340" s="43" t="s">
        <v>157</v>
      </c>
      <c r="B1340" s="44" t="s">
        <v>159</v>
      </c>
      <c r="C1340" s="45" t="n">
        <v>45955</v>
      </c>
      <c r="D1340" s="46" t="n">
        <v>20251025</v>
      </c>
      <c r="E1340" s="47" t="s">
        <v>323</v>
      </c>
      <c r="F1340" s="48" t="n">
        <v>1468</v>
      </c>
      <c r="G1340" s="48" t="n">
        <v>1513</v>
      </c>
      <c r="H1340" s="48" t="n">
        <v>1455</v>
      </c>
      <c r="I1340" s="48" t="n">
        <v>1477</v>
      </c>
      <c r="J1340" s="48" t="n">
        <v>1497</v>
      </c>
      <c r="K1340" s="48" t="n">
        <v>1491</v>
      </c>
      <c r="L1340" s="48" t="n">
        <v>95145113</v>
      </c>
      <c r="M1340" s="48" t="n">
        <v>140529331901</v>
      </c>
      <c r="N1340" s="48" t="n">
        <v>4089</v>
      </c>
      <c r="O1340" s="48" t="n">
        <v>45407132</v>
      </c>
      <c r="P1340" s="48" t="n">
        <v>53540608</v>
      </c>
      <c r="Q1340" s="48" t="n">
        <v>2060</v>
      </c>
      <c r="R1340" s="48" t="n">
        <v>1876</v>
      </c>
      <c r="S1340" s="48" t="n">
        <v>49737981</v>
      </c>
      <c r="T1340" s="48" t="n">
        <v>41604505</v>
      </c>
      <c r="U1340" s="46" t="n">
        <f aca="false">IF($A1340=$A1339,$U1339+1,1)</f>
        <v>36</v>
      </c>
      <c r="V1340" s="48" t="n">
        <f aca="false">IF($U1340&gt;=MA_SHORT,AVERAGE(INDEX($I$940:$I1340,402-MA_SHORT):$I1340),"")</f>
        <v>1457.9</v>
      </c>
      <c r="W1340" s="48" t="str">
        <f aca="false">IF($U1340&gt;=MA_MED,AVERAGE(INDEX($I$940:$I1340,402-MA_MED):$I1340),"")</f>
        <v/>
      </c>
      <c r="X1340" s="48" t="str">
        <f aca="false">IF($U1340&gt;=MA_LONG1,AVERAGE(INDEX($I$940:$I1340,402-MA_LONG1):$I1340),"")</f>
        <v/>
      </c>
      <c r="Y1340" s="48" t="str">
        <f aca="false">IF($U1340&gt;=MA_LONG2,AVERAGE(INDEX($I$940:$I1340,402-MA_LONG2):$I1340),"")</f>
        <v/>
      </c>
      <c r="Z1340" s="48" t="n">
        <f aca="false">IF($U1340&gt;=MA_SHORT,AVERAGE(INDEX($L$1220:$L1340,122-MA_SHORT):$L1340),"")</f>
        <v>87193587</v>
      </c>
      <c r="AA1340" s="48" t="n">
        <f aca="false">IF($U1340=1,$G1340-$H1340,MAX($G1340-$H1340,ABS($G1340-$I1339),ABS($H1340-$I1339)))</f>
        <v>58</v>
      </c>
      <c r="AB1340" s="48" t="n">
        <f aca="false">IF($U1340&gt;=ATR_PER,AVERAGE(INDEX($AA$1220:$AA1340,122-ATR_PER):$AA1340),"")</f>
        <v>63.6428571428571</v>
      </c>
      <c r="AC1340" s="48" t="n">
        <f aca="false">$O1340-$P1340</f>
        <v>-8133476</v>
      </c>
      <c r="AD1340" s="48" t="n">
        <f aca="false">$AC1340*$I1340</f>
        <v>-12013144052</v>
      </c>
      <c r="AE1340" s="49" t="n">
        <f aca="false">IF($Q1340&gt;0,$O1340*$I1340/$Q1340/1000000,"")</f>
        <v>32.5564727980583</v>
      </c>
      <c r="AF1340" s="49" t="n">
        <f aca="false">IF($R1340&gt;0,$P1340*$I1340/$R1340/1000000,"")</f>
        <v>42.153239880597</v>
      </c>
      <c r="AG1340" s="50" t="n">
        <f aca="false">IF(AND(ISNUMBER($AE1340),ISNUMBER($AF1340),$AF1340&gt;0),$AE1340/$AF1340,"")</f>
        <v>0.772336192669353</v>
      </c>
      <c r="AH1340" s="48" t="n">
        <f aca="false">IF($U1340&gt;=5,SUM(INDEX($AD$1310:$AD1340,32-5):$AD1340),"")</f>
        <v>-21958793568</v>
      </c>
      <c r="AI1340" s="48" t="n">
        <f aca="false">IF($U1340&gt;=STRUCT_S,MAX(INDEX($G$1190:$G1340,152-STRUCT_S):$G1340),"")</f>
        <v>1514</v>
      </c>
      <c r="AJ1340" s="48" t="n">
        <f aca="false">IF($U1340&gt;=STRUCT_S,MIN(INDEX($H$1190:$H1340,152-STRUCT_S):$H1340),"")</f>
        <v>1379</v>
      </c>
      <c r="AK1340" s="48" t="str">
        <f aca="false">IF($U1340&gt;=STRUCT_L,MAX(INDEX($G$1090:$G1340,252-STRUCT_L):$G1340),"")</f>
        <v/>
      </c>
      <c r="AL1340" s="48" t="str">
        <f aca="false">IF($U1340&gt;=STRUCT_L,MIN(INDEX($H$1090:$H1340,252-STRUCT_L):$H1340),"")</f>
        <v/>
      </c>
      <c r="AM1340" s="46" t="n">
        <f aca="false">IF($A1340&lt;&gt;$A1341,1,0)</f>
        <v>0</v>
      </c>
      <c r="AN1340" s="47" t="str">
        <f aca="false">IF($AM1340=1,$A1340,"")</f>
        <v/>
      </c>
    </row>
    <row r="1341" customFormat="false" ht="15" hidden="false" customHeight="false" outlineLevel="0" collapsed="false">
      <c r="A1341" s="43" t="s">
        <v>157</v>
      </c>
      <c r="B1341" s="44" t="s">
        <v>159</v>
      </c>
      <c r="C1341" s="45" t="n">
        <v>45956</v>
      </c>
      <c r="D1341" s="46" t="n">
        <v>20251026</v>
      </c>
      <c r="E1341" s="47" t="s">
        <v>324</v>
      </c>
      <c r="F1341" s="48" t="n">
        <v>1521</v>
      </c>
      <c r="G1341" s="48" t="n">
        <v>1542</v>
      </c>
      <c r="H1341" s="48" t="n">
        <v>1469</v>
      </c>
      <c r="I1341" s="48" t="n">
        <v>1533</v>
      </c>
      <c r="J1341" s="48" t="n">
        <v>1526</v>
      </c>
      <c r="K1341" s="48" t="n">
        <v>1477</v>
      </c>
      <c r="L1341" s="48" t="n">
        <v>109025050</v>
      </c>
      <c r="M1341" s="48" t="n">
        <v>167135401650</v>
      </c>
      <c r="N1341" s="48" t="n">
        <v>7647</v>
      </c>
      <c r="O1341" s="48" t="n">
        <v>68402142</v>
      </c>
      <c r="P1341" s="48" t="n">
        <v>48374915</v>
      </c>
      <c r="Q1341" s="48" t="n">
        <v>3962</v>
      </c>
      <c r="R1341" s="48" t="n">
        <v>2344</v>
      </c>
      <c r="S1341" s="48" t="n">
        <v>40622908</v>
      </c>
      <c r="T1341" s="48" t="n">
        <v>60650135</v>
      </c>
      <c r="U1341" s="46" t="n">
        <f aca="false">IF($A1341=$A1340,$U1340+1,1)</f>
        <v>37</v>
      </c>
      <c r="V1341" s="48" t="n">
        <f aca="false">IF($U1341&gt;=MA_SHORT,AVERAGE(INDEX($I$941:$I1341,402-MA_SHORT):$I1341),"")</f>
        <v>1463.8</v>
      </c>
      <c r="W1341" s="48" t="str">
        <f aca="false">IF($U1341&gt;=MA_MED,AVERAGE(INDEX($I$941:$I1341,402-MA_MED):$I1341),"")</f>
        <v/>
      </c>
      <c r="X1341" s="48" t="str">
        <f aca="false">IF($U1341&gt;=MA_LONG1,AVERAGE(INDEX($I$941:$I1341,402-MA_LONG1):$I1341),"")</f>
        <v/>
      </c>
      <c r="Y1341" s="48" t="str">
        <f aca="false">IF($U1341&gt;=MA_LONG2,AVERAGE(INDEX($I$941:$I1341,402-MA_LONG2):$I1341),"")</f>
        <v/>
      </c>
      <c r="Z1341" s="48" t="n">
        <f aca="false">IF($U1341&gt;=MA_SHORT,AVERAGE(INDEX($L$1221:$L1341,122-MA_SHORT):$L1341),"")</f>
        <v>88667170.25</v>
      </c>
      <c r="AA1341" s="48" t="n">
        <f aca="false">IF($U1341=1,$G1341-$H1341,MAX($G1341-$H1341,ABS($G1341-$I1340),ABS($H1341-$I1340)))</f>
        <v>73</v>
      </c>
      <c r="AB1341" s="48" t="n">
        <f aca="false">IF($U1341&gt;=ATR_PER,AVERAGE(INDEX($AA$1221:$AA1341,122-ATR_PER):$AA1341),"")</f>
        <v>67.0714285714286</v>
      </c>
      <c r="AC1341" s="48" t="n">
        <f aca="false">$O1341-$P1341</f>
        <v>20027227</v>
      </c>
      <c r="AD1341" s="48" t="n">
        <f aca="false">$AC1341*$I1341</f>
        <v>30701738991</v>
      </c>
      <c r="AE1341" s="49" t="n">
        <f aca="false">IF($Q1341&gt;0,$O1341*$I1341/$Q1341/1000000,"")</f>
        <v>26.4665531766784</v>
      </c>
      <c r="AF1341" s="49" t="n">
        <f aca="false">IF($R1341&gt;0,$P1341*$I1341/$R1341/1000000,"")</f>
        <v>31.6376897162969</v>
      </c>
      <c r="AG1341" s="50" t="n">
        <f aca="false">IF(AND(ISNUMBER($AE1341),ISNUMBER($AF1341),$AF1341&gt;0),$AE1341/$AF1341,"")</f>
        <v>0.836551385831603</v>
      </c>
      <c r="AH1341" s="48" t="n">
        <f aca="false">IF($U1341&gt;=5,SUM(INDEX($AD$1311:$AD1341,32-5):$AD1341),"")</f>
        <v>19966506179</v>
      </c>
      <c r="AI1341" s="48" t="n">
        <f aca="false">IF($U1341&gt;=STRUCT_S,MAX(INDEX($G$1191:$G1341,152-STRUCT_S):$G1341),"")</f>
        <v>1542</v>
      </c>
      <c r="AJ1341" s="48" t="n">
        <f aca="false">IF($U1341&gt;=STRUCT_S,MIN(INDEX($H$1191:$H1341,152-STRUCT_S):$H1341),"")</f>
        <v>1379</v>
      </c>
      <c r="AK1341" s="48" t="str">
        <f aca="false">IF($U1341&gt;=STRUCT_L,MAX(INDEX($G$1091:$G1341,252-STRUCT_L):$G1341),"")</f>
        <v/>
      </c>
      <c r="AL1341" s="48" t="str">
        <f aca="false">IF($U1341&gt;=STRUCT_L,MIN(INDEX($H$1091:$H1341,252-STRUCT_L):$H1341),"")</f>
        <v/>
      </c>
      <c r="AM1341" s="46" t="n">
        <f aca="false">IF($A1341&lt;&gt;$A1342,1,0)</f>
        <v>0</v>
      </c>
      <c r="AN1341" s="47" t="str">
        <f aca="false">IF($AM1341=1,$A1341,"")</f>
        <v/>
      </c>
    </row>
    <row r="1342" customFormat="false" ht="15" hidden="false" customHeight="false" outlineLevel="0" collapsed="false">
      <c r="A1342" s="43" t="s">
        <v>157</v>
      </c>
      <c r="B1342" s="44" t="s">
        <v>159</v>
      </c>
      <c r="C1342" s="45" t="n">
        <v>45957</v>
      </c>
      <c r="D1342" s="46" t="n">
        <v>20251027</v>
      </c>
      <c r="E1342" s="47" t="s">
        <v>325</v>
      </c>
      <c r="F1342" s="48" t="n">
        <v>1561</v>
      </c>
      <c r="G1342" s="48" t="n">
        <v>1563</v>
      </c>
      <c r="H1342" s="48" t="n">
        <v>1522</v>
      </c>
      <c r="I1342" s="48" t="n">
        <v>1552</v>
      </c>
      <c r="J1342" s="48" t="n">
        <v>1535</v>
      </c>
      <c r="K1342" s="48" t="n">
        <v>1533</v>
      </c>
      <c r="L1342" s="48" t="n">
        <v>85709803</v>
      </c>
      <c r="M1342" s="48" t="n">
        <v>133021614256</v>
      </c>
      <c r="N1342" s="48" t="n">
        <v>3661</v>
      </c>
      <c r="O1342" s="48" t="n">
        <v>37637684</v>
      </c>
      <c r="P1342" s="48" t="n">
        <v>51972172</v>
      </c>
      <c r="Q1342" s="48" t="n">
        <v>1155</v>
      </c>
      <c r="R1342" s="48" t="n">
        <v>1734</v>
      </c>
      <c r="S1342" s="48" t="n">
        <v>48072119</v>
      </c>
      <c r="T1342" s="48" t="n">
        <v>33737631</v>
      </c>
      <c r="U1342" s="46" t="n">
        <f aca="false">IF($A1342=$A1341,$U1341+1,1)</f>
        <v>38</v>
      </c>
      <c r="V1342" s="48" t="n">
        <f aca="false">IF($U1342&gt;=MA_SHORT,AVERAGE(INDEX($I$942:$I1342,402-MA_SHORT):$I1342),"")</f>
        <v>1469.1</v>
      </c>
      <c r="W1342" s="48" t="str">
        <f aca="false">IF($U1342&gt;=MA_MED,AVERAGE(INDEX($I$942:$I1342,402-MA_MED):$I1342),"")</f>
        <v/>
      </c>
      <c r="X1342" s="48" t="str">
        <f aca="false">IF($U1342&gt;=MA_LONG1,AVERAGE(INDEX($I$942:$I1342,402-MA_LONG1):$I1342),"")</f>
        <v/>
      </c>
      <c r="Y1342" s="48" t="str">
        <f aca="false">IF($U1342&gt;=MA_LONG2,AVERAGE(INDEX($I$942:$I1342,402-MA_LONG2):$I1342),"")</f>
        <v/>
      </c>
      <c r="Z1342" s="48" t="n">
        <f aca="false">IF($U1342&gt;=MA_SHORT,AVERAGE(INDEX($L$1222:$L1342,122-MA_SHORT):$L1342),"")</f>
        <v>88164006.1</v>
      </c>
      <c r="AA1342" s="48" t="n">
        <f aca="false">IF($U1342=1,$G1342-$H1342,MAX($G1342-$H1342,ABS($G1342-$I1341),ABS($H1342-$I1341)))</f>
        <v>41</v>
      </c>
      <c r="AB1342" s="48" t="n">
        <f aca="false">IF($U1342&gt;=ATR_PER,AVERAGE(INDEX($AA$1222:$AA1342,122-ATR_PER):$AA1342),"")</f>
        <v>66.0714285714286</v>
      </c>
      <c r="AC1342" s="48" t="n">
        <f aca="false">$O1342-$P1342</f>
        <v>-14334488</v>
      </c>
      <c r="AD1342" s="48" t="n">
        <f aca="false">$AC1342*$I1342</f>
        <v>-22247125376</v>
      </c>
      <c r="AE1342" s="49" t="n">
        <f aca="false">IF($Q1342&gt;0,$O1342*$I1342/$Q1342/1000000,"")</f>
        <v>50.5746195393939</v>
      </c>
      <c r="AF1342" s="49" t="n">
        <f aca="false">IF($R1342&gt;0,$P1342*$I1342/$R1342/1000000,"")</f>
        <v>46.5171920092272</v>
      </c>
      <c r="AG1342" s="50" t="n">
        <f aca="false">IF(AND(ISNUMBER($AE1342),ISNUMBER($AF1342),$AF1342&gt;0),$AE1342/$AF1342,"")</f>
        <v>1.08722425741781</v>
      </c>
      <c r="AH1342" s="48" t="n">
        <f aca="false">IF($U1342&gt;=5,SUM(INDEX($AD$1312:$AD1342,32-5):$AD1342),"")</f>
        <v>10055109083</v>
      </c>
      <c r="AI1342" s="48" t="n">
        <f aca="false">IF($U1342&gt;=STRUCT_S,MAX(INDEX($G$1192:$G1342,152-STRUCT_S):$G1342),"")</f>
        <v>1563</v>
      </c>
      <c r="AJ1342" s="48" t="n">
        <f aca="false">IF($U1342&gt;=STRUCT_S,MIN(INDEX($H$1192:$H1342,152-STRUCT_S):$H1342),"")</f>
        <v>1379</v>
      </c>
      <c r="AK1342" s="48" t="str">
        <f aca="false">IF($U1342&gt;=STRUCT_L,MAX(INDEX($G$1092:$G1342,252-STRUCT_L):$G1342),"")</f>
        <v/>
      </c>
      <c r="AL1342" s="48" t="str">
        <f aca="false">IF($U1342&gt;=STRUCT_L,MIN(INDEX($H$1092:$H1342,252-STRUCT_L):$H1342),"")</f>
        <v/>
      </c>
      <c r="AM1342" s="46" t="n">
        <f aca="false">IF($A1342&lt;&gt;$A1343,1,0)</f>
        <v>0</v>
      </c>
      <c r="AN1342" s="47" t="str">
        <f aca="false">IF($AM1342=1,$A1342,"")</f>
        <v/>
      </c>
    </row>
    <row r="1343" customFormat="false" ht="15" hidden="false" customHeight="false" outlineLevel="0" collapsed="false">
      <c r="A1343" s="43" t="s">
        <v>157</v>
      </c>
      <c r="B1343" s="44" t="s">
        <v>159</v>
      </c>
      <c r="C1343" s="45" t="n">
        <v>45958</v>
      </c>
      <c r="D1343" s="46" t="n">
        <v>20251028</v>
      </c>
      <c r="E1343" s="47" t="s">
        <v>326</v>
      </c>
      <c r="F1343" s="48" t="n">
        <v>1540</v>
      </c>
      <c r="G1343" s="48" t="n">
        <v>1559</v>
      </c>
      <c r="H1343" s="48" t="n">
        <v>1529</v>
      </c>
      <c r="I1343" s="48" t="n">
        <v>1536</v>
      </c>
      <c r="J1343" s="48" t="n">
        <v>1536</v>
      </c>
      <c r="K1343" s="48" t="n">
        <v>1552</v>
      </c>
      <c r="L1343" s="48" t="n">
        <v>72058366</v>
      </c>
      <c r="M1343" s="48" t="n">
        <v>110681650176</v>
      </c>
      <c r="N1343" s="48" t="n">
        <v>1972</v>
      </c>
      <c r="O1343" s="48" t="n">
        <v>37666411</v>
      </c>
      <c r="P1343" s="48" t="n">
        <v>37145448</v>
      </c>
      <c r="Q1343" s="48" t="n">
        <v>647</v>
      </c>
      <c r="R1343" s="48" t="n">
        <v>877</v>
      </c>
      <c r="S1343" s="48" t="n">
        <v>34391955</v>
      </c>
      <c r="T1343" s="48" t="n">
        <v>34912918</v>
      </c>
      <c r="U1343" s="46" t="n">
        <f aca="false">IF($A1343=$A1342,$U1342+1,1)</f>
        <v>39</v>
      </c>
      <c r="V1343" s="48" t="n">
        <f aca="false">IF($U1343&gt;=MA_SHORT,AVERAGE(INDEX($I$943:$I1343,402-MA_SHORT):$I1343),"")</f>
        <v>1473.4</v>
      </c>
      <c r="W1343" s="48" t="str">
        <f aca="false">IF($U1343&gt;=MA_MED,AVERAGE(INDEX($I$943:$I1343,402-MA_MED):$I1343),"")</f>
        <v/>
      </c>
      <c r="X1343" s="48" t="str">
        <f aca="false">IF($U1343&gt;=MA_LONG1,AVERAGE(INDEX($I$943:$I1343,402-MA_LONG1):$I1343),"")</f>
        <v/>
      </c>
      <c r="Y1343" s="48" t="str">
        <f aca="false">IF($U1343&gt;=MA_LONG2,AVERAGE(INDEX($I$943:$I1343,402-MA_LONG2):$I1343),"")</f>
        <v/>
      </c>
      <c r="Z1343" s="48" t="n">
        <f aca="false">IF($U1343&gt;=MA_SHORT,AVERAGE(INDEX($L$1223:$L1343,122-MA_SHORT):$L1343),"")</f>
        <v>83511169.6</v>
      </c>
      <c r="AA1343" s="48" t="n">
        <f aca="false">IF($U1343=1,$G1343-$H1343,MAX($G1343-$H1343,ABS($G1343-$I1342),ABS($H1343-$I1342)))</f>
        <v>30</v>
      </c>
      <c r="AB1343" s="48" t="n">
        <f aca="false">IF($U1343&gt;=ATR_PER,AVERAGE(INDEX($AA$1223:$AA1343,122-ATR_PER):$AA1343),"")</f>
        <v>64.5</v>
      </c>
      <c r="AC1343" s="48" t="n">
        <f aca="false">$O1343-$P1343</f>
        <v>520963</v>
      </c>
      <c r="AD1343" s="48" t="n">
        <f aca="false">$AC1343*$I1343</f>
        <v>800199168</v>
      </c>
      <c r="AE1343" s="49" t="n">
        <f aca="false">IF($Q1343&gt;0,$O1343*$I1343/$Q1343/1000000,"")</f>
        <v>89.4213404884081</v>
      </c>
      <c r="AF1343" s="49" t="n">
        <f aca="false">IF($R1343&gt;0,$P1343*$I1343/$R1343/1000000,"")</f>
        <v>65.0574779110604</v>
      </c>
      <c r="AG1343" s="50" t="n">
        <f aca="false">IF(AND(ISNUMBER($AE1343),ISNUMBER($AF1343),$AF1343&gt;0),$AE1343/$AF1343,"")</f>
        <v>1.37449749605503</v>
      </c>
      <c r="AH1343" s="48" t="n">
        <f aca="false">IF($U1343&gt;=5,SUM(INDEX($AD$1313:$AD1343,32-5):$AD1343),"")</f>
        <v>3140380823</v>
      </c>
      <c r="AI1343" s="48" t="n">
        <f aca="false">IF($U1343&gt;=STRUCT_S,MAX(INDEX($G$1193:$G1343,152-STRUCT_S):$G1343),"")</f>
        <v>1563</v>
      </c>
      <c r="AJ1343" s="48" t="n">
        <f aca="false">IF($U1343&gt;=STRUCT_S,MIN(INDEX($H$1193:$H1343,152-STRUCT_S):$H1343),"")</f>
        <v>1379</v>
      </c>
      <c r="AK1343" s="48" t="str">
        <f aca="false">IF($U1343&gt;=STRUCT_L,MAX(INDEX($G$1093:$G1343,252-STRUCT_L):$G1343),"")</f>
        <v/>
      </c>
      <c r="AL1343" s="48" t="str">
        <f aca="false">IF($U1343&gt;=STRUCT_L,MIN(INDEX($H$1093:$H1343,252-STRUCT_L):$H1343),"")</f>
        <v/>
      </c>
      <c r="AM1343" s="46" t="n">
        <f aca="false">IF($A1343&lt;&gt;$A1344,1,0)</f>
        <v>0</v>
      </c>
      <c r="AN1343" s="47" t="str">
        <f aca="false">IF($AM1343=1,$A1343,"")</f>
        <v/>
      </c>
    </row>
    <row r="1344" customFormat="false" ht="15" hidden="false" customHeight="false" outlineLevel="0" collapsed="false">
      <c r="A1344" s="43" t="s">
        <v>157</v>
      </c>
      <c r="B1344" s="44" t="s">
        <v>159</v>
      </c>
      <c r="C1344" s="45" t="n">
        <v>45959</v>
      </c>
      <c r="D1344" s="46" t="n">
        <v>20251029</v>
      </c>
      <c r="E1344" s="47" t="s">
        <v>327</v>
      </c>
      <c r="F1344" s="48" t="n">
        <v>1527</v>
      </c>
      <c r="G1344" s="48" t="n">
        <v>1552</v>
      </c>
      <c r="H1344" s="48" t="n">
        <v>1501</v>
      </c>
      <c r="I1344" s="48" t="n">
        <v>1517</v>
      </c>
      <c r="J1344" s="48" t="n">
        <v>1503</v>
      </c>
      <c r="K1344" s="48" t="n">
        <v>1536</v>
      </c>
      <c r="L1344" s="48" t="n">
        <v>87880891</v>
      </c>
      <c r="M1344" s="48" t="n">
        <v>133315311647</v>
      </c>
      <c r="N1344" s="48" t="n">
        <v>3726</v>
      </c>
      <c r="O1344" s="48" t="n">
        <v>40823118</v>
      </c>
      <c r="P1344" s="48" t="n">
        <v>49259919</v>
      </c>
      <c r="Q1344" s="48" t="n">
        <v>1545</v>
      </c>
      <c r="R1344" s="48" t="n">
        <v>1732</v>
      </c>
      <c r="S1344" s="48" t="n">
        <v>47057773</v>
      </c>
      <c r="T1344" s="48" t="n">
        <v>38620972</v>
      </c>
      <c r="U1344" s="46" t="n">
        <f aca="false">IF($A1344=$A1343,$U1343+1,1)</f>
        <v>40</v>
      </c>
      <c r="V1344" s="48" t="n">
        <f aca="false">IF($U1344&gt;=MA_SHORT,AVERAGE(INDEX($I$944:$I1344,402-MA_SHORT):$I1344),"")</f>
        <v>1476.8</v>
      </c>
      <c r="W1344" s="48" t="str">
        <f aca="false">IF($U1344&gt;=MA_MED,AVERAGE(INDEX($I$944:$I1344,402-MA_MED):$I1344),"")</f>
        <v/>
      </c>
      <c r="X1344" s="48" t="str">
        <f aca="false">IF($U1344&gt;=MA_LONG1,AVERAGE(INDEX($I$944:$I1344,402-MA_LONG1):$I1344),"")</f>
        <v/>
      </c>
      <c r="Y1344" s="48" t="str">
        <f aca="false">IF($U1344&gt;=MA_LONG2,AVERAGE(INDEX($I$944:$I1344,402-MA_LONG2):$I1344),"")</f>
        <v/>
      </c>
      <c r="Z1344" s="48" t="n">
        <f aca="false">IF($U1344&gt;=MA_SHORT,AVERAGE(INDEX($L$1224:$L1344,122-MA_SHORT):$L1344),"")</f>
        <v>84082339.9</v>
      </c>
      <c r="AA1344" s="48" t="n">
        <f aca="false">IF($U1344=1,$G1344-$H1344,MAX($G1344-$H1344,ABS($G1344-$I1343),ABS($H1344-$I1343)))</f>
        <v>51</v>
      </c>
      <c r="AB1344" s="48" t="n">
        <f aca="false">IF($U1344&gt;=ATR_PER,AVERAGE(INDEX($AA$1224:$AA1344,122-ATR_PER):$AA1344),"")</f>
        <v>61</v>
      </c>
      <c r="AC1344" s="48" t="n">
        <f aca="false">$O1344-$P1344</f>
        <v>-8436801</v>
      </c>
      <c r="AD1344" s="48" t="n">
        <f aca="false">$AC1344*$I1344</f>
        <v>-12798627117</v>
      </c>
      <c r="AE1344" s="49" t="n">
        <f aca="false">IF($Q1344&gt;0,$O1344*$I1344/$Q1344/1000000,"")</f>
        <v>40.0832815572816</v>
      </c>
      <c r="AF1344" s="49" t="n">
        <f aca="false">IF($R1344&gt;0,$P1344*$I1344/$R1344/1000000,"")</f>
        <v>43.1450907176674</v>
      </c>
      <c r="AG1344" s="50" t="n">
        <f aca="false">IF(AND(ISNUMBER($AE1344),ISNUMBER($AF1344),$AF1344&gt;0),$AE1344/$AF1344,"")</f>
        <v>0.92903458749405</v>
      </c>
      <c r="AH1344" s="48" t="n">
        <f aca="false">IF($U1344&gt;=5,SUM(INDEX($AD$1314:$AD1344,32-5):$AD1344),"")</f>
        <v>-15556958386</v>
      </c>
      <c r="AI1344" s="48" t="n">
        <f aca="false">IF($U1344&gt;=STRUCT_S,MAX(INDEX($G$1194:$G1344,152-STRUCT_S):$G1344),"")</f>
        <v>1563</v>
      </c>
      <c r="AJ1344" s="48" t="n">
        <f aca="false">IF($U1344&gt;=STRUCT_S,MIN(INDEX($H$1194:$H1344,152-STRUCT_S):$H1344),"")</f>
        <v>1379</v>
      </c>
      <c r="AK1344" s="48" t="str">
        <f aca="false">IF($U1344&gt;=STRUCT_L,MAX(INDEX($G$1094:$G1344,252-STRUCT_L):$G1344),"")</f>
        <v/>
      </c>
      <c r="AL1344" s="48" t="str">
        <f aca="false">IF($U1344&gt;=STRUCT_L,MIN(INDEX($H$1094:$H1344,252-STRUCT_L):$H1344),"")</f>
        <v/>
      </c>
      <c r="AM1344" s="46" t="n">
        <f aca="false">IF($A1344&lt;&gt;$A1345,1,0)</f>
        <v>0</v>
      </c>
      <c r="AN1344" s="47" t="str">
        <f aca="false">IF($AM1344=1,$A1344,"")</f>
        <v/>
      </c>
    </row>
    <row r="1345" customFormat="false" ht="15" hidden="false" customHeight="false" outlineLevel="0" collapsed="false">
      <c r="A1345" s="43" t="s">
        <v>157</v>
      </c>
      <c r="B1345" s="44" t="s">
        <v>159</v>
      </c>
      <c r="C1345" s="45" t="n">
        <v>45962</v>
      </c>
      <c r="D1345" s="46" t="n">
        <v>20251101</v>
      </c>
      <c r="E1345" s="47" t="s">
        <v>328</v>
      </c>
      <c r="F1345" s="48" t="n">
        <v>1494</v>
      </c>
      <c r="G1345" s="48" t="n">
        <v>1535</v>
      </c>
      <c r="H1345" s="48" t="n">
        <v>1483</v>
      </c>
      <c r="I1345" s="48" t="n">
        <v>1501</v>
      </c>
      <c r="J1345" s="48" t="n">
        <v>1526</v>
      </c>
      <c r="K1345" s="48" t="n">
        <v>1517</v>
      </c>
      <c r="L1345" s="48" t="n">
        <v>89901254</v>
      </c>
      <c r="M1345" s="48" t="n">
        <v>134941782254</v>
      </c>
      <c r="N1345" s="48" t="n">
        <v>2217</v>
      </c>
      <c r="O1345" s="48" t="n">
        <v>41726020</v>
      </c>
      <c r="P1345" s="48" t="n">
        <v>48370426</v>
      </c>
      <c r="Q1345" s="48" t="n">
        <v>968</v>
      </c>
      <c r="R1345" s="48" t="n">
        <v>1170</v>
      </c>
      <c r="S1345" s="48" t="n">
        <v>48175234</v>
      </c>
      <c r="T1345" s="48" t="n">
        <v>41530828</v>
      </c>
      <c r="U1345" s="46" t="n">
        <f aca="false">IF($A1345=$A1344,$U1344+1,1)</f>
        <v>41</v>
      </c>
      <c r="V1345" s="48" t="n">
        <f aca="false">IF($U1345&gt;=MA_SHORT,AVERAGE(INDEX($I$945:$I1345,402-MA_SHORT):$I1345),"")</f>
        <v>1479.35</v>
      </c>
      <c r="W1345" s="48" t="str">
        <f aca="false">IF($U1345&gt;=MA_MED,AVERAGE(INDEX($I$945:$I1345,402-MA_MED):$I1345),"")</f>
        <v/>
      </c>
      <c r="X1345" s="48" t="str">
        <f aca="false">IF($U1345&gt;=MA_LONG1,AVERAGE(INDEX($I$945:$I1345,402-MA_LONG1):$I1345),"")</f>
        <v/>
      </c>
      <c r="Y1345" s="48" t="str">
        <f aca="false">IF($U1345&gt;=MA_LONG2,AVERAGE(INDEX($I$945:$I1345,402-MA_LONG2):$I1345),"")</f>
        <v/>
      </c>
      <c r="Z1345" s="48" t="n">
        <f aca="false">IF($U1345&gt;=MA_SHORT,AVERAGE(INDEX($L$1225:$L1345,122-MA_SHORT):$L1345),"")</f>
        <v>85170313.2</v>
      </c>
      <c r="AA1345" s="48" t="n">
        <f aca="false">IF($U1345=1,$G1345-$H1345,MAX($G1345-$H1345,ABS($G1345-$I1344),ABS($H1345-$I1344)))</f>
        <v>52</v>
      </c>
      <c r="AB1345" s="48" t="n">
        <f aca="false">IF($U1345&gt;=ATR_PER,AVERAGE(INDEX($AA$1225:$AA1345,122-ATR_PER):$AA1345),"")</f>
        <v>58.0714285714286</v>
      </c>
      <c r="AC1345" s="48" t="n">
        <f aca="false">$O1345-$P1345</f>
        <v>-6644406</v>
      </c>
      <c r="AD1345" s="48" t="n">
        <f aca="false">$AC1345*$I1345</f>
        <v>-9973253406</v>
      </c>
      <c r="AE1345" s="49" t="n">
        <f aca="false">IF($Q1345&gt;0,$O1345*$I1345/$Q1345/1000000,"")</f>
        <v>64.7011942355372</v>
      </c>
      <c r="AF1345" s="49" t="n">
        <f aca="false">IF($R1345&gt;0,$P1345*$I1345/$R1345/1000000,"")</f>
        <v>62.0547089111111</v>
      </c>
      <c r="AG1345" s="50" t="n">
        <f aca="false">IF(AND(ISNUMBER($AE1345),ISNUMBER($AF1345),$AF1345&gt;0),$AE1345/$AF1345,"")</f>
        <v>1.0426476148364</v>
      </c>
      <c r="AH1345" s="48" t="n">
        <f aca="false">IF($U1345&gt;=5,SUM(INDEX($AD$1315:$AD1345,32-5):$AD1345),"")</f>
        <v>-13517067740</v>
      </c>
      <c r="AI1345" s="48" t="n">
        <f aca="false">IF($U1345&gt;=STRUCT_S,MAX(INDEX($G$1195:$G1345,152-STRUCT_S):$G1345),"")</f>
        <v>1563</v>
      </c>
      <c r="AJ1345" s="48" t="n">
        <f aca="false">IF($U1345&gt;=STRUCT_S,MIN(INDEX($H$1195:$H1345,152-STRUCT_S):$H1345),"")</f>
        <v>1379</v>
      </c>
      <c r="AK1345" s="48" t="str">
        <f aca="false">IF($U1345&gt;=STRUCT_L,MAX(INDEX($G$1095:$G1345,252-STRUCT_L):$G1345),"")</f>
        <v/>
      </c>
      <c r="AL1345" s="48" t="str">
        <f aca="false">IF($U1345&gt;=STRUCT_L,MIN(INDEX($H$1095:$H1345,252-STRUCT_L):$H1345),"")</f>
        <v/>
      </c>
      <c r="AM1345" s="46" t="n">
        <f aca="false">IF($A1345&lt;&gt;$A1346,1,0)</f>
        <v>0</v>
      </c>
      <c r="AN1345" s="47" t="str">
        <f aca="false">IF($AM1345=1,$A1345,"")</f>
        <v/>
      </c>
    </row>
    <row r="1346" customFormat="false" ht="15" hidden="false" customHeight="false" outlineLevel="0" collapsed="false">
      <c r="A1346" s="43" t="s">
        <v>157</v>
      </c>
      <c r="B1346" s="44" t="s">
        <v>159</v>
      </c>
      <c r="C1346" s="45" t="n">
        <v>45963</v>
      </c>
      <c r="D1346" s="46" t="n">
        <v>20251102</v>
      </c>
      <c r="E1346" s="47" t="s">
        <v>329</v>
      </c>
      <c r="F1346" s="48" t="n">
        <v>1475</v>
      </c>
      <c r="G1346" s="48" t="n">
        <v>1512</v>
      </c>
      <c r="H1346" s="48" t="n">
        <v>1463</v>
      </c>
      <c r="I1346" s="48" t="n">
        <v>1473</v>
      </c>
      <c r="J1346" s="48" t="n">
        <v>1486</v>
      </c>
      <c r="K1346" s="48" t="n">
        <v>1501</v>
      </c>
      <c r="L1346" s="48" t="n">
        <v>88345311</v>
      </c>
      <c r="M1346" s="48" t="n">
        <v>130132643103</v>
      </c>
      <c r="N1346" s="48" t="n">
        <v>2496</v>
      </c>
      <c r="O1346" s="48" t="n">
        <v>35119925</v>
      </c>
      <c r="P1346" s="48" t="n">
        <v>48282130</v>
      </c>
      <c r="Q1346" s="48" t="n">
        <v>809</v>
      </c>
      <c r="R1346" s="48" t="n">
        <v>1032</v>
      </c>
      <c r="S1346" s="48" t="n">
        <v>53225386</v>
      </c>
      <c r="T1346" s="48" t="n">
        <v>40063181</v>
      </c>
      <c r="U1346" s="46" t="n">
        <f aca="false">IF($A1346=$A1345,$U1345+1,1)</f>
        <v>42</v>
      </c>
      <c r="V1346" s="48" t="n">
        <f aca="false">IF($U1346&gt;=MA_SHORT,AVERAGE(INDEX($I$946:$I1346,402-MA_SHORT):$I1346),"")</f>
        <v>1480.2</v>
      </c>
      <c r="W1346" s="48" t="str">
        <f aca="false">IF($U1346&gt;=MA_MED,AVERAGE(INDEX($I$946:$I1346,402-MA_MED):$I1346),"")</f>
        <v/>
      </c>
      <c r="X1346" s="48" t="str">
        <f aca="false">IF($U1346&gt;=MA_LONG1,AVERAGE(INDEX($I$946:$I1346,402-MA_LONG1):$I1346),"")</f>
        <v/>
      </c>
      <c r="Y1346" s="48" t="str">
        <f aca="false">IF($U1346&gt;=MA_LONG2,AVERAGE(INDEX($I$946:$I1346,402-MA_LONG2):$I1346),"")</f>
        <v/>
      </c>
      <c r="Z1346" s="48" t="n">
        <f aca="false">IF($U1346&gt;=MA_SHORT,AVERAGE(INDEX($L$1226:$L1346,122-MA_SHORT):$L1346),"")</f>
        <v>85527313.45</v>
      </c>
      <c r="AA1346" s="48" t="n">
        <f aca="false">IF($U1346=1,$G1346-$H1346,MAX($G1346-$H1346,ABS($G1346-$I1345),ABS($H1346-$I1345)))</f>
        <v>49</v>
      </c>
      <c r="AB1346" s="48" t="n">
        <f aca="false">IF($U1346&gt;=ATR_PER,AVERAGE(INDEX($AA$1226:$AA1346,122-ATR_PER):$AA1346),"")</f>
        <v>56.1428571428571</v>
      </c>
      <c r="AC1346" s="48" t="n">
        <f aca="false">$O1346-$P1346</f>
        <v>-13162205</v>
      </c>
      <c r="AD1346" s="48" t="n">
        <f aca="false">$AC1346*$I1346</f>
        <v>-19387927965</v>
      </c>
      <c r="AE1346" s="49" t="n">
        <f aca="false">IF($Q1346&gt;0,$O1346*$I1346/$Q1346/1000000,"")</f>
        <v>63.9451786464771</v>
      </c>
      <c r="AF1346" s="49" t="n">
        <f aca="false">IF($R1346&gt;0,$P1346*$I1346/$R1346/1000000,"")</f>
        <v>68.9143192732558</v>
      </c>
      <c r="AG1346" s="50" t="n">
        <f aca="false">IF(AND(ISNUMBER($AE1346),ISNUMBER($AF1346),$AF1346&gt;0),$AE1346/$AF1346,"")</f>
        <v>0.927893931490852</v>
      </c>
      <c r="AH1346" s="48" t="n">
        <f aca="false">IF($U1346&gt;=5,SUM(INDEX($AD$1316:$AD1346,32-5):$AD1346),"")</f>
        <v>-63606734696</v>
      </c>
      <c r="AI1346" s="48" t="n">
        <f aca="false">IF($U1346&gt;=STRUCT_S,MAX(INDEX($G$1196:$G1346,152-STRUCT_S):$G1346),"")</f>
        <v>1563</v>
      </c>
      <c r="AJ1346" s="48" t="n">
        <f aca="false">IF($U1346&gt;=STRUCT_S,MIN(INDEX($H$1196:$H1346,152-STRUCT_S):$H1346),"")</f>
        <v>1379</v>
      </c>
      <c r="AK1346" s="48" t="str">
        <f aca="false">IF($U1346&gt;=STRUCT_L,MAX(INDEX($G$1096:$G1346,252-STRUCT_L):$G1346),"")</f>
        <v/>
      </c>
      <c r="AL1346" s="48" t="str">
        <f aca="false">IF($U1346&gt;=STRUCT_L,MIN(INDEX($H$1096:$H1346,252-STRUCT_L):$H1346),"")</f>
        <v/>
      </c>
      <c r="AM1346" s="46" t="n">
        <f aca="false">IF($A1346&lt;&gt;$A1347,1,0)</f>
        <v>0</v>
      </c>
      <c r="AN1346" s="47" t="str">
        <f aca="false">IF($AM1346=1,$A1346,"")</f>
        <v/>
      </c>
    </row>
    <row r="1347" customFormat="false" ht="15" hidden="false" customHeight="false" outlineLevel="0" collapsed="false">
      <c r="A1347" s="43" t="s">
        <v>157</v>
      </c>
      <c r="B1347" s="44" t="s">
        <v>159</v>
      </c>
      <c r="C1347" s="45" t="n">
        <v>45964</v>
      </c>
      <c r="D1347" s="46" t="n">
        <v>20251103</v>
      </c>
      <c r="E1347" s="47" t="s">
        <v>330</v>
      </c>
      <c r="F1347" s="48" t="n">
        <v>1443</v>
      </c>
      <c r="G1347" s="48" t="n">
        <v>1505</v>
      </c>
      <c r="H1347" s="48" t="n">
        <v>1441</v>
      </c>
      <c r="I1347" s="48" t="n">
        <v>1473</v>
      </c>
      <c r="J1347" s="48" t="n">
        <v>1448</v>
      </c>
      <c r="K1347" s="48" t="n">
        <v>1473</v>
      </c>
      <c r="L1347" s="48" t="n">
        <v>86859377</v>
      </c>
      <c r="M1347" s="48" t="n">
        <v>127943862321</v>
      </c>
      <c r="N1347" s="48" t="n">
        <v>2919</v>
      </c>
      <c r="O1347" s="48" t="n">
        <v>44775144</v>
      </c>
      <c r="P1347" s="48" t="n">
        <v>43026480</v>
      </c>
      <c r="Q1347" s="48" t="n">
        <v>1523</v>
      </c>
      <c r="R1347" s="48" t="n">
        <v>1384</v>
      </c>
      <c r="S1347" s="48" t="n">
        <v>42084233</v>
      </c>
      <c r="T1347" s="48" t="n">
        <v>43832897</v>
      </c>
      <c r="U1347" s="46" t="n">
        <f aca="false">IF($A1347=$A1346,$U1346+1,1)</f>
        <v>43</v>
      </c>
      <c r="V1347" s="48" t="n">
        <f aca="false">IF($U1347&gt;=MA_SHORT,AVERAGE(INDEX($I$947:$I1347,402-MA_SHORT):$I1347),"")</f>
        <v>1480.8</v>
      </c>
      <c r="W1347" s="48" t="str">
        <f aca="false">IF($U1347&gt;=MA_MED,AVERAGE(INDEX($I$947:$I1347,402-MA_MED):$I1347),"")</f>
        <v/>
      </c>
      <c r="X1347" s="48" t="str">
        <f aca="false">IF($U1347&gt;=MA_LONG1,AVERAGE(INDEX($I$947:$I1347,402-MA_LONG1):$I1347),"")</f>
        <v/>
      </c>
      <c r="Y1347" s="48" t="str">
        <f aca="false">IF($U1347&gt;=MA_LONG2,AVERAGE(INDEX($I$947:$I1347,402-MA_LONG2):$I1347),"")</f>
        <v/>
      </c>
      <c r="Z1347" s="48" t="n">
        <f aca="false">IF($U1347&gt;=MA_SHORT,AVERAGE(INDEX($L$1227:$L1347,122-MA_SHORT):$L1347),"")</f>
        <v>86407331.2</v>
      </c>
      <c r="AA1347" s="48" t="n">
        <f aca="false">IF($U1347=1,$G1347-$H1347,MAX($G1347-$H1347,ABS($G1347-$I1346),ABS($H1347-$I1346)))</f>
        <v>64</v>
      </c>
      <c r="AB1347" s="48" t="n">
        <f aca="false">IF($U1347&gt;=ATR_PER,AVERAGE(INDEX($AA$1227:$AA1347,122-ATR_PER):$AA1347),"")</f>
        <v>56.8571428571429</v>
      </c>
      <c r="AC1347" s="48" t="n">
        <f aca="false">$O1347-$P1347</f>
        <v>1748664</v>
      </c>
      <c r="AD1347" s="48" t="n">
        <f aca="false">$AC1347*$I1347</f>
        <v>2575782072</v>
      </c>
      <c r="AE1347" s="49" t="n">
        <f aca="false">IF($Q1347&gt;0,$O1347*$I1347/$Q1347/1000000,"")</f>
        <v>43.3051786684176</v>
      </c>
      <c r="AF1347" s="49" t="n">
        <f aca="false">IF($R1347&gt;0,$P1347*$I1347/$R1347/1000000,"")</f>
        <v>45.7933562427746</v>
      </c>
      <c r="AG1347" s="50" t="n">
        <f aca="false">IF(AND(ISNUMBER($AE1347),ISNUMBER($AF1347),$AF1347&gt;0),$AE1347/$AF1347,"")</f>
        <v>0.945665096893841</v>
      </c>
      <c r="AH1347" s="48" t="n">
        <f aca="false">IF($U1347&gt;=5,SUM(INDEX($AD$1317:$AD1347,32-5):$AD1347),"")</f>
        <v>-38783827248</v>
      </c>
      <c r="AI1347" s="48" t="n">
        <f aca="false">IF($U1347&gt;=STRUCT_S,MAX(INDEX($G$1197:$G1347,152-STRUCT_S):$G1347),"")</f>
        <v>1563</v>
      </c>
      <c r="AJ1347" s="48" t="n">
        <f aca="false">IF($U1347&gt;=STRUCT_S,MIN(INDEX($H$1197:$H1347,152-STRUCT_S):$H1347),"")</f>
        <v>1379</v>
      </c>
      <c r="AK1347" s="48" t="str">
        <f aca="false">IF($U1347&gt;=STRUCT_L,MAX(INDEX($G$1097:$G1347,252-STRUCT_L):$G1347),"")</f>
        <v/>
      </c>
      <c r="AL1347" s="48" t="str">
        <f aca="false">IF($U1347&gt;=STRUCT_L,MIN(INDEX($H$1097:$H1347,252-STRUCT_L):$H1347),"")</f>
        <v/>
      </c>
      <c r="AM1347" s="46" t="n">
        <f aca="false">IF($A1347&lt;&gt;$A1348,1,0)</f>
        <v>0</v>
      </c>
      <c r="AN1347" s="47" t="str">
        <f aca="false">IF($AM1347=1,$A1347,"")</f>
        <v/>
      </c>
    </row>
    <row r="1348" customFormat="false" ht="15" hidden="false" customHeight="false" outlineLevel="0" collapsed="false">
      <c r="A1348" s="43" t="s">
        <v>157</v>
      </c>
      <c r="B1348" s="44" t="s">
        <v>159</v>
      </c>
      <c r="C1348" s="45" t="n">
        <v>45965</v>
      </c>
      <c r="D1348" s="46" t="n">
        <v>20251104</v>
      </c>
      <c r="E1348" s="47" t="s">
        <v>331</v>
      </c>
      <c r="F1348" s="48" t="n">
        <v>1499</v>
      </c>
      <c r="G1348" s="48" t="n">
        <v>1529</v>
      </c>
      <c r="H1348" s="48" t="n">
        <v>1460</v>
      </c>
      <c r="I1348" s="48" t="n">
        <v>1515</v>
      </c>
      <c r="J1348" s="48" t="n">
        <v>1471</v>
      </c>
      <c r="K1348" s="48" t="n">
        <v>1473</v>
      </c>
      <c r="L1348" s="48" t="n">
        <v>79470377</v>
      </c>
      <c r="M1348" s="48" t="n">
        <v>120397621155</v>
      </c>
      <c r="N1348" s="48" t="n">
        <v>3452</v>
      </c>
      <c r="O1348" s="48" t="n">
        <v>47905781</v>
      </c>
      <c r="P1348" s="48" t="n">
        <v>27675293</v>
      </c>
      <c r="Q1348" s="48" t="n">
        <v>1710</v>
      </c>
      <c r="R1348" s="48" t="n">
        <v>1160</v>
      </c>
      <c r="S1348" s="48" t="n">
        <v>31564596</v>
      </c>
      <c r="T1348" s="48" t="n">
        <v>51795084</v>
      </c>
      <c r="U1348" s="46" t="n">
        <f aca="false">IF($A1348=$A1347,$U1347+1,1)</f>
        <v>44</v>
      </c>
      <c r="V1348" s="48" t="n">
        <f aca="false">IF($U1348&gt;=MA_SHORT,AVERAGE(INDEX($I$948:$I1348,402-MA_SHORT):$I1348),"")</f>
        <v>1482.05</v>
      </c>
      <c r="W1348" s="48" t="str">
        <f aca="false">IF($U1348&gt;=MA_MED,AVERAGE(INDEX($I$948:$I1348,402-MA_MED):$I1348),"")</f>
        <v/>
      </c>
      <c r="X1348" s="48" t="str">
        <f aca="false">IF($U1348&gt;=MA_LONG1,AVERAGE(INDEX($I$948:$I1348,402-MA_LONG1):$I1348),"")</f>
        <v/>
      </c>
      <c r="Y1348" s="48" t="str">
        <f aca="false">IF($U1348&gt;=MA_LONG2,AVERAGE(INDEX($I$948:$I1348,402-MA_LONG2):$I1348),"")</f>
        <v/>
      </c>
      <c r="Z1348" s="48" t="n">
        <f aca="false">IF($U1348&gt;=MA_SHORT,AVERAGE(INDEX($L$1228:$L1348,122-MA_SHORT):$L1348),"")</f>
        <v>86146403.75</v>
      </c>
      <c r="AA1348" s="48" t="n">
        <f aca="false">IF($U1348=1,$G1348-$H1348,MAX($G1348-$H1348,ABS($G1348-$I1347),ABS($H1348-$I1347)))</f>
        <v>69</v>
      </c>
      <c r="AB1348" s="48" t="n">
        <f aca="false">IF($U1348&gt;=ATR_PER,AVERAGE(INDEX($AA$1228:$AA1348,122-ATR_PER):$AA1348),"")</f>
        <v>57.7142857142857</v>
      </c>
      <c r="AC1348" s="48" t="n">
        <f aca="false">$O1348-$P1348</f>
        <v>20230488</v>
      </c>
      <c r="AD1348" s="48" t="n">
        <f aca="false">$AC1348*$I1348</f>
        <v>30649189320</v>
      </c>
      <c r="AE1348" s="49" t="n">
        <f aca="false">IF($Q1348&gt;0,$O1348*$I1348/$Q1348/1000000,"")</f>
        <v>42.4428410614035</v>
      </c>
      <c r="AF1348" s="49" t="n">
        <f aca="false">IF($R1348&gt;0,$P1348*$I1348/$R1348/1000000,"")</f>
        <v>36.1448869784483</v>
      </c>
      <c r="AG1348" s="50" t="n">
        <f aca="false">IF(AND(ISNUMBER($AE1348),ISNUMBER($AF1348),$AF1348&gt;0),$AE1348/$AF1348,"")</f>
        <v>1.17424190831501</v>
      </c>
      <c r="AH1348" s="48" t="n">
        <f aca="false">IF($U1348&gt;=5,SUM(INDEX($AD$1318:$AD1348,32-5):$AD1348),"")</f>
        <v>-8934837096</v>
      </c>
      <c r="AI1348" s="48" t="n">
        <f aca="false">IF($U1348&gt;=STRUCT_S,MAX(INDEX($G$1198:$G1348,152-STRUCT_S):$G1348),"")</f>
        <v>1563</v>
      </c>
      <c r="AJ1348" s="48" t="n">
        <f aca="false">IF($U1348&gt;=STRUCT_S,MIN(INDEX($H$1198:$H1348,152-STRUCT_S):$H1348),"")</f>
        <v>1379</v>
      </c>
      <c r="AK1348" s="48" t="str">
        <f aca="false">IF($U1348&gt;=STRUCT_L,MAX(INDEX($G$1098:$G1348,252-STRUCT_L):$G1348),"")</f>
        <v/>
      </c>
      <c r="AL1348" s="48" t="str">
        <f aca="false">IF($U1348&gt;=STRUCT_L,MIN(INDEX($H$1098:$H1348,252-STRUCT_L):$H1348),"")</f>
        <v/>
      </c>
      <c r="AM1348" s="46" t="n">
        <f aca="false">IF($A1348&lt;&gt;$A1349,1,0)</f>
        <v>0</v>
      </c>
      <c r="AN1348" s="47" t="str">
        <f aca="false">IF($AM1348=1,$A1348,"")</f>
        <v/>
      </c>
    </row>
    <row r="1349" customFormat="false" ht="15" hidden="false" customHeight="false" outlineLevel="0" collapsed="false">
      <c r="A1349" s="43" t="s">
        <v>157</v>
      </c>
      <c r="B1349" s="44" t="s">
        <v>159</v>
      </c>
      <c r="C1349" s="45" t="n">
        <v>45966</v>
      </c>
      <c r="D1349" s="46" t="n">
        <v>20251105</v>
      </c>
      <c r="E1349" s="47" t="s">
        <v>332</v>
      </c>
      <c r="F1349" s="48" t="n">
        <v>1520</v>
      </c>
      <c r="G1349" s="48" t="n">
        <v>1557</v>
      </c>
      <c r="H1349" s="48" t="n">
        <v>1493</v>
      </c>
      <c r="I1349" s="48" t="n">
        <v>1535</v>
      </c>
      <c r="J1349" s="48" t="n">
        <v>1506</v>
      </c>
      <c r="K1349" s="48" t="n">
        <v>1515</v>
      </c>
      <c r="L1349" s="48" t="n">
        <v>73235903</v>
      </c>
      <c r="M1349" s="48" t="n">
        <v>112417111105</v>
      </c>
      <c r="N1349" s="48" t="n">
        <v>1739</v>
      </c>
      <c r="O1349" s="48" t="n">
        <v>38276690</v>
      </c>
      <c r="P1349" s="48" t="n">
        <v>32594982</v>
      </c>
      <c r="Q1349" s="48" t="n">
        <v>822</v>
      </c>
      <c r="R1349" s="48" t="n">
        <v>856</v>
      </c>
      <c r="S1349" s="48" t="n">
        <v>34959213</v>
      </c>
      <c r="T1349" s="48" t="n">
        <v>40640921</v>
      </c>
      <c r="U1349" s="46" t="n">
        <f aca="false">IF($A1349=$A1348,$U1348+1,1)</f>
        <v>45</v>
      </c>
      <c r="V1349" s="48" t="n">
        <f aca="false">IF($U1349&gt;=MA_SHORT,AVERAGE(INDEX($I$949:$I1349,402-MA_SHORT):$I1349),"")</f>
        <v>1485.7</v>
      </c>
      <c r="W1349" s="48" t="str">
        <f aca="false">IF($U1349&gt;=MA_MED,AVERAGE(INDEX($I$949:$I1349,402-MA_MED):$I1349),"")</f>
        <v/>
      </c>
      <c r="X1349" s="48" t="str">
        <f aca="false">IF($U1349&gt;=MA_LONG1,AVERAGE(INDEX($I$949:$I1349,402-MA_LONG1):$I1349),"")</f>
        <v/>
      </c>
      <c r="Y1349" s="48" t="str">
        <f aca="false">IF($U1349&gt;=MA_LONG2,AVERAGE(INDEX($I$949:$I1349,402-MA_LONG2):$I1349),"")</f>
        <v/>
      </c>
      <c r="Z1349" s="48" t="n">
        <f aca="false">IF($U1349&gt;=MA_SHORT,AVERAGE(INDEX($L$1229:$L1349,122-MA_SHORT):$L1349),"")</f>
        <v>86032588.45</v>
      </c>
      <c r="AA1349" s="48" t="n">
        <f aca="false">IF($U1349=1,$G1349-$H1349,MAX($G1349-$H1349,ABS($G1349-$I1348),ABS($H1349-$I1348)))</f>
        <v>64</v>
      </c>
      <c r="AB1349" s="48" t="n">
        <f aca="false">IF($U1349&gt;=ATR_PER,AVERAGE(INDEX($AA$1229:$AA1349,122-ATR_PER):$AA1349),"")</f>
        <v>54.4285714285714</v>
      </c>
      <c r="AC1349" s="48" t="n">
        <f aca="false">$O1349-$P1349</f>
        <v>5681708</v>
      </c>
      <c r="AD1349" s="48" t="n">
        <f aca="false">$AC1349*$I1349</f>
        <v>8721421780</v>
      </c>
      <c r="AE1349" s="49" t="n">
        <f aca="false">IF($Q1349&gt;0,$O1349*$I1349/$Q1349/1000000,"")</f>
        <v>71.4777605231144</v>
      </c>
      <c r="AF1349" s="49" t="n">
        <f aca="false">IF($R1349&gt;0,$P1349*$I1349/$R1349/1000000,"")</f>
        <v>58.45011375</v>
      </c>
      <c r="AG1349" s="50" t="n">
        <f aca="false">IF(AND(ISNUMBER($AE1349),ISNUMBER($AF1349),$AF1349&gt;0),$AE1349/$AF1349,"")</f>
        <v>1.22288488314729</v>
      </c>
      <c r="AH1349" s="48" t="n">
        <f aca="false">IF($U1349&gt;=5,SUM(INDEX($AD$1319:$AD1349,32-5):$AD1349),"")</f>
        <v>12585211801</v>
      </c>
      <c r="AI1349" s="48" t="n">
        <f aca="false">IF($U1349&gt;=STRUCT_S,MAX(INDEX($G$1199:$G1349,152-STRUCT_S):$G1349),"")</f>
        <v>1563</v>
      </c>
      <c r="AJ1349" s="48" t="n">
        <f aca="false">IF($U1349&gt;=STRUCT_S,MIN(INDEX($H$1199:$H1349,152-STRUCT_S):$H1349),"")</f>
        <v>1379</v>
      </c>
      <c r="AK1349" s="48" t="str">
        <f aca="false">IF($U1349&gt;=STRUCT_L,MAX(INDEX($G$1099:$G1349,252-STRUCT_L):$G1349),"")</f>
        <v/>
      </c>
      <c r="AL1349" s="48" t="str">
        <f aca="false">IF($U1349&gt;=STRUCT_L,MIN(INDEX($H$1099:$H1349,252-STRUCT_L):$H1349),"")</f>
        <v/>
      </c>
      <c r="AM1349" s="46" t="n">
        <f aca="false">IF($A1349&lt;&gt;$A1350,1,0)</f>
        <v>0</v>
      </c>
      <c r="AN1349" s="47" t="str">
        <f aca="false">IF($AM1349=1,$A1349,"")</f>
        <v/>
      </c>
    </row>
    <row r="1350" customFormat="false" ht="15" hidden="false" customHeight="false" outlineLevel="0" collapsed="false">
      <c r="A1350" s="43" t="s">
        <v>157</v>
      </c>
      <c r="B1350" s="44" t="s">
        <v>159</v>
      </c>
      <c r="C1350" s="45" t="n">
        <v>45969</v>
      </c>
      <c r="D1350" s="46" t="n">
        <v>20251108</v>
      </c>
      <c r="E1350" s="47" t="s">
        <v>333</v>
      </c>
      <c r="F1350" s="48" t="n">
        <v>1556</v>
      </c>
      <c r="G1350" s="48" t="n">
        <v>1563</v>
      </c>
      <c r="H1350" s="48" t="n">
        <v>1525</v>
      </c>
      <c r="I1350" s="48" t="n">
        <v>1553</v>
      </c>
      <c r="J1350" s="48" t="n">
        <v>1554</v>
      </c>
      <c r="K1350" s="48" t="n">
        <v>1535</v>
      </c>
      <c r="L1350" s="48" t="n">
        <v>85514146</v>
      </c>
      <c r="M1350" s="48" t="n">
        <v>132803468738</v>
      </c>
      <c r="N1350" s="48" t="n">
        <v>2178</v>
      </c>
      <c r="O1350" s="48" t="n">
        <v>47041390</v>
      </c>
      <c r="P1350" s="48" t="n">
        <v>39189382</v>
      </c>
      <c r="Q1350" s="48" t="n">
        <v>1073</v>
      </c>
      <c r="R1350" s="48" t="n">
        <v>902</v>
      </c>
      <c r="S1350" s="48" t="n">
        <v>38472756</v>
      </c>
      <c r="T1350" s="48" t="n">
        <v>46324764</v>
      </c>
      <c r="U1350" s="46" t="n">
        <f aca="false">IF($A1350=$A1349,$U1349+1,1)</f>
        <v>46</v>
      </c>
      <c r="V1350" s="48" t="n">
        <f aca="false">IF($U1350&gt;=MA_SHORT,AVERAGE(INDEX($I$950:$I1350,402-MA_SHORT):$I1350),"")</f>
        <v>1492.7</v>
      </c>
      <c r="W1350" s="48" t="str">
        <f aca="false">IF($U1350&gt;=MA_MED,AVERAGE(INDEX($I$950:$I1350,402-MA_MED):$I1350),"")</f>
        <v/>
      </c>
      <c r="X1350" s="48" t="str">
        <f aca="false">IF($U1350&gt;=MA_LONG1,AVERAGE(INDEX($I$950:$I1350,402-MA_LONG1):$I1350),"")</f>
        <v/>
      </c>
      <c r="Y1350" s="48" t="str">
        <f aca="false">IF($U1350&gt;=MA_LONG2,AVERAGE(INDEX($I$950:$I1350,402-MA_LONG2):$I1350),"")</f>
        <v/>
      </c>
      <c r="Z1350" s="48" t="n">
        <f aca="false">IF($U1350&gt;=MA_SHORT,AVERAGE(INDEX($L$1230:$L1350,122-MA_SHORT):$L1350),"")</f>
        <v>84206183.95</v>
      </c>
      <c r="AA1350" s="48" t="n">
        <f aca="false">IF($U1350=1,$G1350-$H1350,MAX($G1350-$H1350,ABS($G1350-$I1349),ABS($H1350-$I1349)))</f>
        <v>38</v>
      </c>
      <c r="AB1350" s="48" t="n">
        <f aca="false">IF($U1350&gt;=ATR_PER,AVERAGE(INDEX($AA$1230:$AA1350,122-ATR_PER):$AA1350),"")</f>
        <v>54.4285714285714</v>
      </c>
      <c r="AC1350" s="48" t="n">
        <f aca="false">$O1350-$P1350</f>
        <v>7852008</v>
      </c>
      <c r="AD1350" s="48" t="n">
        <f aca="false">$AC1350*$I1350</f>
        <v>12194168424</v>
      </c>
      <c r="AE1350" s="49" t="n">
        <f aca="false">IF($Q1350&gt;0,$O1350*$I1350/$Q1350/1000000,"")</f>
        <v>68.0850686579683</v>
      </c>
      <c r="AF1350" s="49" t="n">
        <f aca="false">IF($R1350&gt;0,$P1350*$I1350/$R1350/1000000,"")</f>
        <v>67.4735146851441</v>
      </c>
      <c r="AG1350" s="50" t="n">
        <f aca="false">IF(AND(ISNUMBER($AE1350),ISNUMBER($AF1350),$AF1350&gt;0),$AE1350/$AF1350,"")</f>
        <v>1.00906361519298</v>
      </c>
      <c r="AH1350" s="48" t="n">
        <f aca="false">IF($U1350&gt;=5,SUM(INDEX($AD$1320:$AD1350,32-5):$AD1350),"")</f>
        <v>34752633631</v>
      </c>
      <c r="AI1350" s="48" t="n">
        <f aca="false">IF($U1350&gt;=STRUCT_S,MAX(INDEX($G$1200:$G1350,152-STRUCT_S):$G1350),"")</f>
        <v>1563</v>
      </c>
      <c r="AJ1350" s="48" t="n">
        <f aca="false">IF($U1350&gt;=STRUCT_S,MIN(INDEX($H$1200:$H1350,152-STRUCT_S):$H1350),"")</f>
        <v>1379</v>
      </c>
      <c r="AK1350" s="48" t="str">
        <f aca="false">IF($U1350&gt;=STRUCT_L,MAX(INDEX($G$1100:$G1350,252-STRUCT_L):$G1350),"")</f>
        <v/>
      </c>
      <c r="AL1350" s="48" t="str">
        <f aca="false">IF($U1350&gt;=STRUCT_L,MIN(INDEX($H$1100:$H1350,252-STRUCT_L):$H1350),"")</f>
        <v/>
      </c>
      <c r="AM1350" s="46" t="n">
        <f aca="false">IF($A1350&lt;&gt;$A1351,1,0)</f>
        <v>0</v>
      </c>
      <c r="AN1350" s="47" t="str">
        <f aca="false">IF($AM1350=1,$A1350,"")</f>
        <v/>
      </c>
    </row>
    <row r="1351" customFormat="false" ht="15" hidden="false" customHeight="false" outlineLevel="0" collapsed="false">
      <c r="A1351" s="43" t="s">
        <v>157</v>
      </c>
      <c r="B1351" s="44" t="s">
        <v>159</v>
      </c>
      <c r="C1351" s="45" t="n">
        <v>45970</v>
      </c>
      <c r="D1351" s="46" t="n">
        <v>20251109</v>
      </c>
      <c r="E1351" s="47" t="s">
        <v>334</v>
      </c>
      <c r="F1351" s="48" t="n">
        <v>1607</v>
      </c>
      <c r="G1351" s="48" t="n">
        <v>1612</v>
      </c>
      <c r="H1351" s="48" t="n">
        <v>1539</v>
      </c>
      <c r="I1351" s="48" t="n">
        <v>1597</v>
      </c>
      <c r="J1351" s="48" t="n">
        <v>1583</v>
      </c>
      <c r="K1351" s="48" t="n">
        <v>1553</v>
      </c>
      <c r="L1351" s="48" t="n">
        <v>79396689</v>
      </c>
      <c r="M1351" s="48" t="n">
        <v>126796512333</v>
      </c>
      <c r="N1351" s="48" t="n">
        <v>3184</v>
      </c>
      <c r="O1351" s="48" t="n">
        <v>41031276</v>
      </c>
      <c r="P1351" s="48" t="n">
        <v>38652006</v>
      </c>
      <c r="Q1351" s="48" t="n">
        <v>1079</v>
      </c>
      <c r="R1351" s="48" t="n">
        <v>1412</v>
      </c>
      <c r="S1351" s="48" t="n">
        <v>38365413</v>
      </c>
      <c r="T1351" s="48" t="n">
        <v>40744683</v>
      </c>
      <c r="U1351" s="46" t="n">
        <f aca="false">IF($A1351=$A1350,$U1350+1,1)</f>
        <v>47</v>
      </c>
      <c r="V1351" s="48" t="n">
        <f aca="false">IF($U1351&gt;=MA_SHORT,AVERAGE(INDEX($I$951:$I1351,402-MA_SHORT):$I1351),"")</f>
        <v>1500.7</v>
      </c>
      <c r="W1351" s="48" t="str">
        <f aca="false">IF($U1351&gt;=MA_MED,AVERAGE(INDEX($I$951:$I1351,402-MA_MED):$I1351),"")</f>
        <v/>
      </c>
      <c r="X1351" s="48" t="str">
        <f aca="false">IF($U1351&gt;=MA_LONG1,AVERAGE(INDEX($I$951:$I1351,402-MA_LONG1):$I1351),"")</f>
        <v/>
      </c>
      <c r="Y1351" s="48" t="str">
        <f aca="false">IF($U1351&gt;=MA_LONG2,AVERAGE(INDEX($I$951:$I1351,402-MA_LONG2):$I1351),"")</f>
        <v/>
      </c>
      <c r="Z1351" s="48" t="n">
        <f aca="false">IF($U1351&gt;=MA_SHORT,AVERAGE(INDEX($L$1231:$L1351,122-MA_SHORT):$L1351),"")</f>
        <v>83822027</v>
      </c>
      <c r="AA1351" s="48" t="n">
        <f aca="false">IF($U1351=1,$G1351-$H1351,MAX($G1351-$H1351,ABS($G1351-$I1350),ABS($H1351-$I1350)))</f>
        <v>73</v>
      </c>
      <c r="AB1351" s="48" t="n">
        <f aca="false">IF($U1351&gt;=ATR_PER,AVERAGE(INDEX($AA$1231:$AA1351,122-ATR_PER):$AA1351),"")</f>
        <v>55.5</v>
      </c>
      <c r="AC1351" s="48" t="n">
        <f aca="false">$O1351-$P1351</f>
        <v>2379270</v>
      </c>
      <c r="AD1351" s="48" t="n">
        <f aca="false">$AC1351*$I1351</f>
        <v>3799694190</v>
      </c>
      <c r="AE1351" s="49" t="n">
        <f aca="false">IF($Q1351&gt;0,$O1351*$I1351/$Q1351/1000000,"")</f>
        <v>60.7293306506024</v>
      </c>
      <c r="AF1351" s="49" t="n">
        <f aca="false">IF($R1351&gt;0,$P1351*$I1351/$R1351/1000000,"")</f>
        <v>43.7161852563739</v>
      </c>
      <c r="AG1351" s="50" t="n">
        <f aca="false">IF(AND(ISNUMBER($AE1351),ISNUMBER($AF1351),$AF1351&gt;0),$AE1351/$AF1351,"")</f>
        <v>1.38917268957606</v>
      </c>
      <c r="AH1351" s="48" t="n">
        <f aca="false">IF($U1351&gt;=5,SUM(INDEX($AD$1321:$AD1351,32-5):$AD1351),"")</f>
        <v>57940255786</v>
      </c>
      <c r="AI1351" s="48" t="n">
        <f aca="false">IF($U1351&gt;=STRUCT_S,MAX(INDEX($G$1201:$G1351,152-STRUCT_S):$G1351),"")</f>
        <v>1612</v>
      </c>
      <c r="AJ1351" s="48" t="n">
        <f aca="false">IF($U1351&gt;=STRUCT_S,MIN(INDEX($H$1201:$H1351,152-STRUCT_S):$H1351),"")</f>
        <v>1403</v>
      </c>
      <c r="AK1351" s="48" t="str">
        <f aca="false">IF($U1351&gt;=STRUCT_L,MAX(INDEX($G$1101:$G1351,252-STRUCT_L):$G1351),"")</f>
        <v/>
      </c>
      <c r="AL1351" s="48" t="str">
        <f aca="false">IF($U1351&gt;=STRUCT_L,MIN(INDEX($H$1101:$H1351,252-STRUCT_L):$H1351),"")</f>
        <v/>
      </c>
      <c r="AM1351" s="46" t="n">
        <f aca="false">IF($A1351&lt;&gt;$A1352,1,0)</f>
        <v>0</v>
      </c>
      <c r="AN1351" s="47" t="str">
        <f aca="false">IF($AM1351=1,$A1351,"")</f>
        <v/>
      </c>
    </row>
    <row r="1352" customFormat="false" ht="15" hidden="false" customHeight="false" outlineLevel="0" collapsed="false">
      <c r="A1352" s="43" t="s">
        <v>157</v>
      </c>
      <c r="B1352" s="44" t="s">
        <v>159</v>
      </c>
      <c r="C1352" s="45" t="n">
        <v>45971</v>
      </c>
      <c r="D1352" s="46" t="n">
        <v>20251110</v>
      </c>
      <c r="E1352" s="47" t="s">
        <v>335</v>
      </c>
      <c r="F1352" s="48" t="n">
        <v>1594</v>
      </c>
      <c r="G1352" s="48" t="n">
        <v>1666</v>
      </c>
      <c r="H1352" s="48" t="n">
        <v>1568</v>
      </c>
      <c r="I1352" s="48" t="n">
        <v>1637</v>
      </c>
      <c r="J1352" s="48" t="n">
        <v>1651</v>
      </c>
      <c r="K1352" s="48" t="n">
        <v>1597</v>
      </c>
      <c r="L1352" s="48" t="n">
        <v>78059032</v>
      </c>
      <c r="M1352" s="48" t="n">
        <v>127782635384</v>
      </c>
      <c r="N1352" s="48" t="n">
        <v>3044</v>
      </c>
      <c r="O1352" s="48" t="n">
        <v>51397237</v>
      </c>
      <c r="P1352" s="48" t="n">
        <v>29590224</v>
      </c>
      <c r="Q1352" s="48" t="n">
        <v>1439</v>
      </c>
      <c r="R1352" s="48" t="n">
        <v>1403</v>
      </c>
      <c r="S1352" s="48" t="n">
        <v>26661795</v>
      </c>
      <c r="T1352" s="48" t="n">
        <v>48468808</v>
      </c>
      <c r="U1352" s="46" t="n">
        <f aca="false">IF($A1352=$A1351,$U1351+1,1)</f>
        <v>48</v>
      </c>
      <c r="V1352" s="48" t="n">
        <f aca="false">IF($U1352&gt;=MA_SHORT,AVERAGE(INDEX($I$952:$I1352,402-MA_SHORT):$I1352),"")</f>
        <v>1510.3</v>
      </c>
      <c r="W1352" s="48" t="str">
        <f aca="false">IF($U1352&gt;=MA_MED,AVERAGE(INDEX($I$952:$I1352,402-MA_MED):$I1352),"")</f>
        <v/>
      </c>
      <c r="X1352" s="48" t="str">
        <f aca="false">IF($U1352&gt;=MA_LONG1,AVERAGE(INDEX($I$952:$I1352,402-MA_LONG1):$I1352),"")</f>
        <v/>
      </c>
      <c r="Y1352" s="48" t="str">
        <f aca="false">IF($U1352&gt;=MA_LONG2,AVERAGE(INDEX($I$952:$I1352,402-MA_LONG2):$I1352),"")</f>
        <v/>
      </c>
      <c r="Z1352" s="48" t="n">
        <f aca="false">IF($U1352&gt;=MA_SHORT,AVERAGE(INDEX($L$1232:$L1352,122-MA_SHORT):$L1352),"")</f>
        <v>84218601.6</v>
      </c>
      <c r="AA1352" s="48" t="n">
        <f aca="false">IF($U1352=1,$G1352-$H1352,MAX($G1352-$H1352,ABS($G1352-$I1351),ABS($H1352-$I1351)))</f>
        <v>98</v>
      </c>
      <c r="AB1352" s="48" t="n">
        <f aca="false">IF($U1352&gt;=ATR_PER,AVERAGE(INDEX($AA$1232:$AA1352,122-ATR_PER):$AA1352),"")</f>
        <v>57.9285714285714</v>
      </c>
      <c r="AC1352" s="48" t="n">
        <f aca="false">$O1352-$P1352</f>
        <v>21807013</v>
      </c>
      <c r="AD1352" s="48" t="n">
        <f aca="false">$AC1352*$I1352</f>
        <v>35698080281</v>
      </c>
      <c r="AE1352" s="49" t="n">
        <f aca="false">IF($Q1352&gt;0,$O1352*$I1352/$Q1352/1000000,"")</f>
        <v>58.4692682202919</v>
      </c>
      <c r="AF1352" s="49" t="n">
        <f aca="false">IF($R1352&gt;0,$P1352*$I1352/$R1352/1000000,"")</f>
        <v>34.5254431133286</v>
      </c>
      <c r="AG1352" s="50" t="n">
        <f aca="false">IF(AND(ISNUMBER($AE1352),ISNUMBER($AF1352),$AF1352&gt;0),$AE1352/$AF1352,"")</f>
        <v>1.69351246350028</v>
      </c>
      <c r="AH1352" s="48" t="n">
        <f aca="false">IF($U1352&gt;=5,SUM(INDEX($AD$1322:$AD1352,32-5):$AD1352),"")</f>
        <v>91062553995</v>
      </c>
      <c r="AI1352" s="48" t="n">
        <f aca="false">IF($U1352&gt;=STRUCT_S,MAX(INDEX($G$1202:$G1352,152-STRUCT_S):$G1352),"")</f>
        <v>1666</v>
      </c>
      <c r="AJ1352" s="48" t="n">
        <f aca="false">IF($U1352&gt;=STRUCT_S,MIN(INDEX($H$1202:$H1352,152-STRUCT_S):$H1352),"")</f>
        <v>1404</v>
      </c>
      <c r="AK1352" s="48" t="str">
        <f aca="false">IF($U1352&gt;=STRUCT_L,MAX(INDEX($G$1102:$G1352,252-STRUCT_L):$G1352),"")</f>
        <v/>
      </c>
      <c r="AL1352" s="48" t="str">
        <f aca="false">IF($U1352&gt;=STRUCT_L,MIN(INDEX($H$1102:$H1352,252-STRUCT_L):$H1352),"")</f>
        <v/>
      </c>
      <c r="AM1352" s="46" t="n">
        <f aca="false">IF($A1352&lt;&gt;$A1353,1,0)</f>
        <v>0</v>
      </c>
      <c r="AN1352" s="47" t="str">
        <f aca="false">IF($AM1352=1,$A1352,"")</f>
        <v/>
      </c>
    </row>
    <row r="1353" customFormat="false" ht="15" hidden="false" customHeight="false" outlineLevel="0" collapsed="false">
      <c r="A1353" s="43" t="s">
        <v>157</v>
      </c>
      <c r="B1353" s="44" t="s">
        <v>159</v>
      </c>
      <c r="C1353" s="45" t="n">
        <v>45972</v>
      </c>
      <c r="D1353" s="46" t="n">
        <v>20251111</v>
      </c>
      <c r="E1353" s="47" t="s">
        <v>336</v>
      </c>
      <c r="F1353" s="48" t="n">
        <v>1646</v>
      </c>
      <c r="G1353" s="48" t="n">
        <v>1664</v>
      </c>
      <c r="H1353" s="48" t="n">
        <v>1617</v>
      </c>
      <c r="I1353" s="48" t="n">
        <v>1644</v>
      </c>
      <c r="J1353" s="48" t="n">
        <v>1654</v>
      </c>
      <c r="K1353" s="48" t="n">
        <v>1637</v>
      </c>
      <c r="L1353" s="48" t="n">
        <v>114599198</v>
      </c>
      <c r="M1353" s="48" t="n">
        <v>188401081512</v>
      </c>
      <c r="N1353" s="48" t="n">
        <v>4864</v>
      </c>
      <c r="O1353" s="48" t="n">
        <v>60894976</v>
      </c>
      <c r="P1353" s="48" t="n">
        <v>56620285</v>
      </c>
      <c r="Q1353" s="48" t="n">
        <v>2328</v>
      </c>
      <c r="R1353" s="48" t="n">
        <v>1752</v>
      </c>
      <c r="S1353" s="48" t="n">
        <v>53704222</v>
      </c>
      <c r="T1353" s="48" t="n">
        <v>57978913</v>
      </c>
      <c r="U1353" s="46" t="n">
        <f aca="false">IF($A1353=$A1352,$U1352+1,1)</f>
        <v>49</v>
      </c>
      <c r="V1353" s="48" t="n">
        <f aca="false">IF($U1353&gt;=MA_SHORT,AVERAGE(INDEX($I$953:$I1353,402-MA_SHORT):$I1353),"")</f>
        <v>1518.95</v>
      </c>
      <c r="W1353" s="48" t="str">
        <f aca="false">IF($U1353&gt;=MA_MED,AVERAGE(INDEX($I$953:$I1353,402-MA_MED):$I1353),"")</f>
        <v/>
      </c>
      <c r="X1353" s="48" t="str">
        <f aca="false">IF($U1353&gt;=MA_LONG1,AVERAGE(INDEX($I$953:$I1353,402-MA_LONG1):$I1353),"")</f>
        <v/>
      </c>
      <c r="Y1353" s="48" t="str">
        <f aca="false">IF($U1353&gt;=MA_LONG2,AVERAGE(INDEX($I$953:$I1353,402-MA_LONG2):$I1353),"")</f>
        <v/>
      </c>
      <c r="Z1353" s="48" t="n">
        <f aca="false">IF($U1353&gt;=MA_SHORT,AVERAGE(INDEX($L$1233:$L1353,122-MA_SHORT):$L1353),"")</f>
        <v>86189214.55</v>
      </c>
      <c r="AA1353" s="48" t="n">
        <f aca="false">IF($U1353=1,$G1353-$H1353,MAX($G1353-$H1353,ABS($G1353-$I1352),ABS($H1353-$I1352)))</f>
        <v>47</v>
      </c>
      <c r="AB1353" s="48" t="n">
        <f aca="false">IF($U1353&gt;=ATR_PER,AVERAGE(INDEX($AA$1233:$AA1353,122-ATR_PER):$AA1353),"")</f>
        <v>57.6428571428571</v>
      </c>
      <c r="AC1353" s="48" t="n">
        <f aca="false">$O1353-$P1353</f>
        <v>4274691</v>
      </c>
      <c r="AD1353" s="48" t="n">
        <f aca="false">$AC1353*$I1353</f>
        <v>7027592004</v>
      </c>
      <c r="AE1353" s="49" t="n">
        <f aca="false">IF($Q1353&gt;0,$O1353*$I1353/$Q1353/1000000,"")</f>
        <v>43.0031531546392</v>
      </c>
      <c r="AF1353" s="49" t="n">
        <f aca="false">IF($R1353&gt;0,$P1353*$I1353/$R1353/1000000,"")</f>
        <v>53.1299934589041</v>
      </c>
      <c r="AG1353" s="50" t="n">
        <f aca="false">IF(AND(ISNUMBER($AE1353),ISNUMBER($AF1353),$AF1353&gt;0),$AE1353/$AF1353,"")</f>
        <v>0.809395039506301</v>
      </c>
      <c r="AH1353" s="48" t="n">
        <f aca="false">IF($U1353&gt;=5,SUM(INDEX($AD$1323:$AD1353,32-5):$AD1353),"")</f>
        <v>67440956679</v>
      </c>
      <c r="AI1353" s="48" t="n">
        <f aca="false">IF($U1353&gt;=STRUCT_S,MAX(INDEX($G$1203:$G1353,152-STRUCT_S):$G1353),"")</f>
        <v>1666</v>
      </c>
      <c r="AJ1353" s="48" t="n">
        <f aca="false">IF($U1353&gt;=STRUCT_S,MIN(INDEX($H$1203:$H1353,152-STRUCT_S):$H1353),"")</f>
        <v>1404</v>
      </c>
      <c r="AK1353" s="48" t="str">
        <f aca="false">IF($U1353&gt;=STRUCT_L,MAX(INDEX($G$1103:$G1353,252-STRUCT_L):$G1353),"")</f>
        <v/>
      </c>
      <c r="AL1353" s="48" t="str">
        <f aca="false">IF($U1353&gt;=STRUCT_L,MIN(INDEX($H$1103:$H1353,252-STRUCT_L):$H1353),"")</f>
        <v/>
      </c>
      <c r="AM1353" s="46" t="n">
        <f aca="false">IF($A1353&lt;&gt;$A1354,1,0)</f>
        <v>0</v>
      </c>
      <c r="AN1353" s="47" t="str">
        <f aca="false">IF($AM1353=1,$A1353,"")</f>
        <v/>
      </c>
    </row>
    <row r="1354" customFormat="false" ht="15" hidden="false" customHeight="false" outlineLevel="0" collapsed="false">
      <c r="A1354" s="43" t="s">
        <v>157</v>
      </c>
      <c r="B1354" s="44" t="s">
        <v>159</v>
      </c>
      <c r="C1354" s="45" t="n">
        <v>45973</v>
      </c>
      <c r="D1354" s="46" t="n">
        <v>20251112</v>
      </c>
      <c r="E1354" s="47" t="s">
        <v>337</v>
      </c>
      <c r="F1354" s="48" t="n">
        <v>1623</v>
      </c>
      <c r="G1354" s="48" t="n">
        <v>1676</v>
      </c>
      <c r="H1354" s="48" t="n">
        <v>1581</v>
      </c>
      <c r="I1354" s="48" t="n">
        <v>1612</v>
      </c>
      <c r="J1354" s="48" t="n">
        <v>1663</v>
      </c>
      <c r="K1354" s="48" t="n">
        <v>1644</v>
      </c>
      <c r="L1354" s="48" t="n">
        <v>78003089</v>
      </c>
      <c r="M1354" s="48" t="n">
        <v>125740979468</v>
      </c>
      <c r="N1354" s="48" t="n">
        <v>8652</v>
      </c>
      <c r="O1354" s="48" t="n">
        <v>35736230</v>
      </c>
      <c r="P1354" s="48" t="n">
        <v>39605215</v>
      </c>
      <c r="Q1354" s="48" t="n">
        <v>3286</v>
      </c>
      <c r="R1354" s="48" t="n">
        <v>4531</v>
      </c>
      <c r="S1354" s="48" t="n">
        <v>42266859</v>
      </c>
      <c r="T1354" s="48" t="n">
        <v>38397874</v>
      </c>
      <c r="U1354" s="46" t="n">
        <f aca="false">IF($A1354=$A1353,$U1353+1,1)</f>
        <v>50</v>
      </c>
      <c r="V1354" s="48" t="n">
        <f aca="false">IF($U1354&gt;=MA_SHORT,AVERAGE(INDEX($I$954:$I1354,402-MA_SHORT):$I1354),"")</f>
        <v>1527.75</v>
      </c>
      <c r="W1354" s="48" t="n">
        <f aca="false">IF($U1354&gt;=MA_MED,AVERAGE(INDEX($I$954:$I1354,402-MA_MED):$I1354),"")</f>
        <v>1477.94</v>
      </c>
      <c r="X1354" s="48" t="str">
        <f aca="false">IF($U1354&gt;=MA_LONG1,AVERAGE(INDEX($I$954:$I1354,402-MA_LONG1):$I1354),"")</f>
        <v/>
      </c>
      <c r="Y1354" s="48" t="str">
        <f aca="false">IF($U1354&gt;=MA_LONG2,AVERAGE(INDEX($I$954:$I1354,402-MA_LONG2):$I1354),"")</f>
        <v/>
      </c>
      <c r="Z1354" s="48" t="n">
        <f aca="false">IF($U1354&gt;=MA_SHORT,AVERAGE(INDEX($L$1234:$L1354,122-MA_SHORT):$L1354),"")</f>
        <v>86211939</v>
      </c>
      <c r="AA1354" s="48" t="n">
        <f aca="false">IF($U1354=1,$G1354-$H1354,MAX($G1354-$H1354,ABS($G1354-$I1353),ABS($H1354-$I1353)))</f>
        <v>95</v>
      </c>
      <c r="AB1354" s="48" t="n">
        <f aca="false">IF($U1354&gt;=ATR_PER,AVERAGE(INDEX($AA$1234:$AA1354,122-ATR_PER):$AA1354),"")</f>
        <v>60.2857142857143</v>
      </c>
      <c r="AC1354" s="48" t="n">
        <f aca="false">$O1354-$P1354</f>
        <v>-3868985</v>
      </c>
      <c r="AD1354" s="48" t="n">
        <f aca="false">$AC1354*$I1354</f>
        <v>-6236803820</v>
      </c>
      <c r="AE1354" s="49" t="n">
        <f aca="false">IF($Q1354&gt;0,$O1354*$I1354/$Q1354/1000000,"")</f>
        <v>17.530980754717</v>
      </c>
      <c r="AF1354" s="49" t="n">
        <f aca="false">IF($R1354&gt;0,$P1354*$I1354/$R1354/1000000,"")</f>
        <v>14.0904009225337</v>
      </c>
      <c r="AG1354" s="50" t="n">
        <f aca="false">IF(AND(ISNUMBER($AE1354),ISNUMBER($AF1354),$AF1354&gt;0),$AE1354/$AF1354,"")</f>
        <v>1.24417898760291</v>
      </c>
      <c r="AH1354" s="48" t="n">
        <f aca="false">IF($U1354&gt;=5,SUM(INDEX($AD$1324:$AD1354,32-5):$AD1354),"")</f>
        <v>52482731079</v>
      </c>
      <c r="AI1354" s="48" t="n">
        <f aca="false">IF($U1354&gt;=STRUCT_S,MAX(INDEX($G$1204:$G1354,152-STRUCT_S):$G1354),"")</f>
        <v>1676</v>
      </c>
      <c r="AJ1354" s="48" t="n">
        <f aca="false">IF($U1354&gt;=STRUCT_S,MIN(INDEX($H$1204:$H1354,152-STRUCT_S):$H1354),"")</f>
        <v>1404</v>
      </c>
      <c r="AK1354" s="48" t="str">
        <f aca="false">IF($U1354&gt;=STRUCT_L,MAX(INDEX($G$1104:$G1354,252-STRUCT_L):$G1354),"")</f>
        <v/>
      </c>
      <c r="AL1354" s="48" t="str">
        <f aca="false">IF($U1354&gt;=STRUCT_L,MIN(INDEX($H$1104:$H1354,252-STRUCT_L):$H1354),"")</f>
        <v/>
      </c>
      <c r="AM1354" s="46" t="n">
        <f aca="false">IF($A1354&lt;&gt;$A1355,1,0)</f>
        <v>0</v>
      </c>
      <c r="AN1354" s="47" t="str">
        <f aca="false">IF($AM1354=1,$A1354,"")</f>
        <v/>
      </c>
    </row>
    <row r="1355" customFormat="false" ht="15" hidden="false" customHeight="false" outlineLevel="0" collapsed="false">
      <c r="A1355" s="43" t="s">
        <v>157</v>
      </c>
      <c r="B1355" s="44" t="s">
        <v>159</v>
      </c>
      <c r="C1355" s="45" t="n">
        <v>45976</v>
      </c>
      <c r="D1355" s="46" t="n">
        <v>20251115</v>
      </c>
      <c r="E1355" s="47" t="s">
        <v>338</v>
      </c>
      <c r="F1355" s="48" t="n">
        <v>1597</v>
      </c>
      <c r="G1355" s="48" t="n">
        <v>1617</v>
      </c>
      <c r="H1355" s="48" t="n">
        <v>1586</v>
      </c>
      <c r="I1355" s="48" t="n">
        <v>1591</v>
      </c>
      <c r="J1355" s="48" t="n">
        <v>1610</v>
      </c>
      <c r="K1355" s="48" t="n">
        <v>1612</v>
      </c>
      <c r="L1355" s="48" t="n">
        <v>89997801</v>
      </c>
      <c r="M1355" s="48" t="n">
        <v>143186501391</v>
      </c>
      <c r="N1355" s="48" t="n">
        <v>2661</v>
      </c>
      <c r="O1355" s="48" t="n">
        <v>41452885</v>
      </c>
      <c r="P1355" s="48" t="n">
        <v>52084194</v>
      </c>
      <c r="Q1355" s="48" t="n">
        <v>1162</v>
      </c>
      <c r="R1355" s="48" t="n">
        <v>861</v>
      </c>
      <c r="S1355" s="48" t="n">
        <v>48544916</v>
      </c>
      <c r="T1355" s="48" t="n">
        <v>37913607</v>
      </c>
      <c r="U1355" s="46" t="n">
        <f aca="false">IF($A1355=$A1354,$U1354+1,1)</f>
        <v>51</v>
      </c>
      <c r="V1355" s="48" t="n">
        <f aca="false">IF($U1355&gt;=MA_SHORT,AVERAGE(INDEX($I$955:$I1355,402-MA_SHORT):$I1355),"")</f>
        <v>1533.25</v>
      </c>
      <c r="W1355" s="48" t="n">
        <f aca="false">IF($U1355&gt;=MA_MED,AVERAGE(INDEX($I$955:$I1355,402-MA_MED):$I1355),"")</f>
        <v>1480.92</v>
      </c>
      <c r="X1355" s="48" t="str">
        <f aca="false">IF($U1355&gt;=MA_LONG1,AVERAGE(INDEX($I$955:$I1355,402-MA_LONG1):$I1355),"")</f>
        <v/>
      </c>
      <c r="Y1355" s="48" t="str">
        <f aca="false">IF($U1355&gt;=MA_LONG2,AVERAGE(INDEX($I$955:$I1355,402-MA_LONG2):$I1355),"")</f>
        <v/>
      </c>
      <c r="Z1355" s="48" t="n">
        <f aca="false">IF($U1355&gt;=MA_SHORT,AVERAGE(INDEX($L$1235:$L1355,122-MA_SHORT):$L1355),"")</f>
        <v>86680822.45</v>
      </c>
      <c r="AA1355" s="48" t="n">
        <f aca="false">IF($U1355=1,$G1355-$H1355,MAX($G1355-$H1355,ABS($G1355-$I1354),ABS($H1355-$I1354)))</f>
        <v>31</v>
      </c>
      <c r="AB1355" s="48" t="n">
        <f aca="false">IF($U1355&gt;=ATR_PER,AVERAGE(INDEX($AA$1235:$AA1355,122-ATR_PER):$AA1355),"")</f>
        <v>57.2857142857143</v>
      </c>
      <c r="AC1355" s="48" t="n">
        <f aca="false">$O1355-$P1355</f>
        <v>-10631309</v>
      </c>
      <c r="AD1355" s="48" t="n">
        <f aca="false">$AC1355*$I1355</f>
        <v>-16914412619</v>
      </c>
      <c r="AE1355" s="49" t="n">
        <f aca="false">IF($Q1355&gt;0,$O1355*$I1355/$Q1355/1000000,"")</f>
        <v>56.7569191351119</v>
      </c>
      <c r="AF1355" s="49" t="n">
        <f aca="false">IF($R1355&gt;0,$P1355*$I1355/$R1355/1000000,"")</f>
        <v>96.2438474494773</v>
      </c>
      <c r="AG1355" s="50" t="n">
        <f aca="false">IF(AND(ISNUMBER($AE1355),ISNUMBER($AF1355),$AF1355&gt;0),$AE1355/$AF1355,"")</f>
        <v>0.589719973164062</v>
      </c>
      <c r="AH1355" s="48" t="n">
        <f aca="false">IF($U1355&gt;=5,SUM(INDEX($AD$1325:$AD1355,32-5):$AD1355),"")</f>
        <v>23374150036</v>
      </c>
      <c r="AI1355" s="48" t="n">
        <f aca="false">IF($U1355&gt;=STRUCT_S,MAX(INDEX($G$1205:$G1355,152-STRUCT_S):$G1355),"")</f>
        <v>1676</v>
      </c>
      <c r="AJ1355" s="48" t="n">
        <f aca="false">IF($U1355&gt;=STRUCT_S,MIN(INDEX($H$1205:$H1355,152-STRUCT_S):$H1355),"")</f>
        <v>1439</v>
      </c>
      <c r="AK1355" s="48" t="str">
        <f aca="false">IF($U1355&gt;=STRUCT_L,MAX(INDEX($G$1105:$G1355,252-STRUCT_L):$G1355),"")</f>
        <v/>
      </c>
      <c r="AL1355" s="48" t="str">
        <f aca="false">IF($U1355&gt;=STRUCT_L,MIN(INDEX($H$1105:$H1355,252-STRUCT_L):$H1355),"")</f>
        <v/>
      </c>
      <c r="AM1355" s="46" t="n">
        <f aca="false">IF($A1355&lt;&gt;$A1356,1,0)</f>
        <v>0</v>
      </c>
      <c r="AN1355" s="47" t="str">
        <f aca="false">IF($AM1355=1,$A1355,"")</f>
        <v/>
      </c>
    </row>
    <row r="1356" customFormat="false" ht="15" hidden="false" customHeight="false" outlineLevel="0" collapsed="false">
      <c r="A1356" s="43" t="s">
        <v>157</v>
      </c>
      <c r="B1356" s="44" t="s">
        <v>159</v>
      </c>
      <c r="C1356" s="45" t="n">
        <v>45977</v>
      </c>
      <c r="D1356" s="46" t="n">
        <v>20251116</v>
      </c>
      <c r="E1356" s="47" t="s">
        <v>339</v>
      </c>
      <c r="F1356" s="48" t="n">
        <v>1596</v>
      </c>
      <c r="G1356" s="48" t="n">
        <v>1622</v>
      </c>
      <c r="H1356" s="48" t="n">
        <v>1580</v>
      </c>
      <c r="I1356" s="48" t="n">
        <v>1611</v>
      </c>
      <c r="J1356" s="48" t="n">
        <v>1589</v>
      </c>
      <c r="K1356" s="48" t="n">
        <v>1591</v>
      </c>
      <c r="L1356" s="48" t="n">
        <v>109523252</v>
      </c>
      <c r="M1356" s="48" t="n">
        <v>176441958972</v>
      </c>
      <c r="N1356" s="48" t="n">
        <v>2546</v>
      </c>
      <c r="O1356" s="48" t="n">
        <v>65784929</v>
      </c>
      <c r="P1356" s="48" t="n">
        <v>50818466</v>
      </c>
      <c r="Q1356" s="48" t="n">
        <v>1238</v>
      </c>
      <c r="R1356" s="48" t="n">
        <v>1363</v>
      </c>
      <c r="S1356" s="48" t="n">
        <v>43738323</v>
      </c>
      <c r="T1356" s="48" t="n">
        <v>58704786</v>
      </c>
      <c r="U1356" s="46" t="n">
        <f aca="false">IF($A1356=$A1355,$U1355+1,1)</f>
        <v>52</v>
      </c>
      <c r="V1356" s="48" t="n">
        <f aca="false">IF($U1356&gt;=MA_SHORT,AVERAGE(INDEX($I$956:$I1356,402-MA_SHORT):$I1356),"")</f>
        <v>1539.45</v>
      </c>
      <c r="W1356" s="48" t="n">
        <f aca="false">IF($U1356&gt;=MA_MED,AVERAGE(INDEX($I$956:$I1356,402-MA_MED):$I1356),"")</f>
        <v>1483.14</v>
      </c>
      <c r="X1356" s="48" t="str">
        <f aca="false">IF($U1356&gt;=MA_LONG1,AVERAGE(INDEX($I$956:$I1356,402-MA_LONG1):$I1356),"")</f>
        <v/>
      </c>
      <c r="Y1356" s="48" t="str">
        <f aca="false">IF($U1356&gt;=MA_LONG2,AVERAGE(INDEX($I$956:$I1356,402-MA_LONG2):$I1356),"")</f>
        <v/>
      </c>
      <c r="Z1356" s="48" t="n">
        <f aca="false">IF($U1356&gt;=MA_SHORT,AVERAGE(INDEX($L$1236:$L1356,122-MA_SHORT):$L1356),"")</f>
        <v>86707563.45</v>
      </c>
      <c r="AA1356" s="48" t="n">
        <f aca="false">IF($U1356=1,$G1356-$H1356,MAX($G1356-$H1356,ABS($G1356-$I1355),ABS($H1356-$I1355)))</f>
        <v>42</v>
      </c>
      <c r="AB1356" s="48" t="n">
        <f aca="false">IF($U1356&gt;=ATR_PER,AVERAGE(INDEX($AA$1236:$AA1356,122-ATR_PER):$AA1356),"")</f>
        <v>57.3571428571429</v>
      </c>
      <c r="AC1356" s="48" t="n">
        <f aca="false">$O1356-$P1356</f>
        <v>14966463</v>
      </c>
      <c r="AD1356" s="48" t="n">
        <f aca="false">$AC1356*$I1356</f>
        <v>24110971893</v>
      </c>
      <c r="AE1356" s="49" t="n">
        <f aca="false">IF($Q1356&gt;0,$O1356*$I1356/$Q1356/1000000,"")</f>
        <v>85.6054286098546</v>
      </c>
      <c r="AF1356" s="49" t="n">
        <f aca="false">IF($R1356&gt;0,$P1356*$I1356/$R1356/1000000,"")</f>
        <v>60.06496604989</v>
      </c>
      <c r="AG1356" s="50" t="n">
        <f aca="false">IF(AND(ISNUMBER($AE1356),ISNUMBER($AF1356),$AF1356&gt;0),$AE1356/$AF1356,"")</f>
        <v>1.42521396813495</v>
      </c>
      <c r="AH1356" s="48" t="n">
        <f aca="false">IF($U1356&gt;=5,SUM(INDEX($AD$1326:$AD1356,32-5):$AD1356),"")</f>
        <v>43685427739</v>
      </c>
      <c r="AI1356" s="48" t="n">
        <f aca="false">IF($U1356&gt;=STRUCT_S,MAX(INDEX($G$1206:$G1356,152-STRUCT_S):$G1356),"")</f>
        <v>1676</v>
      </c>
      <c r="AJ1356" s="48" t="n">
        <f aca="false">IF($U1356&gt;=STRUCT_S,MIN(INDEX($H$1206:$H1356,152-STRUCT_S):$H1356),"")</f>
        <v>1439</v>
      </c>
      <c r="AK1356" s="48" t="str">
        <f aca="false">IF($U1356&gt;=STRUCT_L,MAX(INDEX($G$1106:$G1356,252-STRUCT_L):$G1356),"")</f>
        <v/>
      </c>
      <c r="AL1356" s="48" t="str">
        <f aca="false">IF($U1356&gt;=STRUCT_L,MIN(INDEX($H$1106:$H1356,252-STRUCT_L):$H1356),"")</f>
        <v/>
      </c>
      <c r="AM1356" s="46" t="n">
        <f aca="false">IF($A1356&lt;&gt;$A1357,1,0)</f>
        <v>0</v>
      </c>
      <c r="AN1356" s="47" t="str">
        <f aca="false">IF($AM1356=1,$A1356,"")</f>
        <v/>
      </c>
    </row>
    <row r="1357" customFormat="false" ht="15" hidden="false" customHeight="false" outlineLevel="0" collapsed="false">
      <c r="A1357" s="43" t="s">
        <v>157</v>
      </c>
      <c r="B1357" s="44" t="s">
        <v>159</v>
      </c>
      <c r="C1357" s="45" t="n">
        <v>45978</v>
      </c>
      <c r="D1357" s="46" t="n">
        <v>20251117</v>
      </c>
      <c r="E1357" s="47" t="s">
        <v>340</v>
      </c>
      <c r="F1357" s="48" t="n">
        <v>1599</v>
      </c>
      <c r="G1357" s="48" t="n">
        <v>1616</v>
      </c>
      <c r="H1357" s="48" t="n">
        <v>1594</v>
      </c>
      <c r="I1357" s="48" t="n">
        <v>1599</v>
      </c>
      <c r="J1357" s="48" t="n">
        <v>1604</v>
      </c>
      <c r="K1357" s="48" t="n">
        <v>1611</v>
      </c>
      <c r="L1357" s="48" t="n">
        <v>74271507</v>
      </c>
      <c r="M1357" s="48" t="n">
        <v>118760139693</v>
      </c>
      <c r="N1357" s="48" t="n">
        <v>1995</v>
      </c>
      <c r="O1357" s="48" t="n">
        <v>27803269</v>
      </c>
      <c r="P1357" s="48" t="n">
        <v>44391123</v>
      </c>
      <c r="Q1357" s="48" t="n">
        <v>926</v>
      </c>
      <c r="R1357" s="48" t="n">
        <v>646</v>
      </c>
      <c r="S1357" s="48" t="n">
        <v>46468238</v>
      </c>
      <c r="T1357" s="48" t="n">
        <v>29880384</v>
      </c>
      <c r="U1357" s="46" t="n">
        <f aca="false">IF($A1357=$A1356,$U1356+1,1)</f>
        <v>53</v>
      </c>
      <c r="V1357" s="48" t="n">
        <f aca="false">IF($U1357&gt;=MA_SHORT,AVERAGE(INDEX($I$957:$I1357,402-MA_SHORT):$I1357),"")</f>
        <v>1546.45</v>
      </c>
      <c r="W1357" s="48" t="n">
        <f aca="false">IF($U1357&gt;=MA_MED,AVERAGE(INDEX($I$957:$I1357,402-MA_MED):$I1357),"")</f>
        <v>1484.82</v>
      </c>
      <c r="X1357" s="48" t="str">
        <f aca="false">IF($U1357&gt;=MA_LONG1,AVERAGE(INDEX($I$957:$I1357,402-MA_LONG1):$I1357),"")</f>
        <v/>
      </c>
      <c r="Y1357" s="48" t="str">
        <f aca="false">IF($U1357&gt;=MA_LONG2,AVERAGE(INDEX($I$957:$I1357,402-MA_LONG2):$I1357),"")</f>
        <v/>
      </c>
      <c r="Z1357" s="48" t="n">
        <f aca="false">IF($U1357&gt;=MA_SHORT,AVERAGE(INDEX($L$1237:$L1357,122-MA_SHORT):$L1357),"")</f>
        <v>86080451.9</v>
      </c>
      <c r="AA1357" s="48" t="n">
        <f aca="false">IF($U1357=1,$G1357-$H1357,MAX($G1357-$H1357,ABS($G1357-$I1356),ABS($H1357-$I1356)))</f>
        <v>22</v>
      </c>
      <c r="AB1357" s="48" t="n">
        <f aca="false">IF($U1357&gt;=ATR_PER,AVERAGE(INDEX($AA$1237:$AA1357,122-ATR_PER):$AA1357),"")</f>
        <v>56.7857142857143</v>
      </c>
      <c r="AC1357" s="48" t="n">
        <f aca="false">$O1357-$P1357</f>
        <v>-16587854</v>
      </c>
      <c r="AD1357" s="48" t="n">
        <f aca="false">$AC1357*$I1357</f>
        <v>-26523978546</v>
      </c>
      <c r="AE1357" s="49" t="n">
        <f aca="false">IF($Q1357&gt;0,$O1357*$I1357/$Q1357/1000000,"")</f>
        <v>48.010180487041</v>
      </c>
      <c r="AF1357" s="49" t="n">
        <f aca="false">IF($R1357&gt;0,$P1357*$I1357/$R1357/1000000,"")</f>
        <v>109.8783369613</v>
      </c>
      <c r="AG1357" s="50" t="n">
        <f aca="false">IF(AND(ISNUMBER($AE1357),ISNUMBER($AF1357),$AF1357&gt;0),$AE1357/$AF1357,"")</f>
        <v>0.436939453351487</v>
      </c>
      <c r="AH1357" s="48" t="n">
        <f aca="false">IF($U1357&gt;=5,SUM(INDEX($AD$1327:$AD1357,32-5):$AD1357),"")</f>
        <v>-18536631088</v>
      </c>
      <c r="AI1357" s="48" t="n">
        <f aca="false">IF($U1357&gt;=STRUCT_S,MAX(INDEX($G$1207:$G1357,152-STRUCT_S):$G1357),"")</f>
        <v>1676</v>
      </c>
      <c r="AJ1357" s="48" t="n">
        <f aca="false">IF($U1357&gt;=STRUCT_S,MIN(INDEX($H$1207:$H1357,152-STRUCT_S):$H1357),"")</f>
        <v>1439</v>
      </c>
      <c r="AK1357" s="48" t="str">
        <f aca="false">IF($U1357&gt;=STRUCT_L,MAX(INDEX($G$1107:$G1357,252-STRUCT_L):$G1357),"")</f>
        <v/>
      </c>
      <c r="AL1357" s="48" t="str">
        <f aca="false">IF($U1357&gt;=STRUCT_L,MIN(INDEX($H$1107:$H1357,252-STRUCT_L):$H1357),"")</f>
        <v/>
      </c>
      <c r="AM1357" s="46" t="n">
        <f aca="false">IF($A1357&lt;&gt;$A1358,1,0)</f>
        <v>0</v>
      </c>
      <c r="AN1357" s="47" t="str">
        <f aca="false">IF($AM1357=1,$A1357,"")</f>
        <v/>
      </c>
    </row>
    <row r="1358" customFormat="false" ht="15" hidden="false" customHeight="false" outlineLevel="0" collapsed="false">
      <c r="A1358" s="43" t="s">
        <v>157</v>
      </c>
      <c r="B1358" s="44" t="s">
        <v>159</v>
      </c>
      <c r="C1358" s="45" t="n">
        <v>45979</v>
      </c>
      <c r="D1358" s="46" t="n">
        <v>20251118</v>
      </c>
      <c r="E1358" s="47" t="s">
        <v>341</v>
      </c>
      <c r="F1358" s="48" t="n">
        <v>1581</v>
      </c>
      <c r="G1358" s="48" t="n">
        <v>1631</v>
      </c>
      <c r="H1358" s="48" t="n">
        <v>1567</v>
      </c>
      <c r="I1358" s="48" t="n">
        <v>1599</v>
      </c>
      <c r="J1358" s="48" t="n">
        <v>1598</v>
      </c>
      <c r="K1358" s="48" t="n">
        <v>1599</v>
      </c>
      <c r="L1358" s="48" t="n">
        <v>67860791</v>
      </c>
      <c r="M1358" s="48" t="n">
        <v>108509404809</v>
      </c>
      <c r="N1358" s="48" t="n">
        <v>2473</v>
      </c>
      <c r="O1358" s="48" t="n">
        <v>31504806</v>
      </c>
      <c r="P1358" s="48" t="n">
        <v>38444801</v>
      </c>
      <c r="Q1358" s="48" t="n">
        <v>1004</v>
      </c>
      <c r="R1358" s="48" t="n">
        <v>1084</v>
      </c>
      <c r="S1358" s="48" t="n">
        <v>36355985</v>
      </c>
      <c r="T1358" s="48" t="n">
        <v>29415990</v>
      </c>
      <c r="U1358" s="46" t="n">
        <f aca="false">IF($A1358=$A1357,$U1357+1,1)</f>
        <v>54</v>
      </c>
      <c r="V1358" s="48" t="n">
        <f aca="false">IF($U1358&gt;=MA_SHORT,AVERAGE(INDEX($I$958:$I1358,402-MA_SHORT):$I1358),"")</f>
        <v>1552.3</v>
      </c>
      <c r="W1358" s="48" t="n">
        <f aca="false">IF($U1358&gt;=MA_MED,AVERAGE(INDEX($I$958:$I1358,402-MA_MED):$I1358),"")</f>
        <v>1486.32</v>
      </c>
      <c r="X1358" s="48" t="str">
        <f aca="false">IF($U1358&gt;=MA_LONG1,AVERAGE(INDEX($I$958:$I1358,402-MA_LONG1):$I1358),"")</f>
        <v/>
      </c>
      <c r="Y1358" s="48" t="str">
        <f aca="false">IF($U1358&gt;=MA_LONG2,AVERAGE(INDEX($I$958:$I1358,402-MA_LONG2):$I1358),"")</f>
        <v/>
      </c>
      <c r="Z1358" s="48" t="n">
        <f aca="false">IF($U1358&gt;=MA_SHORT,AVERAGE(INDEX($L$1238:$L1358,122-MA_SHORT):$L1358),"")</f>
        <v>85759520.1</v>
      </c>
      <c r="AA1358" s="48" t="n">
        <f aca="false">IF($U1358=1,$G1358-$H1358,MAX($G1358-$H1358,ABS($G1358-$I1357),ABS($H1358-$I1357)))</f>
        <v>64</v>
      </c>
      <c r="AB1358" s="48" t="n">
        <f aca="false">IF($U1358&gt;=ATR_PER,AVERAGE(INDEX($AA$1238:$AA1358,122-ATR_PER):$AA1358),"")</f>
        <v>57.7142857142857</v>
      </c>
      <c r="AC1358" s="48" t="n">
        <f aca="false">$O1358-$P1358</f>
        <v>-6939995</v>
      </c>
      <c r="AD1358" s="48" t="n">
        <f aca="false">$AC1358*$I1358</f>
        <v>-11097052005</v>
      </c>
      <c r="AE1358" s="49" t="n">
        <f aca="false">IF($Q1358&gt;0,$O1358*$I1358/$Q1358/1000000,"")</f>
        <v>50.1754828625498</v>
      </c>
      <c r="AF1358" s="49" t="n">
        <f aca="false">IF($R1358&gt;0,$P1358*$I1358/$R1358/1000000,"")</f>
        <v>56.7096280433579</v>
      </c>
      <c r="AG1358" s="50" t="n">
        <f aca="false">IF(AND(ISNUMBER($AE1358),ISNUMBER($AF1358),$AF1358&gt;0),$AE1358/$AF1358,"")</f>
        <v>0.884778909574008</v>
      </c>
      <c r="AH1358" s="48" t="n">
        <f aca="false">IF($U1358&gt;=5,SUM(INDEX($AD$1328:$AD1358,32-5):$AD1358),"")</f>
        <v>-36661275097</v>
      </c>
      <c r="AI1358" s="48" t="n">
        <f aca="false">IF($U1358&gt;=STRUCT_S,MAX(INDEX($G$1208:$G1358,152-STRUCT_S):$G1358),"")</f>
        <v>1676</v>
      </c>
      <c r="AJ1358" s="48" t="n">
        <f aca="false">IF($U1358&gt;=STRUCT_S,MIN(INDEX($H$1208:$H1358,152-STRUCT_S):$H1358),"")</f>
        <v>1441</v>
      </c>
      <c r="AK1358" s="48" t="str">
        <f aca="false">IF($U1358&gt;=STRUCT_L,MAX(INDEX($G$1108:$G1358,252-STRUCT_L):$G1358),"")</f>
        <v/>
      </c>
      <c r="AL1358" s="48" t="str">
        <f aca="false">IF($U1358&gt;=STRUCT_L,MIN(INDEX($H$1108:$H1358,252-STRUCT_L):$H1358),"")</f>
        <v/>
      </c>
      <c r="AM1358" s="46" t="n">
        <f aca="false">IF($A1358&lt;&gt;$A1359,1,0)</f>
        <v>0</v>
      </c>
      <c r="AN1358" s="47" t="str">
        <f aca="false">IF($AM1358=1,$A1358,"")</f>
        <v/>
      </c>
    </row>
    <row r="1359" customFormat="false" ht="15" hidden="false" customHeight="false" outlineLevel="0" collapsed="false">
      <c r="A1359" s="43" t="s">
        <v>157</v>
      </c>
      <c r="B1359" s="44" t="s">
        <v>159</v>
      </c>
      <c r="C1359" s="45" t="n">
        <v>45980</v>
      </c>
      <c r="D1359" s="46" t="n">
        <v>20251119</v>
      </c>
      <c r="E1359" s="47" t="s">
        <v>342</v>
      </c>
      <c r="F1359" s="48" t="n">
        <v>1613</v>
      </c>
      <c r="G1359" s="48" t="n">
        <v>1620</v>
      </c>
      <c r="H1359" s="48" t="n">
        <v>1564</v>
      </c>
      <c r="I1359" s="48" t="n">
        <v>1584</v>
      </c>
      <c r="J1359" s="48" t="n">
        <v>1611</v>
      </c>
      <c r="K1359" s="48" t="n">
        <v>1599</v>
      </c>
      <c r="L1359" s="48" t="n">
        <v>71680348</v>
      </c>
      <c r="M1359" s="48" t="n">
        <v>113541671232</v>
      </c>
      <c r="N1359" s="48" t="n">
        <v>2181</v>
      </c>
      <c r="O1359" s="48" t="n">
        <v>35345258</v>
      </c>
      <c r="P1359" s="48" t="n">
        <v>34015671</v>
      </c>
      <c r="Q1359" s="48" t="n">
        <v>1017</v>
      </c>
      <c r="R1359" s="48" t="n">
        <v>874</v>
      </c>
      <c r="S1359" s="48" t="n">
        <v>36335090</v>
      </c>
      <c r="T1359" s="48" t="n">
        <v>37664677</v>
      </c>
      <c r="U1359" s="46" t="n">
        <f aca="false">IF($A1359=$A1358,$U1358+1,1)</f>
        <v>55</v>
      </c>
      <c r="V1359" s="48" t="n">
        <f aca="false">IF($U1359&gt;=MA_SHORT,AVERAGE(INDEX($I$959:$I1359,402-MA_SHORT):$I1359),"")</f>
        <v>1556.95</v>
      </c>
      <c r="W1359" s="48" t="n">
        <f aca="false">IF($U1359&gt;=MA_MED,AVERAGE(INDEX($I$959:$I1359,402-MA_MED):$I1359),"")</f>
        <v>1488.14</v>
      </c>
      <c r="X1359" s="48" t="str">
        <f aca="false">IF($U1359&gt;=MA_LONG1,AVERAGE(INDEX($I$959:$I1359,402-MA_LONG1):$I1359),"")</f>
        <v/>
      </c>
      <c r="Y1359" s="48" t="str">
        <f aca="false">IF($U1359&gt;=MA_LONG2,AVERAGE(INDEX($I$959:$I1359,402-MA_LONG2):$I1359),"")</f>
        <v/>
      </c>
      <c r="Z1359" s="48" t="n">
        <f aca="false">IF($U1359&gt;=MA_SHORT,AVERAGE(INDEX($L$1239:$L1359,122-MA_SHORT):$L1359),"")</f>
        <v>85826864.9</v>
      </c>
      <c r="AA1359" s="48" t="n">
        <f aca="false">IF($U1359=1,$G1359-$H1359,MAX($G1359-$H1359,ABS($G1359-$I1358),ABS($H1359-$I1358)))</f>
        <v>56</v>
      </c>
      <c r="AB1359" s="48" t="n">
        <f aca="false">IF($U1359&gt;=ATR_PER,AVERAGE(INDEX($AA$1239:$AA1359,122-ATR_PER):$AA1359),"")</f>
        <v>58</v>
      </c>
      <c r="AC1359" s="48" t="n">
        <f aca="false">$O1359-$P1359</f>
        <v>1329587</v>
      </c>
      <c r="AD1359" s="48" t="n">
        <f aca="false">$AC1359*$I1359</f>
        <v>2106065808</v>
      </c>
      <c r="AE1359" s="49" t="n">
        <f aca="false">IF($Q1359&gt;0,$O1359*$I1359/$Q1359/1000000,"")</f>
        <v>55.0510213097345</v>
      </c>
      <c r="AF1359" s="49" t="n">
        <f aca="false">IF($R1359&gt;0,$P1359*$I1359/$R1359/1000000,"")</f>
        <v>61.6485387459954</v>
      </c>
      <c r="AG1359" s="50" t="n">
        <f aca="false">IF(AND(ISNUMBER($AE1359),ISNUMBER($AF1359),$AF1359&gt;0),$AE1359/$AF1359,"")</f>
        <v>0.892981771012545</v>
      </c>
      <c r="AH1359" s="48" t="n">
        <f aca="false">IF($U1359&gt;=5,SUM(INDEX($AD$1329:$AD1359,32-5):$AD1359),"")</f>
        <v>-28318405469</v>
      </c>
      <c r="AI1359" s="48" t="n">
        <f aca="false">IF($U1359&gt;=STRUCT_S,MAX(INDEX($G$1209:$G1359,152-STRUCT_S):$G1359),"")</f>
        <v>1676</v>
      </c>
      <c r="AJ1359" s="48" t="n">
        <f aca="false">IF($U1359&gt;=STRUCT_S,MIN(INDEX($H$1209:$H1359,152-STRUCT_S):$H1359),"")</f>
        <v>1441</v>
      </c>
      <c r="AK1359" s="48" t="str">
        <f aca="false">IF($U1359&gt;=STRUCT_L,MAX(INDEX($G$1109:$G1359,252-STRUCT_L):$G1359),"")</f>
        <v/>
      </c>
      <c r="AL1359" s="48" t="str">
        <f aca="false">IF($U1359&gt;=STRUCT_L,MIN(INDEX($H$1109:$H1359,252-STRUCT_L):$H1359),"")</f>
        <v/>
      </c>
      <c r="AM1359" s="46" t="n">
        <f aca="false">IF($A1359&lt;&gt;$A1360,1,0)</f>
        <v>0</v>
      </c>
      <c r="AN1359" s="47" t="str">
        <f aca="false">IF($AM1359=1,$A1359,"")</f>
        <v/>
      </c>
    </row>
    <row r="1360" customFormat="false" ht="15" hidden="false" customHeight="false" outlineLevel="0" collapsed="false">
      <c r="A1360" s="43" t="s">
        <v>157</v>
      </c>
      <c r="B1360" s="44" t="s">
        <v>159</v>
      </c>
      <c r="C1360" s="45" t="n">
        <v>45983</v>
      </c>
      <c r="D1360" s="46" t="n">
        <v>20251122</v>
      </c>
      <c r="E1360" s="47" t="s">
        <v>343</v>
      </c>
      <c r="F1360" s="48" t="n">
        <v>1543</v>
      </c>
      <c r="G1360" s="48" t="n">
        <v>1588</v>
      </c>
      <c r="H1360" s="48" t="n">
        <v>1528</v>
      </c>
      <c r="I1360" s="48" t="n">
        <v>1532</v>
      </c>
      <c r="J1360" s="48" t="n">
        <v>1574</v>
      </c>
      <c r="K1360" s="48" t="n">
        <v>1584</v>
      </c>
      <c r="L1360" s="48" t="n">
        <v>86587406</v>
      </c>
      <c r="M1360" s="48" t="n">
        <v>132651905992</v>
      </c>
      <c r="N1360" s="48" t="n">
        <v>3209</v>
      </c>
      <c r="O1360" s="48" t="n">
        <v>28598773</v>
      </c>
      <c r="P1360" s="48" t="n">
        <v>62820686</v>
      </c>
      <c r="Q1360" s="48" t="n">
        <v>1687</v>
      </c>
      <c r="R1360" s="48" t="n">
        <v>1246</v>
      </c>
      <c r="S1360" s="48" t="n">
        <v>57988633</v>
      </c>
      <c r="T1360" s="48" t="n">
        <v>23766720</v>
      </c>
      <c r="U1360" s="46" t="n">
        <f aca="false">IF($A1360=$A1359,$U1359+1,1)</f>
        <v>56</v>
      </c>
      <c r="V1360" s="48" t="n">
        <f aca="false">IF($U1360&gt;=MA_SHORT,AVERAGE(INDEX($I$960:$I1360,402-MA_SHORT):$I1360),"")</f>
        <v>1559.7</v>
      </c>
      <c r="W1360" s="48" t="n">
        <f aca="false">IF($U1360&gt;=MA_MED,AVERAGE(INDEX($I$960:$I1360,402-MA_MED):$I1360),"")</f>
        <v>1489.6</v>
      </c>
      <c r="X1360" s="48" t="str">
        <f aca="false">IF($U1360&gt;=MA_LONG1,AVERAGE(INDEX($I$960:$I1360,402-MA_LONG1):$I1360),"")</f>
        <v/>
      </c>
      <c r="Y1360" s="48" t="str">
        <f aca="false">IF($U1360&gt;=MA_LONG2,AVERAGE(INDEX($I$960:$I1360,402-MA_LONG2):$I1360),"")</f>
        <v/>
      </c>
      <c r="Z1360" s="48" t="n">
        <f aca="false">IF($U1360&gt;=MA_SHORT,AVERAGE(INDEX($L$1240:$L1360,122-MA_SHORT):$L1360),"")</f>
        <v>85398979.55</v>
      </c>
      <c r="AA1360" s="48" t="n">
        <f aca="false">IF($U1360=1,$G1360-$H1360,MAX($G1360-$H1360,ABS($G1360-$I1359),ABS($H1360-$I1359)))</f>
        <v>60</v>
      </c>
      <c r="AB1360" s="48" t="n">
        <f aca="false">IF($U1360&gt;=ATR_PER,AVERAGE(INDEX($AA$1240:$AA1360,122-ATR_PER):$AA1360),"")</f>
        <v>58.7857142857143</v>
      </c>
      <c r="AC1360" s="48" t="n">
        <f aca="false">$O1360-$P1360</f>
        <v>-34221913</v>
      </c>
      <c r="AD1360" s="48" t="n">
        <f aca="false">$AC1360*$I1360</f>
        <v>-52427970716</v>
      </c>
      <c r="AE1360" s="49" t="n">
        <f aca="false">IF($Q1360&gt;0,$O1360*$I1360/$Q1360/1000000,"")</f>
        <v>25.9711441825726</v>
      </c>
      <c r="AF1360" s="49" t="n">
        <f aca="false">IF($R1360&gt;0,$P1360*$I1360/$R1360/1000000,"")</f>
        <v>77.2402014060995</v>
      </c>
      <c r="AG1360" s="50" t="n">
        <f aca="false">IF(AND(ISNUMBER($AE1360),ISNUMBER($AF1360),$AF1360&gt;0),$AE1360/$AF1360,"")</f>
        <v>0.336238690601365</v>
      </c>
      <c r="AH1360" s="48" t="n">
        <f aca="false">IF($U1360&gt;=5,SUM(INDEX($AD$1330:$AD1360,32-5):$AD1360),"")</f>
        <v>-63831963566</v>
      </c>
      <c r="AI1360" s="48" t="n">
        <f aca="false">IF($U1360&gt;=STRUCT_S,MAX(INDEX($G$1210:$G1360,152-STRUCT_S):$G1360),"")</f>
        <v>1676</v>
      </c>
      <c r="AJ1360" s="48" t="n">
        <f aca="false">IF($U1360&gt;=STRUCT_S,MIN(INDEX($H$1210:$H1360,152-STRUCT_S):$H1360),"")</f>
        <v>1441</v>
      </c>
      <c r="AK1360" s="48" t="str">
        <f aca="false">IF($U1360&gt;=STRUCT_L,MAX(INDEX($G$1110:$G1360,252-STRUCT_L):$G1360),"")</f>
        <v/>
      </c>
      <c r="AL1360" s="48" t="str">
        <f aca="false">IF($U1360&gt;=STRUCT_L,MIN(INDEX($H$1110:$H1360,252-STRUCT_L):$H1360),"")</f>
        <v/>
      </c>
      <c r="AM1360" s="46" t="n">
        <f aca="false">IF($A1360&lt;&gt;$A1361,1,0)</f>
        <v>0</v>
      </c>
      <c r="AN1360" s="47" t="str">
        <f aca="false">IF($AM1360=1,$A1360,"")</f>
        <v/>
      </c>
    </row>
    <row r="1361" customFormat="false" ht="15" hidden="false" customHeight="false" outlineLevel="0" collapsed="false">
      <c r="A1361" s="43" t="s">
        <v>157</v>
      </c>
      <c r="B1361" s="44" t="s">
        <v>159</v>
      </c>
      <c r="C1361" s="45" t="n">
        <v>45984</v>
      </c>
      <c r="D1361" s="46" t="n">
        <v>20251123</v>
      </c>
      <c r="E1361" s="47" t="s">
        <v>344</v>
      </c>
      <c r="F1361" s="48" t="n">
        <v>1543</v>
      </c>
      <c r="G1361" s="48" t="n">
        <v>1551</v>
      </c>
      <c r="H1361" s="48" t="n">
        <v>1524</v>
      </c>
      <c r="I1361" s="48" t="n">
        <v>1543</v>
      </c>
      <c r="J1361" s="48" t="n">
        <v>1543</v>
      </c>
      <c r="K1361" s="48" t="n">
        <v>1532</v>
      </c>
      <c r="L1361" s="48" t="n">
        <v>70784298</v>
      </c>
      <c r="M1361" s="48" t="n">
        <v>109220171814</v>
      </c>
      <c r="N1361" s="48" t="n">
        <v>3756</v>
      </c>
      <c r="O1361" s="48" t="n">
        <v>39643120</v>
      </c>
      <c r="P1361" s="48" t="n">
        <v>30708306</v>
      </c>
      <c r="Q1361" s="48" t="n">
        <v>1656</v>
      </c>
      <c r="R1361" s="48" t="n">
        <v>1319</v>
      </c>
      <c r="S1361" s="48" t="n">
        <v>31141178</v>
      </c>
      <c r="T1361" s="48" t="n">
        <v>40075992</v>
      </c>
      <c r="U1361" s="46" t="n">
        <f aca="false">IF($A1361=$A1360,$U1360+1,1)</f>
        <v>57</v>
      </c>
      <c r="V1361" s="48" t="n">
        <f aca="false">IF($U1361&gt;=MA_SHORT,AVERAGE(INDEX($I$961:$I1361,402-MA_SHORT):$I1361),"")</f>
        <v>1560.2</v>
      </c>
      <c r="W1361" s="48" t="n">
        <f aca="false">IF($U1361&gt;=MA_MED,AVERAGE(INDEX($I$961:$I1361,402-MA_MED):$I1361),"")</f>
        <v>1490.7</v>
      </c>
      <c r="X1361" s="48" t="str">
        <f aca="false">IF($U1361&gt;=MA_LONG1,AVERAGE(INDEX($I$961:$I1361,402-MA_LONG1):$I1361),"")</f>
        <v/>
      </c>
      <c r="Y1361" s="48" t="str">
        <f aca="false">IF($U1361&gt;=MA_LONG2,AVERAGE(INDEX($I$961:$I1361,402-MA_LONG2):$I1361),"")</f>
        <v/>
      </c>
      <c r="Z1361" s="48" t="n">
        <f aca="false">IF($U1361&gt;=MA_SHORT,AVERAGE(INDEX($L$1241:$L1361,122-MA_SHORT):$L1361),"")</f>
        <v>83486941.95</v>
      </c>
      <c r="AA1361" s="48" t="n">
        <f aca="false">IF($U1361=1,$G1361-$H1361,MAX($G1361-$H1361,ABS($G1361-$I1360),ABS($H1361-$I1360)))</f>
        <v>27</v>
      </c>
      <c r="AB1361" s="48" t="n">
        <f aca="false">IF($U1361&gt;=ATR_PER,AVERAGE(INDEX($AA$1241:$AA1361,122-ATR_PER):$AA1361),"")</f>
        <v>56.1428571428571</v>
      </c>
      <c r="AC1361" s="48" t="n">
        <f aca="false">$O1361-$P1361</f>
        <v>8934814</v>
      </c>
      <c r="AD1361" s="48" t="n">
        <f aca="false">$AC1361*$I1361</f>
        <v>13786418002</v>
      </c>
      <c r="AE1361" s="49" t="n">
        <f aca="false">IF($Q1361&gt;0,$O1361*$I1361/$Q1361/1000000,"")</f>
        <v>36.9380037198068</v>
      </c>
      <c r="AF1361" s="49" t="n">
        <f aca="false">IF($R1361&gt;0,$P1361*$I1361/$R1361/1000000,"")</f>
        <v>35.9233632736922</v>
      </c>
      <c r="AG1361" s="50" t="n">
        <f aca="false">IF(AND(ISNUMBER($AE1361),ISNUMBER($AF1361),$AF1361&gt;0),$AE1361/$AF1361,"")</f>
        <v>1.0282445838488</v>
      </c>
      <c r="AH1361" s="48" t="n">
        <f aca="false">IF($U1361&gt;=5,SUM(INDEX($AD$1331:$AD1361,32-5):$AD1361),"")</f>
        <v>-74156517457</v>
      </c>
      <c r="AI1361" s="48" t="n">
        <f aca="false">IF($U1361&gt;=STRUCT_S,MAX(INDEX($G$1211:$G1361,152-STRUCT_S):$G1361),"")</f>
        <v>1676</v>
      </c>
      <c r="AJ1361" s="48" t="n">
        <f aca="false">IF($U1361&gt;=STRUCT_S,MIN(INDEX($H$1211:$H1361,152-STRUCT_S):$H1361),"")</f>
        <v>1441</v>
      </c>
      <c r="AK1361" s="48" t="str">
        <f aca="false">IF($U1361&gt;=STRUCT_L,MAX(INDEX($G$1111:$G1361,252-STRUCT_L):$G1361),"")</f>
        <v/>
      </c>
      <c r="AL1361" s="48" t="str">
        <f aca="false">IF($U1361&gt;=STRUCT_L,MIN(INDEX($H$1111:$H1361,252-STRUCT_L):$H1361),"")</f>
        <v/>
      </c>
      <c r="AM1361" s="46" t="n">
        <f aca="false">IF($A1361&lt;&gt;$A1362,1,0)</f>
        <v>0</v>
      </c>
      <c r="AN1361" s="47" t="str">
        <f aca="false">IF($AM1361=1,$A1361,"")</f>
        <v/>
      </c>
    </row>
    <row r="1362" customFormat="false" ht="15" hidden="false" customHeight="false" outlineLevel="0" collapsed="false">
      <c r="A1362" s="43" t="s">
        <v>157</v>
      </c>
      <c r="B1362" s="44" t="s">
        <v>159</v>
      </c>
      <c r="C1362" s="45" t="n">
        <v>45985</v>
      </c>
      <c r="D1362" s="46" t="n">
        <v>20251124</v>
      </c>
      <c r="E1362" s="47" t="s">
        <v>345</v>
      </c>
      <c r="F1362" s="48" t="n">
        <v>1561</v>
      </c>
      <c r="G1362" s="48" t="n">
        <v>1573</v>
      </c>
      <c r="H1362" s="48" t="n">
        <v>1522</v>
      </c>
      <c r="I1362" s="48" t="n">
        <v>1552</v>
      </c>
      <c r="J1362" s="48" t="n">
        <v>1561</v>
      </c>
      <c r="K1362" s="48" t="n">
        <v>1543</v>
      </c>
      <c r="L1362" s="48" t="n">
        <v>74975222</v>
      </c>
      <c r="M1362" s="48" t="n">
        <v>116361544544</v>
      </c>
      <c r="N1362" s="48" t="n">
        <v>6590</v>
      </c>
      <c r="O1362" s="48" t="n">
        <v>38176129</v>
      </c>
      <c r="P1362" s="48" t="n">
        <v>40236306</v>
      </c>
      <c r="Q1362" s="48" t="n">
        <v>3420</v>
      </c>
      <c r="R1362" s="48" t="n">
        <v>2292</v>
      </c>
      <c r="S1362" s="48" t="n">
        <v>36799093</v>
      </c>
      <c r="T1362" s="48" t="n">
        <v>34738916</v>
      </c>
      <c r="U1362" s="46" t="n">
        <f aca="false">IF($A1362=$A1361,$U1361+1,1)</f>
        <v>58</v>
      </c>
      <c r="V1362" s="48" t="n">
        <f aca="false">IF($U1362&gt;=MA_SHORT,AVERAGE(INDEX($I$962:$I1362,402-MA_SHORT):$I1362),"")</f>
        <v>1560.2</v>
      </c>
      <c r="W1362" s="48" t="n">
        <f aca="false">IF($U1362&gt;=MA_MED,AVERAGE(INDEX($I$962:$I1362,402-MA_MED):$I1362),"")</f>
        <v>1493.02</v>
      </c>
      <c r="X1362" s="48" t="str">
        <f aca="false">IF($U1362&gt;=MA_LONG1,AVERAGE(INDEX($I$962:$I1362,402-MA_LONG1):$I1362),"")</f>
        <v/>
      </c>
      <c r="Y1362" s="48" t="str">
        <f aca="false">IF($U1362&gt;=MA_LONG2,AVERAGE(INDEX($I$962:$I1362,402-MA_LONG2):$I1362),"")</f>
        <v/>
      </c>
      <c r="Z1362" s="48" t="n">
        <f aca="false">IF($U1362&gt;=MA_SHORT,AVERAGE(INDEX($L$1242:$L1362,122-MA_SHORT):$L1362),"")</f>
        <v>82950212.9</v>
      </c>
      <c r="AA1362" s="48" t="n">
        <f aca="false">IF($U1362=1,$G1362-$H1362,MAX($G1362-$H1362,ABS($G1362-$I1361),ABS($H1362-$I1361)))</f>
        <v>51</v>
      </c>
      <c r="AB1362" s="48" t="n">
        <f aca="false">IF($U1362&gt;=ATR_PER,AVERAGE(INDEX($AA$1242:$AA1362,122-ATR_PER):$AA1362),"")</f>
        <v>54.8571428571429</v>
      </c>
      <c r="AC1362" s="48" t="n">
        <f aca="false">$O1362-$P1362</f>
        <v>-2060177</v>
      </c>
      <c r="AD1362" s="48" t="n">
        <f aca="false">$AC1362*$I1362</f>
        <v>-3197394704</v>
      </c>
      <c r="AE1362" s="49" t="n">
        <f aca="false">IF($Q1362&gt;0,$O1362*$I1362/$Q1362/1000000,"")</f>
        <v>17.3243719906433</v>
      </c>
      <c r="AF1362" s="49" t="n">
        <f aca="false">IF($R1362&gt;0,$P1362*$I1362/$R1362/1000000,"")</f>
        <v>27.2455265759162</v>
      </c>
      <c r="AG1362" s="50" t="n">
        <f aca="false">IF(AND(ISNUMBER($AE1362),ISNUMBER($AF1362),$AF1362&gt;0),$AE1362/$AF1362,"")</f>
        <v>0.635861154761355</v>
      </c>
      <c r="AH1362" s="48" t="n">
        <f aca="false">IF($U1362&gt;=5,SUM(INDEX($AD$1332:$AD1362,32-5):$AD1362),"")</f>
        <v>-50829933615</v>
      </c>
      <c r="AI1362" s="48" t="n">
        <f aca="false">IF($U1362&gt;=STRUCT_S,MAX(INDEX($G$1212:$G1362,152-STRUCT_S):$G1362),"")</f>
        <v>1676</v>
      </c>
      <c r="AJ1362" s="48" t="n">
        <f aca="false">IF($U1362&gt;=STRUCT_S,MIN(INDEX($H$1212:$H1362,152-STRUCT_S):$H1362),"")</f>
        <v>1441</v>
      </c>
      <c r="AK1362" s="48" t="str">
        <f aca="false">IF($U1362&gt;=STRUCT_L,MAX(INDEX($G$1112:$G1362,252-STRUCT_L):$G1362),"")</f>
        <v/>
      </c>
      <c r="AL1362" s="48" t="str">
        <f aca="false">IF($U1362&gt;=STRUCT_L,MIN(INDEX($H$1112:$H1362,252-STRUCT_L):$H1362),"")</f>
        <v/>
      </c>
      <c r="AM1362" s="46" t="n">
        <f aca="false">IF($A1362&lt;&gt;$A1363,1,0)</f>
        <v>0</v>
      </c>
      <c r="AN1362" s="47" t="str">
        <f aca="false">IF($AM1362=1,$A1362,"")</f>
        <v/>
      </c>
    </row>
    <row r="1363" customFormat="false" ht="15" hidden="false" customHeight="false" outlineLevel="0" collapsed="false">
      <c r="A1363" s="43" t="s">
        <v>157</v>
      </c>
      <c r="B1363" s="44" t="s">
        <v>159</v>
      </c>
      <c r="C1363" s="45" t="n">
        <v>45986</v>
      </c>
      <c r="D1363" s="46" t="n">
        <v>20251125</v>
      </c>
      <c r="E1363" s="47" t="s">
        <v>346</v>
      </c>
      <c r="F1363" s="48" t="n">
        <v>1559</v>
      </c>
      <c r="G1363" s="48" t="n">
        <v>1596</v>
      </c>
      <c r="H1363" s="48" t="n">
        <v>1537</v>
      </c>
      <c r="I1363" s="48" t="n">
        <v>1581</v>
      </c>
      <c r="J1363" s="48" t="n">
        <v>1548</v>
      </c>
      <c r="K1363" s="48" t="n">
        <v>1552</v>
      </c>
      <c r="L1363" s="48" t="n">
        <v>75468895</v>
      </c>
      <c r="M1363" s="48" t="n">
        <v>119316322995</v>
      </c>
      <c r="N1363" s="48" t="n">
        <v>2135</v>
      </c>
      <c r="O1363" s="48" t="n">
        <v>44098473</v>
      </c>
      <c r="P1363" s="48" t="n">
        <v>33261274</v>
      </c>
      <c r="Q1363" s="48" t="n">
        <v>1004</v>
      </c>
      <c r="R1363" s="48" t="n">
        <v>881</v>
      </c>
      <c r="S1363" s="48" t="n">
        <v>31370422</v>
      </c>
      <c r="T1363" s="48" t="n">
        <v>42207621</v>
      </c>
      <c r="U1363" s="46" t="n">
        <f aca="false">IF($A1363=$A1362,$U1362+1,1)</f>
        <v>59</v>
      </c>
      <c r="V1363" s="48" t="n">
        <f aca="false">IF($U1363&gt;=MA_SHORT,AVERAGE(INDEX($I$963:$I1363,402-MA_SHORT):$I1363),"")</f>
        <v>1562.45</v>
      </c>
      <c r="W1363" s="48" t="n">
        <f aca="false">IF($U1363&gt;=MA_MED,AVERAGE(INDEX($I$963:$I1363,402-MA_MED):$I1363),"")</f>
        <v>1496.18</v>
      </c>
      <c r="X1363" s="48" t="str">
        <f aca="false">IF($U1363&gt;=MA_LONG1,AVERAGE(INDEX($I$963:$I1363,402-MA_LONG1):$I1363),"")</f>
        <v/>
      </c>
      <c r="Y1363" s="48" t="str">
        <f aca="false">IF($U1363&gt;=MA_LONG2,AVERAGE(INDEX($I$963:$I1363,402-MA_LONG2):$I1363),"")</f>
        <v/>
      </c>
      <c r="Z1363" s="48" t="n">
        <f aca="false">IF($U1363&gt;=MA_SHORT,AVERAGE(INDEX($L$1243:$L1363,122-MA_SHORT):$L1363),"")</f>
        <v>83120739.35</v>
      </c>
      <c r="AA1363" s="48" t="n">
        <f aca="false">IF($U1363=1,$G1363-$H1363,MAX($G1363-$H1363,ABS($G1363-$I1362),ABS($H1363-$I1362)))</f>
        <v>59</v>
      </c>
      <c r="AB1363" s="48" t="n">
        <f aca="false">IF($U1363&gt;=ATR_PER,AVERAGE(INDEX($AA$1243:$AA1363,122-ATR_PER):$AA1363),"")</f>
        <v>54.5</v>
      </c>
      <c r="AC1363" s="48" t="n">
        <f aca="false">$O1363-$P1363</f>
        <v>10837199</v>
      </c>
      <c r="AD1363" s="48" t="n">
        <f aca="false">$AC1363*$I1363</f>
        <v>17133611619</v>
      </c>
      <c r="AE1363" s="49" t="n">
        <f aca="false">IF($Q1363&gt;0,$O1363*$I1363/$Q1363/1000000,"")</f>
        <v>69.4419181404383</v>
      </c>
      <c r="AF1363" s="49" t="n">
        <f aca="false">IF($R1363&gt;0,$P1363*$I1363/$R1363/1000000,"")</f>
        <v>59.689074</v>
      </c>
      <c r="AG1363" s="50" t="n">
        <f aca="false">IF(AND(ISNUMBER($AE1363),ISNUMBER($AF1363),$AF1363&gt;0),$AE1363/$AF1363,"")</f>
        <v>1.1633941270464</v>
      </c>
      <c r="AH1363" s="48" t="n">
        <f aca="false">IF($U1363&gt;=5,SUM(INDEX($AD$1333:$AD1363,32-5):$AD1363),"")</f>
        <v>-22599269991</v>
      </c>
      <c r="AI1363" s="48" t="n">
        <f aca="false">IF($U1363&gt;=STRUCT_S,MAX(INDEX($G$1213:$G1363,152-STRUCT_S):$G1363),"")</f>
        <v>1676</v>
      </c>
      <c r="AJ1363" s="48" t="n">
        <f aca="false">IF($U1363&gt;=STRUCT_S,MIN(INDEX($H$1213:$H1363,152-STRUCT_S):$H1363),"")</f>
        <v>1441</v>
      </c>
      <c r="AK1363" s="48" t="str">
        <f aca="false">IF($U1363&gt;=STRUCT_L,MAX(INDEX($G$1113:$G1363,252-STRUCT_L):$G1363),"")</f>
        <v/>
      </c>
      <c r="AL1363" s="48" t="str">
        <f aca="false">IF($U1363&gt;=STRUCT_L,MIN(INDEX($H$1113:$H1363,252-STRUCT_L):$H1363),"")</f>
        <v/>
      </c>
      <c r="AM1363" s="46" t="n">
        <f aca="false">IF($A1363&lt;&gt;$A1364,1,0)</f>
        <v>0</v>
      </c>
      <c r="AN1363" s="47" t="str">
        <f aca="false">IF($AM1363=1,$A1363,"")</f>
        <v/>
      </c>
    </row>
    <row r="1364" customFormat="false" ht="15" hidden="false" customHeight="false" outlineLevel="0" collapsed="false">
      <c r="A1364" s="43" t="s">
        <v>157</v>
      </c>
      <c r="B1364" s="44" t="s">
        <v>159</v>
      </c>
      <c r="C1364" s="45" t="n">
        <v>45987</v>
      </c>
      <c r="D1364" s="46" t="n">
        <v>20251126</v>
      </c>
      <c r="E1364" s="47" t="s">
        <v>347</v>
      </c>
      <c r="F1364" s="48" t="n">
        <v>1530</v>
      </c>
      <c r="G1364" s="48" t="n">
        <v>1608</v>
      </c>
      <c r="H1364" s="48" t="n">
        <v>1511</v>
      </c>
      <c r="I1364" s="48" t="n">
        <v>1537</v>
      </c>
      <c r="J1364" s="48" t="n">
        <v>1530</v>
      </c>
      <c r="K1364" s="48" t="n">
        <v>1581</v>
      </c>
      <c r="L1364" s="48" t="n">
        <v>240463256</v>
      </c>
      <c r="M1364" s="48" t="n">
        <v>369592024472</v>
      </c>
      <c r="N1364" s="48" t="n">
        <v>10452</v>
      </c>
      <c r="O1364" s="48" t="n">
        <v>84217690</v>
      </c>
      <c r="P1364" s="48" t="n">
        <v>144118299</v>
      </c>
      <c r="Q1364" s="48" t="n">
        <v>3378</v>
      </c>
      <c r="R1364" s="48" t="n">
        <v>4169</v>
      </c>
      <c r="S1364" s="48" t="n">
        <v>156245566</v>
      </c>
      <c r="T1364" s="48" t="n">
        <v>96344957</v>
      </c>
      <c r="U1364" s="46" t="n">
        <f aca="false">IF($A1364=$A1363,$U1363+1,1)</f>
        <v>60</v>
      </c>
      <c r="V1364" s="48" t="n">
        <f aca="false">IF($U1364&gt;=MA_SHORT,AVERAGE(INDEX($I$964:$I1364,402-MA_SHORT):$I1364),"")</f>
        <v>1563.45</v>
      </c>
      <c r="W1364" s="48" t="n">
        <f aca="false">IF($U1364&gt;=MA_MED,AVERAGE(INDEX($I$964:$I1364,402-MA_MED):$I1364),"")</f>
        <v>1499.5</v>
      </c>
      <c r="X1364" s="48" t="str">
        <f aca="false">IF($U1364&gt;=MA_LONG1,AVERAGE(INDEX($I$964:$I1364,402-MA_LONG1):$I1364),"")</f>
        <v/>
      </c>
      <c r="Y1364" s="48" t="str">
        <f aca="false">IF($U1364&gt;=MA_LONG2,AVERAGE(INDEX($I$964:$I1364,402-MA_LONG2):$I1364),"")</f>
        <v/>
      </c>
      <c r="Z1364" s="48" t="n">
        <f aca="false">IF($U1364&gt;=MA_SHORT,AVERAGE(INDEX($L$1244:$L1364,122-MA_SHORT):$L1364),"")</f>
        <v>90749857.6</v>
      </c>
      <c r="AA1364" s="48" t="n">
        <f aca="false">IF($U1364=1,$G1364-$H1364,MAX($G1364-$H1364,ABS($G1364-$I1363),ABS($H1364-$I1363)))</f>
        <v>97</v>
      </c>
      <c r="AB1364" s="48" t="n">
        <f aca="false">IF($U1364&gt;=ATR_PER,AVERAGE(INDEX($AA$1244:$AA1364,122-ATR_PER):$AA1364),"")</f>
        <v>58.7142857142857</v>
      </c>
      <c r="AC1364" s="48" t="n">
        <f aca="false">$O1364-$P1364</f>
        <v>-59900609</v>
      </c>
      <c r="AD1364" s="48" t="n">
        <f aca="false">$AC1364*$I1364</f>
        <v>-92067236033</v>
      </c>
      <c r="AE1364" s="49" t="n">
        <f aca="false">IF($Q1364&gt;0,$O1364*$I1364/$Q1364/1000000,"")</f>
        <v>38.3192982622854</v>
      </c>
      <c r="AF1364" s="49" t="n">
        <f aca="false">IF($R1364&gt;0,$P1364*$I1364/$R1364/1000000,"")</f>
        <v>53.1326038769489</v>
      </c>
      <c r="AG1364" s="50" t="n">
        <f aca="false">IF(AND(ISNUMBER($AE1364),ISNUMBER($AF1364),$AF1364&gt;0),$AE1364/$AF1364,"")</f>
        <v>0.72120121104981</v>
      </c>
      <c r="AH1364" s="48" t="n">
        <f aca="false">IF($U1364&gt;=5,SUM(INDEX($AD$1334:$AD1364,32-5):$AD1364),"")</f>
        <v>-116772571832</v>
      </c>
      <c r="AI1364" s="48" t="n">
        <f aca="false">IF($U1364&gt;=STRUCT_S,MAX(INDEX($G$1214:$G1364,152-STRUCT_S):$G1364),"")</f>
        <v>1676</v>
      </c>
      <c r="AJ1364" s="48" t="n">
        <f aca="false">IF($U1364&gt;=STRUCT_S,MIN(INDEX($H$1214:$H1364,152-STRUCT_S):$H1364),"")</f>
        <v>1441</v>
      </c>
      <c r="AK1364" s="48" t="n">
        <f aca="false">IF($U1364&gt;=STRUCT_L,MAX(INDEX($G$1114:$G1364,252-STRUCT_L):$G1364),"")</f>
        <v>1676</v>
      </c>
      <c r="AL1364" s="48" t="n">
        <f aca="false">IF($U1364&gt;=STRUCT_L,MIN(INDEX($H$1114:$H1364,252-STRUCT_L):$H1364),"")</f>
        <v>1350</v>
      </c>
      <c r="AM1364" s="46" t="n">
        <f aca="false">IF($A1364&lt;&gt;$A1365,1,0)</f>
        <v>0</v>
      </c>
      <c r="AN1364" s="47" t="str">
        <f aca="false">IF($AM1364=1,$A1364,"")</f>
        <v/>
      </c>
    </row>
    <row r="1365" customFormat="false" ht="15" hidden="false" customHeight="false" outlineLevel="0" collapsed="false">
      <c r="A1365" s="43" t="s">
        <v>157</v>
      </c>
      <c r="B1365" s="44" t="s">
        <v>159</v>
      </c>
      <c r="C1365" s="45" t="n">
        <v>45990</v>
      </c>
      <c r="D1365" s="46" t="n">
        <v>20251129</v>
      </c>
      <c r="E1365" s="47" t="s">
        <v>348</v>
      </c>
      <c r="F1365" s="48" t="n">
        <v>1515</v>
      </c>
      <c r="G1365" s="48" t="n">
        <v>1549</v>
      </c>
      <c r="H1365" s="48" t="n">
        <v>1512</v>
      </c>
      <c r="I1365" s="48" t="n">
        <v>1524</v>
      </c>
      <c r="J1365" s="48" t="n">
        <v>1516</v>
      </c>
      <c r="K1365" s="48" t="n">
        <v>1537</v>
      </c>
      <c r="L1365" s="48" t="n">
        <v>71304605</v>
      </c>
      <c r="M1365" s="48" t="n">
        <v>108668218020</v>
      </c>
      <c r="N1365" s="48" t="n">
        <v>3248</v>
      </c>
      <c r="O1365" s="48" t="n">
        <v>34050338</v>
      </c>
      <c r="P1365" s="48" t="n">
        <v>37055665</v>
      </c>
      <c r="Q1365" s="48" t="n">
        <v>1276</v>
      </c>
      <c r="R1365" s="48" t="n">
        <v>1170</v>
      </c>
      <c r="S1365" s="48" t="n">
        <v>37254267</v>
      </c>
      <c r="T1365" s="48" t="n">
        <v>34248940</v>
      </c>
      <c r="U1365" s="46" t="n">
        <f aca="false">IF($A1365=$A1364,$U1364+1,1)</f>
        <v>61</v>
      </c>
      <c r="V1365" s="48" t="n">
        <f aca="false">IF($U1365&gt;=MA_SHORT,AVERAGE(INDEX($I$965:$I1365,402-MA_SHORT):$I1365),"")</f>
        <v>1564.6</v>
      </c>
      <c r="W1365" s="48" t="n">
        <f aca="false">IF($U1365&gt;=MA_MED,AVERAGE(INDEX($I$965:$I1365,402-MA_MED):$I1365),"")</f>
        <v>1502.44</v>
      </c>
      <c r="X1365" s="48" t="str">
        <f aca="false">IF($U1365&gt;=MA_LONG1,AVERAGE(INDEX($I$965:$I1365,402-MA_LONG1):$I1365),"")</f>
        <v/>
      </c>
      <c r="Y1365" s="48" t="str">
        <f aca="false">IF($U1365&gt;=MA_LONG2,AVERAGE(INDEX($I$965:$I1365,402-MA_LONG2):$I1365),"")</f>
        <v/>
      </c>
      <c r="Z1365" s="48" t="n">
        <f aca="false">IF($U1365&gt;=MA_SHORT,AVERAGE(INDEX($L$1245:$L1365,122-MA_SHORT):$L1365),"")</f>
        <v>89820025.15</v>
      </c>
      <c r="AA1365" s="48" t="n">
        <f aca="false">IF($U1365=1,$G1365-$H1365,MAX($G1365-$H1365,ABS($G1365-$I1364),ABS($H1365-$I1364)))</f>
        <v>37</v>
      </c>
      <c r="AB1365" s="48" t="n">
        <f aca="false">IF($U1365&gt;=ATR_PER,AVERAGE(INDEX($AA$1245:$AA1365,122-ATR_PER):$AA1365),"")</f>
        <v>56.1428571428571</v>
      </c>
      <c r="AC1365" s="48" t="n">
        <f aca="false">$O1365-$P1365</f>
        <v>-3005327</v>
      </c>
      <c r="AD1365" s="48" t="n">
        <f aca="false">$AC1365*$I1365</f>
        <v>-4580118348</v>
      </c>
      <c r="AE1365" s="49" t="n">
        <f aca="false">IF($Q1365&gt;0,$O1365*$I1365/$Q1365/1000000,"")</f>
        <v>40.668272031348</v>
      </c>
      <c r="AF1365" s="49" t="n">
        <f aca="false">IF($R1365&gt;0,$P1365*$I1365/$R1365/1000000,"")</f>
        <v>48.267379025641</v>
      </c>
      <c r="AG1365" s="50" t="n">
        <f aca="false">IF(AND(ISNUMBER($AE1365),ISNUMBER($AF1365),$AF1365&gt;0),$AE1365/$AF1365,"")</f>
        <v>0.842562261558553</v>
      </c>
      <c r="AH1365" s="48" t="n">
        <f aca="false">IF($U1365&gt;=5,SUM(INDEX($AD$1335:$AD1365,32-5):$AD1365),"")</f>
        <v>-68924719464</v>
      </c>
      <c r="AI1365" s="48" t="n">
        <f aca="false">IF($U1365&gt;=STRUCT_S,MAX(INDEX($G$1215:$G1365,152-STRUCT_S):$G1365),"")</f>
        <v>1676</v>
      </c>
      <c r="AJ1365" s="48" t="n">
        <f aca="false">IF($U1365&gt;=STRUCT_S,MIN(INDEX($H$1215:$H1365,152-STRUCT_S):$H1365),"")</f>
        <v>1441</v>
      </c>
      <c r="AK1365" s="48" t="n">
        <f aca="false">IF($U1365&gt;=STRUCT_L,MAX(INDEX($G$1115:$G1365,252-STRUCT_L):$G1365),"")</f>
        <v>1676</v>
      </c>
      <c r="AL1365" s="48" t="n">
        <f aca="false">IF($U1365&gt;=STRUCT_L,MIN(INDEX($H$1115:$H1365,252-STRUCT_L):$H1365),"")</f>
        <v>1350</v>
      </c>
      <c r="AM1365" s="46" t="n">
        <f aca="false">IF($A1365&lt;&gt;$A1366,1,0)</f>
        <v>0</v>
      </c>
      <c r="AN1365" s="47" t="str">
        <f aca="false">IF($AM1365=1,$A1365,"")</f>
        <v/>
      </c>
    </row>
    <row r="1366" customFormat="false" ht="15" hidden="false" customHeight="false" outlineLevel="0" collapsed="false">
      <c r="A1366" s="43" t="s">
        <v>157</v>
      </c>
      <c r="B1366" s="44" t="s">
        <v>159</v>
      </c>
      <c r="C1366" s="45" t="n">
        <v>45991</v>
      </c>
      <c r="D1366" s="46" t="n">
        <v>20251130</v>
      </c>
      <c r="E1366" s="47" t="s">
        <v>349</v>
      </c>
      <c r="F1366" s="48" t="n">
        <v>1539</v>
      </c>
      <c r="G1366" s="48" t="n">
        <v>1545</v>
      </c>
      <c r="H1366" s="48" t="n">
        <v>1479</v>
      </c>
      <c r="I1366" s="48" t="n">
        <v>1499</v>
      </c>
      <c r="J1366" s="48" t="n">
        <v>1489</v>
      </c>
      <c r="K1366" s="48" t="n">
        <v>1524</v>
      </c>
      <c r="L1366" s="48" t="n">
        <v>113130732</v>
      </c>
      <c r="M1366" s="48" t="n">
        <v>169582967268</v>
      </c>
      <c r="N1366" s="48" t="n">
        <v>2876</v>
      </c>
      <c r="O1366" s="48" t="n">
        <v>43150188</v>
      </c>
      <c r="P1366" s="48" t="n">
        <v>75361806</v>
      </c>
      <c r="Q1366" s="48" t="n">
        <v>1483</v>
      </c>
      <c r="R1366" s="48" t="n">
        <v>1105</v>
      </c>
      <c r="S1366" s="48" t="n">
        <v>69980544</v>
      </c>
      <c r="T1366" s="48" t="n">
        <v>37768926</v>
      </c>
      <c r="U1366" s="46" t="n">
        <f aca="false">IF($A1366=$A1365,$U1365+1,1)</f>
        <v>62</v>
      </c>
      <c r="V1366" s="48" t="n">
        <f aca="false">IF($U1366&gt;=MA_SHORT,AVERAGE(INDEX($I$966:$I1366,402-MA_SHORT):$I1366),"")</f>
        <v>1565.9</v>
      </c>
      <c r="W1366" s="48" t="n">
        <f aca="false">IF($U1366&gt;=MA_MED,AVERAGE(INDEX($I$966:$I1366,402-MA_MED):$I1366),"")</f>
        <v>1504.56</v>
      </c>
      <c r="X1366" s="48" t="str">
        <f aca="false">IF($U1366&gt;=MA_LONG1,AVERAGE(INDEX($I$966:$I1366,402-MA_LONG1):$I1366),"")</f>
        <v/>
      </c>
      <c r="Y1366" s="48" t="str">
        <f aca="false">IF($U1366&gt;=MA_LONG2,AVERAGE(INDEX($I$966:$I1366,402-MA_LONG2):$I1366),"")</f>
        <v/>
      </c>
      <c r="Z1366" s="48" t="n">
        <f aca="false">IF($U1366&gt;=MA_SHORT,AVERAGE(INDEX($L$1246:$L1366,122-MA_SHORT):$L1366),"")</f>
        <v>91059296.2</v>
      </c>
      <c r="AA1366" s="48" t="n">
        <f aca="false">IF($U1366=1,$G1366-$H1366,MAX($G1366-$H1366,ABS($G1366-$I1365),ABS($H1366-$I1365)))</f>
        <v>66</v>
      </c>
      <c r="AB1366" s="48" t="n">
        <f aca="false">IF($U1366&gt;=ATR_PER,AVERAGE(INDEX($AA$1246:$AA1366,122-ATR_PER):$AA1366),"")</f>
        <v>53.8571428571429</v>
      </c>
      <c r="AC1366" s="48" t="n">
        <f aca="false">$O1366-$P1366</f>
        <v>-32211618</v>
      </c>
      <c r="AD1366" s="48" t="n">
        <f aca="false">$AC1366*$I1366</f>
        <v>-48285215382</v>
      </c>
      <c r="AE1366" s="49" t="n">
        <f aca="false">IF($Q1366&gt;0,$O1366*$I1366/$Q1366/1000000,"")</f>
        <v>43.6157328469319</v>
      </c>
      <c r="AF1366" s="49" t="n">
        <f aca="false">IF($R1366&gt;0,$P1366*$I1366/$R1366/1000000,"")</f>
        <v>102.232893388235</v>
      </c>
      <c r="AG1366" s="50" t="n">
        <f aca="false">IF(AND(ISNUMBER($AE1366),ISNUMBER($AF1366),$AF1366&gt;0),$AE1366/$AF1366,"")</f>
        <v>0.426631110608389</v>
      </c>
      <c r="AH1366" s="48" t="n">
        <f aca="false">IF($U1366&gt;=5,SUM(INDEX($AD$1336:$AD1366,32-5):$AD1366),"")</f>
        <v>-130996352848</v>
      </c>
      <c r="AI1366" s="48" t="n">
        <f aca="false">IF($U1366&gt;=STRUCT_S,MAX(INDEX($G$1216:$G1366,152-STRUCT_S):$G1366),"")</f>
        <v>1676</v>
      </c>
      <c r="AJ1366" s="48" t="n">
        <f aca="false">IF($U1366&gt;=STRUCT_S,MIN(INDEX($H$1216:$H1366,152-STRUCT_S):$H1366),"")</f>
        <v>1441</v>
      </c>
      <c r="AK1366" s="48" t="n">
        <f aca="false">IF($U1366&gt;=STRUCT_L,MAX(INDEX($G$1116:$G1366,252-STRUCT_L):$G1366),"")</f>
        <v>1676</v>
      </c>
      <c r="AL1366" s="48" t="n">
        <f aca="false">IF($U1366&gt;=STRUCT_L,MIN(INDEX($H$1116:$H1366,252-STRUCT_L):$H1366),"")</f>
        <v>1350</v>
      </c>
      <c r="AM1366" s="46" t="n">
        <f aca="false">IF($A1366&lt;&gt;$A1367,1,0)</f>
        <v>0</v>
      </c>
      <c r="AN1366" s="47" t="str">
        <f aca="false">IF($AM1366=1,$A1366,"")</f>
        <v/>
      </c>
    </row>
    <row r="1367" customFormat="false" ht="15" hidden="false" customHeight="false" outlineLevel="0" collapsed="false">
      <c r="A1367" s="43" t="s">
        <v>157</v>
      </c>
      <c r="B1367" s="44" t="s">
        <v>159</v>
      </c>
      <c r="C1367" s="45" t="n">
        <v>45992</v>
      </c>
      <c r="D1367" s="46" t="n">
        <v>20251201</v>
      </c>
      <c r="E1367" s="47" t="s">
        <v>350</v>
      </c>
      <c r="F1367" s="48" t="n">
        <v>1525</v>
      </c>
      <c r="G1367" s="48" t="n">
        <v>1528</v>
      </c>
      <c r="H1367" s="48" t="n">
        <v>1488</v>
      </c>
      <c r="I1367" s="48" t="n">
        <v>1517</v>
      </c>
      <c r="J1367" s="48" t="n">
        <v>1515</v>
      </c>
      <c r="K1367" s="48" t="n">
        <v>1499</v>
      </c>
      <c r="L1367" s="48" t="n">
        <v>72750028</v>
      </c>
      <c r="M1367" s="48" t="n">
        <v>110361792476</v>
      </c>
      <c r="N1367" s="48" t="n">
        <v>1674</v>
      </c>
      <c r="O1367" s="48" t="n">
        <v>39919211</v>
      </c>
      <c r="P1367" s="48" t="n">
        <v>27901968</v>
      </c>
      <c r="Q1367" s="48" t="n">
        <v>837</v>
      </c>
      <c r="R1367" s="48" t="n">
        <v>702</v>
      </c>
      <c r="S1367" s="48" t="n">
        <v>32830817</v>
      </c>
      <c r="T1367" s="48" t="n">
        <v>44848060</v>
      </c>
      <c r="U1367" s="46" t="n">
        <f aca="false">IF($A1367=$A1366,$U1366+1,1)</f>
        <v>63</v>
      </c>
      <c r="V1367" s="48" t="n">
        <f aca="false">IF($U1367&gt;=MA_SHORT,AVERAGE(INDEX($I$967:$I1367,402-MA_SHORT):$I1367),"")</f>
        <v>1568.1</v>
      </c>
      <c r="W1367" s="48" t="n">
        <f aca="false">IF($U1367&gt;=MA_MED,AVERAGE(INDEX($I$967:$I1367,402-MA_MED):$I1367),"")</f>
        <v>1507.32</v>
      </c>
      <c r="X1367" s="48" t="str">
        <f aca="false">IF($U1367&gt;=MA_LONG1,AVERAGE(INDEX($I$967:$I1367,402-MA_LONG1):$I1367),"")</f>
        <v/>
      </c>
      <c r="Y1367" s="48" t="str">
        <f aca="false">IF($U1367&gt;=MA_LONG2,AVERAGE(INDEX($I$967:$I1367,402-MA_LONG2):$I1367),"")</f>
        <v/>
      </c>
      <c r="Z1367" s="48" t="n">
        <f aca="false">IF($U1367&gt;=MA_SHORT,AVERAGE(INDEX($L$1247:$L1367,122-MA_SHORT):$L1367),"")</f>
        <v>90353828.75</v>
      </c>
      <c r="AA1367" s="48" t="n">
        <f aca="false">IF($U1367=1,$G1367-$H1367,MAX($G1367-$H1367,ABS($G1367-$I1366),ABS($H1367-$I1366)))</f>
        <v>40</v>
      </c>
      <c r="AB1367" s="48" t="n">
        <f aca="false">IF($U1367&gt;=ATR_PER,AVERAGE(INDEX($AA$1247:$AA1367,122-ATR_PER):$AA1367),"")</f>
        <v>53.3571428571429</v>
      </c>
      <c r="AC1367" s="48" t="n">
        <f aca="false">$O1367-$P1367</f>
        <v>12017243</v>
      </c>
      <c r="AD1367" s="48" t="n">
        <f aca="false">$AC1367*$I1367</f>
        <v>18230157631</v>
      </c>
      <c r="AE1367" s="49" t="n">
        <f aca="false">IF($Q1367&gt;0,$O1367*$I1367/$Q1367/1000000,"")</f>
        <v>72.3505891123059</v>
      </c>
      <c r="AF1367" s="49" t="n">
        <f aca="false">IF($R1367&gt;0,$P1367*$I1367/$R1367/1000000,"")</f>
        <v>60.2952784273504</v>
      </c>
      <c r="AG1367" s="50" t="n">
        <f aca="false">IF(AND(ISNUMBER($AE1367),ISNUMBER($AF1367),$AF1367&gt;0),$AE1367/$AF1367,"")</f>
        <v>1.1999378889921</v>
      </c>
      <c r="AH1367" s="48" t="n">
        <f aca="false">IF($U1367&gt;=5,SUM(INDEX($AD$1337:$AD1367,32-5):$AD1367),"")</f>
        <v>-109568800513</v>
      </c>
      <c r="AI1367" s="48" t="n">
        <f aca="false">IF($U1367&gt;=STRUCT_S,MAX(INDEX($G$1217:$G1367,152-STRUCT_S):$G1367),"")</f>
        <v>1676</v>
      </c>
      <c r="AJ1367" s="48" t="n">
        <f aca="false">IF($U1367&gt;=STRUCT_S,MIN(INDEX($H$1217:$H1367,152-STRUCT_S):$H1367),"")</f>
        <v>1460</v>
      </c>
      <c r="AK1367" s="48" t="n">
        <f aca="false">IF($U1367&gt;=STRUCT_L,MAX(INDEX($G$1117:$G1367,252-STRUCT_L):$G1367),"")</f>
        <v>1676</v>
      </c>
      <c r="AL1367" s="48" t="n">
        <f aca="false">IF($U1367&gt;=STRUCT_L,MIN(INDEX($H$1117:$H1367,252-STRUCT_L):$H1367),"")</f>
        <v>1350</v>
      </c>
      <c r="AM1367" s="46" t="n">
        <f aca="false">IF($A1367&lt;&gt;$A1368,1,0)</f>
        <v>0</v>
      </c>
      <c r="AN1367" s="47" t="str">
        <f aca="false">IF($AM1367=1,$A1367,"")</f>
        <v/>
      </c>
    </row>
    <row r="1368" customFormat="false" ht="15" hidden="false" customHeight="false" outlineLevel="0" collapsed="false">
      <c r="A1368" s="43" t="s">
        <v>157</v>
      </c>
      <c r="B1368" s="44" t="s">
        <v>159</v>
      </c>
      <c r="C1368" s="45" t="n">
        <v>45993</v>
      </c>
      <c r="D1368" s="46" t="n">
        <v>20251202</v>
      </c>
      <c r="E1368" s="47" t="s">
        <v>351</v>
      </c>
      <c r="F1368" s="48" t="n">
        <v>1544</v>
      </c>
      <c r="G1368" s="48" t="n">
        <v>1546</v>
      </c>
      <c r="H1368" s="48" t="n">
        <v>1510</v>
      </c>
      <c r="I1368" s="48" t="n">
        <v>1539</v>
      </c>
      <c r="J1368" s="48" t="n">
        <v>1532</v>
      </c>
      <c r="K1368" s="48" t="n">
        <v>1517</v>
      </c>
      <c r="L1368" s="48" t="n">
        <v>73765619</v>
      </c>
      <c r="M1368" s="48" t="n">
        <v>113525287641</v>
      </c>
      <c r="N1368" s="48" t="n">
        <v>1806</v>
      </c>
      <c r="O1368" s="48" t="n">
        <v>36998831</v>
      </c>
      <c r="P1368" s="48" t="n">
        <v>32569594</v>
      </c>
      <c r="Q1368" s="48" t="n">
        <v>604</v>
      </c>
      <c r="R1368" s="48" t="n">
        <v>758</v>
      </c>
      <c r="S1368" s="48" t="n">
        <v>36766788</v>
      </c>
      <c r="T1368" s="48" t="n">
        <v>41196025</v>
      </c>
      <c r="U1368" s="46" t="n">
        <f aca="false">IF($A1368=$A1367,$U1367+1,1)</f>
        <v>64</v>
      </c>
      <c r="V1368" s="48" t="n">
        <f aca="false">IF($U1368&gt;=MA_SHORT,AVERAGE(INDEX($I$968:$I1368,402-MA_SHORT):$I1368),"")</f>
        <v>1569.3</v>
      </c>
      <c r="W1368" s="48" t="n">
        <f aca="false">IF($U1368&gt;=MA_MED,AVERAGE(INDEX($I$968:$I1368,402-MA_MED):$I1368),"")</f>
        <v>1509.7</v>
      </c>
      <c r="X1368" s="48" t="str">
        <f aca="false">IF($U1368&gt;=MA_LONG1,AVERAGE(INDEX($I$968:$I1368,402-MA_LONG1):$I1368),"")</f>
        <v/>
      </c>
      <c r="Y1368" s="48" t="str">
        <f aca="false">IF($U1368&gt;=MA_LONG2,AVERAGE(INDEX($I$968:$I1368,402-MA_LONG2):$I1368),"")</f>
        <v/>
      </c>
      <c r="Z1368" s="48" t="n">
        <f aca="false">IF($U1368&gt;=MA_SHORT,AVERAGE(INDEX($L$1248:$L1368,122-MA_SHORT):$L1368),"")</f>
        <v>90068590.85</v>
      </c>
      <c r="AA1368" s="48" t="n">
        <f aca="false">IF($U1368=1,$G1368-$H1368,MAX($G1368-$H1368,ABS($G1368-$I1367),ABS($H1368-$I1367)))</f>
        <v>36</v>
      </c>
      <c r="AB1368" s="48" t="n">
        <f aca="false">IF($U1368&gt;=ATR_PER,AVERAGE(INDEX($AA$1248:$AA1368,122-ATR_PER):$AA1368),"")</f>
        <v>49.1428571428571</v>
      </c>
      <c r="AC1368" s="48" t="n">
        <f aca="false">$O1368-$P1368</f>
        <v>4429237</v>
      </c>
      <c r="AD1368" s="48" t="n">
        <f aca="false">$AC1368*$I1368</f>
        <v>6816595743</v>
      </c>
      <c r="AE1368" s="49" t="n">
        <f aca="false">IF($Q1368&gt;0,$O1368*$I1368/$Q1368/1000000,"")</f>
        <v>94.2735114387417</v>
      </c>
      <c r="AF1368" s="49" t="n">
        <f aca="false">IF($R1368&gt;0,$P1368*$I1368/$R1368/1000000,"")</f>
        <v>66.1274474485488</v>
      </c>
      <c r="AG1368" s="50" t="n">
        <f aca="false">IF(AND(ISNUMBER($AE1368),ISNUMBER($AF1368),$AF1368&gt;0),$AE1368/$AF1368,"")</f>
        <v>1.4256336071658</v>
      </c>
      <c r="AH1368" s="48" t="n">
        <f aca="false">IF($U1368&gt;=5,SUM(INDEX($AD$1338:$AD1368,32-5):$AD1368),"")</f>
        <v>-119885816389</v>
      </c>
      <c r="AI1368" s="48" t="n">
        <f aca="false">IF($U1368&gt;=STRUCT_S,MAX(INDEX($G$1218:$G1368,152-STRUCT_S):$G1368),"")</f>
        <v>1676</v>
      </c>
      <c r="AJ1368" s="48" t="n">
        <f aca="false">IF($U1368&gt;=STRUCT_S,MIN(INDEX($H$1218:$H1368,152-STRUCT_S):$H1368),"")</f>
        <v>1479</v>
      </c>
      <c r="AK1368" s="48" t="n">
        <f aca="false">IF($U1368&gt;=STRUCT_L,MAX(INDEX($G$1118:$G1368,252-STRUCT_L):$G1368),"")</f>
        <v>1676</v>
      </c>
      <c r="AL1368" s="48" t="n">
        <f aca="false">IF($U1368&gt;=STRUCT_L,MIN(INDEX($H$1118:$H1368,252-STRUCT_L):$H1368),"")</f>
        <v>1350</v>
      </c>
      <c r="AM1368" s="46" t="n">
        <f aca="false">IF($A1368&lt;&gt;$A1369,1,0)</f>
        <v>0</v>
      </c>
      <c r="AN1368" s="47" t="str">
        <f aca="false">IF($AM1368=1,$A1368,"")</f>
        <v/>
      </c>
    </row>
    <row r="1369" customFormat="false" ht="15" hidden="false" customHeight="false" outlineLevel="0" collapsed="false">
      <c r="A1369" s="43" t="s">
        <v>157</v>
      </c>
      <c r="B1369" s="44" t="s">
        <v>159</v>
      </c>
      <c r="C1369" s="45" t="n">
        <v>45994</v>
      </c>
      <c r="D1369" s="46" t="n">
        <v>20251203</v>
      </c>
      <c r="E1369" s="47" t="s">
        <v>352</v>
      </c>
      <c r="F1369" s="48" t="n">
        <v>1516</v>
      </c>
      <c r="G1369" s="48" t="n">
        <v>1586</v>
      </c>
      <c r="H1369" s="48" t="n">
        <v>1450</v>
      </c>
      <c r="I1369" s="48" t="n">
        <v>1496</v>
      </c>
      <c r="J1369" s="48" t="n">
        <v>1536</v>
      </c>
      <c r="K1369" s="48" t="n">
        <v>1539</v>
      </c>
      <c r="L1369" s="48" t="n">
        <v>79237064</v>
      </c>
      <c r="M1369" s="48" t="n">
        <v>118538647744</v>
      </c>
      <c r="N1369" s="48" t="n">
        <v>7759</v>
      </c>
      <c r="O1369" s="48" t="n">
        <v>33329817</v>
      </c>
      <c r="P1369" s="48" t="n">
        <v>43039202</v>
      </c>
      <c r="Q1369" s="48" t="n">
        <v>2519</v>
      </c>
      <c r="R1369" s="48" t="n">
        <v>2917</v>
      </c>
      <c r="S1369" s="48" t="n">
        <v>45907247</v>
      </c>
      <c r="T1369" s="48" t="n">
        <v>36197862</v>
      </c>
      <c r="U1369" s="46" t="n">
        <f aca="false">IF($A1369=$A1368,$U1368+1,1)</f>
        <v>65</v>
      </c>
      <c r="V1369" s="48" t="n">
        <f aca="false">IF($U1369&gt;=MA_SHORT,AVERAGE(INDEX($I$969:$I1369,402-MA_SHORT):$I1369),"")</f>
        <v>1567.35</v>
      </c>
      <c r="W1369" s="48" t="n">
        <f aca="false">IF($U1369&gt;=MA_MED,AVERAGE(INDEX($I$969:$I1369,402-MA_MED):$I1369),"")</f>
        <v>1510.86</v>
      </c>
      <c r="X1369" s="48" t="str">
        <f aca="false">IF($U1369&gt;=MA_LONG1,AVERAGE(INDEX($I$969:$I1369,402-MA_LONG1):$I1369),"")</f>
        <v/>
      </c>
      <c r="Y1369" s="48" t="str">
        <f aca="false">IF($U1369&gt;=MA_LONG2,AVERAGE(INDEX($I$969:$I1369,402-MA_LONG2):$I1369),"")</f>
        <v/>
      </c>
      <c r="Z1369" s="48" t="n">
        <f aca="false">IF($U1369&gt;=MA_SHORT,AVERAGE(INDEX($L$1249:$L1369,122-MA_SHORT):$L1369),"")</f>
        <v>90368648.9</v>
      </c>
      <c r="AA1369" s="48" t="n">
        <f aca="false">IF($U1369=1,$G1369-$H1369,MAX($G1369-$H1369,ABS($G1369-$I1368),ABS($H1369-$I1368)))</f>
        <v>136</v>
      </c>
      <c r="AB1369" s="48" t="n">
        <f aca="false">IF($U1369&gt;=ATR_PER,AVERAGE(INDEX($AA$1249:$AA1369,122-ATR_PER):$AA1369),"")</f>
        <v>56.6428571428571</v>
      </c>
      <c r="AC1369" s="48" t="n">
        <f aca="false">$O1369-$P1369</f>
        <v>-9709385</v>
      </c>
      <c r="AD1369" s="48" t="n">
        <f aca="false">$AC1369*$I1369</f>
        <v>-14525239960</v>
      </c>
      <c r="AE1369" s="49" t="n">
        <f aca="false">IF($Q1369&gt;0,$O1369*$I1369/$Q1369/1000000,"")</f>
        <v>19.7941271266376</v>
      </c>
      <c r="AF1369" s="49" t="n">
        <f aca="false">IF($R1369&gt;0,$P1369*$I1369/$R1369/1000000,"")</f>
        <v>22.0728989345218</v>
      </c>
      <c r="AG1369" s="50" t="n">
        <f aca="false">IF(AND(ISNUMBER($AE1369),ISNUMBER($AF1369),$AF1369&gt;0),$AE1369/$AF1369,"")</f>
        <v>0.896761552950336</v>
      </c>
      <c r="AH1369" s="48" t="n">
        <f aca="false">IF($U1369&gt;=5,SUM(INDEX($AD$1339:$AD1369,32-5):$AD1369),"")</f>
        <v>-42343820316</v>
      </c>
      <c r="AI1369" s="48" t="n">
        <f aca="false">IF($U1369&gt;=STRUCT_S,MAX(INDEX($G$1219:$G1369,152-STRUCT_S):$G1369),"")</f>
        <v>1676</v>
      </c>
      <c r="AJ1369" s="48" t="n">
        <f aca="false">IF($U1369&gt;=STRUCT_S,MIN(INDEX($H$1219:$H1369,152-STRUCT_S):$H1369),"")</f>
        <v>1450</v>
      </c>
      <c r="AK1369" s="48" t="n">
        <f aca="false">IF($U1369&gt;=STRUCT_L,MAX(INDEX($G$1119:$G1369,252-STRUCT_L):$G1369),"")</f>
        <v>1676</v>
      </c>
      <c r="AL1369" s="48" t="n">
        <f aca="false">IF($U1369&gt;=STRUCT_L,MIN(INDEX($H$1119:$H1369,252-STRUCT_L):$H1369),"")</f>
        <v>1350</v>
      </c>
      <c r="AM1369" s="46" t="n">
        <f aca="false">IF($A1369&lt;&gt;$A1370,1,0)</f>
        <v>0</v>
      </c>
      <c r="AN1369" s="47" t="str">
        <f aca="false">IF($AM1369=1,$A1369,"")</f>
        <v/>
      </c>
    </row>
    <row r="1370" customFormat="false" ht="15" hidden="false" customHeight="false" outlineLevel="0" collapsed="false">
      <c r="A1370" s="43" t="s">
        <v>157</v>
      </c>
      <c r="B1370" s="44" t="s">
        <v>159</v>
      </c>
      <c r="C1370" s="45" t="n">
        <v>45997</v>
      </c>
      <c r="D1370" s="46" t="n">
        <v>20251206</v>
      </c>
      <c r="E1370" s="47" t="s">
        <v>353</v>
      </c>
      <c r="F1370" s="48" t="n">
        <v>1473</v>
      </c>
      <c r="G1370" s="48" t="n">
        <v>1517</v>
      </c>
      <c r="H1370" s="48" t="n">
        <v>1462</v>
      </c>
      <c r="I1370" s="48" t="n">
        <v>1483</v>
      </c>
      <c r="J1370" s="48" t="n">
        <v>1463</v>
      </c>
      <c r="K1370" s="48" t="n">
        <v>1496</v>
      </c>
      <c r="L1370" s="48" t="n">
        <v>72377973</v>
      </c>
      <c r="M1370" s="48" t="n">
        <v>107336533959</v>
      </c>
      <c r="N1370" s="48" t="n">
        <v>5760</v>
      </c>
      <c r="O1370" s="48" t="n">
        <v>30574004</v>
      </c>
      <c r="P1370" s="48" t="n">
        <v>43076420</v>
      </c>
      <c r="Q1370" s="48" t="n">
        <v>2796</v>
      </c>
      <c r="R1370" s="48" t="n">
        <v>2579</v>
      </c>
      <c r="S1370" s="48" t="n">
        <v>41803969</v>
      </c>
      <c r="T1370" s="48" t="n">
        <v>29301553</v>
      </c>
      <c r="U1370" s="46" t="n">
        <f aca="false">IF($A1370=$A1369,$U1369+1,1)</f>
        <v>66</v>
      </c>
      <c r="V1370" s="48" t="n">
        <f aca="false">IF($U1370&gt;=MA_SHORT,AVERAGE(INDEX($I$970:$I1370,402-MA_SHORT):$I1370),"")</f>
        <v>1563.85</v>
      </c>
      <c r="W1370" s="48" t="n">
        <f aca="false">IF($U1370&gt;=MA_MED,AVERAGE(INDEX($I$970:$I1370,402-MA_MED):$I1370),"")</f>
        <v>1512.46</v>
      </c>
      <c r="X1370" s="48" t="str">
        <f aca="false">IF($U1370&gt;=MA_LONG1,AVERAGE(INDEX($I$970:$I1370,402-MA_LONG1):$I1370),"")</f>
        <v/>
      </c>
      <c r="Y1370" s="48" t="str">
        <f aca="false">IF($U1370&gt;=MA_LONG2,AVERAGE(INDEX($I$970:$I1370,402-MA_LONG2):$I1370),"")</f>
        <v/>
      </c>
      <c r="Z1370" s="48" t="n">
        <f aca="false">IF($U1370&gt;=MA_SHORT,AVERAGE(INDEX($L$1250:$L1370,122-MA_SHORT):$L1370),"")</f>
        <v>89711840.25</v>
      </c>
      <c r="AA1370" s="48" t="n">
        <f aca="false">IF($U1370=1,$G1370-$H1370,MAX($G1370-$H1370,ABS($G1370-$I1369),ABS($H1370-$I1369)))</f>
        <v>55</v>
      </c>
      <c r="AB1370" s="48" t="n">
        <f aca="false">IF($U1370&gt;=ATR_PER,AVERAGE(INDEX($AA$1250:$AA1370,122-ATR_PER):$AA1370),"")</f>
        <v>57.5714285714286</v>
      </c>
      <c r="AC1370" s="48" t="n">
        <f aca="false">$O1370-$P1370</f>
        <v>-12502416</v>
      </c>
      <c r="AD1370" s="48" t="n">
        <f aca="false">$AC1370*$I1370</f>
        <v>-18541082928</v>
      </c>
      <c r="AE1370" s="49" t="n">
        <f aca="false">IF($Q1370&gt;0,$O1370*$I1370/$Q1370/1000000,"")</f>
        <v>16.2164692174535</v>
      </c>
      <c r="AF1370" s="49" t="n">
        <f aca="false">IF($R1370&gt;0,$P1370*$I1370/$R1370/1000000,"")</f>
        <v>24.770194207057</v>
      </c>
      <c r="AG1370" s="50" t="n">
        <f aca="false">IF(AND(ISNUMBER($AE1370),ISNUMBER($AF1370),$AF1370&gt;0),$AE1370/$AF1370,"")</f>
        <v>0.654676708704749</v>
      </c>
      <c r="AH1370" s="48" t="n">
        <f aca="false">IF($U1370&gt;=5,SUM(INDEX($AD$1340:$AD1370,32-5):$AD1370),"")</f>
        <v>-56304784896</v>
      </c>
      <c r="AI1370" s="48" t="n">
        <f aca="false">IF($U1370&gt;=STRUCT_S,MAX(INDEX($G$1220:$G1370,152-STRUCT_S):$G1370),"")</f>
        <v>1676</v>
      </c>
      <c r="AJ1370" s="48" t="n">
        <f aca="false">IF($U1370&gt;=STRUCT_S,MIN(INDEX($H$1220:$H1370,152-STRUCT_S):$H1370),"")</f>
        <v>1450</v>
      </c>
      <c r="AK1370" s="48" t="n">
        <f aca="false">IF($U1370&gt;=STRUCT_L,MAX(INDEX($G$1120:$G1370,252-STRUCT_L):$G1370),"")</f>
        <v>1676</v>
      </c>
      <c r="AL1370" s="48" t="n">
        <f aca="false">IF($U1370&gt;=STRUCT_L,MIN(INDEX($H$1120:$H1370,252-STRUCT_L):$H1370),"")</f>
        <v>1350</v>
      </c>
      <c r="AM1370" s="46" t="n">
        <f aca="false">IF($A1370&lt;&gt;$A1371,1,0)</f>
        <v>0</v>
      </c>
      <c r="AN1370" s="47" t="str">
        <f aca="false">IF($AM1370=1,$A1370,"")</f>
        <v/>
      </c>
    </row>
    <row r="1371" customFormat="false" ht="15" hidden="false" customHeight="false" outlineLevel="0" collapsed="false">
      <c r="A1371" s="43" t="s">
        <v>157</v>
      </c>
      <c r="B1371" s="44" t="s">
        <v>159</v>
      </c>
      <c r="C1371" s="45" t="n">
        <v>45998</v>
      </c>
      <c r="D1371" s="46" t="n">
        <v>20251207</v>
      </c>
      <c r="E1371" s="47" t="s">
        <v>354</v>
      </c>
      <c r="F1371" s="48" t="n">
        <v>1477</v>
      </c>
      <c r="G1371" s="48" t="n">
        <v>1502</v>
      </c>
      <c r="H1371" s="48" t="n">
        <v>1472</v>
      </c>
      <c r="I1371" s="48" t="n">
        <v>1491</v>
      </c>
      <c r="J1371" s="48" t="n">
        <v>1493</v>
      </c>
      <c r="K1371" s="48" t="n">
        <v>1483</v>
      </c>
      <c r="L1371" s="48" t="n">
        <v>70057229</v>
      </c>
      <c r="M1371" s="48" t="n">
        <v>104455328439</v>
      </c>
      <c r="N1371" s="48" t="n">
        <v>2737</v>
      </c>
      <c r="O1371" s="48" t="n">
        <v>35640229</v>
      </c>
      <c r="P1371" s="48" t="n">
        <v>33664327</v>
      </c>
      <c r="Q1371" s="48" t="n">
        <v>1380</v>
      </c>
      <c r="R1371" s="48" t="n">
        <v>1329</v>
      </c>
      <c r="S1371" s="48" t="n">
        <v>34417000</v>
      </c>
      <c r="T1371" s="48" t="n">
        <v>36392902</v>
      </c>
      <c r="U1371" s="46" t="n">
        <f aca="false">IF($A1371=$A1370,$U1370+1,1)</f>
        <v>67</v>
      </c>
      <c r="V1371" s="48" t="n">
        <f aca="false">IF($U1371&gt;=MA_SHORT,AVERAGE(INDEX($I$971:$I1371,402-MA_SHORT):$I1371),"")</f>
        <v>1558.55</v>
      </c>
      <c r="W1371" s="48" t="n">
        <f aca="false">IF($U1371&gt;=MA_MED,AVERAGE(INDEX($I$971:$I1371,402-MA_MED):$I1371),"")</f>
        <v>1513.98</v>
      </c>
      <c r="X1371" s="48" t="str">
        <f aca="false">IF($U1371&gt;=MA_LONG1,AVERAGE(INDEX($I$971:$I1371,402-MA_LONG1):$I1371),"")</f>
        <v/>
      </c>
      <c r="Y1371" s="48" t="str">
        <f aca="false">IF($U1371&gt;=MA_LONG2,AVERAGE(INDEX($I$971:$I1371,402-MA_LONG2):$I1371),"")</f>
        <v/>
      </c>
      <c r="Z1371" s="48" t="n">
        <f aca="false">IF($U1371&gt;=MA_SHORT,AVERAGE(INDEX($L$1251:$L1371,122-MA_SHORT):$L1371),"")</f>
        <v>89244867.25</v>
      </c>
      <c r="AA1371" s="48" t="n">
        <f aca="false">IF($U1371=1,$G1371-$H1371,MAX($G1371-$H1371,ABS($G1371-$I1370),ABS($H1371-$I1370)))</f>
        <v>30</v>
      </c>
      <c r="AB1371" s="48" t="n">
        <f aca="false">IF($U1371&gt;=ATR_PER,AVERAGE(INDEX($AA$1251:$AA1371,122-ATR_PER):$AA1371),"")</f>
        <v>58.1428571428571</v>
      </c>
      <c r="AC1371" s="48" t="n">
        <f aca="false">$O1371-$P1371</f>
        <v>1975902</v>
      </c>
      <c r="AD1371" s="48" t="n">
        <f aca="false">$AC1371*$I1371</f>
        <v>2946069882</v>
      </c>
      <c r="AE1371" s="49" t="n">
        <f aca="false">IF($Q1371&gt;0,$O1371*$I1371/$Q1371/1000000,"")</f>
        <v>38.5069430717391</v>
      </c>
      <c r="AF1371" s="49" t="n">
        <f aca="false">IF($R1371&gt;0,$P1371*$I1371/$R1371/1000000,"")</f>
        <v>37.767879275395</v>
      </c>
      <c r="AG1371" s="50" t="n">
        <f aca="false">IF(AND(ISNUMBER($AE1371),ISNUMBER($AF1371),$AF1371&gt;0),$AE1371/$AF1371,"")</f>
        <v>1.01956858077614</v>
      </c>
      <c r="AH1371" s="48" t="n">
        <f aca="false">IF($U1371&gt;=5,SUM(INDEX($AD$1341:$AD1371,32-5):$AD1371),"")</f>
        <v>-5073499632</v>
      </c>
      <c r="AI1371" s="48" t="n">
        <f aca="false">IF($U1371&gt;=STRUCT_S,MAX(INDEX($G$1221:$G1371,152-STRUCT_S):$G1371),"")</f>
        <v>1676</v>
      </c>
      <c r="AJ1371" s="48" t="n">
        <f aca="false">IF($U1371&gt;=STRUCT_S,MIN(INDEX($H$1221:$H1371,152-STRUCT_S):$H1371),"")</f>
        <v>1450</v>
      </c>
      <c r="AK1371" s="48" t="n">
        <f aca="false">IF($U1371&gt;=STRUCT_L,MAX(INDEX($G$1121:$G1371,252-STRUCT_L):$G1371),"")</f>
        <v>1676</v>
      </c>
      <c r="AL1371" s="48" t="n">
        <f aca="false">IF($U1371&gt;=STRUCT_L,MIN(INDEX($H$1121:$H1371,252-STRUCT_L):$H1371),"")</f>
        <v>1350</v>
      </c>
      <c r="AM1371" s="46" t="n">
        <f aca="false">IF($A1371&lt;&gt;$A1372,1,0)</f>
        <v>0</v>
      </c>
      <c r="AN1371" s="47" t="str">
        <f aca="false">IF($AM1371=1,$A1371,"")</f>
        <v/>
      </c>
    </row>
    <row r="1372" customFormat="false" ht="15" hidden="false" customHeight="false" outlineLevel="0" collapsed="false">
      <c r="A1372" s="43" t="s">
        <v>157</v>
      </c>
      <c r="B1372" s="44" t="s">
        <v>159</v>
      </c>
      <c r="C1372" s="45" t="n">
        <v>45999</v>
      </c>
      <c r="D1372" s="46" t="n">
        <v>20251208</v>
      </c>
      <c r="E1372" s="47" t="s">
        <v>355</v>
      </c>
      <c r="F1372" s="48" t="n">
        <v>1501</v>
      </c>
      <c r="G1372" s="48" t="n">
        <v>1503</v>
      </c>
      <c r="H1372" s="48" t="n">
        <v>1474</v>
      </c>
      <c r="I1372" s="48" t="n">
        <v>1486</v>
      </c>
      <c r="J1372" s="48" t="n">
        <v>1478</v>
      </c>
      <c r="K1372" s="48" t="n">
        <v>1491</v>
      </c>
      <c r="L1372" s="48" t="n">
        <v>69226199</v>
      </c>
      <c r="M1372" s="48" t="n">
        <v>102870131714</v>
      </c>
      <c r="N1372" s="48" t="n">
        <v>1730</v>
      </c>
      <c r="O1372" s="48" t="n">
        <v>36378588</v>
      </c>
      <c r="P1372" s="48" t="n">
        <v>30083337</v>
      </c>
      <c r="Q1372" s="48" t="n">
        <v>533</v>
      </c>
      <c r="R1372" s="48" t="n">
        <v>818</v>
      </c>
      <c r="S1372" s="48" t="n">
        <v>32847611</v>
      </c>
      <c r="T1372" s="48" t="n">
        <v>39142862</v>
      </c>
      <c r="U1372" s="46" t="n">
        <f aca="false">IF($A1372=$A1371,$U1371+1,1)</f>
        <v>68</v>
      </c>
      <c r="V1372" s="48" t="n">
        <f aca="false">IF($U1372&gt;=MA_SHORT,AVERAGE(INDEX($I$972:$I1372,402-MA_SHORT):$I1372),"")</f>
        <v>1551</v>
      </c>
      <c r="W1372" s="48" t="n">
        <f aca="false">IF($U1372&gt;=MA_MED,AVERAGE(INDEX($I$972:$I1372,402-MA_MED):$I1372),"")</f>
        <v>1514.78</v>
      </c>
      <c r="X1372" s="48" t="str">
        <f aca="false">IF($U1372&gt;=MA_LONG1,AVERAGE(INDEX($I$972:$I1372,402-MA_LONG1):$I1372),"")</f>
        <v/>
      </c>
      <c r="Y1372" s="48" t="str">
        <f aca="false">IF($U1372&gt;=MA_LONG2,AVERAGE(INDEX($I$972:$I1372,402-MA_LONG2):$I1372),"")</f>
        <v/>
      </c>
      <c r="Z1372" s="48" t="n">
        <f aca="false">IF($U1372&gt;=MA_SHORT,AVERAGE(INDEX($L$1252:$L1372,122-MA_SHORT):$L1372),"")</f>
        <v>88803225.6</v>
      </c>
      <c r="AA1372" s="48" t="n">
        <f aca="false">IF($U1372=1,$G1372-$H1372,MAX($G1372-$H1372,ABS($G1372-$I1371),ABS($H1372-$I1371)))</f>
        <v>29</v>
      </c>
      <c r="AB1372" s="48" t="n">
        <f aca="false">IF($U1372&gt;=ATR_PER,AVERAGE(INDEX($AA$1252:$AA1372,122-ATR_PER):$AA1372),"")</f>
        <v>55.6428571428571</v>
      </c>
      <c r="AC1372" s="48" t="n">
        <f aca="false">$O1372-$P1372</f>
        <v>6295251</v>
      </c>
      <c r="AD1372" s="48" t="n">
        <f aca="false">$AC1372*$I1372</f>
        <v>9354742986</v>
      </c>
      <c r="AE1372" s="49" t="n">
        <f aca="false">IF($Q1372&gt;0,$O1372*$I1372/$Q1372/1000000,"")</f>
        <v>101.423230333959</v>
      </c>
      <c r="AF1372" s="49" t="n">
        <f aca="false">IF($R1372&gt;0,$P1372*$I1372/$R1372/1000000,"")</f>
        <v>54.6501696601467</v>
      </c>
      <c r="AG1372" s="50" t="n">
        <f aca="false">IF(AND(ISNUMBER($AE1372),ISNUMBER($AF1372),$AF1372&gt;0),$AE1372/$AF1372,"")</f>
        <v>1.85586304607433</v>
      </c>
      <c r="AH1372" s="48" t="n">
        <f aca="false">IF($U1372&gt;=5,SUM(INDEX($AD$1342:$AD1372,32-5):$AD1372),"")</f>
        <v>-13948914277</v>
      </c>
      <c r="AI1372" s="48" t="n">
        <f aca="false">IF($U1372&gt;=STRUCT_S,MAX(INDEX($G$1222:$G1372,152-STRUCT_S):$G1372),"")</f>
        <v>1676</v>
      </c>
      <c r="AJ1372" s="48" t="n">
        <f aca="false">IF($U1372&gt;=STRUCT_S,MIN(INDEX($H$1222:$H1372,152-STRUCT_S):$H1372),"")</f>
        <v>1450</v>
      </c>
      <c r="AK1372" s="48" t="n">
        <f aca="false">IF($U1372&gt;=STRUCT_L,MAX(INDEX($G$1122:$G1372,252-STRUCT_L):$G1372),"")</f>
        <v>1676</v>
      </c>
      <c r="AL1372" s="48" t="n">
        <f aca="false">IF($U1372&gt;=STRUCT_L,MIN(INDEX($H$1122:$H1372,252-STRUCT_L):$H1372),"")</f>
        <v>1350</v>
      </c>
      <c r="AM1372" s="46" t="n">
        <f aca="false">IF($A1372&lt;&gt;$A1373,1,0)</f>
        <v>0</v>
      </c>
      <c r="AN1372" s="47" t="str">
        <f aca="false">IF($AM1372=1,$A1372,"")</f>
        <v/>
      </c>
    </row>
    <row r="1373" customFormat="false" ht="15" hidden="false" customHeight="false" outlineLevel="0" collapsed="false">
      <c r="A1373" s="43" t="s">
        <v>157</v>
      </c>
      <c r="B1373" s="44" t="s">
        <v>159</v>
      </c>
      <c r="C1373" s="45" t="n">
        <v>46000</v>
      </c>
      <c r="D1373" s="46" t="n">
        <v>20251209</v>
      </c>
      <c r="E1373" s="47" t="s">
        <v>356</v>
      </c>
      <c r="F1373" s="48" t="n">
        <v>1443</v>
      </c>
      <c r="G1373" s="48" t="n">
        <v>1537</v>
      </c>
      <c r="H1373" s="48" t="n">
        <v>1443</v>
      </c>
      <c r="I1373" s="48" t="n">
        <v>1493</v>
      </c>
      <c r="J1373" s="48" t="n">
        <v>1458</v>
      </c>
      <c r="K1373" s="48" t="n">
        <v>1486</v>
      </c>
      <c r="L1373" s="48" t="n">
        <v>69778795</v>
      </c>
      <c r="M1373" s="48" t="n">
        <v>104179740935</v>
      </c>
      <c r="N1373" s="48" t="n">
        <v>1769</v>
      </c>
      <c r="O1373" s="48" t="n">
        <v>35926196</v>
      </c>
      <c r="P1373" s="48" t="n">
        <v>34620272</v>
      </c>
      <c r="Q1373" s="48" t="n">
        <v>852</v>
      </c>
      <c r="R1373" s="48" t="n">
        <v>725</v>
      </c>
      <c r="S1373" s="48" t="n">
        <v>33852599</v>
      </c>
      <c r="T1373" s="48" t="n">
        <v>35158523</v>
      </c>
      <c r="U1373" s="46" t="n">
        <f aca="false">IF($A1373=$A1372,$U1372+1,1)</f>
        <v>69</v>
      </c>
      <c r="V1373" s="48" t="n">
        <f aca="false">IF($U1373&gt;=MA_SHORT,AVERAGE(INDEX($I$973:$I1373,402-MA_SHORT):$I1373),"")</f>
        <v>1543.45</v>
      </c>
      <c r="W1373" s="48" t="n">
        <f aca="false">IF($U1373&gt;=MA_MED,AVERAGE(INDEX($I$973:$I1373,402-MA_MED):$I1373),"")</f>
        <v>1515.64</v>
      </c>
      <c r="X1373" s="48" t="str">
        <f aca="false">IF($U1373&gt;=MA_LONG1,AVERAGE(INDEX($I$973:$I1373,402-MA_LONG1):$I1373),"")</f>
        <v/>
      </c>
      <c r="Y1373" s="48" t="str">
        <f aca="false">IF($U1373&gt;=MA_LONG2,AVERAGE(INDEX($I$973:$I1373,402-MA_LONG2):$I1373),"")</f>
        <v/>
      </c>
      <c r="Z1373" s="48" t="n">
        <f aca="false">IF($U1373&gt;=MA_SHORT,AVERAGE(INDEX($L$1253:$L1373,122-MA_SHORT):$L1373),"")</f>
        <v>86562205.45</v>
      </c>
      <c r="AA1373" s="48" t="n">
        <f aca="false">IF($U1373=1,$G1373-$H1373,MAX($G1373-$H1373,ABS($G1373-$I1372),ABS($H1373-$I1372)))</f>
        <v>94</v>
      </c>
      <c r="AB1373" s="48" t="n">
        <f aca="false">IF($U1373&gt;=ATR_PER,AVERAGE(INDEX($AA$1253:$AA1373,122-ATR_PER):$AA1373),"")</f>
        <v>58.3571428571429</v>
      </c>
      <c r="AC1373" s="48" t="n">
        <f aca="false">$O1373-$P1373</f>
        <v>1305924</v>
      </c>
      <c r="AD1373" s="48" t="n">
        <f aca="false">$AC1373*$I1373</f>
        <v>1949744532</v>
      </c>
      <c r="AE1373" s="49" t="n">
        <f aca="false">IF($Q1373&gt;0,$O1373*$I1373/$Q1373/1000000,"")</f>
        <v>62.9551767934272</v>
      </c>
      <c r="AF1373" s="49" t="n">
        <f aca="false">IF($R1373&gt;0,$P1373*$I1373/$R1373/1000000,"")</f>
        <v>71.2938842703448</v>
      </c>
      <c r="AG1373" s="50" t="n">
        <f aca="false">IF(AND(ISNUMBER($AE1373),ISNUMBER($AF1373),$AF1373&gt;0),$AE1373/$AF1373,"")</f>
        <v>0.883037548560303</v>
      </c>
      <c r="AH1373" s="48" t="n">
        <f aca="false">IF($U1373&gt;=5,SUM(INDEX($AD$1343:$AD1373,32-5):$AD1373),"")</f>
        <v>-18815765488</v>
      </c>
      <c r="AI1373" s="48" t="n">
        <f aca="false">IF($U1373&gt;=STRUCT_S,MAX(INDEX($G$1223:$G1373,152-STRUCT_S):$G1373),"")</f>
        <v>1676</v>
      </c>
      <c r="AJ1373" s="48" t="n">
        <f aca="false">IF($U1373&gt;=STRUCT_S,MIN(INDEX($H$1223:$H1373,152-STRUCT_S):$H1373),"")</f>
        <v>1443</v>
      </c>
      <c r="AK1373" s="48" t="n">
        <f aca="false">IF($U1373&gt;=STRUCT_L,MAX(INDEX($G$1123:$G1373,252-STRUCT_L):$G1373),"")</f>
        <v>1676</v>
      </c>
      <c r="AL1373" s="48" t="n">
        <f aca="false">IF($U1373&gt;=STRUCT_L,MIN(INDEX($H$1123:$H1373,252-STRUCT_L):$H1373),"")</f>
        <v>1350</v>
      </c>
      <c r="AM1373" s="46" t="n">
        <f aca="false">IF($A1373&lt;&gt;$A1374,1,0)</f>
        <v>0</v>
      </c>
      <c r="AN1373" s="47" t="str">
        <f aca="false">IF($AM1373=1,$A1373,"")</f>
        <v/>
      </c>
    </row>
    <row r="1374" customFormat="false" ht="15" hidden="false" customHeight="false" outlineLevel="0" collapsed="false">
      <c r="A1374" s="43" t="s">
        <v>157</v>
      </c>
      <c r="B1374" s="44" t="s">
        <v>159</v>
      </c>
      <c r="C1374" s="45" t="n">
        <v>46001</v>
      </c>
      <c r="D1374" s="46" t="n">
        <v>20251210</v>
      </c>
      <c r="E1374" s="47" t="s">
        <v>357</v>
      </c>
      <c r="F1374" s="48" t="n">
        <v>1467</v>
      </c>
      <c r="G1374" s="48" t="n">
        <v>1499</v>
      </c>
      <c r="H1374" s="48" t="n">
        <v>1456</v>
      </c>
      <c r="I1374" s="48" t="n">
        <v>1462</v>
      </c>
      <c r="J1374" s="48" t="n">
        <v>1481</v>
      </c>
      <c r="K1374" s="48" t="n">
        <v>1493</v>
      </c>
      <c r="L1374" s="48" t="n">
        <v>76314982</v>
      </c>
      <c r="M1374" s="48" t="n">
        <v>111572503684</v>
      </c>
      <c r="N1374" s="48" t="n">
        <v>3999</v>
      </c>
      <c r="O1374" s="48" t="n">
        <v>30209445</v>
      </c>
      <c r="P1374" s="48" t="n">
        <v>45178910</v>
      </c>
      <c r="Q1374" s="48" t="n">
        <v>1407</v>
      </c>
      <c r="R1374" s="48" t="n">
        <v>1814</v>
      </c>
      <c r="S1374" s="48" t="n">
        <v>46105537</v>
      </c>
      <c r="T1374" s="48" t="n">
        <v>31136072</v>
      </c>
      <c r="U1374" s="46" t="n">
        <f aca="false">IF($A1374=$A1373,$U1373+1,1)</f>
        <v>70</v>
      </c>
      <c r="V1374" s="48" t="n">
        <f aca="false">IF($U1374&gt;=MA_SHORT,AVERAGE(INDEX($I$974:$I1374,402-MA_SHORT):$I1374),"")</f>
        <v>1535.95</v>
      </c>
      <c r="W1374" s="48" t="n">
        <f aca="false">IF($U1374&gt;=MA_MED,AVERAGE(INDEX($I$974:$I1374,402-MA_MED):$I1374),"")</f>
        <v>1515.9</v>
      </c>
      <c r="X1374" s="48" t="str">
        <f aca="false">IF($U1374&gt;=MA_LONG1,AVERAGE(INDEX($I$974:$I1374,402-MA_LONG1):$I1374),"")</f>
        <v/>
      </c>
      <c r="Y1374" s="48" t="str">
        <f aca="false">IF($U1374&gt;=MA_LONG2,AVERAGE(INDEX($I$974:$I1374,402-MA_LONG2):$I1374),"")</f>
        <v/>
      </c>
      <c r="Z1374" s="48" t="n">
        <f aca="false">IF($U1374&gt;=MA_SHORT,AVERAGE(INDEX($L$1254:$L1374,122-MA_SHORT):$L1374),"")</f>
        <v>86477800.1</v>
      </c>
      <c r="AA1374" s="48" t="n">
        <f aca="false">IF($U1374=1,$G1374-$H1374,MAX($G1374-$H1374,ABS($G1374-$I1373),ABS($H1374-$I1373)))</f>
        <v>43</v>
      </c>
      <c r="AB1374" s="48" t="n">
        <f aca="false">IF($U1374&gt;=ATR_PER,AVERAGE(INDEX($AA$1254:$AA1374,122-ATR_PER):$AA1374),"")</f>
        <v>57.1428571428571</v>
      </c>
      <c r="AC1374" s="48" t="n">
        <f aca="false">$O1374-$P1374</f>
        <v>-14969465</v>
      </c>
      <c r="AD1374" s="48" t="n">
        <f aca="false">$AC1374*$I1374</f>
        <v>-21885357830</v>
      </c>
      <c r="AE1374" s="49" t="n">
        <f aca="false">IF($Q1374&gt;0,$O1374*$I1374/$Q1374/1000000,"")</f>
        <v>31.3903401492537</v>
      </c>
      <c r="AF1374" s="49" t="n">
        <f aca="false">IF($R1374&gt;0,$P1374*$I1374/$R1374/1000000,"")</f>
        <v>36.4121093825799</v>
      </c>
      <c r="AG1374" s="50" t="n">
        <f aca="false">IF(AND(ISNUMBER($AE1374),ISNUMBER($AF1374),$AF1374&gt;0),$AE1374/$AF1374,"")</f>
        <v>0.86208518763462</v>
      </c>
      <c r="AH1374" s="48" t="n">
        <f aca="false">IF($U1374&gt;=5,SUM(INDEX($AD$1344:$AD1374,32-5):$AD1374),"")</f>
        <v>-26175883358</v>
      </c>
      <c r="AI1374" s="48" t="n">
        <f aca="false">IF($U1374&gt;=STRUCT_S,MAX(INDEX($G$1224:$G1374,152-STRUCT_S):$G1374),"")</f>
        <v>1631</v>
      </c>
      <c r="AJ1374" s="48" t="n">
        <f aca="false">IF($U1374&gt;=STRUCT_S,MIN(INDEX($H$1224:$H1374,152-STRUCT_S):$H1374),"")</f>
        <v>1443</v>
      </c>
      <c r="AK1374" s="48" t="n">
        <f aca="false">IF($U1374&gt;=STRUCT_L,MAX(INDEX($G$1124:$G1374,252-STRUCT_L):$G1374),"")</f>
        <v>1676</v>
      </c>
      <c r="AL1374" s="48" t="n">
        <f aca="false">IF($U1374&gt;=STRUCT_L,MIN(INDEX($H$1124:$H1374,252-STRUCT_L):$H1374),"")</f>
        <v>1360</v>
      </c>
      <c r="AM1374" s="46" t="n">
        <f aca="false">IF($A1374&lt;&gt;$A1375,1,0)</f>
        <v>0</v>
      </c>
      <c r="AN1374" s="47" t="str">
        <f aca="false">IF($AM1374=1,$A1374,"")</f>
        <v/>
      </c>
    </row>
    <row r="1375" customFormat="false" ht="15" hidden="false" customHeight="false" outlineLevel="0" collapsed="false">
      <c r="A1375" s="43" t="s">
        <v>157</v>
      </c>
      <c r="B1375" s="44" t="s">
        <v>159</v>
      </c>
      <c r="C1375" s="45" t="n">
        <v>46004</v>
      </c>
      <c r="D1375" s="46" t="n">
        <v>20251213</v>
      </c>
      <c r="E1375" s="47" t="s">
        <v>358</v>
      </c>
      <c r="F1375" s="48" t="n">
        <v>1468</v>
      </c>
      <c r="G1375" s="48" t="n">
        <v>1504</v>
      </c>
      <c r="H1375" s="48" t="n">
        <v>1447</v>
      </c>
      <c r="I1375" s="48" t="n">
        <v>1488</v>
      </c>
      <c r="J1375" s="48" t="n">
        <v>1487</v>
      </c>
      <c r="K1375" s="48" t="n">
        <v>1462</v>
      </c>
      <c r="L1375" s="48" t="n">
        <v>134566996</v>
      </c>
      <c r="M1375" s="48" t="n">
        <v>200235690048</v>
      </c>
      <c r="N1375" s="48" t="n">
        <v>5737</v>
      </c>
      <c r="O1375" s="48" t="n">
        <v>83509833</v>
      </c>
      <c r="P1375" s="48" t="n">
        <v>51496607</v>
      </c>
      <c r="Q1375" s="48" t="n">
        <v>2702</v>
      </c>
      <c r="R1375" s="48" t="n">
        <v>3097</v>
      </c>
      <c r="S1375" s="48" t="n">
        <v>51057163</v>
      </c>
      <c r="T1375" s="48" t="n">
        <v>83070389</v>
      </c>
      <c r="U1375" s="46" t="n">
        <f aca="false">IF($A1375=$A1374,$U1374+1,1)</f>
        <v>71</v>
      </c>
      <c r="V1375" s="48" t="n">
        <f aca="false">IF($U1375&gt;=MA_SHORT,AVERAGE(INDEX($I$975:$I1375,402-MA_SHORT):$I1375),"")</f>
        <v>1530.8</v>
      </c>
      <c r="W1375" s="48" t="n">
        <f aca="false">IF($U1375&gt;=MA_MED,AVERAGE(INDEX($I$975:$I1375,402-MA_MED):$I1375),"")</f>
        <v>1516.66</v>
      </c>
      <c r="X1375" s="48" t="str">
        <f aca="false">IF($U1375&gt;=MA_LONG1,AVERAGE(INDEX($I$975:$I1375,402-MA_LONG1):$I1375),"")</f>
        <v/>
      </c>
      <c r="Y1375" s="48" t="str">
        <f aca="false">IF($U1375&gt;=MA_LONG2,AVERAGE(INDEX($I$975:$I1375,402-MA_LONG2):$I1375),"")</f>
        <v/>
      </c>
      <c r="Z1375" s="48" t="n">
        <f aca="false">IF($U1375&gt;=MA_SHORT,AVERAGE(INDEX($L$1255:$L1375,122-MA_SHORT):$L1375),"")</f>
        <v>88706259.85</v>
      </c>
      <c r="AA1375" s="48" t="n">
        <f aca="false">IF($U1375=1,$G1375-$H1375,MAX($G1375-$H1375,ABS($G1375-$I1374),ABS($H1375-$I1374)))</f>
        <v>57</v>
      </c>
      <c r="AB1375" s="48" t="n">
        <f aca="false">IF($U1375&gt;=ATR_PER,AVERAGE(INDEX($AA$1255:$AA1375,122-ATR_PER):$AA1375),"")</f>
        <v>59.2857142857143</v>
      </c>
      <c r="AC1375" s="48" t="n">
        <f aca="false">$O1375-$P1375</f>
        <v>32013226</v>
      </c>
      <c r="AD1375" s="48" t="n">
        <f aca="false">$AC1375*$I1375</f>
        <v>47635680288</v>
      </c>
      <c r="AE1375" s="49" t="n">
        <f aca="false">IF($Q1375&gt;0,$O1375*$I1375/$Q1375/1000000,"")</f>
        <v>45.9891308304959</v>
      </c>
      <c r="AF1375" s="49" t="n">
        <f aca="false">IF($R1375&gt;0,$P1375*$I1375/$R1375/1000000,"")</f>
        <v>24.7423155363255</v>
      </c>
      <c r="AG1375" s="50" t="n">
        <f aca="false">IF(AND(ISNUMBER($AE1375),ISNUMBER($AF1375),$AF1375&gt;0),$AE1375/$AF1375,"")</f>
        <v>1.85872380307239</v>
      </c>
      <c r="AH1375" s="48" t="n">
        <f aca="false">IF($U1375&gt;=5,SUM(INDEX($AD$1345:$AD1375,32-5):$AD1375),"")</f>
        <v>40000879858</v>
      </c>
      <c r="AI1375" s="48" t="n">
        <f aca="false">IF($U1375&gt;=STRUCT_S,MAX(INDEX($G$1225:$G1375,152-STRUCT_S):$G1375),"")</f>
        <v>1631</v>
      </c>
      <c r="AJ1375" s="48" t="n">
        <f aca="false">IF($U1375&gt;=STRUCT_S,MIN(INDEX($H$1225:$H1375,152-STRUCT_S):$H1375),"")</f>
        <v>1443</v>
      </c>
      <c r="AK1375" s="48" t="n">
        <f aca="false">IF($U1375&gt;=STRUCT_L,MAX(INDEX($G$1125:$G1375,252-STRUCT_L):$G1375),"")</f>
        <v>1676</v>
      </c>
      <c r="AL1375" s="48" t="n">
        <f aca="false">IF($U1375&gt;=STRUCT_L,MIN(INDEX($H$1125:$H1375,252-STRUCT_L):$H1375),"")</f>
        <v>1360</v>
      </c>
      <c r="AM1375" s="46" t="n">
        <f aca="false">IF($A1375&lt;&gt;$A1376,1,0)</f>
        <v>0</v>
      </c>
      <c r="AN1375" s="47" t="str">
        <f aca="false">IF($AM1375=1,$A1375,"")</f>
        <v/>
      </c>
    </row>
    <row r="1376" customFormat="false" ht="15" hidden="false" customHeight="false" outlineLevel="0" collapsed="false">
      <c r="A1376" s="43" t="s">
        <v>157</v>
      </c>
      <c r="B1376" s="44" t="s">
        <v>159</v>
      </c>
      <c r="C1376" s="45" t="n">
        <v>46005</v>
      </c>
      <c r="D1376" s="46" t="n">
        <v>20251214</v>
      </c>
      <c r="E1376" s="47" t="s">
        <v>359</v>
      </c>
      <c r="F1376" s="48" t="n">
        <v>1478</v>
      </c>
      <c r="G1376" s="48" t="n">
        <v>1506</v>
      </c>
      <c r="H1376" s="48" t="n">
        <v>1435</v>
      </c>
      <c r="I1376" s="48" t="n">
        <v>1453</v>
      </c>
      <c r="J1376" s="48" t="n">
        <v>1486</v>
      </c>
      <c r="K1376" s="48" t="n">
        <v>1488</v>
      </c>
      <c r="L1376" s="48" t="n">
        <v>77437919</v>
      </c>
      <c r="M1376" s="48" t="n">
        <v>112517296307</v>
      </c>
      <c r="N1376" s="48" t="n">
        <v>2761</v>
      </c>
      <c r="O1376" s="48" t="n">
        <v>30782326</v>
      </c>
      <c r="P1376" s="48" t="n">
        <v>50878845</v>
      </c>
      <c r="Q1376" s="48" t="n">
        <v>1033</v>
      </c>
      <c r="R1376" s="48" t="n">
        <v>910</v>
      </c>
      <c r="S1376" s="48" t="n">
        <v>46655593</v>
      </c>
      <c r="T1376" s="48" t="n">
        <v>26559074</v>
      </c>
      <c r="U1376" s="46" t="n">
        <f aca="false">IF($A1376=$A1375,$U1375+1,1)</f>
        <v>72</v>
      </c>
      <c r="V1376" s="48" t="n">
        <f aca="false">IF($U1376&gt;=MA_SHORT,AVERAGE(INDEX($I$976:$I1376,402-MA_SHORT):$I1376),"")</f>
        <v>1522.9</v>
      </c>
      <c r="W1376" s="48" t="n">
        <f aca="false">IF($U1376&gt;=MA_MED,AVERAGE(INDEX($I$976:$I1376,402-MA_MED):$I1376),"")</f>
        <v>1516.6</v>
      </c>
      <c r="X1376" s="48" t="str">
        <f aca="false">IF($U1376&gt;=MA_LONG1,AVERAGE(INDEX($I$976:$I1376,402-MA_LONG1):$I1376),"")</f>
        <v/>
      </c>
      <c r="Y1376" s="48" t="str">
        <f aca="false">IF($U1376&gt;=MA_LONG2,AVERAGE(INDEX($I$976:$I1376,402-MA_LONG2):$I1376),"")</f>
        <v/>
      </c>
      <c r="Z1376" s="48" t="n">
        <f aca="false">IF($U1376&gt;=MA_SHORT,AVERAGE(INDEX($L$1256:$L1376,122-MA_SHORT):$L1376),"")</f>
        <v>87101993.2</v>
      </c>
      <c r="AA1376" s="48" t="n">
        <f aca="false">IF($U1376=1,$G1376-$H1376,MAX($G1376-$H1376,ABS($G1376-$I1375),ABS($H1376-$I1375)))</f>
        <v>71</v>
      </c>
      <c r="AB1376" s="48" t="n">
        <f aca="false">IF($U1376&gt;=ATR_PER,AVERAGE(INDEX($AA$1256:$AA1376,122-ATR_PER):$AA1376),"")</f>
        <v>60.7142857142857</v>
      </c>
      <c r="AC1376" s="48" t="n">
        <f aca="false">$O1376-$P1376</f>
        <v>-20096519</v>
      </c>
      <c r="AD1376" s="48" t="n">
        <f aca="false">$AC1376*$I1376</f>
        <v>-29200242107</v>
      </c>
      <c r="AE1376" s="49" t="n">
        <f aca="false">IF($Q1376&gt;0,$O1376*$I1376/$Q1376/1000000,"")</f>
        <v>43.2978893301065</v>
      </c>
      <c r="AF1376" s="49" t="n">
        <f aca="false">IF($R1376&gt;0,$P1376*$I1376/$R1376/1000000,"")</f>
        <v>81.238419543956</v>
      </c>
      <c r="AG1376" s="50" t="n">
        <f aca="false">IF(AND(ISNUMBER($AE1376),ISNUMBER($AF1376),$AF1376&gt;0),$AE1376/$AF1376,"")</f>
        <v>0.532973063399875</v>
      </c>
      <c r="AH1376" s="48" t="n">
        <f aca="false">IF($U1376&gt;=5,SUM(INDEX($AD$1346:$AD1376,32-5):$AD1376),"")</f>
        <v>7854567869</v>
      </c>
      <c r="AI1376" s="48" t="n">
        <f aca="false">IF($U1376&gt;=STRUCT_S,MAX(INDEX($G$1226:$G1376,152-STRUCT_S):$G1376),"")</f>
        <v>1631</v>
      </c>
      <c r="AJ1376" s="48" t="n">
        <f aca="false">IF($U1376&gt;=STRUCT_S,MIN(INDEX($H$1226:$H1376,152-STRUCT_S):$H1376),"")</f>
        <v>1435</v>
      </c>
      <c r="AK1376" s="48" t="n">
        <f aca="false">IF($U1376&gt;=STRUCT_L,MAX(INDEX($G$1126:$G1376,252-STRUCT_L):$G1376),"")</f>
        <v>1676</v>
      </c>
      <c r="AL1376" s="48" t="n">
        <f aca="false">IF($U1376&gt;=STRUCT_L,MIN(INDEX($H$1126:$H1376,252-STRUCT_L):$H1376),"")</f>
        <v>1360</v>
      </c>
      <c r="AM1376" s="46" t="n">
        <f aca="false">IF($A1376&lt;&gt;$A1377,1,0)</f>
        <v>0</v>
      </c>
      <c r="AN1376" s="47" t="str">
        <f aca="false">IF($AM1376=1,$A1376,"")</f>
        <v/>
      </c>
    </row>
    <row r="1377" customFormat="false" ht="15" hidden="false" customHeight="false" outlineLevel="0" collapsed="false">
      <c r="A1377" s="43" t="s">
        <v>157</v>
      </c>
      <c r="B1377" s="44" t="s">
        <v>159</v>
      </c>
      <c r="C1377" s="45" t="n">
        <v>46006</v>
      </c>
      <c r="D1377" s="46" t="n">
        <v>20251215</v>
      </c>
      <c r="E1377" s="47" t="s">
        <v>360</v>
      </c>
      <c r="F1377" s="48" t="n">
        <v>1445</v>
      </c>
      <c r="G1377" s="48" t="n">
        <v>1458</v>
      </c>
      <c r="H1377" s="48" t="n">
        <v>1442</v>
      </c>
      <c r="I1377" s="48" t="n">
        <v>1447</v>
      </c>
      <c r="J1377" s="48" t="n">
        <v>1446</v>
      </c>
      <c r="K1377" s="48" t="n">
        <v>1453</v>
      </c>
      <c r="L1377" s="48" t="n">
        <v>69542132</v>
      </c>
      <c r="M1377" s="48" t="n">
        <v>100627465004</v>
      </c>
      <c r="N1377" s="48" t="n">
        <v>2019</v>
      </c>
      <c r="O1377" s="48" t="n">
        <v>33103905</v>
      </c>
      <c r="P1377" s="48" t="n">
        <v>32432732</v>
      </c>
      <c r="Q1377" s="48" t="n">
        <v>1057</v>
      </c>
      <c r="R1377" s="48" t="n">
        <v>933</v>
      </c>
      <c r="S1377" s="48" t="n">
        <v>36438227</v>
      </c>
      <c r="T1377" s="48" t="n">
        <v>37109400</v>
      </c>
      <c r="U1377" s="46" t="n">
        <f aca="false">IF($A1377=$A1376,$U1376+1,1)</f>
        <v>73</v>
      </c>
      <c r="V1377" s="48" t="n">
        <f aca="false">IF($U1377&gt;=MA_SHORT,AVERAGE(INDEX($I$977:$I1377,402-MA_SHORT):$I1377),"")</f>
        <v>1515.3</v>
      </c>
      <c r="W1377" s="48" t="n">
        <f aca="false">IF($U1377&gt;=MA_MED,AVERAGE(INDEX($I$977:$I1377,402-MA_MED):$I1377),"")</f>
        <v>1516.32</v>
      </c>
      <c r="X1377" s="48" t="str">
        <f aca="false">IF($U1377&gt;=MA_LONG1,AVERAGE(INDEX($I$977:$I1377,402-MA_LONG1):$I1377),"")</f>
        <v/>
      </c>
      <c r="Y1377" s="48" t="str">
        <f aca="false">IF($U1377&gt;=MA_LONG2,AVERAGE(INDEX($I$977:$I1377,402-MA_LONG2):$I1377),"")</f>
        <v/>
      </c>
      <c r="Z1377" s="48" t="n">
        <f aca="false">IF($U1377&gt;=MA_SHORT,AVERAGE(INDEX($L$1257:$L1377,122-MA_SHORT):$L1377),"")</f>
        <v>86865524.45</v>
      </c>
      <c r="AA1377" s="48" t="n">
        <f aca="false">IF($U1377=1,$G1377-$H1377,MAX($G1377-$H1377,ABS($G1377-$I1376),ABS($H1377-$I1376)))</f>
        <v>16</v>
      </c>
      <c r="AB1377" s="48" t="n">
        <f aca="false">IF($U1377&gt;=ATR_PER,AVERAGE(INDEX($AA$1257:$AA1377,122-ATR_PER):$AA1377),"")</f>
        <v>57.6428571428571</v>
      </c>
      <c r="AC1377" s="48" t="n">
        <f aca="false">$O1377-$P1377</f>
        <v>671173</v>
      </c>
      <c r="AD1377" s="48" t="n">
        <f aca="false">$AC1377*$I1377</f>
        <v>971187331</v>
      </c>
      <c r="AE1377" s="49" t="n">
        <f aca="false">IF($Q1377&gt;0,$O1377*$I1377/$Q1377/1000000,"")</f>
        <v>45.3182124266793</v>
      </c>
      <c r="AF1377" s="49" t="n">
        <f aca="false">IF($R1377&gt;0,$P1377*$I1377/$R1377/1000000,"")</f>
        <v>50.3002821050375</v>
      </c>
      <c r="AG1377" s="50" t="n">
        <f aca="false">IF(AND(ISNUMBER($AE1377),ISNUMBER($AF1377),$AF1377&gt;0),$AE1377/$AF1377,"")</f>
        <v>0.900953444595905</v>
      </c>
      <c r="AH1377" s="48" t="n">
        <f aca="false">IF($U1377&gt;=5,SUM(INDEX($AD$1347:$AD1377,32-5):$AD1377),"")</f>
        <v>-528987786</v>
      </c>
      <c r="AI1377" s="48" t="n">
        <f aca="false">IF($U1377&gt;=STRUCT_S,MAX(INDEX($G$1227:$G1377,152-STRUCT_S):$G1377),"")</f>
        <v>1631</v>
      </c>
      <c r="AJ1377" s="48" t="n">
        <f aca="false">IF($U1377&gt;=STRUCT_S,MIN(INDEX($H$1227:$H1377,152-STRUCT_S):$H1377),"")</f>
        <v>1435</v>
      </c>
      <c r="AK1377" s="48" t="n">
        <f aca="false">IF($U1377&gt;=STRUCT_L,MAX(INDEX($G$1127:$G1377,252-STRUCT_L):$G1377),"")</f>
        <v>1676</v>
      </c>
      <c r="AL1377" s="48" t="n">
        <f aca="false">IF($U1377&gt;=STRUCT_L,MIN(INDEX($H$1127:$H1377,252-STRUCT_L):$H1377),"")</f>
        <v>1367</v>
      </c>
      <c r="AM1377" s="46" t="n">
        <f aca="false">IF($A1377&lt;&gt;$A1378,1,0)</f>
        <v>0</v>
      </c>
      <c r="AN1377" s="47" t="str">
        <f aca="false">IF($AM1377=1,$A1377,"")</f>
        <v/>
      </c>
    </row>
    <row r="1378" customFormat="false" ht="15" hidden="false" customHeight="false" outlineLevel="0" collapsed="false">
      <c r="A1378" s="43" t="s">
        <v>157</v>
      </c>
      <c r="B1378" s="44" t="s">
        <v>159</v>
      </c>
      <c r="C1378" s="45" t="n">
        <v>46007</v>
      </c>
      <c r="D1378" s="46" t="n">
        <v>20251216</v>
      </c>
      <c r="E1378" s="47" t="s">
        <v>361</v>
      </c>
      <c r="F1378" s="48" t="n">
        <v>1451</v>
      </c>
      <c r="G1378" s="48" t="n">
        <v>1454</v>
      </c>
      <c r="H1378" s="48" t="n">
        <v>1439</v>
      </c>
      <c r="I1378" s="48" t="n">
        <v>1446</v>
      </c>
      <c r="J1378" s="48" t="n">
        <v>1445</v>
      </c>
      <c r="K1378" s="48" t="n">
        <v>1447</v>
      </c>
      <c r="L1378" s="48" t="n">
        <v>73632123</v>
      </c>
      <c r="M1378" s="48" t="n">
        <v>106472049858</v>
      </c>
      <c r="N1378" s="48" t="n">
        <v>1641</v>
      </c>
      <c r="O1378" s="48" t="n">
        <v>34235660</v>
      </c>
      <c r="P1378" s="48" t="n">
        <v>34785221</v>
      </c>
      <c r="Q1378" s="48" t="n">
        <v>897</v>
      </c>
      <c r="R1378" s="48" t="n">
        <v>675</v>
      </c>
      <c r="S1378" s="48" t="n">
        <v>39396463</v>
      </c>
      <c r="T1378" s="48" t="n">
        <v>38846902</v>
      </c>
      <c r="U1378" s="46" t="n">
        <f aca="false">IF($A1378=$A1377,$U1377+1,1)</f>
        <v>74</v>
      </c>
      <c r="V1378" s="48" t="n">
        <f aca="false">IF($U1378&gt;=MA_SHORT,AVERAGE(INDEX($I$978:$I1378,402-MA_SHORT):$I1378),"")</f>
        <v>1507.65</v>
      </c>
      <c r="W1378" s="48" t="n">
        <f aca="false">IF($U1378&gt;=MA_MED,AVERAGE(INDEX($I$978:$I1378,402-MA_MED):$I1378),"")</f>
        <v>1515.44</v>
      </c>
      <c r="X1378" s="48" t="str">
        <f aca="false">IF($U1378&gt;=MA_LONG1,AVERAGE(INDEX($I$978:$I1378,402-MA_LONG1):$I1378),"")</f>
        <v/>
      </c>
      <c r="Y1378" s="48" t="str">
        <f aca="false">IF($U1378&gt;=MA_LONG2,AVERAGE(INDEX($I$978:$I1378,402-MA_LONG2):$I1378),"")</f>
        <v/>
      </c>
      <c r="Z1378" s="48" t="n">
        <f aca="false">IF($U1378&gt;=MA_SHORT,AVERAGE(INDEX($L$1258:$L1378,122-MA_SHORT):$L1378),"")</f>
        <v>87154091.05</v>
      </c>
      <c r="AA1378" s="48" t="n">
        <f aca="false">IF($U1378=1,$G1378-$H1378,MAX($G1378-$H1378,ABS($G1378-$I1377),ABS($H1378-$I1377)))</f>
        <v>15</v>
      </c>
      <c r="AB1378" s="48" t="n">
        <f aca="false">IF($U1378&gt;=ATR_PER,AVERAGE(INDEX($AA$1258:$AA1378,122-ATR_PER):$AA1378),"")</f>
        <v>51.7857142857143</v>
      </c>
      <c r="AC1378" s="48" t="n">
        <f aca="false">$O1378-$P1378</f>
        <v>-549561</v>
      </c>
      <c r="AD1378" s="48" t="n">
        <f aca="false">$AC1378*$I1378</f>
        <v>-794665206</v>
      </c>
      <c r="AE1378" s="49" t="n">
        <f aca="false">IF($Q1378&gt;0,$O1378*$I1378/$Q1378/1000000,"")</f>
        <v>55.1892579264214</v>
      </c>
      <c r="AF1378" s="49" t="n">
        <f aca="false">IF($R1378&gt;0,$P1378*$I1378/$R1378/1000000,"")</f>
        <v>74.5176734311111</v>
      </c>
      <c r="AG1378" s="50" t="n">
        <f aca="false">IF(AND(ISNUMBER($AE1378),ISNUMBER($AF1378),$AF1378&gt;0),$AE1378/$AF1378,"")</f>
        <v>0.740619713220675</v>
      </c>
      <c r="AH1378" s="48" t="n">
        <f aca="false">IF($U1378&gt;=5,SUM(INDEX($AD$1348:$AD1378,32-5):$AD1378),"")</f>
        <v>-3273397524</v>
      </c>
      <c r="AI1378" s="48" t="n">
        <f aca="false">IF($U1378&gt;=STRUCT_S,MAX(INDEX($G$1228:$G1378,152-STRUCT_S):$G1378),"")</f>
        <v>1620</v>
      </c>
      <c r="AJ1378" s="48" t="n">
        <f aca="false">IF($U1378&gt;=STRUCT_S,MIN(INDEX($H$1228:$H1378,152-STRUCT_S):$H1378),"")</f>
        <v>1435</v>
      </c>
      <c r="AK1378" s="48" t="n">
        <f aca="false">IF($U1378&gt;=STRUCT_L,MAX(INDEX($G$1128:$G1378,252-STRUCT_L):$G1378),"")</f>
        <v>1676</v>
      </c>
      <c r="AL1378" s="48" t="n">
        <f aca="false">IF($U1378&gt;=STRUCT_L,MIN(INDEX($H$1128:$H1378,252-STRUCT_L):$H1378),"")</f>
        <v>1367</v>
      </c>
      <c r="AM1378" s="46" t="n">
        <f aca="false">IF($A1378&lt;&gt;$A1379,1,0)</f>
        <v>0</v>
      </c>
      <c r="AN1378" s="47" t="str">
        <f aca="false">IF($AM1378=1,$A1378,"")</f>
        <v/>
      </c>
    </row>
    <row r="1379" customFormat="false" ht="15" hidden="false" customHeight="false" outlineLevel="0" collapsed="false">
      <c r="A1379" s="43" t="s">
        <v>157</v>
      </c>
      <c r="B1379" s="44" t="s">
        <v>159</v>
      </c>
      <c r="C1379" s="45" t="n">
        <v>46008</v>
      </c>
      <c r="D1379" s="46" t="n">
        <v>20251217</v>
      </c>
      <c r="E1379" s="47" t="s">
        <v>362</v>
      </c>
      <c r="F1379" s="48" t="n">
        <v>1476</v>
      </c>
      <c r="G1379" s="48" t="n">
        <v>1478</v>
      </c>
      <c r="H1379" s="48" t="n">
        <v>1388</v>
      </c>
      <c r="I1379" s="48" t="n">
        <v>1419</v>
      </c>
      <c r="J1379" s="48" t="n">
        <v>1422</v>
      </c>
      <c r="K1379" s="48" t="n">
        <v>1446</v>
      </c>
      <c r="L1379" s="48" t="n">
        <v>75463452</v>
      </c>
      <c r="M1379" s="48" t="n">
        <v>107082638388</v>
      </c>
      <c r="N1379" s="48" t="n">
        <v>3209</v>
      </c>
      <c r="O1379" s="48" t="n">
        <v>24785413</v>
      </c>
      <c r="P1379" s="48" t="n">
        <v>46142507</v>
      </c>
      <c r="Q1379" s="48" t="n">
        <v>1540</v>
      </c>
      <c r="R1379" s="48" t="n">
        <v>1535</v>
      </c>
      <c r="S1379" s="48" t="n">
        <v>50678039</v>
      </c>
      <c r="T1379" s="48" t="n">
        <v>29320945</v>
      </c>
      <c r="U1379" s="46" t="n">
        <f aca="false">IF($A1379=$A1378,$U1378+1,1)</f>
        <v>75</v>
      </c>
      <c r="V1379" s="48" t="n">
        <f aca="false">IF($U1379&gt;=MA_SHORT,AVERAGE(INDEX($I$979:$I1379,402-MA_SHORT):$I1379),"")</f>
        <v>1499.4</v>
      </c>
      <c r="W1379" s="48" t="n">
        <f aca="false">IF($U1379&gt;=MA_MED,AVERAGE(INDEX($I$979:$I1379,402-MA_MED):$I1379),"")</f>
        <v>1514.58</v>
      </c>
      <c r="X1379" s="48" t="str">
        <f aca="false">IF($U1379&gt;=MA_LONG1,AVERAGE(INDEX($I$979:$I1379,402-MA_LONG1):$I1379),"")</f>
        <v/>
      </c>
      <c r="Y1379" s="48" t="str">
        <f aca="false">IF($U1379&gt;=MA_LONG2,AVERAGE(INDEX($I$979:$I1379,402-MA_LONG2):$I1379),"")</f>
        <v/>
      </c>
      <c r="Z1379" s="48" t="n">
        <f aca="false">IF($U1379&gt;=MA_SHORT,AVERAGE(INDEX($L$1259:$L1379,122-MA_SHORT):$L1379),"")</f>
        <v>87343246.25</v>
      </c>
      <c r="AA1379" s="48" t="n">
        <f aca="false">IF($U1379=1,$G1379-$H1379,MAX($G1379-$H1379,ABS($G1379-$I1378),ABS($H1379-$I1378)))</f>
        <v>90</v>
      </c>
      <c r="AB1379" s="48" t="n">
        <f aca="false">IF($U1379&gt;=ATR_PER,AVERAGE(INDEX($AA$1259:$AA1379,122-ATR_PER):$AA1379),"")</f>
        <v>55.5714285714286</v>
      </c>
      <c r="AC1379" s="48" t="n">
        <f aca="false">$O1379-$P1379</f>
        <v>-21357094</v>
      </c>
      <c r="AD1379" s="48" t="n">
        <f aca="false">$AC1379*$I1379</f>
        <v>-30305716386</v>
      </c>
      <c r="AE1379" s="49" t="n">
        <f aca="false">IF($Q1379&gt;0,$O1379*$I1379/$Q1379/1000000,"")</f>
        <v>22.8379876928571</v>
      </c>
      <c r="AF1379" s="49" t="n">
        <f aca="false">IF($R1379&gt;0,$P1379*$I1379/$R1379/1000000,"")</f>
        <v>42.6555162429968</v>
      </c>
      <c r="AG1379" s="50" t="n">
        <f aca="false">IF(AND(ISNUMBER($AE1379),ISNUMBER($AF1379),$AF1379&gt;0),$AE1379/$AF1379,"")</f>
        <v>0.535405258320059</v>
      </c>
      <c r="AH1379" s="48" t="n">
        <f aca="false">IF($U1379&gt;=5,SUM(INDEX($AD$1349:$AD1379,32-5):$AD1379),"")</f>
        <v>-11693756080</v>
      </c>
      <c r="AI1379" s="48" t="n">
        <f aca="false">IF($U1379&gt;=STRUCT_S,MAX(INDEX($G$1229:$G1379,152-STRUCT_S):$G1379),"")</f>
        <v>1608</v>
      </c>
      <c r="AJ1379" s="48" t="n">
        <f aca="false">IF($U1379&gt;=STRUCT_S,MIN(INDEX($H$1229:$H1379,152-STRUCT_S):$H1379),"")</f>
        <v>1388</v>
      </c>
      <c r="AK1379" s="48" t="n">
        <f aca="false">IF($U1379&gt;=STRUCT_L,MAX(INDEX($G$1129:$G1379,252-STRUCT_L):$G1379),"")</f>
        <v>1676</v>
      </c>
      <c r="AL1379" s="48" t="n">
        <f aca="false">IF($U1379&gt;=STRUCT_L,MIN(INDEX($H$1129:$H1379,252-STRUCT_L):$H1379),"")</f>
        <v>1367</v>
      </c>
      <c r="AM1379" s="46" t="n">
        <f aca="false">IF($A1379&lt;&gt;$A1380,1,0)</f>
        <v>0</v>
      </c>
      <c r="AN1379" s="47" t="str">
        <f aca="false">IF($AM1379=1,$A1379,"")</f>
        <v/>
      </c>
    </row>
    <row r="1380" customFormat="false" ht="15" hidden="false" customHeight="false" outlineLevel="0" collapsed="false">
      <c r="A1380" s="43" t="s">
        <v>157</v>
      </c>
      <c r="B1380" s="44" t="s">
        <v>159</v>
      </c>
      <c r="C1380" s="45" t="n">
        <v>46011</v>
      </c>
      <c r="D1380" s="46" t="n">
        <v>20251220</v>
      </c>
      <c r="E1380" s="47" t="s">
        <v>363</v>
      </c>
      <c r="F1380" s="48" t="n">
        <v>1427</v>
      </c>
      <c r="G1380" s="48" t="n">
        <v>1445</v>
      </c>
      <c r="H1380" s="48" t="n">
        <v>1391</v>
      </c>
      <c r="I1380" s="48" t="n">
        <v>1417</v>
      </c>
      <c r="J1380" s="48" t="n">
        <v>1395</v>
      </c>
      <c r="K1380" s="48" t="n">
        <v>1419</v>
      </c>
      <c r="L1380" s="48" t="n">
        <v>123392810</v>
      </c>
      <c r="M1380" s="48" t="n">
        <v>174847611770</v>
      </c>
      <c r="N1380" s="48" t="n">
        <v>9134</v>
      </c>
      <c r="O1380" s="48" t="n">
        <v>66886286</v>
      </c>
      <c r="P1380" s="48" t="n">
        <v>64263944</v>
      </c>
      <c r="Q1380" s="48" t="n">
        <v>4618</v>
      </c>
      <c r="R1380" s="48" t="n">
        <v>4890</v>
      </c>
      <c r="S1380" s="48" t="n">
        <v>56506524</v>
      </c>
      <c r="T1380" s="48" t="n">
        <v>59128866</v>
      </c>
      <c r="U1380" s="46" t="n">
        <f aca="false">IF($A1380=$A1379,$U1379+1,1)</f>
        <v>76</v>
      </c>
      <c r="V1380" s="48" t="n">
        <f aca="false">IF($U1380&gt;=MA_SHORT,AVERAGE(INDEX($I$980:$I1380,402-MA_SHORT):$I1380),"")</f>
        <v>1493.65</v>
      </c>
      <c r="W1380" s="48" t="n">
        <f aca="false">IF($U1380&gt;=MA_MED,AVERAGE(INDEX($I$980:$I1380,402-MA_MED):$I1380),"")</f>
        <v>1514.66</v>
      </c>
      <c r="X1380" s="48" t="str">
        <f aca="false">IF($U1380&gt;=MA_LONG1,AVERAGE(INDEX($I$980:$I1380,402-MA_LONG1):$I1380),"")</f>
        <v/>
      </c>
      <c r="Y1380" s="48" t="str">
        <f aca="false">IF($U1380&gt;=MA_LONG2,AVERAGE(INDEX($I$980:$I1380,402-MA_LONG2):$I1380),"")</f>
        <v/>
      </c>
      <c r="Z1380" s="48" t="n">
        <f aca="false">IF($U1380&gt;=MA_SHORT,AVERAGE(INDEX($L$1260:$L1380,122-MA_SHORT):$L1380),"")</f>
        <v>89183516.45</v>
      </c>
      <c r="AA1380" s="48" t="n">
        <f aca="false">IF($U1380=1,$G1380-$H1380,MAX($G1380-$H1380,ABS($G1380-$I1379),ABS($H1380-$I1379)))</f>
        <v>54</v>
      </c>
      <c r="AB1380" s="48" t="n">
        <f aca="false">IF($U1380&gt;=ATR_PER,AVERAGE(INDEX($AA$1260:$AA1380,122-ATR_PER):$AA1380),"")</f>
        <v>54.7142857142857</v>
      </c>
      <c r="AC1380" s="48" t="n">
        <f aca="false">$O1380-$P1380</f>
        <v>2622342</v>
      </c>
      <c r="AD1380" s="48" t="n">
        <f aca="false">$AC1380*$I1380</f>
        <v>3715858614</v>
      </c>
      <c r="AE1380" s="49" t="n">
        <f aca="false">IF($Q1380&gt;0,$O1380*$I1380/$Q1380/1000000,"")</f>
        <v>20.5235745478562</v>
      </c>
      <c r="AF1380" s="49" t="n">
        <f aca="false">IF($R1380&gt;0,$P1380*$I1380/$R1380/1000000,"")</f>
        <v>18.6220876580777</v>
      </c>
      <c r="AG1380" s="50" t="n">
        <f aca="false">IF(AND(ISNUMBER($AE1380),ISNUMBER($AF1380),$AF1380&gt;0),$AE1380/$AF1380,"")</f>
        <v>1.1021092223757</v>
      </c>
      <c r="AH1380" s="48" t="n">
        <f aca="false">IF($U1380&gt;=5,SUM(INDEX($AD$1350:$AD1380,32-5):$AD1380),"")</f>
        <v>-55613577754</v>
      </c>
      <c r="AI1380" s="48" t="n">
        <f aca="false">IF($U1380&gt;=STRUCT_S,MAX(INDEX($G$1230:$G1380,152-STRUCT_S):$G1380),"")</f>
        <v>1608</v>
      </c>
      <c r="AJ1380" s="48" t="n">
        <f aca="false">IF($U1380&gt;=STRUCT_S,MIN(INDEX($H$1230:$H1380,152-STRUCT_S):$H1380),"")</f>
        <v>1388</v>
      </c>
      <c r="AK1380" s="48" t="n">
        <f aca="false">IF($U1380&gt;=STRUCT_L,MAX(INDEX($G$1130:$G1380,252-STRUCT_L):$G1380),"")</f>
        <v>1676</v>
      </c>
      <c r="AL1380" s="48" t="n">
        <f aca="false">IF($U1380&gt;=STRUCT_L,MIN(INDEX($H$1130:$H1380,252-STRUCT_L):$H1380),"")</f>
        <v>1379</v>
      </c>
      <c r="AM1380" s="46" t="n">
        <f aca="false">IF($A1380&lt;&gt;$A1381,1,0)</f>
        <v>0</v>
      </c>
      <c r="AN1380" s="47" t="str">
        <f aca="false">IF($AM1380=1,$A1380,"")</f>
        <v/>
      </c>
    </row>
    <row r="1381" customFormat="false" ht="15" hidden="false" customHeight="false" outlineLevel="0" collapsed="false">
      <c r="A1381" s="43" t="s">
        <v>157</v>
      </c>
      <c r="B1381" s="44" t="s">
        <v>159</v>
      </c>
      <c r="C1381" s="45" t="n">
        <v>46012</v>
      </c>
      <c r="D1381" s="46" t="n">
        <v>20251221</v>
      </c>
      <c r="E1381" s="47" t="s">
        <v>364</v>
      </c>
      <c r="F1381" s="48" t="n">
        <v>1451</v>
      </c>
      <c r="G1381" s="48" t="n">
        <v>1470</v>
      </c>
      <c r="H1381" s="48" t="n">
        <v>1384</v>
      </c>
      <c r="I1381" s="48" t="n">
        <v>1436</v>
      </c>
      <c r="J1381" s="48" t="n">
        <v>1416</v>
      </c>
      <c r="K1381" s="48" t="n">
        <v>1417</v>
      </c>
      <c r="L1381" s="48" t="n">
        <v>81256778</v>
      </c>
      <c r="M1381" s="48" t="n">
        <v>116684733208</v>
      </c>
      <c r="N1381" s="48" t="n">
        <v>2566</v>
      </c>
      <c r="O1381" s="48" t="n">
        <v>39279254</v>
      </c>
      <c r="P1381" s="48" t="n">
        <v>45563033</v>
      </c>
      <c r="Q1381" s="48" t="n">
        <v>980</v>
      </c>
      <c r="R1381" s="48" t="n">
        <v>1364</v>
      </c>
      <c r="S1381" s="48" t="n">
        <v>41977524</v>
      </c>
      <c r="T1381" s="48" t="n">
        <v>35693745</v>
      </c>
      <c r="U1381" s="46" t="n">
        <f aca="false">IF($A1381=$A1380,$U1380+1,1)</f>
        <v>77</v>
      </c>
      <c r="V1381" s="48" t="n">
        <f aca="false">IF($U1381&gt;=MA_SHORT,AVERAGE(INDEX($I$981:$I1381,402-MA_SHORT):$I1381),"")</f>
        <v>1488.3</v>
      </c>
      <c r="W1381" s="48" t="n">
        <f aca="false">IF($U1381&gt;=MA_MED,AVERAGE(INDEX($I$981:$I1381,402-MA_MED):$I1381),"")</f>
        <v>1514.64</v>
      </c>
      <c r="X1381" s="48" t="str">
        <f aca="false">IF($U1381&gt;=MA_LONG1,AVERAGE(INDEX($I$981:$I1381,402-MA_LONG1):$I1381),"")</f>
        <v/>
      </c>
      <c r="Y1381" s="48" t="str">
        <f aca="false">IF($U1381&gt;=MA_LONG2,AVERAGE(INDEX($I$981:$I1381,402-MA_LONG2):$I1381),"")</f>
        <v/>
      </c>
      <c r="Z1381" s="48" t="n">
        <f aca="false">IF($U1381&gt;=MA_SHORT,AVERAGE(INDEX($L$1261:$L1381,122-MA_SHORT):$L1381),"")</f>
        <v>89707140.45</v>
      </c>
      <c r="AA1381" s="48" t="n">
        <f aca="false">IF($U1381=1,$G1381-$H1381,MAX($G1381-$H1381,ABS($G1381-$I1380),ABS($H1381-$I1380)))</f>
        <v>86</v>
      </c>
      <c r="AB1381" s="48" t="n">
        <f aca="false">IF($U1381&gt;=ATR_PER,AVERAGE(INDEX($AA$1261:$AA1381,122-ATR_PER):$AA1381),"")</f>
        <v>58</v>
      </c>
      <c r="AC1381" s="48" t="n">
        <f aca="false">$O1381-$P1381</f>
        <v>-6283779</v>
      </c>
      <c r="AD1381" s="48" t="n">
        <f aca="false">$AC1381*$I1381</f>
        <v>-9023506644</v>
      </c>
      <c r="AE1381" s="49" t="n">
        <f aca="false">IF($Q1381&gt;0,$O1381*$I1381/$Q1381/1000000,"")</f>
        <v>57.5561313714286</v>
      </c>
      <c r="AF1381" s="49" t="n">
        <f aca="false">IF($R1381&gt;0,$P1381*$I1381/$R1381/1000000,"")</f>
        <v>47.9681197859238</v>
      </c>
      <c r="AG1381" s="50" t="n">
        <f aca="false">IF(AND(ISNUMBER($AE1381),ISNUMBER($AF1381),$AF1381&gt;0),$AE1381/$AF1381,"")</f>
        <v>1.19988299788057</v>
      </c>
      <c r="AH1381" s="48" t="n">
        <f aca="false">IF($U1381&gt;=5,SUM(INDEX($AD$1351:$AD1381,32-5):$AD1381),"")</f>
        <v>-35436842291</v>
      </c>
      <c r="AI1381" s="48" t="n">
        <f aca="false">IF($U1381&gt;=STRUCT_S,MAX(INDEX($G$1231:$G1381,152-STRUCT_S):$G1381),"")</f>
        <v>1608</v>
      </c>
      <c r="AJ1381" s="48" t="n">
        <f aca="false">IF($U1381&gt;=STRUCT_S,MIN(INDEX($H$1231:$H1381,152-STRUCT_S):$H1381),"")</f>
        <v>1384</v>
      </c>
      <c r="AK1381" s="48" t="n">
        <f aca="false">IF($U1381&gt;=STRUCT_L,MAX(INDEX($G$1131:$G1381,252-STRUCT_L):$G1381),"")</f>
        <v>1676</v>
      </c>
      <c r="AL1381" s="48" t="n">
        <f aca="false">IF($U1381&gt;=STRUCT_L,MIN(INDEX($H$1131:$H1381,252-STRUCT_L):$H1381),"")</f>
        <v>1379</v>
      </c>
      <c r="AM1381" s="46" t="n">
        <f aca="false">IF($A1381&lt;&gt;$A1382,1,0)</f>
        <v>0</v>
      </c>
      <c r="AN1381" s="47" t="str">
        <f aca="false">IF($AM1381=1,$A1381,"")</f>
        <v/>
      </c>
    </row>
    <row r="1382" customFormat="false" ht="15" hidden="false" customHeight="false" outlineLevel="0" collapsed="false">
      <c r="A1382" s="43" t="s">
        <v>157</v>
      </c>
      <c r="B1382" s="44" t="s">
        <v>159</v>
      </c>
      <c r="C1382" s="45" t="n">
        <v>46013</v>
      </c>
      <c r="D1382" s="46" t="n">
        <v>20251222</v>
      </c>
      <c r="E1382" s="47" t="s">
        <v>365</v>
      </c>
      <c r="F1382" s="48" t="n">
        <v>1454</v>
      </c>
      <c r="G1382" s="48" t="n">
        <v>1509</v>
      </c>
      <c r="H1382" s="48" t="n">
        <v>1416</v>
      </c>
      <c r="I1382" s="48" t="n">
        <v>1488</v>
      </c>
      <c r="J1382" s="48" t="n">
        <v>1478</v>
      </c>
      <c r="K1382" s="48" t="n">
        <v>1436</v>
      </c>
      <c r="L1382" s="48" t="n">
        <v>101502400</v>
      </c>
      <c r="M1382" s="48" t="n">
        <v>151035571200</v>
      </c>
      <c r="N1382" s="48" t="n">
        <v>4032</v>
      </c>
      <c r="O1382" s="48" t="n">
        <v>63114692</v>
      </c>
      <c r="P1382" s="48" t="n">
        <v>36362458</v>
      </c>
      <c r="Q1382" s="48" t="n">
        <v>1749</v>
      </c>
      <c r="R1382" s="48" t="n">
        <v>1863</v>
      </c>
      <c r="S1382" s="48" t="n">
        <v>38387708</v>
      </c>
      <c r="T1382" s="48" t="n">
        <v>65139942</v>
      </c>
      <c r="U1382" s="46" t="n">
        <f aca="false">IF($A1382=$A1381,$U1381+1,1)</f>
        <v>78</v>
      </c>
      <c r="V1382" s="48" t="n">
        <f aca="false">IF($U1382&gt;=MA_SHORT,AVERAGE(INDEX($I$982:$I1382,402-MA_SHORT):$I1382),"")</f>
        <v>1485.1</v>
      </c>
      <c r="W1382" s="48" t="n">
        <f aca="false">IF($U1382&gt;=MA_MED,AVERAGE(INDEX($I$982:$I1382,402-MA_MED):$I1382),"")</f>
        <v>1515.5</v>
      </c>
      <c r="X1382" s="48" t="str">
        <f aca="false">IF($U1382&gt;=MA_LONG1,AVERAGE(INDEX($I$982:$I1382,402-MA_LONG1):$I1382),"")</f>
        <v/>
      </c>
      <c r="Y1382" s="48" t="str">
        <f aca="false">IF($U1382&gt;=MA_LONG2,AVERAGE(INDEX($I$982:$I1382,402-MA_LONG2):$I1382),"")</f>
        <v/>
      </c>
      <c r="Z1382" s="48" t="n">
        <f aca="false">IF($U1382&gt;=MA_SHORT,AVERAGE(INDEX($L$1262:$L1382,122-MA_SHORT):$L1382),"")</f>
        <v>91033499.35</v>
      </c>
      <c r="AA1382" s="48" t="n">
        <f aca="false">IF($U1382=1,$G1382-$H1382,MAX($G1382-$H1382,ABS($G1382-$I1381),ABS($H1382-$I1381)))</f>
        <v>93</v>
      </c>
      <c r="AB1382" s="48" t="n">
        <f aca="false">IF($U1382&gt;=ATR_PER,AVERAGE(INDEX($AA$1262:$AA1382,122-ATR_PER):$AA1382),"")</f>
        <v>62.0714285714286</v>
      </c>
      <c r="AC1382" s="48" t="n">
        <f aca="false">$O1382-$P1382</f>
        <v>26752234</v>
      </c>
      <c r="AD1382" s="48" t="n">
        <f aca="false">$AC1382*$I1382</f>
        <v>39807324192</v>
      </c>
      <c r="AE1382" s="49" t="n">
        <f aca="false">IF($Q1382&gt;0,$O1382*$I1382/$Q1382/1000000,"")</f>
        <v>53.6962045145798</v>
      </c>
      <c r="AF1382" s="49" t="n">
        <f aca="false">IF($R1382&gt;0,$P1382*$I1382/$R1382/1000000,"")</f>
        <v>29.0431226537842</v>
      </c>
      <c r="AG1382" s="50" t="n">
        <f aca="false">IF(AND(ISNUMBER($AE1382),ISNUMBER($AF1382),$AF1382&gt;0),$AE1382/$AF1382,"")</f>
        <v>1.84884405009333</v>
      </c>
      <c r="AH1382" s="48" t="n">
        <f aca="false">IF($U1382&gt;=5,SUM(INDEX($AD$1352:$AD1382,32-5):$AD1382),"")</f>
        <v>3399294570</v>
      </c>
      <c r="AI1382" s="48" t="n">
        <f aca="false">IF($U1382&gt;=STRUCT_S,MAX(INDEX($G$1232:$G1382,152-STRUCT_S):$G1382),"")</f>
        <v>1608</v>
      </c>
      <c r="AJ1382" s="48" t="n">
        <f aca="false">IF($U1382&gt;=STRUCT_S,MIN(INDEX($H$1232:$H1382,152-STRUCT_S):$H1382),"")</f>
        <v>1384</v>
      </c>
      <c r="AK1382" s="48" t="n">
        <f aca="false">IF($U1382&gt;=STRUCT_L,MAX(INDEX($G$1132:$G1382,252-STRUCT_L):$G1382),"")</f>
        <v>1676</v>
      </c>
      <c r="AL1382" s="48" t="n">
        <f aca="false">IF($U1382&gt;=STRUCT_L,MIN(INDEX($H$1132:$H1382,252-STRUCT_L):$H1382),"")</f>
        <v>1379</v>
      </c>
      <c r="AM1382" s="46" t="n">
        <f aca="false">IF($A1382&lt;&gt;$A1383,1,0)</f>
        <v>0</v>
      </c>
      <c r="AN1382" s="47" t="str">
        <f aca="false">IF($AM1382=1,$A1382,"")</f>
        <v/>
      </c>
    </row>
    <row r="1383" customFormat="false" ht="15" hidden="false" customHeight="false" outlineLevel="0" collapsed="false">
      <c r="A1383" s="43" t="s">
        <v>157</v>
      </c>
      <c r="B1383" s="44" t="s">
        <v>159</v>
      </c>
      <c r="C1383" s="45" t="n">
        <v>46014</v>
      </c>
      <c r="D1383" s="46" t="n">
        <v>20251223</v>
      </c>
      <c r="E1383" s="47" t="s">
        <v>366</v>
      </c>
      <c r="F1383" s="48" t="n">
        <v>1489</v>
      </c>
      <c r="G1383" s="48" t="n">
        <v>1535</v>
      </c>
      <c r="H1383" s="48" t="n">
        <v>1475</v>
      </c>
      <c r="I1383" s="48" t="n">
        <v>1522</v>
      </c>
      <c r="J1383" s="48" t="n">
        <v>1491</v>
      </c>
      <c r="K1383" s="48" t="n">
        <v>1488</v>
      </c>
      <c r="L1383" s="48" t="n">
        <v>77164287</v>
      </c>
      <c r="M1383" s="48" t="n">
        <v>117444044814</v>
      </c>
      <c r="N1383" s="48" t="n">
        <v>2255</v>
      </c>
      <c r="O1383" s="48" t="n">
        <v>35915948</v>
      </c>
      <c r="P1383" s="48" t="n">
        <v>46969754</v>
      </c>
      <c r="Q1383" s="48" t="n">
        <v>827</v>
      </c>
      <c r="R1383" s="48" t="n">
        <v>979</v>
      </c>
      <c r="S1383" s="48" t="n">
        <v>41248339</v>
      </c>
      <c r="T1383" s="48" t="n">
        <v>30194533</v>
      </c>
      <c r="U1383" s="46" t="n">
        <f aca="false">IF($A1383=$A1382,$U1382+1,1)</f>
        <v>79</v>
      </c>
      <c r="V1383" s="48" t="n">
        <f aca="false">IF($U1383&gt;=MA_SHORT,AVERAGE(INDEX($I$983:$I1383,402-MA_SHORT):$I1383),"")</f>
        <v>1482.15</v>
      </c>
      <c r="W1383" s="48" t="n">
        <f aca="false">IF($U1383&gt;=MA_MED,AVERAGE(INDEX($I$983:$I1383,402-MA_MED):$I1383),"")</f>
        <v>1516.52</v>
      </c>
      <c r="X1383" s="48" t="str">
        <f aca="false">IF($U1383&gt;=MA_LONG1,AVERAGE(INDEX($I$983:$I1383,402-MA_LONG1):$I1383),"")</f>
        <v/>
      </c>
      <c r="Y1383" s="48" t="str">
        <f aca="false">IF($U1383&gt;=MA_LONG2,AVERAGE(INDEX($I$983:$I1383,402-MA_LONG2):$I1383),"")</f>
        <v/>
      </c>
      <c r="Z1383" s="48" t="n">
        <f aca="false">IF($U1383&gt;=MA_SHORT,AVERAGE(INDEX($L$1263:$L1383,122-MA_SHORT):$L1383),"")</f>
        <v>91118268.95</v>
      </c>
      <c r="AA1383" s="48" t="n">
        <f aca="false">IF($U1383=1,$G1383-$H1383,MAX($G1383-$H1383,ABS($G1383-$I1382),ABS($H1383-$I1382)))</f>
        <v>60</v>
      </c>
      <c r="AB1383" s="48" t="n">
        <f aca="false">IF($U1383&gt;=ATR_PER,AVERAGE(INDEX($AA$1263:$AA1383,122-ATR_PER):$AA1383),"")</f>
        <v>56.6428571428571</v>
      </c>
      <c r="AC1383" s="48" t="n">
        <f aca="false">$O1383-$P1383</f>
        <v>-11053806</v>
      </c>
      <c r="AD1383" s="48" t="n">
        <f aca="false">$AC1383*$I1383</f>
        <v>-16823892732</v>
      </c>
      <c r="AE1383" s="49" t="n">
        <f aca="false">IF($Q1383&gt;0,$O1383*$I1383/$Q1383/1000000,"")</f>
        <v>66.0992416638452</v>
      </c>
      <c r="AF1383" s="49" t="n">
        <f aca="false">IF($R1383&gt;0,$P1383*$I1383/$R1383/1000000,"")</f>
        <v>73.0214153094995</v>
      </c>
      <c r="AG1383" s="50" t="n">
        <f aca="false">IF(AND(ISNUMBER($AE1383),ISNUMBER($AF1383),$AF1383&gt;0),$AE1383/$AF1383,"")</f>
        <v>0.905203513019916</v>
      </c>
      <c r="AH1383" s="48" t="n">
        <f aca="false">IF($U1383&gt;=5,SUM(INDEX($AD$1353:$AD1383,32-5):$AD1383),"")</f>
        <v>-12629932956</v>
      </c>
      <c r="AI1383" s="48" t="n">
        <f aca="false">IF($U1383&gt;=STRUCT_S,MAX(INDEX($G$1233:$G1383,152-STRUCT_S):$G1383),"")</f>
        <v>1608</v>
      </c>
      <c r="AJ1383" s="48" t="n">
        <f aca="false">IF($U1383&gt;=STRUCT_S,MIN(INDEX($H$1233:$H1383,152-STRUCT_S):$H1383),"")</f>
        <v>1384</v>
      </c>
      <c r="AK1383" s="48" t="n">
        <f aca="false">IF($U1383&gt;=STRUCT_L,MAX(INDEX($G$1133:$G1383,252-STRUCT_L):$G1383),"")</f>
        <v>1676</v>
      </c>
      <c r="AL1383" s="48" t="n">
        <f aca="false">IF($U1383&gt;=STRUCT_L,MIN(INDEX($H$1133:$H1383,252-STRUCT_L):$H1383),"")</f>
        <v>1379</v>
      </c>
      <c r="AM1383" s="46" t="n">
        <f aca="false">IF($A1383&lt;&gt;$A1384,1,0)</f>
        <v>0</v>
      </c>
      <c r="AN1383" s="47" t="str">
        <f aca="false">IF($AM1383=1,$A1383,"")</f>
        <v/>
      </c>
    </row>
    <row r="1384" customFormat="false" ht="15" hidden="false" customHeight="false" outlineLevel="0" collapsed="false">
      <c r="A1384" s="43" t="s">
        <v>157</v>
      </c>
      <c r="B1384" s="44" t="s">
        <v>159</v>
      </c>
      <c r="C1384" s="45" t="n">
        <v>46015</v>
      </c>
      <c r="D1384" s="46" t="n">
        <v>20251224</v>
      </c>
      <c r="E1384" s="47" t="s">
        <v>367</v>
      </c>
      <c r="F1384" s="48" t="n">
        <v>1500</v>
      </c>
      <c r="G1384" s="48" t="n">
        <v>1527</v>
      </c>
      <c r="H1384" s="48" t="n">
        <v>1483</v>
      </c>
      <c r="I1384" s="48" t="n">
        <v>1488</v>
      </c>
      <c r="J1384" s="48" t="n">
        <v>1485</v>
      </c>
      <c r="K1384" s="48" t="n">
        <v>1522</v>
      </c>
      <c r="L1384" s="48" t="n">
        <v>86164283</v>
      </c>
      <c r="M1384" s="48" t="n">
        <v>128212453104</v>
      </c>
      <c r="N1384" s="48" t="n">
        <v>2624</v>
      </c>
      <c r="O1384" s="48" t="n">
        <v>36608449</v>
      </c>
      <c r="P1384" s="48" t="n">
        <v>47148629</v>
      </c>
      <c r="Q1384" s="48" t="n">
        <v>1007</v>
      </c>
      <c r="R1384" s="48" t="n">
        <v>861</v>
      </c>
      <c r="S1384" s="48" t="n">
        <v>49555834</v>
      </c>
      <c r="T1384" s="48" t="n">
        <v>39015654</v>
      </c>
      <c r="U1384" s="46" t="n">
        <f aca="false">IF($A1384=$A1383,$U1383+1,1)</f>
        <v>80</v>
      </c>
      <c r="V1384" s="48" t="n">
        <f aca="false">IF($U1384&gt;=MA_SHORT,AVERAGE(INDEX($I$984:$I1384,402-MA_SHORT):$I1384),"")</f>
        <v>1479.7</v>
      </c>
      <c r="W1384" s="48" t="n">
        <f aca="false">IF($U1384&gt;=MA_MED,AVERAGE(INDEX($I$984:$I1384,402-MA_MED):$I1384),"")</f>
        <v>1517.56</v>
      </c>
      <c r="X1384" s="48" t="str">
        <f aca="false">IF($U1384&gt;=MA_LONG1,AVERAGE(INDEX($I$984:$I1384,402-MA_LONG1):$I1384),"")</f>
        <v/>
      </c>
      <c r="Y1384" s="48" t="str">
        <f aca="false">IF($U1384&gt;=MA_LONG2,AVERAGE(INDEX($I$984:$I1384,402-MA_LONG2):$I1384),"")</f>
        <v/>
      </c>
      <c r="Z1384" s="48" t="n">
        <f aca="false">IF($U1384&gt;=MA_SHORT,AVERAGE(INDEX($L$1264:$L1384,122-MA_SHORT):$L1384),"")</f>
        <v>83403320.3</v>
      </c>
      <c r="AA1384" s="48" t="n">
        <f aca="false">IF($U1384=1,$G1384-$H1384,MAX($G1384-$H1384,ABS($G1384-$I1383),ABS($H1384-$I1383)))</f>
        <v>44</v>
      </c>
      <c r="AB1384" s="48" t="n">
        <f aca="false">IF($U1384&gt;=ATR_PER,AVERAGE(INDEX($AA$1264:$AA1384,122-ATR_PER):$AA1384),"")</f>
        <v>55.8571428571429</v>
      </c>
      <c r="AC1384" s="48" t="n">
        <f aca="false">$O1384-$P1384</f>
        <v>-10540180</v>
      </c>
      <c r="AD1384" s="48" t="n">
        <f aca="false">$AC1384*$I1384</f>
        <v>-15683787840</v>
      </c>
      <c r="AE1384" s="49" t="n">
        <f aca="false">IF($Q1384&gt;0,$O1384*$I1384/$Q1384/1000000,"")</f>
        <v>54.0947091479642</v>
      </c>
      <c r="AF1384" s="49" t="n">
        <f aca="false">IF($R1384&gt;0,$P1384*$I1384/$R1384/1000000,"")</f>
        <v>81.4833448919861</v>
      </c>
      <c r="AG1384" s="50" t="n">
        <f aca="false">IF(AND(ISNUMBER($AE1384),ISNUMBER($AF1384),$AF1384&gt;0),$AE1384/$AF1384,"")</f>
        <v>0.663874430040543</v>
      </c>
      <c r="AH1384" s="48" t="n">
        <f aca="false">IF($U1384&gt;=5,SUM(INDEX($AD$1354:$AD1384,32-5):$AD1384),"")</f>
        <v>1991995590</v>
      </c>
      <c r="AI1384" s="48" t="n">
        <f aca="false">IF($U1384&gt;=STRUCT_S,MAX(INDEX($G$1234:$G1384,152-STRUCT_S):$G1384),"")</f>
        <v>1586</v>
      </c>
      <c r="AJ1384" s="48" t="n">
        <f aca="false">IF($U1384&gt;=STRUCT_S,MIN(INDEX($H$1234:$H1384,152-STRUCT_S):$H1384),"")</f>
        <v>1384</v>
      </c>
      <c r="AK1384" s="48" t="n">
        <f aca="false">IF($U1384&gt;=STRUCT_L,MAX(INDEX($G$1134:$G1384,252-STRUCT_L):$G1384),"")</f>
        <v>1676</v>
      </c>
      <c r="AL1384" s="48" t="n">
        <f aca="false">IF($U1384&gt;=STRUCT_L,MIN(INDEX($H$1134:$H1384,252-STRUCT_L):$H1384),"")</f>
        <v>1379</v>
      </c>
      <c r="AM1384" s="46" t="n">
        <f aca="false">IF($A1384&lt;&gt;$A1385,1,0)</f>
        <v>0</v>
      </c>
      <c r="AN1384" s="47" t="str">
        <f aca="false">IF($AM1384=1,$A1384,"")</f>
        <v/>
      </c>
    </row>
    <row r="1385" customFormat="false" ht="15" hidden="false" customHeight="false" outlineLevel="0" collapsed="false">
      <c r="A1385" s="43" t="s">
        <v>157</v>
      </c>
      <c r="B1385" s="44" t="s">
        <v>159</v>
      </c>
      <c r="C1385" s="45" t="n">
        <v>46018</v>
      </c>
      <c r="D1385" s="46" t="n">
        <v>20251227</v>
      </c>
      <c r="E1385" s="47" t="s">
        <v>368</v>
      </c>
      <c r="F1385" s="48" t="n">
        <v>1477</v>
      </c>
      <c r="G1385" s="48" t="n">
        <v>1515</v>
      </c>
      <c r="H1385" s="48" t="n">
        <v>1439</v>
      </c>
      <c r="I1385" s="48" t="n">
        <v>1466</v>
      </c>
      <c r="J1385" s="48" t="n">
        <v>1460</v>
      </c>
      <c r="K1385" s="48" t="n">
        <v>1488</v>
      </c>
      <c r="L1385" s="48" t="n">
        <v>89113888</v>
      </c>
      <c r="M1385" s="48" t="n">
        <v>130640959808</v>
      </c>
      <c r="N1385" s="48" t="n">
        <v>2553</v>
      </c>
      <c r="O1385" s="48" t="n">
        <v>34025250</v>
      </c>
      <c r="P1385" s="48" t="n">
        <v>59145759</v>
      </c>
      <c r="Q1385" s="48" t="n">
        <v>1279</v>
      </c>
      <c r="R1385" s="48" t="n">
        <v>1021</v>
      </c>
      <c r="S1385" s="48" t="n">
        <v>55088638</v>
      </c>
      <c r="T1385" s="48" t="n">
        <v>29968129</v>
      </c>
      <c r="U1385" s="46" t="n">
        <f aca="false">IF($A1385=$A1384,$U1384+1,1)</f>
        <v>81</v>
      </c>
      <c r="V1385" s="48" t="n">
        <f aca="false">IF($U1385&gt;=MA_SHORT,AVERAGE(INDEX($I$985:$I1385,402-MA_SHORT):$I1385),"")</f>
        <v>1476.8</v>
      </c>
      <c r="W1385" s="48" t="n">
        <f aca="false">IF($U1385&gt;=MA_MED,AVERAGE(INDEX($I$985:$I1385,402-MA_MED):$I1385),"")</f>
        <v>1517.26</v>
      </c>
      <c r="X1385" s="48" t="str">
        <f aca="false">IF($U1385&gt;=MA_LONG1,AVERAGE(INDEX($I$985:$I1385,402-MA_LONG1):$I1385),"")</f>
        <v/>
      </c>
      <c r="Y1385" s="48" t="str">
        <f aca="false">IF($U1385&gt;=MA_LONG2,AVERAGE(INDEX($I$985:$I1385,402-MA_LONG2):$I1385),"")</f>
        <v/>
      </c>
      <c r="Z1385" s="48" t="n">
        <f aca="false">IF($U1385&gt;=MA_SHORT,AVERAGE(INDEX($L$1265:$L1385,122-MA_SHORT):$L1385),"")</f>
        <v>84293784.45</v>
      </c>
      <c r="AA1385" s="48" t="n">
        <f aca="false">IF($U1385=1,$G1385-$H1385,MAX($G1385-$H1385,ABS($G1385-$I1384),ABS($H1385-$I1384)))</f>
        <v>76</v>
      </c>
      <c r="AB1385" s="48" t="n">
        <f aca="false">IF($U1385&gt;=ATR_PER,AVERAGE(INDEX($AA$1265:$AA1385,122-ATR_PER):$AA1385),"")</f>
        <v>59.1428571428571</v>
      </c>
      <c r="AC1385" s="48" t="n">
        <f aca="false">$O1385-$P1385</f>
        <v>-25120509</v>
      </c>
      <c r="AD1385" s="48" t="n">
        <f aca="false">$AC1385*$I1385</f>
        <v>-36826666194</v>
      </c>
      <c r="AE1385" s="49" t="n">
        <f aca="false">IF($Q1385&gt;0,$O1385*$I1385/$Q1385/1000000,"")</f>
        <v>39.0000129007037</v>
      </c>
      <c r="AF1385" s="49" t="n">
        <f aca="false">IF($R1385&gt;0,$P1385*$I1385/$R1385/1000000,"")</f>
        <v>84.9242729618022</v>
      </c>
      <c r="AG1385" s="50" t="n">
        <f aca="false">IF(AND(ISNUMBER($AE1385),ISNUMBER($AF1385),$AF1385&gt;0),$AE1385/$AF1385,"")</f>
        <v>0.459232814607025</v>
      </c>
      <c r="AH1385" s="48" t="n">
        <f aca="false">IF($U1385&gt;=5,SUM(INDEX($AD$1355:$AD1385,32-5):$AD1385),"")</f>
        <v>-38550529218</v>
      </c>
      <c r="AI1385" s="48" t="n">
        <f aca="false">IF($U1385&gt;=STRUCT_S,MAX(INDEX($G$1235:$G1385,152-STRUCT_S):$G1385),"")</f>
        <v>1586</v>
      </c>
      <c r="AJ1385" s="48" t="n">
        <f aca="false">IF($U1385&gt;=STRUCT_S,MIN(INDEX($H$1235:$H1385,152-STRUCT_S):$H1385),"")</f>
        <v>1384</v>
      </c>
      <c r="AK1385" s="48" t="n">
        <f aca="false">IF($U1385&gt;=STRUCT_L,MAX(INDEX($G$1135:$G1385,252-STRUCT_L):$G1385),"")</f>
        <v>1676</v>
      </c>
      <c r="AL1385" s="48" t="n">
        <f aca="false">IF($U1385&gt;=STRUCT_L,MIN(INDEX($H$1135:$H1385,252-STRUCT_L):$H1385),"")</f>
        <v>1379</v>
      </c>
      <c r="AM1385" s="46" t="n">
        <f aca="false">IF($A1385&lt;&gt;$A1386,1,0)</f>
        <v>0</v>
      </c>
      <c r="AN1385" s="47" t="str">
        <f aca="false">IF($AM1385=1,$A1385,"")</f>
        <v/>
      </c>
    </row>
    <row r="1386" customFormat="false" ht="15" hidden="false" customHeight="false" outlineLevel="0" collapsed="false">
      <c r="A1386" s="43" t="s">
        <v>157</v>
      </c>
      <c r="B1386" s="44" t="s">
        <v>159</v>
      </c>
      <c r="C1386" s="45" t="n">
        <v>46019</v>
      </c>
      <c r="D1386" s="46" t="n">
        <v>20251228</v>
      </c>
      <c r="E1386" s="47" t="s">
        <v>369</v>
      </c>
      <c r="F1386" s="48" t="n">
        <v>1467</v>
      </c>
      <c r="G1386" s="48" t="n">
        <v>1481</v>
      </c>
      <c r="H1386" s="48" t="n">
        <v>1435</v>
      </c>
      <c r="I1386" s="48" t="n">
        <v>1450</v>
      </c>
      <c r="J1386" s="48" t="n">
        <v>1440</v>
      </c>
      <c r="K1386" s="48" t="n">
        <v>1466</v>
      </c>
      <c r="L1386" s="48" t="n">
        <v>72304608</v>
      </c>
      <c r="M1386" s="48" t="n">
        <v>104841681600</v>
      </c>
      <c r="N1386" s="48" t="n">
        <v>1826</v>
      </c>
      <c r="O1386" s="48" t="n">
        <v>30648024</v>
      </c>
      <c r="P1386" s="48" t="n">
        <v>44094312</v>
      </c>
      <c r="Q1386" s="48" t="n">
        <v>853</v>
      </c>
      <c r="R1386" s="48" t="n">
        <v>692</v>
      </c>
      <c r="S1386" s="48" t="n">
        <v>41656584</v>
      </c>
      <c r="T1386" s="48" t="n">
        <v>28210296</v>
      </c>
      <c r="U1386" s="46" t="n">
        <f aca="false">IF($A1386=$A1385,$U1385+1,1)</f>
        <v>82</v>
      </c>
      <c r="V1386" s="48" t="n">
        <f aca="false">IF($U1386&gt;=MA_SHORT,AVERAGE(INDEX($I$986:$I1386,402-MA_SHORT):$I1386),"")</f>
        <v>1474.35</v>
      </c>
      <c r="W1386" s="48" t="n">
        <f aca="false">IF($U1386&gt;=MA_MED,AVERAGE(INDEX($I$986:$I1386,402-MA_MED):$I1386),"")</f>
        <v>1516.52</v>
      </c>
      <c r="X1386" s="48" t="str">
        <f aca="false">IF($U1386&gt;=MA_LONG1,AVERAGE(INDEX($I$986:$I1386,402-MA_LONG1):$I1386),"")</f>
        <v/>
      </c>
      <c r="Y1386" s="48" t="str">
        <f aca="false">IF($U1386&gt;=MA_LONG2,AVERAGE(INDEX($I$986:$I1386,402-MA_LONG2):$I1386),"")</f>
        <v/>
      </c>
      <c r="Z1386" s="48" t="n">
        <f aca="false">IF($U1386&gt;=MA_SHORT,AVERAGE(INDEX($L$1266:$L1386,122-MA_SHORT):$L1386),"")</f>
        <v>82252478.25</v>
      </c>
      <c r="AA1386" s="48" t="n">
        <f aca="false">IF($U1386=1,$G1386-$H1386,MAX($G1386-$H1386,ABS($G1386-$I1385),ABS($H1386-$I1385)))</f>
        <v>46</v>
      </c>
      <c r="AB1386" s="48" t="n">
        <f aca="false">IF($U1386&gt;=ATR_PER,AVERAGE(INDEX($AA$1266:$AA1386,122-ATR_PER):$AA1386),"")</f>
        <v>60.3571428571429</v>
      </c>
      <c r="AC1386" s="48" t="n">
        <f aca="false">$O1386-$P1386</f>
        <v>-13446288</v>
      </c>
      <c r="AD1386" s="48" t="n">
        <f aca="false">$AC1386*$I1386</f>
        <v>-19497117600</v>
      </c>
      <c r="AE1386" s="49" t="n">
        <f aca="false">IF($Q1386&gt;0,$O1386*$I1386/$Q1386/1000000,"")</f>
        <v>52.0980478311841</v>
      </c>
      <c r="AF1386" s="49" t="n">
        <f aca="false">IF($R1386&gt;0,$P1386*$I1386/$R1386/1000000,"")</f>
        <v>92.394150867052</v>
      </c>
      <c r="AG1386" s="50" t="n">
        <f aca="false">IF(AND(ISNUMBER($AE1386),ISNUMBER($AF1386),$AF1386&gt;0),$AE1386/$AF1386,"")</f>
        <v>0.563867380589374</v>
      </c>
      <c r="AH1386" s="48" t="n">
        <f aca="false">IF($U1386&gt;=5,SUM(INDEX($AD$1356:$AD1386,32-5):$AD1386),"")</f>
        <v>-49024140174</v>
      </c>
      <c r="AI1386" s="48" t="n">
        <f aca="false">IF($U1386&gt;=STRUCT_S,MAX(INDEX($G$1236:$G1386,152-STRUCT_S):$G1386),"")</f>
        <v>1586</v>
      </c>
      <c r="AJ1386" s="48" t="n">
        <f aca="false">IF($U1386&gt;=STRUCT_S,MIN(INDEX($H$1236:$H1386,152-STRUCT_S):$H1386),"")</f>
        <v>1384</v>
      </c>
      <c r="AK1386" s="48" t="n">
        <f aca="false">IF($U1386&gt;=STRUCT_L,MAX(INDEX($G$1136:$G1386,252-STRUCT_L):$G1386),"")</f>
        <v>1676</v>
      </c>
      <c r="AL1386" s="48" t="n">
        <f aca="false">IF($U1386&gt;=STRUCT_L,MIN(INDEX($H$1136:$H1386,252-STRUCT_L):$H1386),"")</f>
        <v>1379</v>
      </c>
      <c r="AM1386" s="46" t="n">
        <f aca="false">IF($A1386&lt;&gt;$A1387,1,0)</f>
        <v>0</v>
      </c>
      <c r="AN1386" s="47" t="str">
        <f aca="false">IF($AM1386=1,$A1386,"")</f>
        <v/>
      </c>
    </row>
    <row r="1387" customFormat="false" ht="15" hidden="false" customHeight="false" outlineLevel="0" collapsed="false">
      <c r="A1387" s="43" t="s">
        <v>157</v>
      </c>
      <c r="B1387" s="44" t="s">
        <v>159</v>
      </c>
      <c r="C1387" s="45" t="n">
        <v>46020</v>
      </c>
      <c r="D1387" s="46" t="n">
        <v>20251229</v>
      </c>
      <c r="E1387" s="47" t="s">
        <v>370</v>
      </c>
      <c r="F1387" s="48" t="n">
        <v>1439</v>
      </c>
      <c r="G1387" s="48" t="n">
        <v>1460</v>
      </c>
      <c r="H1387" s="48" t="n">
        <v>1425</v>
      </c>
      <c r="I1387" s="48" t="n">
        <v>1435</v>
      </c>
      <c r="J1387" s="48" t="n">
        <v>1450</v>
      </c>
      <c r="K1387" s="48" t="n">
        <v>1450</v>
      </c>
      <c r="L1387" s="48" t="n">
        <v>72072840</v>
      </c>
      <c r="M1387" s="48" t="n">
        <v>103424525400</v>
      </c>
      <c r="N1387" s="48" t="n">
        <v>1964</v>
      </c>
      <c r="O1387" s="48" t="n">
        <v>37989652</v>
      </c>
      <c r="P1387" s="48" t="n">
        <v>32890292</v>
      </c>
      <c r="Q1387" s="48" t="n">
        <v>708</v>
      </c>
      <c r="R1387" s="48" t="n">
        <v>769</v>
      </c>
      <c r="S1387" s="48" t="n">
        <v>34083188</v>
      </c>
      <c r="T1387" s="48" t="n">
        <v>39182548</v>
      </c>
      <c r="U1387" s="46" t="n">
        <f aca="false">IF($A1387=$A1386,$U1386+1,1)</f>
        <v>83</v>
      </c>
      <c r="V1387" s="48" t="n">
        <f aca="false">IF($U1387&gt;=MA_SHORT,AVERAGE(INDEX($I$987:$I1387,402-MA_SHORT):$I1387),"")</f>
        <v>1470.25</v>
      </c>
      <c r="W1387" s="48" t="n">
        <f aca="false">IF($U1387&gt;=MA_MED,AVERAGE(INDEX($I$987:$I1387,402-MA_MED):$I1387),"")</f>
        <v>1516.04</v>
      </c>
      <c r="X1387" s="48" t="str">
        <f aca="false">IF($U1387&gt;=MA_LONG1,AVERAGE(INDEX($I$987:$I1387,402-MA_LONG1):$I1387),"")</f>
        <v/>
      </c>
      <c r="Y1387" s="48" t="str">
        <f aca="false">IF($U1387&gt;=MA_LONG2,AVERAGE(INDEX($I$987:$I1387,402-MA_LONG2):$I1387),"")</f>
        <v/>
      </c>
      <c r="Z1387" s="48" t="n">
        <f aca="false">IF($U1387&gt;=MA_SHORT,AVERAGE(INDEX($L$1267:$L1387,122-MA_SHORT):$L1387),"")</f>
        <v>82218618.85</v>
      </c>
      <c r="AA1387" s="48" t="n">
        <f aca="false">IF($U1387=1,$G1387-$H1387,MAX($G1387-$H1387,ABS($G1387-$I1386),ABS($H1387-$I1386)))</f>
        <v>35</v>
      </c>
      <c r="AB1387" s="48" t="n">
        <f aca="false">IF($U1387&gt;=ATR_PER,AVERAGE(INDEX($AA$1267:$AA1387,122-ATR_PER):$AA1387),"")</f>
        <v>56.1428571428571</v>
      </c>
      <c r="AC1387" s="48" t="n">
        <f aca="false">$O1387-$P1387</f>
        <v>5099360</v>
      </c>
      <c r="AD1387" s="48" t="n">
        <f aca="false">$AC1387*$I1387</f>
        <v>7317581600</v>
      </c>
      <c r="AE1387" s="49" t="n">
        <f aca="false">IF($Q1387&gt;0,$O1387*$I1387/$Q1387/1000000,"")</f>
        <v>76.9988003107345</v>
      </c>
      <c r="AF1387" s="49" t="n">
        <f aca="false">IF($R1387&gt;0,$P1387*$I1387/$R1387/1000000,"")</f>
        <v>61.3752523016905</v>
      </c>
      <c r="AG1387" s="50" t="n">
        <f aca="false">IF(AND(ISNUMBER($AE1387),ISNUMBER($AF1387),$AF1387&gt;0),$AE1387/$AF1387,"")</f>
        <v>1.25455778058958</v>
      </c>
      <c r="AH1387" s="48" t="n">
        <f aca="false">IF($U1387&gt;=5,SUM(INDEX($AD$1357:$AD1387,32-5):$AD1387),"")</f>
        <v>-81513882766</v>
      </c>
      <c r="AI1387" s="48" t="n">
        <f aca="false">IF($U1387&gt;=STRUCT_S,MAX(INDEX($G$1237:$G1387,152-STRUCT_S):$G1387),"")</f>
        <v>1586</v>
      </c>
      <c r="AJ1387" s="48" t="n">
        <f aca="false">IF($U1387&gt;=STRUCT_S,MIN(INDEX($H$1237:$H1387,152-STRUCT_S):$H1387),"")</f>
        <v>1384</v>
      </c>
      <c r="AK1387" s="48" t="n">
        <f aca="false">IF($U1387&gt;=STRUCT_L,MAX(INDEX($G$1137:$G1387,252-STRUCT_L):$G1387),"")</f>
        <v>1676</v>
      </c>
      <c r="AL1387" s="48" t="n">
        <f aca="false">IF($U1387&gt;=STRUCT_L,MIN(INDEX($H$1137:$H1387,252-STRUCT_L):$H1387),"")</f>
        <v>1379</v>
      </c>
      <c r="AM1387" s="46" t="n">
        <f aca="false">IF($A1387&lt;&gt;$A1388,1,0)</f>
        <v>0</v>
      </c>
      <c r="AN1387" s="47" t="str">
        <f aca="false">IF($AM1387=1,$A1387,"")</f>
        <v/>
      </c>
    </row>
    <row r="1388" customFormat="false" ht="15" hidden="false" customHeight="false" outlineLevel="0" collapsed="false">
      <c r="A1388" s="43" t="s">
        <v>157</v>
      </c>
      <c r="B1388" s="44" t="s">
        <v>159</v>
      </c>
      <c r="C1388" s="45" t="n">
        <v>46021</v>
      </c>
      <c r="D1388" s="46" t="n">
        <v>20251230</v>
      </c>
      <c r="E1388" s="47" t="s">
        <v>371</v>
      </c>
      <c r="F1388" s="48" t="n">
        <v>1461</v>
      </c>
      <c r="G1388" s="48" t="n">
        <v>1471</v>
      </c>
      <c r="H1388" s="48" t="n">
        <v>1421</v>
      </c>
      <c r="I1388" s="48" t="n">
        <v>1456</v>
      </c>
      <c r="J1388" s="48" t="n">
        <v>1426</v>
      </c>
      <c r="K1388" s="48" t="n">
        <v>1435</v>
      </c>
      <c r="L1388" s="48" t="n">
        <v>107965444</v>
      </c>
      <c r="M1388" s="48" t="n">
        <v>157197686464</v>
      </c>
      <c r="N1388" s="48" t="n">
        <v>9139</v>
      </c>
      <c r="O1388" s="48" t="n">
        <v>67326821</v>
      </c>
      <c r="P1388" s="48" t="n">
        <v>38281970</v>
      </c>
      <c r="Q1388" s="48" t="n">
        <v>3142</v>
      </c>
      <c r="R1388" s="48" t="n">
        <v>3917</v>
      </c>
      <c r="S1388" s="48" t="n">
        <v>40638623</v>
      </c>
      <c r="T1388" s="48" t="n">
        <v>69683474</v>
      </c>
      <c r="U1388" s="46" t="n">
        <f aca="false">IF($A1388=$A1387,$U1387+1,1)</f>
        <v>84</v>
      </c>
      <c r="V1388" s="48" t="n">
        <f aca="false">IF($U1388&gt;=MA_SHORT,AVERAGE(INDEX($I$988:$I1388,402-MA_SHORT):$I1388),"")</f>
        <v>1466.1</v>
      </c>
      <c r="W1388" s="48" t="n">
        <f aca="false">IF($U1388&gt;=MA_MED,AVERAGE(INDEX($I$988:$I1388,402-MA_MED):$I1388),"")</f>
        <v>1515.52</v>
      </c>
      <c r="X1388" s="48" t="str">
        <f aca="false">IF($U1388&gt;=MA_LONG1,AVERAGE(INDEX($I$988:$I1388,402-MA_LONG1):$I1388),"")</f>
        <v/>
      </c>
      <c r="Y1388" s="48" t="str">
        <f aca="false">IF($U1388&gt;=MA_LONG2,AVERAGE(INDEX($I$988:$I1388,402-MA_LONG2):$I1388),"")</f>
        <v/>
      </c>
      <c r="Z1388" s="48" t="n">
        <f aca="false">IF($U1388&gt;=MA_SHORT,AVERAGE(INDEX($L$1268:$L1388,122-MA_SHORT):$L1388),"")</f>
        <v>83928610.1</v>
      </c>
      <c r="AA1388" s="48" t="n">
        <f aca="false">IF($U1388=1,$G1388-$H1388,MAX($G1388-$H1388,ABS($G1388-$I1387),ABS($H1388-$I1387)))</f>
        <v>50</v>
      </c>
      <c r="AB1388" s="48" t="n">
        <f aca="false">IF($U1388&gt;=ATR_PER,AVERAGE(INDEX($AA$1268:$AA1388,122-ATR_PER):$AA1388),"")</f>
        <v>56.6428571428571</v>
      </c>
      <c r="AC1388" s="48" t="n">
        <f aca="false">$O1388-$P1388</f>
        <v>29044851</v>
      </c>
      <c r="AD1388" s="48" t="n">
        <f aca="false">$AC1388*$I1388</f>
        <v>42289303056</v>
      </c>
      <c r="AE1388" s="49" t="n">
        <f aca="false">IF($Q1388&gt;0,$O1388*$I1388/$Q1388/1000000,"")</f>
        <v>31.1991888529599</v>
      </c>
      <c r="AF1388" s="49" t="n">
        <f aca="false">IF($R1388&gt;0,$P1388*$I1388/$R1388/1000000,"")</f>
        <v>14.2299076640286</v>
      </c>
      <c r="AG1388" s="50" t="n">
        <f aca="false">IF(AND(ISNUMBER($AE1388),ISNUMBER($AF1388),$AF1388&gt;0),$AE1388/$AF1388,"")</f>
        <v>2.19250817289753</v>
      </c>
      <c r="AH1388" s="48" t="n">
        <f aca="false">IF($U1388&gt;=5,SUM(INDEX($AD$1358:$AD1388,32-5):$AD1388),"")</f>
        <v>-22400686978</v>
      </c>
      <c r="AI1388" s="48" t="n">
        <f aca="false">IF($U1388&gt;=STRUCT_S,MAX(INDEX($G$1238:$G1388,152-STRUCT_S):$G1388),"")</f>
        <v>1586</v>
      </c>
      <c r="AJ1388" s="48" t="n">
        <f aca="false">IF($U1388&gt;=STRUCT_S,MIN(INDEX($H$1238:$H1388,152-STRUCT_S):$H1388),"")</f>
        <v>1384</v>
      </c>
      <c r="AK1388" s="48" t="n">
        <f aca="false">IF($U1388&gt;=STRUCT_L,MAX(INDEX($G$1138:$G1388,252-STRUCT_L):$G1388),"")</f>
        <v>1676</v>
      </c>
      <c r="AL1388" s="48" t="n">
        <f aca="false">IF($U1388&gt;=STRUCT_L,MIN(INDEX($H$1138:$H1388,252-STRUCT_L):$H1388),"")</f>
        <v>1379</v>
      </c>
      <c r="AM1388" s="46" t="n">
        <f aca="false">IF($A1388&lt;&gt;$A1389,1,0)</f>
        <v>0</v>
      </c>
      <c r="AN1388" s="47" t="str">
        <f aca="false">IF($AM1388=1,$A1388,"")</f>
        <v/>
      </c>
    </row>
    <row r="1389" customFormat="false" ht="15" hidden="false" customHeight="false" outlineLevel="0" collapsed="false">
      <c r="A1389" s="43" t="s">
        <v>157</v>
      </c>
      <c r="B1389" s="44" t="s">
        <v>159</v>
      </c>
      <c r="C1389" s="45" t="n">
        <v>46022</v>
      </c>
      <c r="D1389" s="46" t="n">
        <v>20251231</v>
      </c>
      <c r="E1389" s="47" t="s">
        <v>372</v>
      </c>
      <c r="F1389" s="48" t="n">
        <v>1404</v>
      </c>
      <c r="G1389" s="48" t="n">
        <v>1466</v>
      </c>
      <c r="H1389" s="48" t="n">
        <v>1388</v>
      </c>
      <c r="I1389" s="48" t="n">
        <v>1398</v>
      </c>
      <c r="J1389" s="48" t="n">
        <v>1450</v>
      </c>
      <c r="K1389" s="48" t="n">
        <v>1456</v>
      </c>
      <c r="L1389" s="48" t="n">
        <v>92896936</v>
      </c>
      <c r="M1389" s="48" t="n">
        <v>129869916528</v>
      </c>
      <c r="N1389" s="48" t="n">
        <v>4271</v>
      </c>
      <c r="O1389" s="48" t="n">
        <v>19798033</v>
      </c>
      <c r="P1389" s="48" t="n">
        <v>69287954</v>
      </c>
      <c r="Q1389" s="48" t="n">
        <v>1948</v>
      </c>
      <c r="R1389" s="48" t="n">
        <v>1672</v>
      </c>
      <c r="S1389" s="48" t="n">
        <v>73098903</v>
      </c>
      <c r="T1389" s="48" t="n">
        <v>23608982</v>
      </c>
      <c r="U1389" s="46" t="n">
        <f aca="false">IF($A1389=$A1388,$U1388+1,1)</f>
        <v>85</v>
      </c>
      <c r="V1389" s="48" t="n">
        <f aca="false">IF($U1389&gt;=MA_SHORT,AVERAGE(INDEX($I$989:$I1389,402-MA_SHORT):$I1389),"")</f>
        <v>1461.2</v>
      </c>
      <c r="W1389" s="48" t="n">
        <f aca="false">IF($U1389&gt;=MA_MED,AVERAGE(INDEX($I$989:$I1389,402-MA_MED):$I1389),"")</f>
        <v>1513.66</v>
      </c>
      <c r="X1389" s="48" t="str">
        <f aca="false">IF($U1389&gt;=MA_LONG1,AVERAGE(INDEX($I$989:$I1389,402-MA_LONG1):$I1389),"")</f>
        <v/>
      </c>
      <c r="Y1389" s="48" t="str">
        <f aca="false">IF($U1389&gt;=MA_LONG2,AVERAGE(INDEX($I$989:$I1389,402-MA_LONG2):$I1389),"")</f>
        <v/>
      </c>
      <c r="Z1389" s="48" t="n">
        <f aca="false">IF($U1389&gt;=MA_SHORT,AVERAGE(INDEX($L$1269:$L1389,122-MA_SHORT):$L1389),"")</f>
        <v>84611603.7</v>
      </c>
      <c r="AA1389" s="48" t="n">
        <f aca="false">IF($U1389=1,$G1389-$H1389,MAX($G1389-$H1389,ABS($G1389-$I1388),ABS($H1389-$I1388)))</f>
        <v>78</v>
      </c>
      <c r="AB1389" s="48" t="n">
        <f aca="false">IF($U1389&gt;=ATR_PER,AVERAGE(INDEX($AA$1269:$AA1389,122-ATR_PER):$AA1389),"")</f>
        <v>58.1428571428571</v>
      </c>
      <c r="AC1389" s="48" t="n">
        <f aca="false">$O1389-$P1389</f>
        <v>-49489921</v>
      </c>
      <c r="AD1389" s="48" t="n">
        <f aca="false">$AC1389*$I1389</f>
        <v>-69186909558</v>
      </c>
      <c r="AE1389" s="49" t="n">
        <f aca="false">IF($Q1389&gt;0,$O1389*$I1389/$Q1389/1000000,"")</f>
        <v>14.208239288501</v>
      </c>
      <c r="AF1389" s="49" t="n">
        <f aca="false">IF($R1389&gt;0,$P1389*$I1389/$R1389/1000000,"")</f>
        <v>57.9333490980861</v>
      </c>
      <c r="AG1389" s="50" t="n">
        <f aca="false">IF(AND(ISNUMBER($AE1389),ISNUMBER($AF1389),$AF1389&gt;0),$AE1389/$AF1389,"")</f>
        <v>0.245251474490889</v>
      </c>
      <c r="AH1389" s="48" t="n">
        <f aca="false">IF($U1389&gt;=5,SUM(INDEX($AD$1359:$AD1389,32-5):$AD1389),"")</f>
        <v>-75903808696</v>
      </c>
      <c r="AI1389" s="48" t="n">
        <f aca="false">IF($U1389&gt;=STRUCT_S,MAX(INDEX($G$1239:$G1389,152-STRUCT_S):$G1389),"")</f>
        <v>1537</v>
      </c>
      <c r="AJ1389" s="48" t="n">
        <f aca="false">IF($U1389&gt;=STRUCT_S,MIN(INDEX($H$1239:$H1389,152-STRUCT_S):$H1389),"")</f>
        <v>1384</v>
      </c>
      <c r="AK1389" s="48" t="n">
        <f aca="false">IF($U1389&gt;=STRUCT_L,MAX(INDEX($G$1139:$G1389,252-STRUCT_L):$G1389),"")</f>
        <v>1676</v>
      </c>
      <c r="AL1389" s="48" t="n">
        <f aca="false">IF($U1389&gt;=STRUCT_L,MIN(INDEX($H$1139:$H1389,252-STRUCT_L):$H1389),"")</f>
        <v>1379</v>
      </c>
      <c r="AM1389" s="46" t="n">
        <f aca="false">IF($A1389&lt;&gt;$A1390,1,0)</f>
        <v>0</v>
      </c>
      <c r="AN1389" s="47" t="str">
        <f aca="false">IF($AM1389=1,$A1389,"")</f>
        <v/>
      </c>
    </row>
    <row r="1390" customFormat="false" ht="15" hidden="false" customHeight="false" outlineLevel="0" collapsed="false">
      <c r="A1390" s="43" t="s">
        <v>157</v>
      </c>
      <c r="B1390" s="44" t="s">
        <v>159</v>
      </c>
      <c r="C1390" s="45" t="n">
        <v>46025</v>
      </c>
      <c r="D1390" s="46" t="n">
        <v>20260103</v>
      </c>
      <c r="E1390" s="47" t="s">
        <v>373</v>
      </c>
      <c r="F1390" s="48" t="n">
        <v>1402</v>
      </c>
      <c r="G1390" s="48" t="n">
        <v>1411</v>
      </c>
      <c r="H1390" s="48" t="n">
        <v>1389</v>
      </c>
      <c r="I1390" s="48" t="n">
        <v>1402</v>
      </c>
      <c r="J1390" s="48" t="n">
        <v>1394</v>
      </c>
      <c r="K1390" s="48" t="n">
        <v>1398</v>
      </c>
      <c r="L1390" s="48" t="n">
        <v>77573466</v>
      </c>
      <c r="M1390" s="48" t="n">
        <v>108757999332</v>
      </c>
      <c r="N1390" s="48" t="n">
        <v>2754</v>
      </c>
      <c r="O1390" s="48" t="n">
        <v>46667681</v>
      </c>
      <c r="P1390" s="48" t="n">
        <v>34651303</v>
      </c>
      <c r="Q1390" s="48" t="n">
        <v>870</v>
      </c>
      <c r="R1390" s="48" t="n">
        <v>1385</v>
      </c>
      <c r="S1390" s="48" t="n">
        <v>30905785</v>
      </c>
      <c r="T1390" s="48" t="n">
        <v>42922163</v>
      </c>
      <c r="U1390" s="46" t="n">
        <f aca="false">IF($A1390=$A1389,$U1389+1,1)</f>
        <v>86</v>
      </c>
      <c r="V1390" s="48" t="n">
        <f aca="false">IF($U1390&gt;=MA_SHORT,AVERAGE(INDEX($I$990:$I1390,402-MA_SHORT):$I1390),"")</f>
        <v>1457.15</v>
      </c>
      <c r="W1390" s="48" t="n">
        <f aca="false">IF($U1390&gt;=MA_MED,AVERAGE(INDEX($I$990:$I1390,402-MA_MED):$I1390),"")</f>
        <v>1512.16</v>
      </c>
      <c r="X1390" s="48" t="str">
        <f aca="false">IF($U1390&gt;=MA_LONG1,AVERAGE(INDEX($I$990:$I1390,402-MA_LONG1):$I1390),"")</f>
        <v/>
      </c>
      <c r="Y1390" s="48" t="str">
        <f aca="false">IF($U1390&gt;=MA_LONG2,AVERAGE(INDEX($I$990:$I1390,402-MA_LONG2):$I1390),"")</f>
        <v/>
      </c>
      <c r="Z1390" s="48" t="n">
        <f aca="false">IF($U1390&gt;=MA_SHORT,AVERAGE(INDEX($L$1270:$L1390,122-MA_SHORT):$L1390),"")</f>
        <v>84871378.35</v>
      </c>
      <c r="AA1390" s="48" t="n">
        <f aca="false">IF($U1390=1,$G1390-$H1390,MAX($G1390-$H1390,ABS($G1390-$I1389),ABS($H1390-$I1389)))</f>
        <v>22</v>
      </c>
      <c r="AB1390" s="48" t="n">
        <f aca="false">IF($U1390&gt;=ATR_PER,AVERAGE(INDEX($AA$1270:$AA1390,122-ATR_PER):$AA1390),"")</f>
        <v>54.6428571428571</v>
      </c>
      <c r="AC1390" s="48" t="n">
        <f aca="false">$O1390-$P1390</f>
        <v>12016378</v>
      </c>
      <c r="AD1390" s="48" t="n">
        <f aca="false">$AC1390*$I1390</f>
        <v>16846961956</v>
      </c>
      <c r="AE1390" s="49" t="n">
        <f aca="false">IF($Q1390&gt;0,$O1390*$I1390/$Q1390/1000000,"")</f>
        <v>75.2046997264368</v>
      </c>
      <c r="AF1390" s="49" t="n">
        <f aca="false">IF($R1390&gt;0,$P1390*$I1390/$R1390/1000000,"")</f>
        <v>35.0766258527076</v>
      </c>
      <c r="AG1390" s="50" t="n">
        <f aca="false">IF(AND(ISNUMBER($AE1390),ISNUMBER($AF1390),$AF1390&gt;0),$AE1390/$AF1390,"")</f>
        <v>2.14401179983028</v>
      </c>
      <c r="AH1390" s="48" t="n">
        <f aca="false">IF($U1390&gt;=5,SUM(INDEX($AD$1360:$AD1390,32-5):$AD1390),"")</f>
        <v>-22230180546</v>
      </c>
      <c r="AI1390" s="48" t="n">
        <f aca="false">IF($U1390&gt;=STRUCT_S,MAX(INDEX($G$1240:$G1390,152-STRUCT_S):$G1390),"")</f>
        <v>1537</v>
      </c>
      <c r="AJ1390" s="48" t="n">
        <f aca="false">IF($U1390&gt;=STRUCT_S,MIN(INDEX($H$1240:$H1390,152-STRUCT_S):$H1390),"")</f>
        <v>1384</v>
      </c>
      <c r="AK1390" s="48" t="n">
        <f aca="false">IF($U1390&gt;=STRUCT_L,MAX(INDEX($G$1140:$G1390,252-STRUCT_L):$G1390),"")</f>
        <v>1676</v>
      </c>
      <c r="AL1390" s="48" t="n">
        <f aca="false">IF($U1390&gt;=STRUCT_L,MIN(INDEX($H$1140:$H1390,252-STRUCT_L):$H1390),"")</f>
        <v>1379</v>
      </c>
      <c r="AM1390" s="46" t="n">
        <f aca="false">IF($A1390&lt;&gt;$A1391,1,0)</f>
        <v>0</v>
      </c>
      <c r="AN1390" s="47" t="str">
        <f aca="false">IF($AM1390=1,$A1390,"")</f>
        <v/>
      </c>
    </row>
    <row r="1391" customFormat="false" ht="15" hidden="false" customHeight="false" outlineLevel="0" collapsed="false">
      <c r="A1391" s="43" t="s">
        <v>157</v>
      </c>
      <c r="B1391" s="44" t="s">
        <v>159</v>
      </c>
      <c r="C1391" s="45" t="n">
        <v>46026</v>
      </c>
      <c r="D1391" s="46" t="n">
        <v>20260104</v>
      </c>
      <c r="E1391" s="47" t="s">
        <v>374</v>
      </c>
      <c r="F1391" s="48" t="n">
        <v>1393</v>
      </c>
      <c r="G1391" s="48" t="n">
        <v>1440</v>
      </c>
      <c r="H1391" s="48" t="n">
        <v>1387</v>
      </c>
      <c r="I1391" s="48" t="n">
        <v>1425</v>
      </c>
      <c r="J1391" s="48" t="n">
        <v>1390</v>
      </c>
      <c r="K1391" s="48" t="n">
        <v>1402</v>
      </c>
      <c r="L1391" s="48" t="n">
        <v>74540384</v>
      </c>
      <c r="M1391" s="48" t="n">
        <v>106220047200</v>
      </c>
      <c r="N1391" s="48" t="n">
        <v>3462</v>
      </c>
      <c r="O1391" s="48" t="n">
        <v>40248484</v>
      </c>
      <c r="P1391" s="48" t="n">
        <v>38364465</v>
      </c>
      <c r="Q1391" s="48" t="n">
        <v>1631</v>
      </c>
      <c r="R1391" s="48" t="n">
        <v>1091</v>
      </c>
      <c r="S1391" s="48" t="n">
        <v>34291900</v>
      </c>
      <c r="T1391" s="48" t="n">
        <v>36175919</v>
      </c>
      <c r="U1391" s="46" t="n">
        <f aca="false">IF($A1391=$A1390,$U1390+1,1)</f>
        <v>87</v>
      </c>
      <c r="V1391" s="48" t="n">
        <f aca="false">IF($U1391&gt;=MA_SHORT,AVERAGE(INDEX($I$991:$I1391,402-MA_SHORT):$I1391),"")</f>
        <v>1453.85</v>
      </c>
      <c r="W1391" s="48" t="n">
        <f aca="false">IF($U1391&gt;=MA_MED,AVERAGE(INDEX($I$991:$I1391,402-MA_MED):$I1391),"")</f>
        <v>1510</v>
      </c>
      <c r="X1391" s="48" t="str">
        <f aca="false">IF($U1391&gt;=MA_LONG1,AVERAGE(INDEX($I$991:$I1391,402-MA_LONG1):$I1391),"")</f>
        <v/>
      </c>
      <c r="Y1391" s="48" t="str">
        <f aca="false">IF($U1391&gt;=MA_LONG2,AVERAGE(INDEX($I$991:$I1391,402-MA_LONG2):$I1391),"")</f>
        <v/>
      </c>
      <c r="Z1391" s="48" t="n">
        <f aca="false">IF($U1391&gt;=MA_SHORT,AVERAGE(INDEX($L$1271:$L1391,122-MA_SHORT):$L1391),"")</f>
        <v>85095536.1</v>
      </c>
      <c r="AA1391" s="48" t="n">
        <f aca="false">IF($U1391=1,$G1391-$H1391,MAX($G1391-$H1391,ABS($G1391-$I1390),ABS($H1391-$I1390)))</f>
        <v>53</v>
      </c>
      <c r="AB1391" s="48" t="n">
        <f aca="false">IF($U1391&gt;=ATR_PER,AVERAGE(INDEX($AA$1271:$AA1391,122-ATR_PER):$AA1391),"")</f>
        <v>57.2857142857143</v>
      </c>
      <c r="AC1391" s="48" t="n">
        <f aca="false">$O1391-$P1391</f>
        <v>1884019</v>
      </c>
      <c r="AD1391" s="48" t="n">
        <f aca="false">$AC1391*$I1391</f>
        <v>2684727075</v>
      </c>
      <c r="AE1391" s="49" t="n">
        <f aca="false">IF($Q1391&gt;0,$O1391*$I1391/$Q1391/1000000,"")</f>
        <v>35.1649844880441</v>
      </c>
      <c r="AF1391" s="49" t="n">
        <f aca="false">IF($R1391&gt;0,$P1391*$I1391/$R1391/1000000,"")</f>
        <v>50.1094066223648</v>
      </c>
      <c r="AG1391" s="50" t="n">
        <f aca="false">IF(AND(ISNUMBER($AE1391),ISNUMBER($AF1391),$AF1391&gt;0),$AE1391/$AF1391,"")</f>
        <v>0.701764136882621</v>
      </c>
      <c r="AH1391" s="48" t="n">
        <f aca="false">IF($U1391&gt;=5,SUM(INDEX($AD$1361:$AD1391,32-5):$AD1391),"")</f>
        <v>-48335871</v>
      </c>
      <c r="AI1391" s="48" t="n">
        <f aca="false">IF($U1391&gt;=STRUCT_S,MAX(INDEX($G$1241:$G1391,152-STRUCT_S):$G1391),"")</f>
        <v>1537</v>
      </c>
      <c r="AJ1391" s="48" t="n">
        <f aca="false">IF($U1391&gt;=STRUCT_S,MIN(INDEX($H$1241:$H1391,152-STRUCT_S):$H1391),"")</f>
        <v>1384</v>
      </c>
      <c r="AK1391" s="48" t="n">
        <f aca="false">IF($U1391&gt;=STRUCT_L,MAX(INDEX($G$1141:$G1391,252-STRUCT_L):$G1391),"")</f>
        <v>1676</v>
      </c>
      <c r="AL1391" s="48" t="n">
        <f aca="false">IF($U1391&gt;=STRUCT_L,MIN(INDEX($H$1141:$H1391,252-STRUCT_L):$H1391),"")</f>
        <v>1384</v>
      </c>
      <c r="AM1391" s="46" t="n">
        <f aca="false">IF($A1391&lt;&gt;$A1392,1,0)</f>
        <v>0</v>
      </c>
      <c r="AN1391" s="47" t="str">
        <f aca="false">IF($AM1391=1,$A1391,"")</f>
        <v/>
      </c>
    </row>
    <row r="1392" customFormat="false" ht="15" hidden="false" customHeight="false" outlineLevel="0" collapsed="false">
      <c r="A1392" s="43" t="s">
        <v>157</v>
      </c>
      <c r="B1392" s="44" t="s">
        <v>159</v>
      </c>
      <c r="C1392" s="45" t="n">
        <v>46027</v>
      </c>
      <c r="D1392" s="46" t="n">
        <v>20260105</v>
      </c>
      <c r="E1392" s="47" t="s">
        <v>375</v>
      </c>
      <c r="F1392" s="48" t="n">
        <v>1456</v>
      </c>
      <c r="G1392" s="48" t="n">
        <v>1458</v>
      </c>
      <c r="H1392" s="48" t="n">
        <v>1355</v>
      </c>
      <c r="I1392" s="48" t="n">
        <v>1387</v>
      </c>
      <c r="J1392" s="48" t="n">
        <v>1361</v>
      </c>
      <c r="K1392" s="48" t="n">
        <v>1425</v>
      </c>
      <c r="L1392" s="48" t="n">
        <v>100493597</v>
      </c>
      <c r="M1392" s="48" t="n">
        <v>139384619039</v>
      </c>
      <c r="N1392" s="48" t="n">
        <v>6040</v>
      </c>
      <c r="O1392" s="48" t="n">
        <v>42530593</v>
      </c>
      <c r="P1392" s="48" t="n">
        <v>49101288</v>
      </c>
      <c r="Q1392" s="48" t="n">
        <v>1980</v>
      </c>
      <c r="R1392" s="48" t="n">
        <v>2894</v>
      </c>
      <c r="S1392" s="48" t="n">
        <v>57963004</v>
      </c>
      <c r="T1392" s="48" t="n">
        <v>51392309</v>
      </c>
      <c r="U1392" s="46" t="n">
        <f aca="false">IF($A1392=$A1391,$U1391+1,1)</f>
        <v>88</v>
      </c>
      <c r="V1392" s="48" t="n">
        <f aca="false">IF($U1392&gt;=MA_SHORT,AVERAGE(INDEX($I$992:$I1392,402-MA_SHORT):$I1392),"")</f>
        <v>1448.9</v>
      </c>
      <c r="W1392" s="48" t="n">
        <f aca="false">IF($U1392&gt;=MA_MED,AVERAGE(INDEX($I$992:$I1392,402-MA_MED):$I1392),"")</f>
        <v>1506.7</v>
      </c>
      <c r="X1392" s="48" t="str">
        <f aca="false">IF($U1392&gt;=MA_LONG1,AVERAGE(INDEX($I$992:$I1392,402-MA_LONG1):$I1392),"")</f>
        <v/>
      </c>
      <c r="Y1392" s="48" t="str">
        <f aca="false">IF($U1392&gt;=MA_LONG2,AVERAGE(INDEX($I$992:$I1392,402-MA_LONG2):$I1392),"")</f>
        <v/>
      </c>
      <c r="Z1392" s="48" t="n">
        <f aca="false">IF($U1392&gt;=MA_SHORT,AVERAGE(INDEX($L$1272:$L1392,122-MA_SHORT):$L1392),"")</f>
        <v>86658906</v>
      </c>
      <c r="AA1392" s="48" t="n">
        <f aca="false">IF($U1392=1,$G1392-$H1392,MAX($G1392-$H1392,ABS($G1392-$I1391),ABS($H1392-$I1391)))</f>
        <v>103</v>
      </c>
      <c r="AB1392" s="48" t="n">
        <f aca="false">IF($U1392&gt;=ATR_PER,AVERAGE(INDEX($AA$1272:$AA1392,122-ATR_PER):$AA1392),"")</f>
        <v>63.5714285714286</v>
      </c>
      <c r="AC1392" s="48" t="n">
        <f aca="false">$O1392-$P1392</f>
        <v>-6570695</v>
      </c>
      <c r="AD1392" s="48" t="n">
        <f aca="false">$AC1392*$I1392</f>
        <v>-9113553965</v>
      </c>
      <c r="AE1392" s="49" t="n">
        <f aca="false">IF($Q1392&gt;0,$O1392*$I1392/$Q1392/1000000,"")</f>
        <v>29.7928951974748</v>
      </c>
      <c r="AF1392" s="49" t="n">
        <f aca="false">IF($R1392&gt;0,$P1392*$I1392/$R1392/1000000,"")</f>
        <v>23.5326490863856</v>
      </c>
      <c r="AG1392" s="50" t="n">
        <f aca="false">IF(AND(ISNUMBER($AE1392),ISNUMBER($AF1392),$AF1392&gt;0),$AE1392/$AF1392,"")</f>
        <v>1.2660238585171</v>
      </c>
      <c r="AH1392" s="48" t="n">
        <f aca="false">IF($U1392&gt;=5,SUM(INDEX($AD$1362:$AD1392,32-5):$AD1392),"")</f>
        <v>-16479471436</v>
      </c>
      <c r="AI1392" s="48" t="n">
        <f aca="false">IF($U1392&gt;=STRUCT_S,MAX(INDEX($G$1242:$G1392,152-STRUCT_S):$G1392),"")</f>
        <v>1537</v>
      </c>
      <c r="AJ1392" s="48" t="n">
        <f aca="false">IF($U1392&gt;=STRUCT_S,MIN(INDEX($H$1242:$H1392,152-STRUCT_S):$H1392),"")</f>
        <v>1355</v>
      </c>
      <c r="AK1392" s="48" t="n">
        <f aca="false">IF($U1392&gt;=STRUCT_L,MAX(INDEX($G$1142:$G1392,252-STRUCT_L):$G1392),"")</f>
        <v>1676</v>
      </c>
      <c r="AL1392" s="48" t="n">
        <f aca="false">IF($U1392&gt;=STRUCT_L,MIN(INDEX($H$1142:$H1392,252-STRUCT_L):$H1392),"")</f>
        <v>1355</v>
      </c>
      <c r="AM1392" s="46" t="n">
        <f aca="false">IF($A1392&lt;&gt;$A1393,1,0)</f>
        <v>0</v>
      </c>
      <c r="AN1392" s="47" t="str">
        <f aca="false">IF($AM1392=1,$A1392,"")</f>
        <v/>
      </c>
    </row>
    <row r="1393" customFormat="false" ht="15" hidden="false" customHeight="false" outlineLevel="0" collapsed="false">
      <c r="A1393" s="43" t="s">
        <v>157</v>
      </c>
      <c r="B1393" s="44" t="s">
        <v>159</v>
      </c>
      <c r="C1393" s="45" t="n">
        <v>46028</v>
      </c>
      <c r="D1393" s="46" t="n">
        <v>20260106</v>
      </c>
      <c r="E1393" s="47" t="s">
        <v>376</v>
      </c>
      <c r="F1393" s="48" t="n">
        <v>1348</v>
      </c>
      <c r="G1393" s="48" t="n">
        <v>1398</v>
      </c>
      <c r="H1393" s="48" t="n">
        <v>1320</v>
      </c>
      <c r="I1393" s="48" t="n">
        <v>1330</v>
      </c>
      <c r="J1393" s="48" t="n">
        <v>1346</v>
      </c>
      <c r="K1393" s="48" t="n">
        <v>1387</v>
      </c>
      <c r="L1393" s="48" t="n">
        <v>84593589</v>
      </c>
      <c r="M1393" s="48" t="n">
        <v>112509473370</v>
      </c>
      <c r="N1393" s="48" t="n">
        <v>5820</v>
      </c>
      <c r="O1393" s="48" t="n">
        <v>28913987</v>
      </c>
      <c r="P1393" s="48" t="n">
        <v>58224621</v>
      </c>
      <c r="Q1393" s="48" t="n">
        <v>2841</v>
      </c>
      <c r="R1393" s="48" t="n">
        <v>2511</v>
      </c>
      <c r="S1393" s="48" t="n">
        <v>55679602</v>
      </c>
      <c r="T1393" s="48" t="n">
        <v>26368968</v>
      </c>
      <c r="U1393" s="46" t="n">
        <f aca="false">IF($A1393=$A1392,$U1392+1,1)</f>
        <v>89</v>
      </c>
      <c r="V1393" s="48" t="n">
        <f aca="false">IF($U1393&gt;=MA_SHORT,AVERAGE(INDEX($I$993:$I1393,402-MA_SHORT):$I1393),"")</f>
        <v>1440.75</v>
      </c>
      <c r="W1393" s="48" t="n">
        <f aca="false">IF($U1393&gt;=MA_MED,AVERAGE(INDEX($I$993:$I1393,402-MA_MED):$I1393),"")</f>
        <v>1502.58</v>
      </c>
      <c r="X1393" s="48" t="str">
        <f aca="false">IF($U1393&gt;=MA_LONG1,AVERAGE(INDEX($I$993:$I1393,402-MA_LONG1):$I1393),"")</f>
        <v/>
      </c>
      <c r="Y1393" s="48" t="str">
        <f aca="false">IF($U1393&gt;=MA_LONG2,AVERAGE(INDEX($I$993:$I1393,402-MA_LONG2):$I1393),"")</f>
        <v/>
      </c>
      <c r="Z1393" s="48" t="n">
        <f aca="false">IF($U1393&gt;=MA_SHORT,AVERAGE(INDEX($L$1273:$L1393,122-MA_SHORT):$L1393),"")</f>
        <v>87399645.7</v>
      </c>
      <c r="AA1393" s="48" t="n">
        <f aca="false">IF($U1393=1,$G1393-$H1393,MAX($G1393-$H1393,ABS($G1393-$I1392),ABS($H1393-$I1392)))</f>
        <v>78</v>
      </c>
      <c r="AB1393" s="48" t="n">
        <f aca="false">IF($U1393&gt;=ATR_PER,AVERAGE(INDEX($AA$1273:$AA1393,122-ATR_PER):$AA1393),"")</f>
        <v>62.7142857142857</v>
      </c>
      <c r="AC1393" s="48" t="n">
        <f aca="false">$O1393-$P1393</f>
        <v>-29310634</v>
      </c>
      <c r="AD1393" s="48" t="n">
        <f aca="false">$AC1393*$I1393</f>
        <v>-38983143220</v>
      </c>
      <c r="AE1393" s="49" t="n">
        <f aca="false">IF($Q1393&gt;0,$O1393*$I1393/$Q1393/1000000,"")</f>
        <v>13.5359390038719</v>
      </c>
      <c r="AF1393" s="49" t="n">
        <f aca="false">IF($R1393&gt;0,$P1393*$I1393/$R1393/1000000,"")</f>
        <v>30.8398032377539</v>
      </c>
      <c r="AG1393" s="50" t="n">
        <f aca="false">IF(AND(ISNUMBER($AE1393),ISNUMBER($AF1393),$AF1393&gt;0),$AE1393/$AF1393,"")</f>
        <v>0.438911328309036</v>
      </c>
      <c r="AH1393" s="48" t="n">
        <f aca="false">IF($U1393&gt;=5,SUM(INDEX($AD$1363:$AD1393,32-5):$AD1393),"")</f>
        <v>-97751917712</v>
      </c>
      <c r="AI1393" s="48" t="n">
        <f aca="false">IF($U1393&gt;=STRUCT_S,MAX(INDEX($G$1243:$G1393,152-STRUCT_S):$G1393),"")</f>
        <v>1535</v>
      </c>
      <c r="AJ1393" s="48" t="n">
        <f aca="false">IF($U1393&gt;=STRUCT_S,MIN(INDEX($H$1243:$H1393,152-STRUCT_S):$H1393),"")</f>
        <v>1320</v>
      </c>
      <c r="AK1393" s="48" t="n">
        <f aca="false">IF($U1393&gt;=STRUCT_L,MAX(INDEX($G$1143:$G1393,252-STRUCT_L):$G1393),"")</f>
        <v>1676</v>
      </c>
      <c r="AL1393" s="48" t="n">
        <f aca="false">IF($U1393&gt;=STRUCT_L,MIN(INDEX($H$1143:$H1393,252-STRUCT_L):$H1393),"")</f>
        <v>1320</v>
      </c>
      <c r="AM1393" s="46" t="n">
        <f aca="false">IF($A1393&lt;&gt;$A1394,1,0)</f>
        <v>0</v>
      </c>
      <c r="AN1393" s="47" t="str">
        <f aca="false">IF($AM1393=1,$A1393,"")</f>
        <v/>
      </c>
    </row>
    <row r="1394" customFormat="false" ht="15" hidden="false" customHeight="false" outlineLevel="0" collapsed="false">
      <c r="A1394" s="43" t="s">
        <v>157</v>
      </c>
      <c r="B1394" s="44" t="s">
        <v>159</v>
      </c>
      <c r="C1394" s="45" t="n">
        <v>46029</v>
      </c>
      <c r="D1394" s="46" t="n">
        <v>20260107</v>
      </c>
      <c r="E1394" s="47" t="s">
        <v>377</v>
      </c>
      <c r="F1394" s="48" t="n">
        <v>1356</v>
      </c>
      <c r="G1394" s="48" t="n">
        <v>1358</v>
      </c>
      <c r="H1394" s="48" t="n">
        <v>1322</v>
      </c>
      <c r="I1394" s="48" t="n">
        <v>1350</v>
      </c>
      <c r="J1394" s="48" t="n">
        <v>1342</v>
      </c>
      <c r="K1394" s="48" t="n">
        <v>1330</v>
      </c>
      <c r="L1394" s="48" t="n">
        <v>100418629</v>
      </c>
      <c r="M1394" s="48" t="n">
        <v>135565149150</v>
      </c>
      <c r="N1394" s="48" t="n">
        <v>2323</v>
      </c>
      <c r="O1394" s="48" t="n">
        <v>59176037</v>
      </c>
      <c r="P1394" s="48" t="n">
        <v>40111529</v>
      </c>
      <c r="Q1394" s="48" t="n">
        <v>1082</v>
      </c>
      <c r="R1394" s="48" t="n">
        <v>1104</v>
      </c>
      <c r="S1394" s="48" t="n">
        <v>41242592</v>
      </c>
      <c r="T1394" s="48" t="n">
        <v>60307100</v>
      </c>
      <c r="U1394" s="46" t="n">
        <f aca="false">IF($A1394=$A1393,$U1393+1,1)</f>
        <v>90</v>
      </c>
      <c r="V1394" s="48" t="n">
        <f aca="false">IF($U1394&gt;=MA_SHORT,AVERAGE(INDEX($I$994:$I1394,402-MA_SHORT):$I1394),"")</f>
        <v>1435.15</v>
      </c>
      <c r="W1394" s="48" t="n">
        <f aca="false">IF($U1394&gt;=MA_MED,AVERAGE(INDEX($I$994:$I1394,402-MA_MED):$I1394),"")</f>
        <v>1499.24</v>
      </c>
      <c r="X1394" s="48" t="str">
        <f aca="false">IF($U1394&gt;=MA_LONG1,AVERAGE(INDEX($I$994:$I1394,402-MA_LONG1):$I1394),"")</f>
        <v/>
      </c>
      <c r="Y1394" s="48" t="str">
        <f aca="false">IF($U1394&gt;=MA_LONG2,AVERAGE(INDEX($I$994:$I1394,402-MA_LONG2):$I1394),"")</f>
        <v/>
      </c>
      <c r="Z1394" s="48" t="n">
        <f aca="false">IF($U1394&gt;=MA_SHORT,AVERAGE(INDEX($L$1274:$L1394,122-MA_SHORT):$L1394),"")</f>
        <v>88604828.05</v>
      </c>
      <c r="AA1394" s="48" t="n">
        <f aca="false">IF($U1394=1,$G1394-$H1394,MAX($G1394-$H1394,ABS($G1394-$I1393),ABS($H1394-$I1393)))</f>
        <v>36</v>
      </c>
      <c r="AB1394" s="48" t="n">
        <f aca="false">IF($U1394&gt;=ATR_PER,AVERAGE(INDEX($AA$1274:$AA1394,122-ATR_PER):$AA1394),"")</f>
        <v>61.4285714285714</v>
      </c>
      <c r="AC1394" s="48" t="n">
        <f aca="false">$O1394-$P1394</f>
        <v>19064508</v>
      </c>
      <c r="AD1394" s="48" t="n">
        <f aca="false">$AC1394*$I1394</f>
        <v>25737085800</v>
      </c>
      <c r="AE1394" s="49" t="n">
        <f aca="false">IF($Q1394&gt;0,$O1394*$I1394/$Q1394/1000000,"")</f>
        <v>73.833317883549</v>
      </c>
      <c r="AF1394" s="49" t="n">
        <f aca="false">IF($R1394&gt;0,$P1394*$I1394/$R1394/1000000,"")</f>
        <v>49.049424048913</v>
      </c>
      <c r="AG1394" s="50" t="n">
        <f aca="false">IF(AND(ISNUMBER($AE1394),ISNUMBER($AF1394),$AF1394&gt;0),$AE1394/$AF1394,"")</f>
        <v>1.50528409487379</v>
      </c>
      <c r="AH1394" s="48" t="n">
        <f aca="false">IF($U1394&gt;=5,SUM(INDEX($AD$1364:$AD1394,32-5):$AD1394),"")</f>
        <v>-2827922354</v>
      </c>
      <c r="AI1394" s="48" t="n">
        <f aca="false">IF($U1394&gt;=STRUCT_S,MAX(INDEX($G$1244:$G1394,152-STRUCT_S):$G1394),"")</f>
        <v>1535</v>
      </c>
      <c r="AJ1394" s="48" t="n">
        <f aca="false">IF($U1394&gt;=STRUCT_S,MIN(INDEX($H$1244:$H1394,152-STRUCT_S):$H1394),"")</f>
        <v>1320</v>
      </c>
      <c r="AK1394" s="48" t="n">
        <f aca="false">IF($U1394&gt;=STRUCT_L,MAX(INDEX($G$1144:$G1394,252-STRUCT_L):$G1394),"")</f>
        <v>1676</v>
      </c>
      <c r="AL1394" s="48" t="n">
        <f aca="false">IF($U1394&gt;=STRUCT_L,MIN(INDEX($H$1144:$H1394,252-STRUCT_L):$H1394),"")</f>
        <v>1320</v>
      </c>
      <c r="AM1394" s="46" t="n">
        <f aca="false">IF($A1394&lt;&gt;$A1395,1,0)</f>
        <v>0</v>
      </c>
      <c r="AN1394" s="47" t="str">
        <f aca="false">IF($AM1394=1,$A1394,"")</f>
        <v/>
      </c>
    </row>
    <row r="1395" customFormat="false" ht="15" hidden="false" customHeight="false" outlineLevel="0" collapsed="false">
      <c r="A1395" s="43" t="s">
        <v>157</v>
      </c>
      <c r="B1395" s="44" t="s">
        <v>159</v>
      </c>
      <c r="C1395" s="45" t="n">
        <v>46032</v>
      </c>
      <c r="D1395" s="46" t="n">
        <v>20260110</v>
      </c>
      <c r="E1395" s="47" t="s">
        <v>378</v>
      </c>
      <c r="F1395" s="48" t="n">
        <v>1344</v>
      </c>
      <c r="G1395" s="48" t="n">
        <v>1367</v>
      </c>
      <c r="H1395" s="48" t="n">
        <v>1328</v>
      </c>
      <c r="I1395" s="48" t="n">
        <v>1345</v>
      </c>
      <c r="J1395" s="48" t="n">
        <v>1348</v>
      </c>
      <c r="K1395" s="48" t="n">
        <v>1350</v>
      </c>
      <c r="L1395" s="48" t="n">
        <v>69368809</v>
      </c>
      <c r="M1395" s="48" t="n">
        <v>93301048105</v>
      </c>
      <c r="N1395" s="48" t="n">
        <v>1566</v>
      </c>
      <c r="O1395" s="48" t="n">
        <v>34896099</v>
      </c>
      <c r="P1395" s="48" t="n">
        <v>32987049</v>
      </c>
      <c r="Q1395" s="48" t="n">
        <v>490</v>
      </c>
      <c r="R1395" s="48" t="n">
        <v>768</v>
      </c>
      <c r="S1395" s="48" t="n">
        <v>34472710</v>
      </c>
      <c r="T1395" s="48" t="n">
        <v>36381760</v>
      </c>
      <c r="U1395" s="46" t="n">
        <f aca="false">IF($A1395=$A1394,$U1394+1,1)</f>
        <v>91</v>
      </c>
      <c r="V1395" s="48" t="n">
        <f aca="false">IF($U1395&gt;=MA_SHORT,AVERAGE(INDEX($I$995:$I1395,402-MA_SHORT):$I1395),"")</f>
        <v>1428</v>
      </c>
      <c r="W1395" s="48" t="n">
        <f aca="false">IF($U1395&gt;=MA_MED,AVERAGE(INDEX($I$995:$I1395,402-MA_MED):$I1395),"")</f>
        <v>1496.12</v>
      </c>
      <c r="X1395" s="48" t="str">
        <f aca="false">IF($U1395&gt;=MA_LONG1,AVERAGE(INDEX($I$995:$I1395,402-MA_LONG1):$I1395),"")</f>
        <v/>
      </c>
      <c r="Y1395" s="48" t="str">
        <f aca="false">IF($U1395&gt;=MA_LONG2,AVERAGE(INDEX($I$995:$I1395,402-MA_LONG2):$I1395),"")</f>
        <v/>
      </c>
      <c r="Z1395" s="48" t="n">
        <f aca="false">IF($U1395&gt;=MA_SHORT,AVERAGE(INDEX($L$1275:$L1395,122-MA_SHORT):$L1395),"")</f>
        <v>85344918.7</v>
      </c>
      <c r="AA1395" s="48" t="n">
        <f aca="false">IF($U1395=1,$G1395-$H1395,MAX($G1395-$H1395,ABS($G1395-$I1394),ABS($H1395-$I1394)))</f>
        <v>39</v>
      </c>
      <c r="AB1395" s="48" t="n">
        <f aca="false">IF($U1395&gt;=ATR_PER,AVERAGE(INDEX($AA$1275:$AA1395,122-ATR_PER):$AA1395),"")</f>
        <v>58.0714285714286</v>
      </c>
      <c r="AC1395" s="48" t="n">
        <f aca="false">$O1395-$P1395</f>
        <v>1909050</v>
      </c>
      <c r="AD1395" s="48" t="n">
        <f aca="false">$AC1395*$I1395</f>
        <v>2567672250</v>
      </c>
      <c r="AE1395" s="49" t="n">
        <f aca="false">IF($Q1395&gt;0,$O1395*$I1395/$Q1395/1000000,"")</f>
        <v>95.7862309285714</v>
      </c>
      <c r="AF1395" s="49" t="n">
        <f aca="false">IF($R1395&gt;0,$P1395*$I1395/$R1395/1000000,"")</f>
        <v>57.7702876367188</v>
      </c>
      <c r="AG1395" s="50" t="n">
        <f aca="false">IF(AND(ISNUMBER($AE1395),ISNUMBER($AF1395),$AF1395&gt;0),$AE1395/$AF1395,"")</f>
        <v>1.65805355740846</v>
      </c>
      <c r="AH1395" s="48" t="n">
        <f aca="false">IF($U1395&gt;=5,SUM(INDEX($AD$1365:$AD1395,32-5):$AD1395),"")</f>
        <v>-17107212060</v>
      </c>
      <c r="AI1395" s="48" t="n">
        <f aca="false">IF($U1395&gt;=STRUCT_S,MAX(INDEX($G$1245:$G1395,152-STRUCT_S):$G1395),"")</f>
        <v>1535</v>
      </c>
      <c r="AJ1395" s="48" t="n">
        <f aca="false">IF($U1395&gt;=STRUCT_S,MIN(INDEX($H$1245:$H1395,152-STRUCT_S):$H1395),"")</f>
        <v>1320</v>
      </c>
      <c r="AK1395" s="48" t="n">
        <f aca="false">IF($U1395&gt;=STRUCT_L,MAX(INDEX($G$1145:$G1395,252-STRUCT_L):$G1395),"")</f>
        <v>1676</v>
      </c>
      <c r="AL1395" s="48" t="n">
        <f aca="false">IF($U1395&gt;=STRUCT_L,MIN(INDEX($H$1145:$H1395,252-STRUCT_L):$H1395),"")</f>
        <v>1320</v>
      </c>
      <c r="AM1395" s="46" t="n">
        <f aca="false">IF($A1395&lt;&gt;$A1396,1,0)</f>
        <v>0</v>
      </c>
      <c r="AN1395" s="47" t="str">
        <f aca="false">IF($AM1395=1,$A1395,"")</f>
        <v/>
      </c>
    </row>
    <row r="1396" customFormat="false" ht="15" hidden="false" customHeight="false" outlineLevel="0" collapsed="false">
      <c r="A1396" s="43" t="s">
        <v>157</v>
      </c>
      <c r="B1396" s="44" t="s">
        <v>159</v>
      </c>
      <c r="C1396" s="45" t="n">
        <v>46033</v>
      </c>
      <c r="D1396" s="46" t="n">
        <v>20260111</v>
      </c>
      <c r="E1396" s="47" t="s">
        <v>379</v>
      </c>
      <c r="F1396" s="48" t="n">
        <v>1374</v>
      </c>
      <c r="G1396" s="48" t="n">
        <v>1394</v>
      </c>
      <c r="H1396" s="48" t="n">
        <v>1336</v>
      </c>
      <c r="I1396" s="48" t="n">
        <v>1385</v>
      </c>
      <c r="J1396" s="48" t="n">
        <v>1375</v>
      </c>
      <c r="K1396" s="48" t="n">
        <v>1345</v>
      </c>
      <c r="L1396" s="48" t="n">
        <v>79969780</v>
      </c>
      <c r="M1396" s="48" t="n">
        <v>110758145300</v>
      </c>
      <c r="N1396" s="48" t="n">
        <v>2594</v>
      </c>
      <c r="O1396" s="48" t="n">
        <v>50196126</v>
      </c>
      <c r="P1396" s="48" t="n">
        <v>26746587</v>
      </c>
      <c r="Q1396" s="48" t="n">
        <v>981</v>
      </c>
      <c r="R1396" s="48" t="n">
        <v>1344</v>
      </c>
      <c r="S1396" s="48" t="n">
        <v>29773654</v>
      </c>
      <c r="T1396" s="48" t="n">
        <v>53223193</v>
      </c>
      <c r="U1396" s="46" t="n">
        <f aca="false">IF($A1396=$A1395,$U1395+1,1)</f>
        <v>92</v>
      </c>
      <c r="V1396" s="48" t="n">
        <f aca="false">IF($U1396&gt;=MA_SHORT,AVERAGE(INDEX($I$996:$I1396,402-MA_SHORT):$I1396),"")</f>
        <v>1424.6</v>
      </c>
      <c r="W1396" s="48" t="n">
        <f aca="false">IF($U1396&gt;=MA_MED,AVERAGE(INDEX($I$996:$I1396,402-MA_MED):$I1396),"")</f>
        <v>1494.36</v>
      </c>
      <c r="X1396" s="48" t="str">
        <f aca="false">IF($U1396&gt;=MA_LONG1,AVERAGE(INDEX($I$996:$I1396,402-MA_LONG1):$I1396),"")</f>
        <v/>
      </c>
      <c r="Y1396" s="48" t="str">
        <f aca="false">IF($U1396&gt;=MA_LONG2,AVERAGE(INDEX($I$996:$I1396,402-MA_LONG2):$I1396),"")</f>
        <v/>
      </c>
      <c r="Z1396" s="48" t="n">
        <f aca="false">IF($U1396&gt;=MA_SHORT,AVERAGE(INDEX($L$1276:$L1396,122-MA_SHORT):$L1396),"")</f>
        <v>85471511.75</v>
      </c>
      <c r="AA1396" s="48" t="n">
        <f aca="false">IF($U1396=1,$G1396-$H1396,MAX($G1396-$H1396,ABS($G1396-$I1395),ABS($H1396-$I1395)))</f>
        <v>58</v>
      </c>
      <c r="AB1396" s="48" t="n">
        <f aca="false">IF($U1396&gt;=ATR_PER,AVERAGE(INDEX($AA$1276:$AA1396,122-ATR_PER):$AA1396),"")</f>
        <v>55.5714285714286</v>
      </c>
      <c r="AC1396" s="48" t="n">
        <f aca="false">$O1396-$P1396</f>
        <v>23449539</v>
      </c>
      <c r="AD1396" s="48" t="n">
        <f aca="false">$AC1396*$I1396</f>
        <v>32477611515</v>
      </c>
      <c r="AE1396" s="49" t="n">
        <f aca="false">IF($Q1396&gt;0,$O1396*$I1396/$Q1396/1000000,"")</f>
        <v>70.8681289602447</v>
      </c>
      <c r="AF1396" s="49" t="n">
        <f aca="false">IF($R1396&gt;0,$P1396*$I1396/$R1396/1000000,"")</f>
        <v>27.562517109375</v>
      </c>
      <c r="AG1396" s="50" t="n">
        <f aca="false">IF(AND(ISNUMBER($AE1396),ISNUMBER($AF1396),$AF1396&gt;0),$AE1396/$AF1396,"")</f>
        <v>2.57117768595017</v>
      </c>
      <c r="AH1396" s="48" t="n">
        <f aca="false">IF($U1396&gt;=5,SUM(INDEX($AD$1366:$AD1396,32-5):$AD1396),"")</f>
        <v>12685672380</v>
      </c>
      <c r="AI1396" s="48" t="n">
        <f aca="false">IF($U1396&gt;=STRUCT_S,MAX(INDEX($G$1246:$G1396,152-STRUCT_S):$G1396),"")</f>
        <v>1535</v>
      </c>
      <c r="AJ1396" s="48" t="n">
        <f aca="false">IF($U1396&gt;=STRUCT_S,MIN(INDEX($H$1246:$H1396,152-STRUCT_S):$H1396),"")</f>
        <v>1320</v>
      </c>
      <c r="AK1396" s="48" t="n">
        <f aca="false">IF($U1396&gt;=STRUCT_L,MAX(INDEX($G$1146:$G1396,252-STRUCT_L):$G1396),"")</f>
        <v>1676</v>
      </c>
      <c r="AL1396" s="48" t="n">
        <f aca="false">IF($U1396&gt;=STRUCT_L,MIN(INDEX($H$1146:$H1396,252-STRUCT_L):$H1396),"")</f>
        <v>1320</v>
      </c>
      <c r="AM1396" s="46" t="n">
        <f aca="false">IF($A1396&lt;&gt;$A1397,1,0)</f>
        <v>0</v>
      </c>
      <c r="AN1396" s="47" t="str">
        <f aca="false">IF($AM1396=1,$A1396,"")</f>
        <v/>
      </c>
    </row>
    <row r="1397" customFormat="false" ht="15" hidden="false" customHeight="false" outlineLevel="0" collapsed="false">
      <c r="A1397" s="43" t="s">
        <v>157</v>
      </c>
      <c r="B1397" s="44" t="s">
        <v>159</v>
      </c>
      <c r="C1397" s="45" t="n">
        <v>46034</v>
      </c>
      <c r="D1397" s="46" t="n">
        <v>20260112</v>
      </c>
      <c r="E1397" s="47" t="s">
        <v>380</v>
      </c>
      <c r="F1397" s="48" t="n">
        <v>1384</v>
      </c>
      <c r="G1397" s="48" t="n">
        <v>1391</v>
      </c>
      <c r="H1397" s="48" t="n">
        <v>1371</v>
      </c>
      <c r="I1397" s="48" t="n">
        <v>1377</v>
      </c>
      <c r="J1397" s="48" t="n">
        <v>1390</v>
      </c>
      <c r="K1397" s="48" t="n">
        <v>1385</v>
      </c>
      <c r="L1397" s="48" t="n">
        <v>70212645</v>
      </c>
      <c r="M1397" s="48" t="n">
        <v>96682812165</v>
      </c>
      <c r="N1397" s="48" t="n">
        <v>3707</v>
      </c>
      <c r="O1397" s="48" t="n">
        <v>38864127</v>
      </c>
      <c r="P1397" s="48" t="n">
        <v>29733465</v>
      </c>
      <c r="Q1397" s="48" t="n">
        <v>1414</v>
      </c>
      <c r="R1397" s="48" t="n">
        <v>1923</v>
      </c>
      <c r="S1397" s="48" t="n">
        <v>31348518</v>
      </c>
      <c r="T1397" s="48" t="n">
        <v>40479180</v>
      </c>
      <c r="U1397" s="46" t="n">
        <f aca="false">IF($A1397=$A1396,$U1396+1,1)</f>
        <v>93</v>
      </c>
      <c r="V1397" s="48" t="n">
        <f aca="false">IF($U1397&gt;=MA_SHORT,AVERAGE(INDEX($I$997:$I1397,402-MA_SHORT):$I1397),"")</f>
        <v>1421.1</v>
      </c>
      <c r="W1397" s="48" t="n">
        <f aca="false">IF($U1397&gt;=MA_MED,AVERAGE(INDEX($I$997:$I1397,402-MA_MED):$I1397),"")</f>
        <v>1492.44</v>
      </c>
      <c r="X1397" s="48" t="str">
        <f aca="false">IF($U1397&gt;=MA_LONG1,AVERAGE(INDEX($I$997:$I1397,402-MA_LONG1):$I1397),"")</f>
        <v/>
      </c>
      <c r="Y1397" s="48" t="str">
        <f aca="false">IF($U1397&gt;=MA_LONG2,AVERAGE(INDEX($I$997:$I1397,402-MA_LONG2):$I1397),"")</f>
        <v/>
      </c>
      <c r="Z1397" s="48" t="n">
        <f aca="false">IF($U1397&gt;=MA_SHORT,AVERAGE(INDEX($L$1277:$L1397,122-MA_SHORT):$L1397),"")</f>
        <v>85505037.4</v>
      </c>
      <c r="AA1397" s="48" t="n">
        <f aca="false">IF($U1397=1,$G1397-$H1397,MAX($G1397-$H1397,ABS($G1397-$I1396),ABS($H1397-$I1396)))</f>
        <v>20</v>
      </c>
      <c r="AB1397" s="48" t="n">
        <f aca="false">IF($U1397&gt;=ATR_PER,AVERAGE(INDEX($AA$1277:$AA1397,122-ATR_PER):$AA1397),"")</f>
        <v>52.7142857142857</v>
      </c>
      <c r="AC1397" s="48" t="n">
        <f aca="false">$O1397-$P1397</f>
        <v>9130662</v>
      </c>
      <c r="AD1397" s="48" t="n">
        <f aca="false">$AC1397*$I1397</f>
        <v>12572921574</v>
      </c>
      <c r="AE1397" s="49" t="n">
        <f aca="false">IF($Q1397&gt;0,$O1397*$I1397/$Q1397/1000000,"")</f>
        <v>37.8471731817539</v>
      </c>
      <c r="AF1397" s="49" t="n">
        <f aca="false">IF($R1397&gt;0,$P1397*$I1397/$R1397/1000000,"")</f>
        <v>21.2912019266771</v>
      </c>
      <c r="AG1397" s="50" t="n">
        <f aca="false">IF(AND(ISNUMBER($AE1397),ISNUMBER($AF1397),$AF1397&gt;0),$AE1397/$AF1397,"")</f>
        <v>1.77759683610594</v>
      </c>
      <c r="AH1397" s="48" t="n">
        <f aca="false">IF($U1397&gt;=5,SUM(INDEX($AD$1367:$AD1397,32-5):$AD1397),"")</f>
        <v>34372147919</v>
      </c>
      <c r="AI1397" s="48" t="n">
        <f aca="false">IF($U1397&gt;=STRUCT_S,MAX(INDEX($G$1247:$G1397,152-STRUCT_S):$G1397),"")</f>
        <v>1535</v>
      </c>
      <c r="AJ1397" s="48" t="n">
        <f aca="false">IF($U1397&gt;=STRUCT_S,MIN(INDEX($H$1247:$H1397,152-STRUCT_S):$H1397),"")</f>
        <v>1320</v>
      </c>
      <c r="AK1397" s="48" t="n">
        <f aca="false">IF($U1397&gt;=STRUCT_L,MAX(INDEX($G$1147:$G1397,252-STRUCT_L):$G1397),"")</f>
        <v>1676</v>
      </c>
      <c r="AL1397" s="48" t="n">
        <f aca="false">IF($U1397&gt;=STRUCT_L,MIN(INDEX($H$1147:$H1397,252-STRUCT_L):$H1397),"")</f>
        <v>1320</v>
      </c>
      <c r="AM1397" s="46" t="n">
        <f aca="false">IF($A1397&lt;&gt;$A1398,1,0)</f>
        <v>0</v>
      </c>
      <c r="AN1397" s="47" t="str">
        <f aca="false">IF($AM1397=1,$A1397,"")</f>
        <v/>
      </c>
    </row>
    <row r="1398" customFormat="false" ht="15" hidden="false" customHeight="false" outlineLevel="0" collapsed="false">
      <c r="A1398" s="43" t="s">
        <v>157</v>
      </c>
      <c r="B1398" s="44" t="s">
        <v>159</v>
      </c>
      <c r="C1398" s="45" t="n">
        <v>46035</v>
      </c>
      <c r="D1398" s="46" t="n">
        <v>20260113</v>
      </c>
      <c r="E1398" s="47" t="s">
        <v>381</v>
      </c>
      <c r="F1398" s="48" t="n">
        <v>1342</v>
      </c>
      <c r="G1398" s="48" t="n">
        <v>1415</v>
      </c>
      <c r="H1398" s="48" t="n">
        <v>1332</v>
      </c>
      <c r="I1398" s="48" t="n">
        <v>1370</v>
      </c>
      <c r="J1398" s="48" t="n">
        <v>1399</v>
      </c>
      <c r="K1398" s="48" t="n">
        <v>1377</v>
      </c>
      <c r="L1398" s="48" t="n">
        <v>87028333</v>
      </c>
      <c r="M1398" s="48" t="n">
        <v>119228816210</v>
      </c>
      <c r="N1398" s="48" t="n">
        <v>3672</v>
      </c>
      <c r="O1398" s="48" t="n">
        <v>38966460</v>
      </c>
      <c r="P1398" s="48" t="n">
        <v>49193205</v>
      </c>
      <c r="Q1398" s="48" t="n">
        <v>1753</v>
      </c>
      <c r="R1398" s="48" t="n">
        <v>1942</v>
      </c>
      <c r="S1398" s="48" t="n">
        <v>48061873</v>
      </c>
      <c r="T1398" s="48" t="n">
        <v>37835128</v>
      </c>
      <c r="U1398" s="46" t="n">
        <f aca="false">IF($A1398=$A1397,$U1397+1,1)</f>
        <v>94</v>
      </c>
      <c r="V1398" s="48" t="n">
        <f aca="false">IF($U1398&gt;=MA_SHORT,AVERAGE(INDEX($I$998:$I1398,402-MA_SHORT):$I1398),"")</f>
        <v>1417.3</v>
      </c>
      <c r="W1398" s="48" t="n">
        <f aca="false">IF($U1398&gt;=MA_MED,AVERAGE(INDEX($I$998:$I1398,402-MA_MED):$I1398),"")</f>
        <v>1489.54</v>
      </c>
      <c r="X1398" s="48" t="str">
        <f aca="false">IF($U1398&gt;=MA_LONG1,AVERAGE(INDEX($I$998:$I1398,402-MA_LONG1):$I1398),"")</f>
        <v/>
      </c>
      <c r="Y1398" s="48" t="str">
        <f aca="false">IF($U1398&gt;=MA_LONG2,AVERAGE(INDEX($I$998:$I1398,402-MA_LONG2):$I1398),"")</f>
        <v/>
      </c>
      <c r="Z1398" s="48" t="n">
        <f aca="false">IF($U1398&gt;=MA_SHORT,AVERAGE(INDEX($L$1278:$L1398,122-MA_SHORT):$L1398),"")</f>
        <v>86174847.9</v>
      </c>
      <c r="AA1398" s="48" t="n">
        <f aca="false">IF($U1398=1,$G1398-$H1398,MAX($G1398-$H1398,ABS($G1398-$I1397),ABS($H1398-$I1397)))</f>
        <v>83</v>
      </c>
      <c r="AB1398" s="48" t="n">
        <f aca="false">IF($U1398&gt;=ATR_PER,AVERAGE(INDEX($AA$1278:$AA1398,122-ATR_PER):$AA1398),"")</f>
        <v>55.5</v>
      </c>
      <c r="AC1398" s="48" t="n">
        <f aca="false">$O1398-$P1398</f>
        <v>-10226745</v>
      </c>
      <c r="AD1398" s="48" t="n">
        <f aca="false">$AC1398*$I1398</f>
        <v>-14010640650</v>
      </c>
      <c r="AE1398" s="49" t="n">
        <f aca="false">IF($Q1398&gt;0,$O1398*$I1398/$Q1398/1000000,"")</f>
        <v>30.4529664575014</v>
      </c>
      <c r="AF1398" s="49" t="n">
        <f aca="false">IF($R1398&gt;0,$P1398*$I1398/$R1398/1000000,"")</f>
        <v>34.703754299691</v>
      </c>
      <c r="AG1398" s="50" t="n">
        <f aca="false">IF(AND(ISNUMBER($AE1398),ISNUMBER($AF1398),$AF1398&gt;0),$AE1398/$AF1398,"")</f>
        <v>0.877512161782811</v>
      </c>
      <c r="AH1398" s="48" t="n">
        <f aca="false">IF($U1398&gt;=5,SUM(INDEX($AD$1368:$AD1398,32-5):$AD1398),"")</f>
        <v>59344650489</v>
      </c>
      <c r="AI1398" s="48" t="n">
        <f aca="false">IF($U1398&gt;=STRUCT_S,MAX(INDEX($G$1248:$G1398,152-STRUCT_S):$G1398),"")</f>
        <v>1535</v>
      </c>
      <c r="AJ1398" s="48" t="n">
        <f aca="false">IF($U1398&gt;=STRUCT_S,MIN(INDEX($H$1248:$H1398,152-STRUCT_S):$H1398),"")</f>
        <v>1320</v>
      </c>
      <c r="AK1398" s="48" t="n">
        <f aca="false">IF($U1398&gt;=STRUCT_L,MAX(INDEX($G$1148:$G1398,252-STRUCT_L):$G1398),"")</f>
        <v>1676</v>
      </c>
      <c r="AL1398" s="48" t="n">
        <f aca="false">IF($U1398&gt;=STRUCT_L,MIN(INDEX($H$1148:$H1398,252-STRUCT_L):$H1398),"")</f>
        <v>1320</v>
      </c>
      <c r="AM1398" s="46" t="n">
        <f aca="false">IF($A1398&lt;&gt;$A1399,1,0)</f>
        <v>0</v>
      </c>
      <c r="AN1398" s="47" t="str">
        <f aca="false">IF($AM1398=1,$A1398,"")</f>
        <v/>
      </c>
    </row>
    <row r="1399" customFormat="false" ht="15" hidden="false" customHeight="false" outlineLevel="0" collapsed="false">
      <c r="A1399" s="43" t="s">
        <v>157</v>
      </c>
      <c r="B1399" s="44" t="s">
        <v>159</v>
      </c>
      <c r="C1399" s="45" t="n">
        <v>46036</v>
      </c>
      <c r="D1399" s="46" t="n">
        <v>20260114</v>
      </c>
      <c r="E1399" s="47" t="s">
        <v>382</v>
      </c>
      <c r="F1399" s="48" t="n">
        <v>1365</v>
      </c>
      <c r="G1399" s="48" t="n">
        <v>1381</v>
      </c>
      <c r="H1399" s="48" t="n">
        <v>1363</v>
      </c>
      <c r="I1399" s="48" t="n">
        <v>1374</v>
      </c>
      <c r="J1399" s="48" t="n">
        <v>1372</v>
      </c>
      <c r="K1399" s="48" t="n">
        <v>1370</v>
      </c>
      <c r="L1399" s="48" t="n">
        <v>69049593</v>
      </c>
      <c r="M1399" s="48" t="n">
        <v>94874140782</v>
      </c>
      <c r="N1399" s="48" t="n">
        <v>1718</v>
      </c>
      <c r="O1399" s="48" t="n">
        <v>28759895</v>
      </c>
      <c r="P1399" s="48" t="n">
        <v>46150516</v>
      </c>
      <c r="Q1399" s="48" t="n">
        <v>718</v>
      </c>
      <c r="R1399" s="48" t="n">
        <v>653</v>
      </c>
      <c r="S1399" s="48" t="n">
        <v>40289698</v>
      </c>
      <c r="T1399" s="48" t="n">
        <v>22899077</v>
      </c>
      <c r="U1399" s="46" t="n">
        <f aca="false">IF($A1399=$A1398,$U1398+1,1)</f>
        <v>95</v>
      </c>
      <c r="V1399" s="48" t="n">
        <f aca="false">IF($U1399&gt;=MA_SHORT,AVERAGE(INDEX($I$999:$I1399,402-MA_SHORT):$I1399),"")</f>
        <v>1415.05</v>
      </c>
      <c r="W1399" s="48" t="n">
        <f aca="false">IF($U1399&gt;=MA_MED,AVERAGE(INDEX($I$999:$I1399,402-MA_MED):$I1399),"")</f>
        <v>1486.32</v>
      </c>
      <c r="X1399" s="48" t="str">
        <f aca="false">IF($U1399&gt;=MA_LONG1,AVERAGE(INDEX($I$999:$I1399,402-MA_LONG1):$I1399),"")</f>
        <v/>
      </c>
      <c r="Y1399" s="48" t="str">
        <f aca="false">IF($U1399&gt;=MA_LONG2,AVERAGE(INDEX($I$999:$I1399,402-MA_LONG2):$I1399),"")</f>
        <v/>
      </c>
      <c r="Z1399" s="48" t="n">
        <f aca="false">IF($U1399&gt;=MA_SHORT,AVERAGE(INDEX($L$1279:$L1399,122-MA_SHORT):$L1399),"")</f>
        <v>85854154.95</v>
      </c>
      <c r="AA1399" s="48" t="n">
        <f aca="false">IF($U1399=1,$G1399-$H1399,MAX($G1399-$H1399,ABS($G1399-$I1398),ABS($H1399-$I1398)))</f>
        <v>18</v>
      </c>
      <c r="AB1399" s="48" t="n">
        <f aca="false">IF($U1399&gt;=ATR_PER,AVERAGE(INDEX($AA$1279:$AA1399,122-ATR_PER):$AA1399),"")</f>
        <v>51.3571428571429</v>
      </c>
      <c r="AC1399" s="48" t="n">
        <f aca="false">$O1399-$P1399</f>
        <v>-17390621</v>
      </c>
      <c r="AD1399" s="48" t="n">
        <f aca="false">$AC1399*$I1399</f>
        <v>-23894713254</v>
      </c>
      <c r="AE1399" s="49" t="n">
        <f aca="false">IF($Q1399&gt;0,$O1399*$I1399/$Q1399/1000000,"")</f>
        <v>55.0363450278552</v>
      </c>
      <c r="AF1399" s="49" t="n">
        <f aca="false">IF($R1399&gt;0,$P1399*$I1399/$R1399/1000000,"")</f>
        <v>97.1069050290965</v>
      </c>
      <c r="AG1399" s="50" t="n">
        <f aca="false">IF(AND(ISNUMBER($AE1399),ISNUMBER($AF1399),$AF1399&gt;0),$AE1399/$AF1399,"")</f>
        <v>0.566760365922119</v>
      </c>
      <c r="AH1399" s="48" t="n">
        <f aca="false">IF($U1399&gt;=5,SUM(INDEX($AD$1369:$AD1399,32-5):$AD1399),"")</f>
        <v>9712851435</v>
      </c>
      <c r="AI1399" s="48" t="n">
        <f aca="false">IF($U1399&gt;=STRUCT_S,MAX(INDEX($G$1249:$G1399,152-STRUCT_S):$G1399),"")</f>
        <v>1535</v>
      </c>
      <c r="AJ1399" s="48" t="n">
        <f aca="false">IF($U1399&gt;=STRUCT_S,MIN(INDEX($H$1249:$H1399,152-STRUCT_S):$H1399),"")</f>
        <v>1320</v>
      </c>
      <c r="AK1399" s="48" t="n">
        <f aca="false">IF($U1399&gt;=STRUCT_L,MAX(INDEX($G$1149:$G1399,252-STRUCT_L):$G1399),"")</f>
        <v>1676</v>
      </c>
      <c r="AL1399" s="48" t="n">
        <f aca="false">IF($U1399&gt;=STRUCT_L,MIN(INDEX($H$1149:$H1399,252-STRUCT_L):$H1399),"")</f>
        <v>1320</v>
      </c>
      <c r="AM1399" s="46" t="n">
        <f aca="false">IF($A1399&lt;&gt;$A1400,1,0)</f>
        <v>0</v>
      </c>
      <c r="AN1399" s="47" t="str">
        <f aca="false">IF($AM1399=1,$A1399,"")</f>
        <v/>
      </c>
    </row>
    <row r="1400" customFormat="false" ht="15" hidden="false" customHeight="false" outlineLevel="0" collapsed="false">
      <c r="A1400" s="43" t="s">
        <v>157</v>
      </c>
      <c r="B1400" s="44" t="s">
        <v>159</v>
      </c>
      <c r="C1400" s="45" t="n">
        <v>46039</v>
      </c>
      <c r="D1400" s="46" t="n">
        <v>20260117</v>
      </c>
      <c r="E1400" s="47" t="s">
        <v>383</v>
      </c>
      <c r="F1400" s="48" t="n">
        <v>1383</v>
      </c>
      <c r="G1400" s="48" t="n">
        <v>1384</v>
      </c>
      <c r="H1400" s="48" t="n">
        <v>1325</v>
      </c>
      <c r="I1400" s="48" t="n">
        <v>1335</v>
      </c>
      <c r="J1400" s="48" t="n">
        <v>1328</v>
      </c>
      <c r="K1400" s="48" t="n">
        <v>1374</v>
      </c>
      <c r="L1400" s="48" t="n">
        <v>97170937</v>
      </c>
      <c r="M1400" s="48" t="n">
        <v>129723200895</v>
      </c>
      <c r="N1400" s="48" t="n">
        <v>6782</v>
      </c>
      <c r="O1400" s="48" t="n">
        <v>37076916</v>
      </c>
      <c r="P1400" s="48" t="n">
        <v>62338222</v>
      </c>
      <c r="Q1400" s="48" t="n">
        <v>2198</v>
      </c>
      <c r="R1400" s="48" t="n">
        <v>2887</v>
      </c>
      <c r="S1400" s="48" t="n">
        <v>60094021</v>
      </c>
      <c r="T1400" s="48" t="n">
        <v>34832715</v>
      </c>
      <c r="U1400" s="46" t="n">
        <f aca="false">IF($A1400=$A1399,$U1399+1,1)</f>
        <v>96</v>
      </c>
      <c r="V1400" s="48" t="n">
        <f aca="false">IF($U1400&gt;=MA_SHORT,AVERAGE(INDEX($I$1000:$I1400,402-MA_SHORT):$I1400),"")</f>
        <v>1410.95</v>
      </c>
      <c r="W1400" s="48" t="n">
        <f aca="false">IF($U1400&gt;=MA_MED,AVERAGE(INDEX($I$1000:$I1400,402-MA_MED):$I1400),"")</f>
        <v>1481.96</v>
      </c>
      <c r="X1400" s="48" t="str">
        <f aca="false">IF($U1400&gt;=MA_LONG1,AVERAGE(INDEX($I$1000:$I1400,402-MA_LONG1):$I1400),"")</f>
        <v/>
      </c>
      <c r="Y1400" s="48" t="str">
        <f aca="false">IF($U1400&gt;=MA_LONG2,AVERAGE(INDEX($I$1000:$I1400,402-MA_LONG2):$I1400),"")</f>
        <v/>
      </c>
      <c r="Z1400" s="48" t="n">
        <f aca="false">IF($U1400&gt;=MA_SHORT,AVERAGE(INDEX($L$1280:$L1400,122-MA_SHORT):$L1400),"")</f>
        <v>84543061.3</v>
      </c>
      <c r="AA1400" s="48" t="n">
        <f aca="false">IF($U1400=1,$G1400-$H1400,MAX($G1400-$H1400,ABS($G1400-$I1399),ABS($H1400-$I1399)))</f>
        <v>59</v>
      </c>
      <c r="AB1400" s="48" t="n">
        <f aca="false">IF($U1400&gt;=ATR_PER,AVERAGE(INDEX($AA$1280:$AA1400,122-ATR_PER):$AA1400),"")</f>
        <v>52.2857142857143</v>
      </c>
      <c r="AC1400" s="48" t="n">
        <f aca="false">$O1400-$P1400</f>
        <v>-25261306</v>
      </c>
      <c r="AD1400" s="48" t="n">
        <f aca="false">$AC1400*$I1400</f>
        <v>-33723843510</v>
      </c>
      <c r="AE1400" s="49" t="n">
        <f aca="false">IF($Q1400&gt;0,$O1400*$I1400/$Q1400/1000000,"")</f>
        <v>22.5194189535942</v>
      </c>
      <c r="AF1400" s="49" t="n">
        <f aca="false">IF($R1400&gt;0,$P1400*$I1400/$R1400/1000000,"")</f>
        <v>28.826299400762</v>
      </c>
      <c r="AG1400" s="50" t="n">
        <f aca="false">IF(AND(ISNUMBER($AE1400),ISNUMBER($AF1400),$AF1400&gt;0),$AE1400/$AF1400,"")</f>
        <v>0.781210888033685</v>
      </c>
      <c r="AH1400" s="48" t="n">
        <f aca="false">IF($U1400&gt;=5,SUM(INDEX($AD$1370:$AD1400,32-5):$AD1400),"")</f>
        <v>-26578664325</v>
      </c>
      <c r="AI1400" s="48" t="n">
        <f aca="false">IF($U1400&gt;=STRUCT_S,MAX(INDEX($G$1250:$G1400,152-STRUCT_S):$G1400),"")</f>
        <v>1535</v>
      </c>
      <c r="AJ1400" s="48" t="n">
        <f aca="false">IF($U1400&gt;=STRUCT_S,MIN(INDEX($H$1250:$H1400,152-STRUCT_S):$H1400),"")</f>
        <v>1320</v>
      </c>
      <c r="AK1400" s="48" t="n">
        <f aca="false">IF($U1400&gt;=STRUCT_L,MAX(INDEX($G$1150:$G1400,252-STRUCT_L):$G1400),"")</f>
        <v>1676</v>
      </c>
      <c r="AL1400" s="48" t="n">
        <f aca="false">IF($U1400&gt;=STRUCT_L,MIN(INDEX($H$1150:$H1400,252-STRUCT_L):$H1400),"")</f>
        <v>1320</v>
      </c>
      <c r="AM1400" s="46" t="n">
        <f aca="false">IF($A1400&lt;&gt;$A1401,1,0)</f>
        <v>0</v>
      </c>
      <c r="AN1400" s="47" t="str">
        <f aca="false">IF($AM1400=1,$A1400,"")</f>
        <v/>
      </c>
    </row>
    <row r="1401" customFormat="false" ht="15" hidden="false" customHeight="false" outlineLevel="0" collapsed="false">
      <c r="A1401" s="43" t="s">
        <v>157</v>
      </c>
      <c r="B1401" s="44" t="s">
        <v>159</v>
      </c>
      <c r="C1401" s="45" t="n">
        <v>46040</v>
      </c>
      <c r="D1401" s="46" t="n">
        <v>20260118</v>
      </c>
      <c r="E1401" s="47" t="s">
        <v>384</v>
      </c>
      <c r="F1401" s="48" t="n">
        <v>1331</v>
      </c>
      <c r="G1401" s="48" t="n">
        <v>1388</v>
      </c>
      <c r="H1401" s="48" t="n">
        <v>1309</v>
      </c>
      <c r="I1401" s="48" t="n">
        <v>1361</v>
      </c>
      <c r="J1401" s="48" t="n">
        <v>1311</v>
      </c>
      <c r="K1401" s="48" t="n">
        <v>1335</v>
      </c>
      <c r="L1401" s="48" t="n">
        <v>87186521</v>
      </c>
      <c r="M1401" s="48" t="n">
        <v>118660855081</v>
      </c>
      <c r="N1401" s="48" t="n">
        <v>3743</v>
      </c>
      <c r="O1401" s="48" t="n">
        <v>48397056</v>
      </c>
      <c r="P1401" s="48" t="n">
        <v>33976767</v>
      </c>
      <c r="Q1401" s="48" t="n">
        <v>1187</v>
      </c>
      <c r="R1401" s="48" t="n">
        <v>1379</v>
      </c>
      <c r="S1401" s="48" t="n">
        <v>38789465</v>
      </c>
      <c r="T1401" s="48" t="n">
        <v>53209754</v>
      </c>
      <c r="U1401" s="46" t="n">
        <f aca="false">IF($A1401=$A1400,$U1400+1,1)</f>
        <v>97</v>
      </c>
      <c r="V1401" s="48" t="n">
        <f aca="false">IF($U1401&gt;=MA_SHORT,AVERAGE(INDEX($I$1001:$I1401,402-MA_SHORT):$I1401),"")</f>
        <v>1407.2</v>
      </c>
      <c r="W1401" s="48" t="n">
        <f aca="false">IF($U1401&gt;=MA_MED,AVERAGE(INDEX($I$1001:$I1401,402-MA_MED):$I1401),"")</f>
        <v>1477.24</v>
      </c>
      <c r="X1401" s="48" t="str">
        <f aca="false">IF($U1401&gt;=MA_LONG1,AVERAGE(INDEX($I$1001:$I1401,402-MA_LONG1):$I1401),"")</f>
        <v/>
      </c>
      <c r="Y1401" s="48" t="str">
        <f aca="false">IF($U1401&gt;=MA_LONG2,AVERAGE(INDEX($I$1001:$I1401,402-MA_LONG2):$I1401),"")</f>
        <v/>
      </c>
      <c r="Z1401" s="48" t="n">
        <f aca="false">IF($U1401&gt;=MA_SHORT,AVERAGE(INDEX($L$1281:$L1401,122-MA_SHORT):$L1401),"")</f>
        <v>84839548.45</v>
      </c>
      <c r="AA1401" s="48" t="n">
        <f aca="false">IF($U1401=1,$G1401-$H1401,MAX($G1401-$H1401,ABS($G1401-$I1400),ABS($H1401-$I1400)))</f>
        <v>79</v>
      </c>
      <c r="AB1401" s="48" t="n">
        <f aca="false">IF($U1401&gt;=ATR_PER,AVERAGE(INDEX($AA$1281:$AA1401,122-ATR_PER):$AA1401),"")</f>
        <v>55.4285714285714</v>
      </c>
      <c r="AC1401" s="48" t="n">
        <f aca="false">$O1401-$P1401</f>
        <v>14420289</v>
      </c>
      <c r="AD1401" s="48" t="n">
        <f aca="false">$AC1401*$I1401</f>
        <v>19626013329</v>
      </c>
      <c r="AE1401" s="49" t="n">
        <f aca="false">IF($Q1401&gt;0,$O1401*$I1401/$Q1401/1000000,"")</f>
        <v>55.4914854389217</v>
      </c>
      <c r="AF1401" s="49" t="n">
        <f aca="false">IF($R1401&gt;0,$P1401*$I1401/$R1401/1000000,"")</f>
        <v>33.5332704039159</v>
      </c>
      <c r="AG1401" s="50" t="n">
        <f aca="false">IF(AND(ISNUMBER($AE1401),ISNUMBER($AF1401),$AF1401&gt;0),$AE1401/$AF1401,"")</f>
        <v>1.65481877462335</v>
      </c>
      <c r="AH1401" s="48" t="n">
        <f aca="false">IF($U1401&gt;=5,SUM(INDEX($AD$1371:$AD1401,32-5):$AD1401),"")</f>
        <v>-39430262511</v>
      </c>
      <c r="AI1401" s="48" t="n">
        <f aca="false">IF($U1401&gt;=STRUCT_S,MAX(INDEX($G$1251:$G1401,152-STRUCT_S):$G1401),"")</f>
        <v>1535</v>
      </c>
      <c r="AJ1401" s="48" t="n">
        <f aca="false">IF($U1401&gt;=STRUCT_S,MIN(INDEX($H$1251:$H1401,152-STRUCT_S):$H1401),"")</f>
        <v>1309</v>
      </c>
      <c r="AK1401" s="48" t="n">
        <f aca="false">IF($U1401&gt;=STRUCT_L,MAX(INDEX($G$1151:$G1401,252-STRUCT_L):$G1401),"")</f>
        <v>1676</v>
      </c>
      <c r="AL1401" s="48" t="n">
        <f aca="false">IF($U1401&gt;=STRUCT_L,MIN(INDEX($H$1151:$H1401,252-STRUCT_L):$H1401),"")</f>
        <v>1309</v>
      </c>
      <c r="AM1401" s="46" t="n">
        <f aca="false">IF($A1401&lt;&gt;$A1402,1,0)</f>
        <v>0</v>
      </c>
      <c r="AN1401" s="47" t="str">
        <f aca="false">IF($AM1401=1,$A1401,"")</f>
        <v/>
      </c>
    </row>
    <row r="1402" customFormat="false" ht="15" hidden="false" customHeight="false" outlineLevel="0" collapsed="false">
      <c r="A1402" s="43" t="s">
        <v>157</v>
      </c>
      <c r="B1402" s="44" t="s">
        <v>159</v>
      </c>
      <c r="C1402" s="45" t="n">
        <v>46041</v>
      </c>
      <c r="D1402" s="46" t="n">
        <v>20260119</v>
      </c>
      <c r="E1402" s="47" t="s">
        <v>385</v>
      </c>
      <c r="F1402" s="48" t="n">
        <v>1361</v>
      </c>
      <c r="G1402" s="48" t="n">
        <v>1380</v>
      </c>
      <c r="H1402" s="48" t="n">
        <v>1355</v>
      </c>
      <c r="I1402" s="48" t="n">
        <v>1374</v>
      </c>
      <c r="J1402" s="48" t="n">
        <v>1377</v>
      </c>
      <c r="K1402" s="48" t="n">
        <v>1361</v>
      </c>
      <c r="L1402" s="48" t="n">
        <v>108869577</v>
      </c>
      <c r="M1402" s="48" t="n">
        <v>149586798798</v>
      </c>
      <c r="N1402" s="48" t="n">
        <v>3465</v>
      </c>
      <c r="O1402" s="48" t="n">
        <v>59276678</v>
      </c>
      <c r="P1402" s="48" t="n">
        <v>48032253</v>
      </c>
      <c r="Q1402" s="48" t="n">
        <v>1840</v>
      </c>
      <c r="R1402" s="48" t="n">
        <v>1808</v>
      </c>
      <c r="S1402" s="48" t="n">
        <v>49592899</v>
      </c>
      <c r="T1402" s="48" t="n">
        <v>60837324</v>
      </c>
      <c r="U1402" s="46" t="n">
        <f aca="false">IF($A1402=$A1401,$U1401+1,1)</f>
        <v>98</v>
      </c>
      <c r="V1402" s="48" t="n">
        <f aca="false">IF($U1402&gt;=MA_SHORT,AVERAGE(INDEX($I$1002:$I1402,402-MA_SHORT):$I1402),"")</f>
        <v>1401.5</v>
      </c>
      <c r="W1402" s="48" t="n">
        <f aca="false">IF($U1402&gt;=MA_MED,AVERAGE(INDEX($I$1002:$I1402,402-MA_MED):$I1402),"")</f>
        <v>1471.98</v>
      </c>
      <c r="X1402" s="48" t="str">
        <f aca="false">IF($U1402&gt;=MA_LONG1,AVERAGE(INDEX($I$1002:$I1402,402-MA_LONG1):$I1402),"")</f>
        <v/>
      </c>
      <c r="Y1402" s="48" t="str">
        <f aca="false">IF($U1402&gt;=MA_LONG2,AVERAGE(INDEX($I$1002:$I1402,402-MA_LONG2):$I1402),"")</f>
        <v/>
      </c>
      <c r="Z1402" s="48" t="n">
        <f aca="false">IF($U1402&gt;=MA_SHORT,AVERAGE(INDEX($L$1282:$L1402,122-MA_SHORT):$L1402),"")</f>
        <v>85207907.3</v>
      </c>
      <c r="AA1402" s="48" t="n">
        <f aca="false">IF($U1402=1,$G1402-$H1402,MAX($G1402-$H1402,ABS($G1402-$I1401),ABS($H1402-$I1401)))</f>
        <v>25</v>
      </c>
      <c r="AB1402" s="48" t="n">
        <f aca="false">IF($U1402&gt;=ATR_PER,AVERAGE(INDEX($AA$1282:$AA1402,122-ATR_PER):$AA1402),"")</f>
        <v>53.6428571428571</v>
      </c>
      <c r="AC1402" s="48" t="n">
        <f aca="false">$O1402-$P1402</f>
        <v>11244425</v>
      </c>
      <c r="AD1402" s="48" t="n">
        <f aca="false">$AC1402*$I1402</f>
        <v>15449839950</v>
      </c>
      <c r="AE1402" s="49" t="n">
        <f aca="false">IF($Q1402&gt;0,$O1402*$I1402/$Q1402/1000000,"")</f>
        <v>44.2642149847826</v>
      </c>
      <c r="AF1402" s="49" t="n">
        <f aca="false">IF($R1402&gt;0,$P1402*$I1402/$R1402/1000000,"")</f>
        <v>36.5023869590708</v>
      </c>
      <c r="AG1402" s="50" t="n">
        <f aca="false">IF(AND(ISNUMBER($AE1402),ISNUMBER($AF1402),$AF1402&gt;0),$AE1402/$AF1402,"")</f>
        <v>1.21263891685809</v>
      </c>
      <c r="AH1402" s="48" t="n">
        <f aca="false">IF($U1402&gt;=5,SUM(INDEX($AD$1372:$AD1402,32-5):$AD1402),"")</f>
        <v>-36553344135</v>
      </c>
      <c r="AI1402" s="48" t="n">
        <f aca="false">IF($U1402&gt;=STRUCT_S,MAX(INDEX($G$1252:$G1402,152-STRUCT_S):$G1402),"")</f>
        <v>1535</v>
      </c>
      <c r="AJ1402" s="48" t="n">
        <f aca="false">IF($U1402&gt;=STRUCT_S,MIN(INDEX($H$1252:$H1402,152-STRUCT_S):$H1402),"")</f>
        <v>1309</v>
      </c>
      <c r="AK1402" s="48" t="n">
        <f aca="false">IF($U1402&gt;=STRUCT_L,MAX(INDEX($G$1152:$G1402,252-STRUCT_L):$G1402),"")</f>
        <v>1676</v>
      </c>
      <c r="AL1402" s="48" t="n">
        <f aca="false">IF($U1402&gt;=STRUCT_L,MIN(INDEX($H$1152:$H1402,252-STRUCT_L):$H1402),"")</f>
        <v>1309</v>
      </c>
      <c r="AM1402" s="46" t="n">
        <f aca="false">IF($A1402&lt;&gt;$A1403,1,0)</f>
        <v>0</v>
      </c>
      <c r="AN1402" s="47" t="str">
        <f aca="false">IF($AM1402=1,$A1402,"")</f>
        <v/>
      </c>
    </row>
    <row r="1403" customFormat="false" ht="15" hidden="false" customHeight="false" outlineLevel="0" collapsed="false">
      <c r="A1403" s="43" t="s">
        <v>157</v>
      </c>
      <c r="B1403" s="44" t="s">
        <v>159</v>
      </c>
      <c r="C1403" s="45" t="n">
        <v>46042</v>
      </c>
      <c r="D1403" s="46" t="n">
        <v>20260120</v>
      </c>
      <c r="E1403" s="47" t="s">
        <v>386</v>
      </c>
      <c r="F1403" s="48" t="n">
        <v>1366</v>
      </c>
      <c r="G1403" s="48" t="n">
        <v>1400</v>
      </c>
      <c r="H1403" s="48" t="n">
        <v>1362</v>
      </c>
      <c r="I1403" s="48" t="n">
        <v>1388</v>
      </c>
      <c r="J1403" s="48" t="n">
        <v>1397</v>
      </c>
      <c r="K1403" s="48" t="n">
        <v>1374</v>
      </c>
      <c r="L1403" s="48" t="n">
        <v>101735656</v>
      </c>
      <c r="M1403" s="48" t="n">
        <v>141209090528</v>
      </c>
      <c r="N1403" s="48" t="n">
        <v>2529</v>
      </c>
      <c r="O1403" s="48" t="n">
        <v>54849525</v>
      </c>
      <c r="P1403" s="48" t="n">
        <v>44380935</v>
      </c>
      <c r="Q1403" s="48" t="n">
        <v>1300</v>
      </c>
      <c r="R1403" s="48" t="n">
        <v>898</v>
      </c>
      <c r="S1403" s="48" t="n">
        <v>46886131</v>
      </c>
      <c r="T1403" s="48" t="n">
        <v>57354721</v>
      </c>
      <c r="U1403" s="46" t="n">
        <f aca="false">IF($A1403=$A1402,$U1402+1,1)</f>
        <v>99</v>
      </c>
      <c r="V1403" s="48" t="n">
        <f aca="false">IF($U1403&gt;=MA_SHORT,AVERAGE(INDEX($I$1003:$I1403,402-MA_SHORT):$I1403),"")</f>
        <v>1394.8</v>
      </c>
      <c r="W1403" s="48" t="n">
        <f aca="false">IF($U1403&gt;=MA_MED,AVERAGE(INDEX($I$1003:$I1403,402-MA_MED):$I1403),"")</f>
        <v>1466.86</v>
      </c>
      <c r="X1403" s="48" t="str">
        <f aca="false">IF($U1403&gt;=MA_LONG1,AVERAGE(INDEX($I$1003:$I1403,402-MA_LONG1):$I1403),"")</f>
        <v/>
      </c>
      <c r="Y1403" s="48" t="str">
        <f aca="false">IF($U1403&gt;=MA_LONG2,AVERAGE(INDEX($I$1003:$I1403,402-MA_LONG2):$I1403),"")</f>
        <v/>
      </c>
      <c r="Z1403" s="48" t="n">
        <f aca="false">IF($U1403&gt;=MA_SHORT,AVERAGE(INDEX($L$1283:$L1403,122-MA_SHORT):$L1403),"")</f>
        <v>86436475.75</v>
      </c>
      <c r="AA1403" s="48" t="n">
        <f aca="false">IF($U1403=1,$G1403-$H1403,MAX($G1403-$H1403,ABS($G1403-$I1402),ABS($H1403-$I1402)))</f>
        <v>38</v>
      </c>
      <c r="AB1403" s="48" t="n">
        <f aca="false">IF($U1403&gt;=ATR_PER,AVERAGE(INDEX($AA$1283:$AA1403,122-ATR_PER):$AA1403),"")</f>
        <v>50.7857142857143</v>
      </c>
      <c r="AC1403" s="48" t="n">
        <f aca="false">$O1403-$P1403</f>
        <v>10468590</v>
      </c>
      <c r="AD1403" s="48" t="n">
        <f aca="false">$AC1403*$I1403</f>
        <v>14530402920</v>
      </c>
      <c r="AE1403" s="49" t="n">
        <f aca="false">IF($Q1403&gt;0,$O1403*$I1403/$Q1403/1000000,"")</f>
        <v>58.5624159230769</v>
      </c>
      <c r="AF1403" s="49" t="n">
        <f aca="false">IF($R1403&gt;0,$P1403*$I1403/$R1403/1000000,"")</f>
        <v>68.5977035412027</v>
      </c>
      <c r="AG1403" s="50" t="n">
        <f aca="false">IF(AND(ISNUMBER($AE1403),ISNUMBER($AF1403),$AF1403&gt;0),$AE1403/$AF1403,"")</f>
        <v>0.853708111203779</v>
      </c>
      <c r="AH1403" s="48" t="n">
        <f aca="false">IF($U1403&gt;=5,SUM(INDEX($AD$1373:$AD1403,32-5):$AD1403),"")</f>
        <v>-8012300565</v>
      </c>
      <c r="AI1403" s="48" t="n">
        <f aca="false">IF($U1403&gt;=STRUCT_S,MAX(INDEX($G$1253:$G1403,152-STRUCT_S):$G1403),"")</f>
        <v>1527</v>
      </c>
      <c r="AJ1403" s="48" t="n">
        <f aca="false">IF($U1403&gt;=STRUCT_S,MIN(INDEX($H$1253:$H1403,152-STRUCT_S):$H1403),"")</f>
        <v>1309</v>
      </c>
      <c r="AK1403" s="48" t="n">
        <f aca="false">IF($U1403&gt;=STRUCT_L,MAX(INDEX($G$1153:$G1403,252-STRUCT_L):$G1403),"")</f>
        <v>1676</v>
      </c>
      <c r="AL1403" s="48" t="n">
        <f aca="false">IF($U1403&gt;=STRUCT_L,MIN(INDEX($H$1153:$H1403,252-STRUCT_L):$H1403),"")</f>
        <v>1309</v>
      </c>
      <c r="AM1403" s="46" t="n">
        <f aca="false">IF($A1403&lt;&gt;$A1404,1,0)</f>
        <v>0</v>
      </c>
      <c r="AN1403" s="47" t="str">
        <f aca="false">IF($AM1403=1,$A1403,"")</f>
        <v/>
      </c>
    </row>
    <row r="1404" customFormat="false" ht="15" hidden="false" customHeight="false" outlineLevel="0" collapsed="false">
      <c r="A1404" s="43" t="s">
        <v>157</v>
      </c>
      <c r="B1404" s="44" t="s">
        <v>159</v>
      </c>
      <c r="C1404" s="45" t="n">
        <v>46043</v>
      </c>
      <c r="D1404" s="46" t="n">
        <v>20260121</v>
      </c>
      <c r="E1404" s="47" t="s">
        <v>387</v>
      </c>
      <c r="F1404" s="48" t="n">
        <v>1385</v>
      </c>
      <c r="G1404" s="48" t="n">
        <v>1447</v>
      </c>
      <c r="H1404" s="48" t="n">
        <v>1374</v>
      </c>
      <c r="I1404" s="48" t="n">
        <v>1432</v>
      </c>
      <c r="J1404" s="48" t="n">
        <v>1445</v>
      </c>
      <c r="K1404" s="48" t="n">
        <v>1388</v>
      </c>
      <c r="L1404" s="48" t="n">
        <v>80768031</v>
      </c>
      <c r="M1404" s="48" t="n">
        <v>115659820392</v>
      </c>
      <c r="N1404" s="48" t="n">
        <v>1832</v>
      </c>
      <c r="O1404" s="48" t="n">
        <v>54648547</v>
      </c>
      <c r="P1404" s="48" t="n">
        <v>18983960</v>
      </c>
      <c r="Q1404" s="48" t="n">
        <v>734</v>
      </c>
      <c r="R1404" s="48" t="n">
        <v>860</v>
      </c>
      <c r="S1404" s="48" t="n">
        <v>26119484</v>
      </c>
      <c r="T1404" s="48" t="n">
        <v>61784071</v>
      </c>
      <c r="U1404" s="46" t="n">
        <f aca="false">IF($A1404=$A1403,$U1403+1,1)</f>
        <v>100</v>
      </c>
      <c r="V1404" s="48" t="n">
        <f aca="false">IF($U1404&gt;=MA_SHORT,AVERAGE(INDEX($I$1004:$I1404,402-MA_SHORT):$I1404),"")</f>
        <v>1392</v>
      </c>
      <c r="W1404" s="48" t="n">
        <f aca="false">IF($U1404&gt;=MA_MED,AVERAGE(INDEX($I$1004:$I1404,402-MA_MED):$I1404),"")</f>
        <v>1463.26</v>
      </c>
      <c r="X1404" s="48" t="n">
        <f aca="false">IF($U1404&gt;=MA_LONG1,AVERAGE(INDEX($I$1004:$I1404,402-MA_LONG1):$I1404),"")</f>
        <v>1470.6</v>
      </c>
      <c r="Y1404" s="48" t="str">
        <f aca="false">IF($U1404&gt;=MA_LONG2,AVERAGE(INDEX($I$1004:$I1404,402-MA_LONG2):$I1404),"")</f>
        <v/>
      </c>
      <c r="Z1404" s="48" t="n">
        <f aca="false">IF($U1404&gt;=MA_SHORT,AVERAGE(INDEX($L$1284:$L1404,122-MA_SHORT):$L1404),"")</f>
        <v>86166663.15</v>
      </c>
      <c r="AA1404" s="48" t="n">
        <f aca="false">IF($U1404=1,$G1404-$H1404,MAX($G1404-$H1404,ABS($G1404-$I1403),ABS($H1404-$I1403)))</f>
        <v>73</v>
      </c>
      <c r="AB1404" s="48" t="n">
        <f aca="false">IF($U1404&gt;=ATR_PER,AVERAGE(INDEX($AA$1284:$AA1404,122-ATR_PER):$AA1404),"")</f>
        <v>54.4285714285714</v>
      </c>
      <c r="AC1404" s="48" t="n">
        <f aca="false">$O1404-$P1404</f>
        <v>35664587</v>
      </c>
      <c r="AD1404" s="48" t="n">
        <f aca="false">$AC1404*$I1404</f>
        <v>51071688584</v>
      </c>
      <c r="AE1404" s="49" t="n">
        <f aca="false">IF($Q1404&gt;0,$O1404*$I1404/$Q1404/1000000,"")</f>
        <v>106.616783792916</v>
      </c>
      <c r="AF1404" s="49" t="n">
        <f aca="false">IF($R1404&gt;0,$P1404*$I1404/$R1404/1000000,"")</f>
        <v>31.6105008372093</v>
      </c>
      <c r="AG1404" s="50" t="n">
        <f aca="false">IF(AND(ISNUMBER($AE1404),ISNUMBER($AF1404),$AF1404&gt;0),$AE1404/$AF1404,"")</f>
        <v>3.37282804666654</v>
      </c>
      <c r="AH1404" s="48" t="n">
        <f aca="false">IF($U1404&gt;=5,SUM(INDEX($AD$1374:$AD1404,32-5):$AD1404),"")</f>
        <v>66954101273</v>
      </c>
      <c r="AI1404" s="48" t="n">
        <f aca="false">IF($U1404&gt;=STRUCT_S,MAX(INDEX($G$1254:$G1404,152-STRUCT_S):$G1404),"")</f>
        <v>1515</v>
      </c>
      <c r="AJ1404" s="48" t="n">
        <f aca="false">IF($U1404&gt;=STRUCT_S,MIN(INDEX($H$1254:$H1404,152-STRUCT_S):$H1404),"")</f>
        <v>1309</v>
      </c>
      <c r="AK1404" s="48" t="n">
        <f aca="false">IF($U1404&gt;=STRUCT_L,MAX(INDEX($G$1154:$G1404,252-STRUCT_L):$G1404),"")</f>
        <v>1676</v>
      </c>
      <c r="AL1404" s="48" t="n">
        <f aca="false">IF($U1404&gt;=STRUCT_L,MIN(INDEX($H$1154:$H1404,252-STRUCT_L):$H1404),"")</f>
        <v>1309</v>
      </c>
      <c r="AM1404" s="46" t="n">
        <f aca="false">IF($A1404&lt;&gt;$A1405,1,0)</f>
        <v>0</v>
      </c>
      <c r="AN1404" s="47" t="str">
        <f aca="false">IF($AM1404=1,$A1404,"")</f>
        <v/>
      </c>
    </row>
    <row r="1405" customFormat="false" ht="15" hidden="false" customHeight="false" outlineLevel="0" collapsed="false">
      <c r="A1405" s="43" t="s">
        <v>157</v>
      </c>
      <c r="B1405" s="44" t="s">
        <v>159</v>
      </c>
      <c r="C1405" s="45" t="n">
        <v>46046</v>
      </c>
      <c r="D1405" s="46" t="n">
        <v>20260124</v>
      </c>
      <c r="E1405" s="47" t="s">
        <v>388</v>
      </c>
      <c r="F1405" s="48" t="n">
        <v>1471</v>
      </c>
      <c r="G1405" s="48" t="n">
        <v>1472</v>
      </c>
      <c r="H1405" s="48" t="n">
        <v>1408</v>
      </c>
      <c r="I1405" s="48" t="n">
        <v>1447</v>
      </c>
      <c r="J1405" s="48" t="n">
        <v>1409</v>
      </c>
      <c r="K1405" s="48" t="n">
        <v>1432</v>
      </c>
      <c r="L1405" s="48" t="n">
        <v>86401617</v>
      </c>
      <c r="M1405" s="48" t="n">
        <v>125023139799</v>
      </c>
      <c r="N1405" s="48" t="n">
        <v>4688</v>
      </c>
      <c r="O1405" s="48" t="n">
        <v>55429431</v>
      </c>
      <c r="P1405" s="48" t="n">
        <v>28308269</v>
      </c>
      <c r="Q1405" s="48" t="n">
        <v>2044</v>
      </c>
      <c r="R1405" s="48" t="n">
        <v>1856</v>
      </c>
      <c r="S1405" s="48" t="n">
        <v>30972186</v>
      </c>
      <c r="T1405" s="48" t="n">
        <v>58093348</v>
      </c>
      <c r="U1405" s="46" t="n">
        <f aca="false">IF($A1405=$A1404,$U1404+1,1)</f>
        <v>101</v>
      </c>
      <c r="V1405" s="48" t="n">
        <f aca="false">IF($U1405&gt;=MA_SHORT,AVERAGE(INDEX($I$1005:$I1405,402-MA_SHORT):$I1405),"")</f>
        <v>1391.05</v>
      </c>
      <c r="W1405" s="48" t="n">
        <f aca="false">IF($U1405&gt;=MA_MED,AVERAGE(INDEX($I$1005:$I1405,402-MA_MED):$I1405),"")</f>
        <v>1460.38</v>
      </c>
      <c r="X1405" s="48" t="n">
        <f aca="false">IF($U1405&gt;=MA_LONG1,AVERAGE(INDEX($I$1005:$I1405,402-MA_LONG1):$I1405),"")</f>
        <v>1470.65</v>
      </c>
      <c r="Y1405" s="48" t="str">
        <f aca="false">IF($U1405&gt;=MA_LONG2,AVERAGE(INDEX($I$1005:$I1405,402-MA_LONG2):$I1405),"")</f>
        <v/>
      </c>
      <c r="Z1405" s="48" t="n">
        <f aca="false">IF($U1405&gt;=MA_SHORT,AVERAGE(INDEX($L$1285:$L1405,122-MA_SHORT):$L1405),"")</f>
        <v>86031049.6</v>
      </c>
      <c r="AA1405" s="48" t="n">
        <f aca="false">IF($U1405=1,$G1405-$H1405,MAX($G1405-$H1405,ABS($G1405-$I1404),ABS($H1405-$I1404)))</f>
        <v>64</v>
      </c>
      <c r="AB1405" s="48" t="n">
        <f aca="false">IF($U1405&gt;=ATR_PER,AVERAGE(INDEX($AA$1285:$AA1405,122-ATR_PER):$AA1405),"")</f>
        <v>55.2142857142857</v>
      </c>
      <c r="AC1405" s="48" t="n">
        <f aca="false">$O1405-$P1405</f>
        <v>27121162</v>
      </c>
      <c r="AD1405" s="48" t="n">
        <f aca="false">$AC1405*$I1405</f>
        <v>39244321414</v>
      </c>
      <c r="AE1405" s="49" t="n">
        <f aca="false">IF($Q1405&gt;0,$O1405*$I1405/$Q1405/1000000,"")</f>
        <v>39.239915194227</v>
      </c>
      <c r="AF1405" s="49" t="n">
        <f aca="false">IF($R1405&gt;0,$P1405*$I1405/$R1405/1000000,"")</f>
        <v>22.0700782559267</v>
      </c>
      <c r="AG1405" s="50" t="n">
        <f aca="false">IF(AND(ISNUMBER($AE1405),ISNUMBER($AF1405),$AF1405&gt;0),$AE1405/$AF1405,"")</f>
        <v>1.77796901031329</v>
      </c>
      <c r="AH1405" s="48" t="n">
        <f aca="false">IF($U1405&gt;=5,SUM(INDEX($AD$1375:$AD1405,32-5):$AD1405),"")</f>
        <v>139922266197</v>
      </c>
      <c r="AI1405" s="48" t="n">
        <f aca="false">IF($U1405&gt;=STRUCT_S,MAX(INDEX($G$1255:$G1405,152-STRUCT_S):$G1405),"")</f>
        <v>1481</v>
      </c>
      <c r="AJ1405" s="48" t="n">
        <f aca="false">IF($U1405&gt;=STRUCT_S,MIN(INDEX($H$1255:$H1405,152-STRUCT_S):$H1405),"")</f>
        <v>1309</v>
      </c>
      <c r="AK1405" s="48" t="n">
        <f aca="false">IF($U1405&gt;=STRUCT_L,MAX(INDEX($G$1155:$G1405,252-STRUCT_L):$G1405),"")</f>
        <v>1676</v>
      </c>
      <c r="AL1405" s="48" t="n">
        <f aca="false">IF($U1405&gt;=STRUCT_L,MIN(INDEX($H$1155:$H1405,252-STRUCT_L):$H1405),"")</f>
        <v>1309</v>
      </c>
      <c r="AM1405" s="46" t="n">
        <f aca="false">IF($A1405&lt;&gt;$A1406,1,0)</f>
        <v>0</v>
      </c>
      <c r="AN1405" s="47" t="str">
        <f aca="false">IF($AM1405=1,$A1405,"")</f>
        <v/>
      </c>
    </row>
    <row r="1406" customFormat="false" ht="15" hidden="false" customHeight="false" outlineLevel="0" collapsed="false">
      <c r="A1406" s="43" t="s">
        <v>157</v>
      </c>
      <c r="B1406" s="44" t="s">
        <v>159</v>
      </c>
      <c r="C1406" s="45" t="n">
        <v>46047</v>
      </c>
      <c r="D1406" s="46" t="n">
        <v>20260125</v>
      </c>
      <c r="E1406" s="47" t="s">
        <v>389</v>
      </c>
      <c r="F1406" s="48" t="n">
        <v>1483</v>
      </c>
      <c r="G1406" s="48" t="n">
        <v>1498</v>
      </c>
      <c r="H1406" s="48" t="n">
        <v>1438</v>
      </c>
      <c r="I1406" s="48" t="n">
        <v>1489</v>
      </c>
      <c r="J1406" s="48" t="n">
        <v>1471</v>
      </c>
      <c r="K1406" s="48" t="n">
        <v>1447</v>
      </c>
      <c r="L1406" s="48" t="n">
        <v>79678980</v>
      </c>
      <c r="M1406" s="48" t="n">
        <v>118642001220</v>
      </c>
      <c r="N1406" s="48" t="n">
        <v>2621</v>
      </c>
      <c r="O1406" s="48" t="n">
        <v>47663019</v>
      </c>
      <c r="P1406" s="48" t="n">
        <v>30141299</v>
      </c>
      <c r="Q1406" s="48" t="n">
        <v>1154</v>
      </c>
      <c r="R1406" s="48" t="n">
        <v>1062</v>
      </c>
      <c r="S1406" s="48" t="n">
        <v>32015961</v>
      </c>
      <c r="T1406" s="48" t="n">
        <v>49537681</v>
      </c>
      <c r="U1406" s="46" t="n">
        <f aca="false">IF($A1406=$A1405,$U1405+1,1)</f>
        <v>102</v>
      </c>
      <c r="V1406" s="48" t="n">
        <f aca="false">IF($U1406&gt;=MA_SHORT,AVERAGE(INDEX($I$1006:$I1406,402-MA_SHORT):$I1406),"")</f>
        <v>1393</v>
      </c>
      <c r="W1406" s="48" t="n">
        <f aca="false">IF($U1406&gt;=MA_MED,AVERAGE(INDEX($I$1006:$I1406,402-MA_MED):$I1406),"")</f>
        <v>1457.94</v>
      </c>
      <c r="X1406" s="48" t="n">
        <f aca="false">IF($U1406&gt;=MA_LONG1,AVERAGE(INDEX($I$1006:$I1406,402-MA_LONG1):$I1406),"")</f>
        <v>1470.54</v>
      </c>
      <c r="Y1406" s="48" t="str">
        <f aca="false">IF($U1406&gt;=MA_LONG2,AVERAGE(INDEX($I$1006:$I1406,402-MA_LONG2):$I1406),"")</f>
        <v/>
      </c>
      <c r="Z1406" s="48" t="n">
        <f aca="false">IF($U1406&gt;=MA_SHORT,AVERAGE(INDEX($L$1286:$L1406,122-MA_SHORT):$L1406),"")</f>
        <v>86399768.2</v>
      </c>
      <c r="AA1406" s="48" t="n">
        <f aca="false">IF($U1406=1,$G1406-$H1406,MAX($G1406-$H1406,ABS($G1406-$I1405),ABS($H1406-$I1405)))</f>
        <v>60</v>
      </c>
      <c r="AB1406" s="48" t="n">
        <f aca="false">IF($U1406&gt;=ATR_PER,AVERAGE(INDEX($AA$1286:$AA1406,122-ATR_PER):$AA1406),"")</f>
        <v>52.1428571428571</v>
      </c>
      <c r="AC1406" s="48" t="n">
        <f aca="false">$O1406-$P1406</f>
        <v>17521720</v>
      </c>
      <c r="AD1406" s="48" t="n">
        <f aca="false">$AC1406*$I1406</f>
        <v>26089841080</v>
      </c>
      <c r="AE1406" s="49" t="n">
        <f aca="false">IF($Q1406&gt;0,$O1406*$I1406/$Q1406/1000000,"")</f>
        <v>61.4993373405546</v>
      </c>
      <c r="AF1406" s="49" t="n">
        <f aca="false">IF($R1406&gt;0,$P1406*$I1406/$R1406/1000000,"")</f>
        <v>42.2602582024482</v>
      </c>
      <c r="AG1406" s="50" t="n">
        <f aca="false">IF(AND(ISNUMBER($AE1406),ISNUMBER($AF1406),$AF1406&gt;0),$AE1406/$AF1406,"")</f>
        <v>1.45525228563303</v>
      </c>
      <c r="AH1406" s="48" t="n">
        <f aca="false">IF($U1406&gt;=5,SUM(INDEX($AD$1376:$AD1406,32-5):$AD1406),"")</f>
        <v>146386093948</v>
      </c>
      <c r="AI1406" s="48" t="n">
        <f aca="false">IF($U1406&gt;=STRUCT_S,MAX(INDEX($G$1256:$G1406,152-STRUCT_S):$G1406),"")</f>
        <v>1498</v>
      </c>
      <c r="AJ1406" s="48" t="n">
        <f aca="false">IF($U1406&gt;=STRUCT_S,MIN(INDEX($H$1256:$H1406,152-STRUCT_S):$H1406),"")</f>
        <v>1309</v>
      </c>
      <c r="AK1406" s="48" t="n">
        <f aca="false">IF($U1406&gt;=STRUCT_L,MAX(INDEX($G$1156:$G1406,252-STRUCT_L):$G1406),"")</f>
        <v>1676</v>
      </c>
      <c r="AL1406" s="48" t="n">
        <f aca="false">IF($U1406&gt;=STRUCT_L,MIN(INDEX($H$1156:$H1406,252-STRUCT_L):$H1406),"")</f>
        <v>1309</v>
      </c>
      <c r="AM1406" s="46" t="n">
        <f aca="false">IF($A1406&lt;&gt;$A1407,1,0)</f>
        <v>0</v>
      </c>
      <c r="AN1406" s="47" t="str">
        <f aca="false">IF($AM1406=1,$A1406,"")</f>
        <v/>
      </c>
    </row>
    <row r="1407" customFormat="false" ht="15" hidden="false" customHeight="false" outlineLevel="0" collapsed="false">
      <c r="A1407" s="43" t="s">
        <v>157</v>
      </c>
      <c r="B1407" s="44" t="s">
        <v>159</v>
      </c>
      <c r="C1407" s="45" t="n">
        <v>46048</v>
      </c>
      <c r="D1407" s="46" t="n">
        <v>20260126</v>
      </c>
      <c r="E1407" s="47" t="s">
        <v>390</v>
      </c>
      <c r="F1407" s="48" t="n">
        <v>1466</v>
      </c>
      <c r="G1407" s="48" t="n">
        <v>1507</v>
      </c>
      <c r="H1407" s="48" t="n">
        <v>1446</v>
      </c>
      <c r="I1407" s="48" t="n">
        <v>1463</v>
      </c>
      <c r="J1407" s="48" t="n">
        <v>1472</v>
      </c>
      <c r="K1407" s="48" t="n">
        <v>1489</v>
      </c>
      <c r="L1407" s="48" t="n">
        <v>78116947</v>
      </c>
      <c r="M1407" s="48" t="n">
        <v>114285093461</v>
      </c>
      <c r="N1407" s="48" t="n">
        <v>3859</v>
      </c>
      <c r="O1407" s="48" t="n">
        <v>32246653</v>
      </c>
      <c r="P1407" s="48" t="n">
        <v>44259980</v>
      </c>
      <c r="Q1407" s="48" t="n">
        <v>1868</v>
      </c>
      <c r="R1407" s="48" t="n">
        <v>1458</v>
      </c>
      <c r="S1407" s="48" t="n">
        <v>45870294</v>
      </c>
      <c r="T1407" s="48" t="n">
        <v>33856967</v>
      </c>
      <c r="U1407" s="46" t="n">
        <f aca="false">IF($A1407=$A1406,$U1406+1,1)</f>
        <v>103</v>
      </c>
      <c r="V1407" s="48" t="n">
        <f aca="false">IF($U1407&gt;=MA_SHORT,AVERAGE(INDEX($I$1007:$I1407,402-MA_SHORT):$I1407),"")</f>
        <v>1394.4</v>
      </c>
      <c r="W1407" s="48" t="n">
        <f aca="false">IF($U1407&gt;=MA_MED,AVERAGE(INDEX($I$1007:$I1407,402-MA_MED):$I1407),"")</f>
        <v>1455.22</v>
      </c>
      <c r="X1407" s="48" t="n">
        <f aca="false">IF($U1407&gt;=MA_LONG1,AVERAGE(INDEX($I$1007:$I1407,402-MA_LONG1):$I1407),"")</f>
        <v>1470.02</v>
      </c>
      <c r="Y1407" s="48" t="str">
        <f aca="false">IF($U1407&gt;=MA_LONG2,AVERAGE(INDEX($I$1007:$I1407,402-MA_LONG2):$I1407),"")</f>
        <v/>
      </c>
      <c r="Z1407" s="48" t="n">
        <f aca="false">IF($U1407&gt;=MA_SHORT,AVERAGE(INDEX($L$1287:$L1407,122-MA_SHORT):$L1407),"")</f>
        <v>86701973.55</v>
      </c>
      <c r="AA1407" s="48" t="n">
        <f aca="false">IF($U1407=1,$G1407-$H1407,MAX($G1407-$H1407,ABS($G1407-$I1406),ABS($H1407-$I1406)))</f>
        <v>61</v>
      </c>
      <c r="AB1407" s="48" t="n">
        <f aca="false">IF($U1407&gt;=ATR_PER,AVERAGE(INDEX($AA$1287:$AA1407,122-ATR_PER):$AA1407),"")</f>
        <v>50.9285714285714</v>
      </c>
      <c r="AC1407" s="48" t="n">
        <f aca="false">$O1407-$P1407</f>
        <v>-12013327</v>
      </c>
      <c r="AD1407" s="48" t="n">
        <f aca="false">$AC1407*$I1407</f>
        <v>-17575497401</v>
      </c>
      <c r="AE1407" s="49" t="n">
        <f aca="false">IF($Q1407&gt;0,$O1407*$I1407/$Q1407/1000000,"")</f>
        <v>25.2552748067452</v>
      </c>
      <c r="AF1407" s="49" t="n">
        <f aca="false">IF($R1407&gt;0,$P1407*$I1407/$R1407/1000000,"")</f>
        <v>44.4117631961591</v>
      </c>
      <c r="AG1407" s="50" t="n">
        <f aca="false">IF(AND(ISNUMBER($AE1407),ISNUMBER($AF1407),$AF1407&gt;0),$AE1407/$AF1407,"")</f>
        <v>0.568661836171579</v>
      </c>
      <c r="AH1407" s="48" t="n">
        <f aca="false">IF($U1407&gt;=5,SUM(INDEX($AD$1377:$AD1407,32-5):$AD1407),"")</f>
        <v>113360756597</v>
      </c>
      <c r="AI1407" s="48" t="n">
        <f aca="false">IF($U1407&gt;=STRUCT_S,MAX(INDEX($G$1257:$G1407,152-STRUCT_S):$G1407),"")</f>
        <v>1507</v>
      </c>
      <c r="AJ1407" s="48" t="n">
        <f aca="false">IF($U1407&gt;=STRUCT_S,MIN(INDEX($H$1257:$H1407,152-STRUCT_S):$H1407),"")</f>
        <v>1309</v>
      </c>
      <c r="AK1407" s="48" t="n">
        <f aca="false">IF($U1407&gt;=STRUCT_L,MAX(INDEX($G$1157:$G1407,252-STRUCT_L):$G1407),"")</f>
        <v>1676</v>
      </c>
      <c r="AL1407" s="48" t="n">
        <f aca="false">IF($U1407&gt;=STRUCT_L,MIN(INDEX($H$1157:$H1407,252-STRUCT_L):$H1407),"")</f>
        <v>1309</v>
      </c>
      <c r="AM1407" s="46" t="n">
        <f aca="false">IF($A1407&lt;&gt;$A1408,1,0)</f>
        <v>0</v>
      </c>
      <c r="AN1407" s="47" t="str">
        <f aca="false">IF($AM1407=1,$A1407,"")</f>
        <v/>
      </c>
    </row>
    <row r="1408" customFormat="false" ht="15" hidden="false" customHeight="false" outlineLevel="0" collapsed="false">
      <c r="A1408" s="43" t="s">
        <v>157</v>
      </c>
      <c r="B1408" s="44" t="s">
        <v>159</v>
      </c>
      <c r="C1408" s="45" t="n">
        <v>46049</v>
      </c>
      <c r="D1408" s="46" t="n">
        <v>20260127</v>
      </c>
      <c r="E1408" s="47" t="s">
        <v>391</v>
      </c>
      <c r="F1408" s="48" t="n">
        <v>1504</v>
      </c>
      <c r="G1408" s="48" t="n">
        <v>1512</v>
      </c>
      <c r="H1408" s="48" t="n">
        <v>1456</v>
      </c>
      <c r="I1408" s="48" t="n">
        <v>1505</v>
      </c>
      <c r="J1408" s="48" t="n">
        <v>1497</v>
      </c>
      <c r="K1408" s="48" t="n">
        <v>1463</v>
      </c>
      <c r="L1408" s="48" t="n">
        <v>90752331</v>
      </c>
      <c r="M1408" s="48" t="n">
        <v>136582258155</v>
      </c>
      <c r="N1408" s="48" t="n">
        <v>5209</v>
      </c>
      <c r="O1408" s="48" t="n">
        <v>52056838</v>
      </c>
      <c r="P1408" s="48" t="n">
        <v>39521514</v>
      </c>
      <c r="Q1408" s="48" t="n">
        <v>1565</v>
      </c>
      <c r="R1408" s="48" t="n">
        <v>1614</v>
      </c>
      <c r="S1408" s="48" t="n">
        <v>38695493</v>
      </c>
      <c r="T1408" s="48" t="n">
        <v>51230817</v>
      </c>
      <c r="U1408" s="46" t="n">
        <f aca="false">IF($A1408=$A1407,$U1407+1,1)</f>
        <v>104</v>
      </c>
      <c r="V1408" s="48" t="n">
        <f aca="false">IF($U1408&gt;=MA_SHORT,AVERAGE(INDEX($I$1008:$I1408,402-MA_SHORT):$I1408),"")</f>
        <v>1396.85</v>
      </c>
      <c r="W1408" s="48" t="n">
        <f aca="false">IF($U1408&gt;=MA_MED,AVERAGE(INDEX($I$1008:$I1408,402-MA_MED):$I1408),"")</f>
        <v>1453.34</v>
      </c>
      <c r="X1408" s="48" t="n">
        <f aca="false">IF($U1408&gt;=MA_LONG1,AVERAGE(INDEX($I$1008:$I1408,402-MA_LONG1):$I1408),"")</f>
        <v>1469.83</v>
      </c>
      <c r="Y1408" s="48" t="str">
        <f aca="false">IF($U1408&gt;=MA_LONG2,AVERAGE(INDEX($I$1008:$I1408,402-MA_LONG2):$I1408),"")</f>
        <v/>
      </c>
      <c r="Z1408" s="48" t="n">
        <f aca="false">IF($U1408&gt;=MA_SHORT,AVERAGE(INDEX($L$1288:$L1408,122-MA_SHORT):$L1408),"")</f>
        <v>85841317.9</v>
      </c>
      <c r="AA1408" s="48" t="n">
        <f aca="false">IF($U1408=1,$G1408-$H1408,MAX($G1408-$H1408,ABS($G1408-$I1407),ABS($H1408-$I1407)))</f>
        <v>56</v>
      </c>
      <c r="AB1408" s="48" t="n">
        <f aca="false">IF($U1408&gt;=ATR_PER,AVERAGE(INDEX($AA$1288:$AA1408,122-ATR_PER):$AA1408),"")</f>
        <v>52.3571428571429</v>
      </c>
      <c r="AC1408" s="48" t="n">
        <f aca="false">$O1408-$P1408</f>
        <v>12535324</v>
      </c>
      <c r="AD1408" s="48" t="n">
        <f aca="false">$AC1408*$I1408</f>
        <v>18865662620</v>
      </c>
      <c r="AE1408" s="49" t="n">
        <f aca="false">IF($Q1408&gt;0,$O1408*$I1408/$Q1408/1000000,"")</f>
        <v>50.0610486837061</v>
      </c>
      <c r="AF1408" s="49" t="n">
        <f aca="false">IF($R1408&gt;0,$P1408*$I1408/$R1408/1000000,"")</f>
        <v>36.8524650371747</v>
      </c>
      <c r="AG1408" s="50" t="n">
        <f aca="false">IF(AND(ISNUMBER($AE1408),ISNUMBER($AF1408),$AF1408&gt;0),$AE1408/$AF1408,"")</f>
        <v>1.35841791405832</v>
      </c>
      <c r="AH1408" s="48" t="n">
        <f aca="false">IF($U1408&gt;=5,SUM(INDEX($AD$1378:$AD1408,32-5):$AD1408),"")</f>
        <v>117696016297</v>
      </c>
      <c r="AI1408" s="48" t="n">
        <f aca="false">IF($U1408&gt;=STRUCT_S,MAX(INDEX($G$1258:$G1408,152-STRUCT_S):$G1408),"")</f>
        <v>1512</v>
      </c>
      <c r="AJ1408" s="48" t="n">
        <f aca="false">IF($U1408&gt;=STRUCT_S,MIN(INDEX($H$1258:$H1408,152-STRUCT_S):$H1408),"")</f>
        <v>1309</v>
      </c>
      <c r="AK1408" s="48" t="n">
        <f aca="false">IF($U1408&gt;=STRUCT_L,MAX(INDEX($G$1158:$G1408,252-STRUCT_L):$G1408),"")</f>
        <v>1676</v>
      </c>
      <c r="AL1408" s="48" t="n">
        <f aca="false">IF($U1408&gt;=STRUCT_L,MIN(INDEX($H$1158:$H1408,252-STRUCT_L):$H1408),"")</f>
        <v>1309</v>
      </c>
      <c r="AM1408" s="46" t="n">
        <f aca="false">IF($A1408&lt;&gt;$A1409,1,0)</f>
        <v>0</v>
      </c>
      <c r="AN1408" s="47" t="str">
        <f aca="false">IF($AM1408=1,$A1408,"")</f>
        <v/>
      </c>
    </row>
    <row r="1409" customFormat="false" ht="15" hidden="false" customHeight="false" outlineLevel="0" collapsed="false">
      <c r="A1409" s="43" t="s">
        <v>157</v>
      </c>
      <c r="B1409" s="44" t="s">
        <v>159</v>
      </c>
      <c r="C1409" s="45" t="n">
        <v>46050</v>
      </c>
      <c r="D1409" s="46" t="n">
        <v>20260128</v>
      </c>
      <c r="E1409" s="47" t="s">
        <v>392</v>
      </c>
      <c r="F1409" s="48" t="n">
        <v>1495</v>
      </c>
      <c r="G1409" s="48" t="n">
        <v>1511</v>
      </c>
      <c r="H1409" s="48" t="n">
        <v>1484</v>
      </c>
      <c r="I1409" s="48" t="n">
        <v>1490</v>
      </c>
      <c r="J1409" s="48" t="n">
        <v>1503</v>
      </c>
      <c r="K1409" s="48" t="n">
        <v>1505</v>
      </c>
      <c r="L1409" s="48" t="n">
        <v>71918912</v>
      </c>
      <c r="M1409" s="48" t="n">
        <v>107159178880</v>
      </c>
      <c r="N1409" s="48" t="n">
        <v>1804</v>
      </c>
      <c r="O1409" s="48" t="n">
        <v>33700587</v>
      </c>
      <c r="P1409" s="48" t="n">
        <v>41867183</v>
      </c>
      <c r="Q1409" s="48" t="n">
        <v>702</v>
      </c>
      <c r="R1409" s="48" t="n">
        <v>594</v>
      </c>
      <c r="S1409" s="48" t="n">
        <v>38218325</v>
      </c>
      <c r="T1409" s="48" t="n">
        <v>30051729</v>
      </c>
      <c r="U1409" s="46" t="n">
        <f aca="false">IF($A1409=$A1408,$U1408+1,1)</f>
        <v>105</v>
      </c>
      <c r="V1409" s="48" t="n">
        <f aca="false">IF($U1409&gt;=MA_SHORT,AVERAGE(INDEX($I$1009:$I1409,402-MA_SHORT):$I1409),"")</f>
        <v>1401.45</v>
      </c>
      <c r="W1409" s="48" t="n">
        <f aca="false">IF($U1409&gt;=MA_MED,AVERAGE(INDEX($I$1009:$I1409,402-MA_MED):$I1409),"")</f>
        <v>1451.46</v>
      </c>
      <c r="X1409" s="48" t="n">
        <f aca="false">IF($U1409&gt;=MA_LONG1,AVERAGE(INDEX($I$1009:$I1409,402-MA_LONG1):$I1409),"")</f>
        <v>1469.8</v>
      </c>
      <c r="Y1409" s="48" t="str">
        <f aca="false">IF($U1409&gt;=MA_LONG2,AVERAGE(INDEX($I$1009:$I1409,402-MA_LONG2):$I1409),"")</f>
        <v/>
      </c>
      <c r="Z1409" s="48" t="n">
        <f aca="false">IF($U1409&gt;=MA_SHORT,AVERAGE(INDEX($L$1289:$L1409,122-MA_SHORT):$L1409),"")</f>
        <v>84792416.7</v>
      </c>
      <c r="AA1409" s="48" t="n">
        <f aca="false">IF($U1409=1,$G1409-$H1409,MAX($G1409-$H1409,ABS($G1409-$I1408),ABS($H1409-$I1408)))</f>
        <v>27</v>
      </c>
      <c r="AB1409" s="48" t="n">
        <f aca="false">IF($U1409&gt;=ATR_PER,AVERAGE(INDEX($AA$1289:$AA1409,122-ATR_PER):$AA1409),"")</f>
        <v>51.5</v>
      </c>
      <c r="AC1409" s="48" t="n">
        <f aca="false">$O1409-$P1409</f>
        <v>-8166596</v>
      </c>
      <c r="AD1409" s="48" t="n">
        <f aca="false">$AC1409*$I1409</f>
        <v>-12168228040</v>
      </c>
      <c r="AE1409" s="49" t="n">
        <f aca="false">IF($Q1409&gt;0,$O1409*$I1409/$Q1409/1000000,"")</f>
        <v>71.5297359401709</v>
      </c>
      <c r="AF1409" s="49" t="n">
        <f aca="false">IF($R1409&gt;0,$P1409*$I1409/$R1409/1000000,"")</f>
        <v>105.02037486532</v>
      </c>
      <c r="AG1409" s="50" t="n">
        <f aca="false">IF(AND(ISNUMBER($AE1409),ISNUMBER($AF1409),$AF1409&gt;0),$AE1409/$AF1409,"")</f>
        <v>0.681103414760251</v>
      </c>
      <c r="AH1409" s="48" t="n">
        <f aca="false">IF($U1409&gt;=5,SUM(INDEX($AD$1379:$AD1409,32-5):$AD1409),"")</f>
        <v>54456099673</v>
      </c>
      <c r="AI1409" s="48" t="n">
        <f aca="false">IF($U1409&gt;=STRUCT_S,MAX(INDEX($G$1259:$G1409,152-STRUCT_S):$G1409),"")</f>
        <v>1512</v>
      </c>
      <c r="AJ1409" s="48" t="n">
        <f aca="false">IF($U1409&gt;=STRUCT_S,MIN(INDEX($H$1259:$H1409,152-STRUCT_S):$H1409),"")</f>
        <v>1309</v>
      </c>
      <c r="AK1409" s="48" t="n">
        <f aca="false">IF($U1409&gt;=STRUCT_L,MAX(INDEX($G$1159:$G1409,252-STRUCT_L):$G1409),"")</f>
        <v>1676</v>
      </c>
      <c r="AL1409" s="48" t="n">
        <f aca="false">IF($U1409&gt;=STRUCT_L,MIN(INDEX($H$1159:$H1409,252-STRUCT_L):$H1409),"")</f>
        <v>1309</v>
      </c>
      <c r="AM1409" s="46" t="n">
        <f aca="false">IF($A1409&lt;&gt;$A1410,1,0)</f>
        <v>0</v>
      </c>
      <c r="AN1409" s="47" t="str">
        <f aca="false">IF($AM1409=1,$A1409,"")</f>
        <v/>
      </c>
    </row>
    <row r="1410" customFormat="false" ht="15" hidden="false" customHeight="false" outlineLevel="0" collapsed="false">
      <c r="A1410" s="43" t="s">
        <v>157</v>
      </c>
      <c r="B1410" s="44" t="s">
        <v>159</v>
      </c>
      <c r="C1410" s="45" t="n">
        <v>46053</v>
      </c>
      <c r="D1410" s="46" t="n">
        <v>20260131</v>
      </c>
      <c r="E1410" s="47" t="s">
        <v>393</v>
      </c>
      <c r="F1410" s="48" t="n">
        <v>1509</v>
      </c>
      <c r="G1410" s="48" t="n">
        <v>1558</v>
      </c>
      <c r="H1410" s="48" t="n">
        <v>1463</v>
      </c>
      <c r="I1410" s="48" t="n">
        <v>1530</v>
      </c>
      <c r="J1410" s="48" t="n">
        <v>1544</v>
      </c>
      <c r="K1410" s="48" t="n">
        <v>1490</v>
      </c>
      <c r="L1410" s="48" t="n">
        <v>81307902</v>
      </c>
      <c r="M1410" s="48" t="n">
        <v>124401090060</v>
      </c>
      <c r="N1410" s="48" t="n">
        <v>2364</v>
      </c>
      <c r="O1410" s="48" t="n">
        <v>44007539</v>
      </c>
      <c r="P1410" s="48" t="n">
        <v>42124327</v>
      </c>
      <c r="Q1410" s="48" t="n">
        <v>1130</v>
      </c>
      <c r="R1410" s="48" t="n">
        <v>1036</v>
      </c>
      <c r="S1410" s="48" t="n">
        <v>37300363</v>
      </c>
      <c r="T1410" s="48" t="n">
        <v>39183575</v>
      </c>
      <c r="U1410" s="46" t="n">
        <f aca="false">IF($A1410=$A1409,$U1409+1,1)</f>
        <v>106</v>
      </c>
      <c r="V1410" s="48" t="n">
        <f aca="false">IF($U1410&gt;=MA_SHORT,AVERAGE(INDEX($I$1010:$I1410,402-MA_SHORT):$I1410),"")</f>
        <v>1407.85</v>
      </c>
      <c r="W1410" s="48" t="n">
        <f aca="false">IF($U1410&gt;=MA_MED,AVERAGE(INDEX($I$1010:$I1410,402-MA_MED):$I1410),"")</f>
        <v>1451.42</v>
      </c>
      <c r="X1410" s="48" t="n">
        <f aca="false">IF($U1410&gt;=MA_LONG1,AVERAGE(INDEX($I$1010:$I1410,402-MA_LONG1):$I1410),"")</f>
        <v>1470.51</v>
      </c>
      <c r="Y1410" s="48" t="str">
        <f aca="false">IF($U1410&gt;=MA_LONG2,AVERAGE(INDEX($I$1010:$I1410,402-MA_LONG2):$I1410),"")</f>
        <v/>
      </c>
      <c r="Z1410" s="48" t="n">
        <f aca="false">IF($U1410&gt;=MA_SHORT,AVERAGE(INDEX($L$1290:$L1410,122-MA_SHORT):$L1410),"")</f>
        <v>84979138.5</v>
      </c>
      <c r="AA1410" s="48" t="n">
        <f aca="false">IF($U1410=1,$G1410-$H1410,MAX($G1410-$H1410,ABS($G1410-$I1409),ABS($H1410-$I1409)))</f>
        <v>95</v>
      </c>
      <c r="AB1410" s="48" t="n">
        <f aca="false">IF($U1410&gt;=ATR_PER,AVERAGE(INDEX($AA$1290:$AA1410,122-ATR_PER):$AA1410),"")</f>
        <v>54.1428571428571</v>
      </c>
      <c r="AC1410" s="48" t="n">
        <f aca="false">$O1410-$P1410</f>
        <v>1883212</v>
      </c>
      <c r="AD1410" s="48" t="n">
        <f aca="false">$AC1410*$I1410</f>
        <v>2881314360</v>
      </c>
      <c r="AE1410" s="49" t="n">
        <f aca="false">IF($Q1410&gt;0,$O1410*$I1410/$Q1410/1000000,"")</f>
        <v>59.5854289115044</v>
      </c>
      <c r="AF1410" s="49" t="n">
        <f aca="false">IF($R1410&gt;0,$P1410*$I1410/$R1410/1000000,"")</f>
        <v>62.2106373648649</v>
      </c>
      <c r="AG1410" s="50" t="n">
        <f aca="false">IF(AND(ISNUMBER($AE1410),ISNUMBER($AF1410),$AF1410&gt;0),$AE1410/$AF1410,"")</f>
        <v>0.957801293081702</v>
      </c>
      <c r="AH1410" s="48" t="n">
        <f aca="false">IF($U1410&gt;=5,SUM(INDEX($AD$1380:$AD1410,32-5):$AD1410),"")</f>
        <v>18093092619</v>
      </c>
      <c r="AI1410" s="48" t="n">
        <f aca="false">IF($U1410&gt;=STRUCT_S,MAX(INDEX($G$1260:$G1410,152-STRUCT_S):$G1410),"")</f>
        <v>1558</v>
      </c>
      <c r="AJ1410" s="48" t="n">
        <f aca="false">IF($U1410&gt;=STRUCT_S,MIN(INDEX($H$1260:$H1410,152-STRUCT_S):$H1410),"")</f>
        <v>1309</v>
      </c>
      <c r="AK1410" s="48" t="n">
        <f aca="false">IF($U1410&gt;=STRUCT_L,MAX(INDEX($G$1160:$G1410,252-STRUCT_L):$G1410),"")</f>
        <v>1676</v>
      </c>
      <c r="AL1410" s="48" t="n">
        <f aca="false">IF($U1410&gt;=STRUCT_L,MIN(INDEX($H$1160:$H1410,252-STRUCT_L):$H1410),"")</f>
        <v>1309</v>
      </c>
      <c r="AM1410" s="46" t="n">
        <f aca="false">IF($A1410&lt;&gt;$A1411,1,0)</f>
        <v>0</v>
      </c>
      <c r="AN1410" s="47" t="str">
        <f aca="false">IF($AM1410=1,$A1410,"")</f>
        <v/>
      </c>
    </row>
    <row r="1411" customFormat="false" ht="15" hidden="false" customHeight="false" outlineLevel="0" collapsed="false">
      <c r="A1411" s="43" t="s">
        <v>157</v>
      </c>
      <c r="B1411" s="44" t="s">
        <v>159</v>
      </c>
      <c r="C1411" s="45" t="n">
        <v>46054</v>
      </c>
      <c r="D1411" s="46" t="n">
        <v>20260201</v>
      </c>
      <c r="E1411" s="47" t="s">
        <v>394</v>
      </c>
      <c r="F1411" s="48" t="n">
        <v>1521</v>
      </c>
      <c r="G1411" s="48" t="n">
        <v>1559</v>
      </c>
      <c r="H1411" s="48" t="n">
        <v>1476</v>
      </c>
      <c r="I1411" s="48" t="n">
        <v>1505</v>
      </c>
      <c r="J1411" s="48" t="n">
        <v>1552</v>
      </c>
      <c r="K1411" s="48" t="n">
        <v>1530</v>
      </c>
      <c r="L1411" s="48" t="n">
        <v>74513810</v>
      </c>
      <c r="M1411" s="48" t="n">
        <v>112143284050</v>
      </c>
      <c r="N1411" s="48" t="n">
        <v>2329</v>
      </c>
      <c r="O1411" s="48" t="n">
        <v>35504020</v>
      </c>
      <c r="P1411" s="48" t="n">
        <v>42871914</v>
      </c>
      <c r="Q1411" s="48" t="n">
        <v>762</v>
      </c>
      <c r="R1411" s="48" t="n">
        <v>1029</v>
      </c>
      <c r="S1411" s="48" t="n">
        <v>39009790</v>
      </c>
      <c r="T1411" s="48" t="n">
        <v>31641896</v>
      </c>
      <c r="U1411" s="46" t="n">
        <f aca="false">IF($A1411=$A1410,$U1410+1,1)</f>
        <v>107</v>
      </c>
      <c r="V1411" s="48" t="n">
        <f aca="false">IF($U1411&gt;=MA_SHORT,AVERAGE(INDEX($I$1011:$I1411,402-MA_SHORT):$I1411),"")</f>
        <v>1411.85</v>
      </c>
      <c r="W1411" s="48" t="n">
        <f aca="false">IF($U1411&gt;=MA_MED,AVERAGE(INDEX($I$1011:$I1411,402-MA_MED):$I1411),"")</f>
        <v>1450.66</v>
      </c>
      <c r="X1411" s="48" t="n">
        <f aca="false">IF($U1411&gt;=MA_LONG1,AVERAGE(INDEX($I$1011:$I1411,402-MA_LONG1):$I1411),"")</f>
        <v>1470.68</v>
      </c>
      <c r="Y1411" s="48" t="str">
        <f aca="false">IF($U1411&gt;=MA_LONG2,AVERAGE(INDEX($I$1011:$I1411,402-MA_LONG2):$I1411),"")</f>
        <v/>
      </c>
      <c r="Z1411" s="48" t="n">
        <f aca="false">IF($U1411&gt;=MA_SHORT,AVERAGE(INDEX($L$1291:$L1411,122-MA_SHORT):$L1411),"")</f>
        <v>84977809.8</v>
      </c>
      <c r="AA1411" s="48" t="n">
        <f aca="false">IF($U1411=1,$G1411-$H1411,MAX($G1411-$H1411,ABS($G1411-$I1410),ABS($H1411-$I1410)))</f>
        <v>83</v>
      </c>
      <c r="AB1411" s="48" t="n">
        <f aca="false">IF($U1411&gt;=ATR_PER,AVERAGE(INDEX($AA$1291:$AA1411,122-ATR_PER):$AA1411),"")</f>
        <v>58.6428571428571</v>
      </c>
      <c r="AC1411" s="48" t="n">
        <f aca="false">$O1411-$P1411</f>
        <v>-7367894</v>
      </c>
      <c r="AD1411" s="48" t="n">
        <f aca="false">$AC1411*$I1411</f>
        <v>-11088680470</v>
      </c>
      <c r="AE1411" s="49" t="n">
        <f aca="false">IF($Q1411&gt;0,$O1411*$I1411/$Q1411/1000000,"")</f>
        <v>70.122769160105</v>
      </c>
      <c r="AF1411" s="49" t="n">
        <f aca="false">IF($R1411&gt;0,$P1411*$I1411/$R1411/1000000,"")</f>
        <v>62.7038197959184</v>
      </c>
      <c r="AG1411" s="50" t="n">
        <f aca="false">IF(AND(ISNUMBER($AE1411),ISNUMBER($AF1411),$AF1411&gt;0),$AE1411/$AF1411,"")</f>
        <v>1.11831734315921</v>
      </c>
      <c r="AH1411" s="48" t="n">
        <f aca="false">IF($U1411&gt;=5,SUM(INDEX($AD$1381:$AD1411,32-5):$AD1411),"")</f>
        <v>-19085428931</v>
      </c>
      <c r="AI1411" s="48" t="n">
        <f aca="false">IF($U1411&gt;=STRUCT_S,MAX(INDEX($G$1261:$G1411,152-STRUCT_S):$G1411),"")</f>
        <v>1559</v>
      </c>
      <c r="AJ1411" s="48" t="n">
        <f aca="false">IF($U1411&gt;=STRUCT_S,MIN(INDEX($H$1261:$H1411,152-STRUCT_S):$H1411),"")</f>
        <v>1309</v>
      </c>
      <c r="AK1411" s="48" t="n">
        <f aca="false">IF($U1411&gt;=STRUCT_L,MAX(INDEX($G$1161:$G1411,252-STRUCT_L):$G1411),"")</f>
        <v>1676</v>
      </c>
      <c r="AL1411" s="48" t="n">
        <f aca="false">IF($U1411&gt;=STRUCT_L,MIN(INDEX($H$1161:$H1411,252-STRUCT_L):$H1411),"")</f>
        <v>1309</v>
      </c>
      <c r="AM1411" s="46" t="n">
        <f aca="false">IF($A1411&lt;&gt;$A1412,1,0)</f>
        <v>0</v>
      </c>
      <c r="AN1411" s="47" t="str">
        <f aca="false">IF($AM1411=1,$A1411,"")</f>
        <v/>
      </c>
    </row>
    <row r="1412" customFormat="false" ht="15" hidden="false" customHeight="false" outlineLevel="0" collapsed="false">
      <c r="A1412" s="43" t="s">
        <v>157</v>
      </c>
      <c r="B1412" s="44" t="s">
        <v>159</v>
      </c>
      <c r="C1412" s="45" t="n">
        <v>46055</v>
      </c>
      <c r="D1412" s="46" t="n">
        <v>20260202</v>
      </c>
      <c r="E1412" s="47" t="s">
        <v>395</v>
      </c>
      <c r="F1412" s="48" t="n">
        <v>1497</v>
      </c>
      <c r="G1412" s="48" t="n">
        <v>1528</v>
      </c>
      <c r="H1412" s="48" t="n">
        <v>1475</v>
      </c>
      <c r="I1412" s="48" t="n">
        <v>1497</v>
      </c>
      <c r="J1412" s="48" t="n">
        <v>1509</v>
      </c>
      <c r="K1412" s="48" t="n">
        <v>1505</v>
      </c>
      <c r="L1412" s="48" t="n">
        <v>206303001</v>
      </c>
      <c r="M1412" s="48" t="n">
        <v>308835592497</v>
      </c>
      <c r="N1412" s="48" t="n">
        <v>8387</v>
      </c>
      <c r="O1412" s="48" t="n">
        <v>112982221</v>
      </c>
      <c r="P1412" s="48" t="n">
        <v>95096727</v>
      </c>
      <c r="Q1412" s="48" t="n">
        <v>3387</v>
      </c>
      <c r="R1412" s="48" t="n">
        <v>3300</v>
      </c>
      <c r="S1412" s="48" t="n">
        <v>93320780</v>
      </c>
      <c r="T1412" s="48" t="n">
        <v>111206274</v>
      </c>
      <c r="U1412" s="46" t="n">
        <f aca="false">IF($A1412=$A1411,$U1411+1,1)</f>
        <v>108</v>
      </c>
      <c r="V1412" s="48" t="n">
        <f aca="false">IF($U1412&gt;=MA_SHORT,AVERAGE(INDEX($I$1012:$I1412,402-MA_SHORT):$I1412),"")</f>
        <v>1417.35</v>
      </c>
      <c r="W1412" s="48" t="n">
        <f aca="false">IF($U1412&gt;=MA_MED,AVERAGE(INDEX($I$1012:$I1412,402-MA_MED):$I1412),"")</f>
        <v>1449.56</v>
      </c>
      <c r="X1412" s="48" t="n">
        <f aca="false">IF($U1412&gt;=MA_LONG1,AVERAGE(INDEX($I$1012:$I1412,402-MA_LONG1):$I1412),"")</f>
        <v>1471.29</v>
      </c>
      <c r="Y1412" s="48" t="str">
        <f aca="false">IF($U1412&gt;=MA_LONG2,AVERAGE(INDEX($I$1012:$I1412,402-MA_LONG2):$I1412),"")</f>
        <v/>
      </c>
      <c r="Z1412" s="48" t="n">
        <f aca="false">IF($U1412&gt;=MA_SHORT,AVERAGE(INDEX($L$1292:$L1412,122-MA_SHORT):$L1412),"")</f>
        <v>90268280</v>
      </c>
      <c r="AA1412" s="48" t="n">
        <f aca="false">IF($U1412=1,$G1412-$H1412,MAX($G1412-$H1412,ABS($G1412-$I1411),ABS($H1412-$I1411)))</f>
        <v>53</v>
      </c>
      <c r="AB1412" s="48" t="n">
        <f aca="false">IF($U1412&gt;=ATR_PER,AVERAGE(INDEX($AA$1292:$AA1412,122-ATR_PER):$AA1412),"")</f>
        <v>56.5</v>
      </c>
      <c r="AC1412" s="48" t="n">
        <f aca="false">$O1412-$P1412</f>
        <v>17885494</v>
      </c>
      <c r="AD1412" s="48" t="n">
        <f aca="false">$AC1412*$I1412</f>
        <v>26774584518</v>
      </c>
      <c r="AE1412" s="49" t="n">
        <f aca="false">IF($Q1412&gt;0,$O1412*$I1412/$Q1412/1000000,"")</f>
        <v>49.9363403711249</v>
      </c>
      <c r="AF1412" s="49" t="n">
        <f aca="false">IF($R1412&gt;0,$P1412*$I1412/$R1412/1000000,"")</f>
        <v>43.13933343</v>
      </c>
      <c r="AG1412" s="50" t="n">
        <f aca="false">IF(AND(ISNUMBER($AE1412),ISNUMBER($AF1412),$AF1412&gt;0),$AE1412/$AF1412,"")</f>
        <v>1.15755938723889</v>
      </c>
      <c r="AH1412" s="48" t="n">
        <f aca="false">IF($U1412&gt;=5,SUM(INDEX($AD$1382:$AD1412,32-5):$AD1412),"")</f>
        <v>25264652988</v>
      </c>
      <c r="AI1412" s="48" t="n">
        <f aca="false">IF($U1412&gt;=STRUCT_S,MAX(INDEX($G$1262:$G1412,152-STRUCT_S):$G1412),"")</f>
        <v>1559</v>
      </c>
      <c r="AJ1412" s="48" t="n">
        <f aca="false">IF($U1412&gt;=STRUCT_S,MIN(INDEX($H$1262:$H1412,152-STRUCT_S):$H1412),"")</f>
        <v>1309</v>
      </c>
      <c r="AK1412" s="48" t="n">
        <f aca="false">IF($U1412&gt;=STRUCT_L,MAX(INDEX($G$1162:$G1412,252-STRUCT_L):$G1412),"")</f>
        <v>1676</v>
      </c>
      <c r="AL1412" s="48" t="n">
        <f aca="false">IF($U1412&gt;=STRUCT_L,MIN(INDEX($H$1162:$H1412,252-STRUCT_L):$H1412),"")</f>
        <v>1309</v>
      </c>
      <c r="AM1412" s="46" t="n">
        <f aca="false">IF($A1412&lt;&gt;$A1413,1,0)</f>
        <v>0</v>
      </c>
      <c r="AN1412" s="47" t="str">
        <f aca="false">IF($AM1412=1,$A1412,"")</f>
        <v/>
      </c>
    </row>
    <row r="1413" customFormat="false" ht="15" hidden="false" customHeight="false" outlineLevel="0" collapsed="false">
      <c r="A1413" s="43" t="s">
        <v>157</v>
      </c>
      <c r="B1413" s="44" t="s">
        <v>159</v>
      </c>
      <c r="C1413" s="45" t="n">
        <v>46056</v>
      </c>
      <c r="D1413" s="46" t="n">
        <v>20260203</v>
      </c>
      <c r="E1413" s="47" t="s">
        <v>396</v>
      </c>
      <c r="F1413" s="48" t="n">
        <v>1482</v>
      </c>
      <c r="G1413" s="48" t="n">
        <v>1502</v>
      </c>
      <c r="H1413" s="48" t="n">
        <v>1476</v>
      </c>
      <c r="I1413" s="48" t="n">
        <v>1481</v>
      </c>
      <c r="J1413" s="48" t="n">
        <v>1502</v>
      </c>
      <c r="K1413" s="48" t="n">
        <v>1497</v>
      </c>
      <c r="L1413" s="48" t="n">
        <v>78760271</v>
      </c>
      <c r="M1413" s="48" t="n">
        <v>116643961351</v>
      </c>
      <c r="N1413" s="48" t="n">
        <v>3788</v>
      </c>
      <c r="O1413" s="48" t="n">
        <v>37024756</v>
      </c>
      <c r="P1413" s="48" t="n">
        <v>44440867</v>
      </c>
      <c r="Q1413" s="48" t="n">
        <v>1526</v>
      </c>
      <c r="R1413" s="48" t="n">
        <v>2038</v>
      </c>
      <c r="S1413" s="48" t="n">
        <v>41735515</v>
      </c>
      <c r="T1413" s="48" t="n">
        <v>34319404</v>
      </c>
      <c r="U1413" s="46" t="n">
        <f aca="false">IF($A1413=$A1412,$U1412+1,1)</f>
        <v>109</v>
      </c>
      <c r="V1413" s="48" t="n">
        <f aca="false">IF($U1413&gt;=MA_SHORT,AVERAGE(INDEX($I$1013:$I1413,402-MA_SHORT):$I1413),"")</f>
        <v>1424.9</v>
      </c>
      <c r="W1413" s="48" t="n">
        <f aca="false">IF($U1413&gt;=MA_MED,AVERAGE(INDEX($I$1013:$I1413,402-MA_MED):$I1413),"")</f>
        <v>1447.56</v>
      </c>
      <c r="X1413" s="48" t="n">
        <f aca="false">IF($U1413&gt;=MA_LONG1,AVERAGE(INDEX($I$1013:$I1413,402-MA_LONG1):$I1413),"")</f>
        <v>1471.87</v>
      </c>
      <c r="Y1413" s="48" t="str">
        <f aca="false">IF($U1413&gt;=MA_LONG2,AVERAGE(INDEX($I$1013:$I1413,402-MA_LONG2):$I1413),"")</f>
        <v/>
      </c>
      <c r="Z1413" s="48" t="n">
        <f aca="false">IF($U1413&gt;=MA_SHORT,AVERAGE(INDEX($L$1293:$L1413,122-MA_SHORT):$L1413),"")</f>
        <v>89976614.1</v>
      </c>
      <c r="AA1413" s="48" t="n">
        <f aca="false">IF($U1413=1,$G1413-$H1413,MAX($G1413-$H1413,ABS($G1413-$I1412),ABS($H1413-$I1412)))</f>
        <v>26</v>
      </c>
      <c r="AB1413" s="48" t="n">
        <f aca="false">IF($U1413&gt;=ATR_PER,AVERAGE(INDEX($AA$1293:$AA1413,122-ATR_PER):$AA1413),"")</f>
        <v>57.0714285714286</v>
      </c>
      <c r="AC1413" s="48" t="n">
        <f aca="false">$O1413-$P1413</f>
        <v>-7416111</v>
      </c>
      <c r="AD1413" s="48" t="n">
        <f aca="false">$AC1413*$I1413</f>
        <v>-10983260391</v>
      </c>
      <c r="AE1413" s="49" t="n">
        <f aca="false">IF($Q1413&gt;0,$O1413*$I1413/$Q1413/1000000,"")</f>
        <v>35.9329381625164</v>
      </c>
      <c r="AF1413" s="49" t="n">
        <f aca="false">IF($R1413&gt;0,$P1413*$I1413/$R1413/1000000,"")</f>
        <v>32.2948596795878</v>
      </c>
      <c r="AG1413" s="50" t="n">
        <f aca="false">IF(AND(ISNUMBER($AE1413),ISNUMBER($AF1413),$AF1413&gt;0),$AE1413/$AF1413,"")</f>
        <v>1.11265193653181</v>
      </c>
      <c r="AH1413" s="48" t="n">
        <f aca="false">IF($U1413&gt;=5,SUM(INDEX($AD$1383:$AD1413,32-5):$AD1413),"")</f>
        <v>-4584270023</v>
      </c>
      <c r="AI1413" s="48" t="n">
        <f aca="false">IF($U1413&gt;=STRUCT_S,MAX(INDEX($G$1263:$G1413,152-STRUCT_S):$G1413),"")</f>
        <v>1559</v>
      </c>
      <c r="AJ1413" s="48" t="n">
        <f aca="false">IF($U1413&gt;=STRUCT_S,MIN(INDEX($H$1263:$H1413,152-STRUCT_S):$H1413),"")</f>
        <v>1309</v>
      </c>
      <c r="AK1413" s="48" t="n">
        <f aca="false">IF($U1413&gt;=STRUCT_L,MAX(INDEX($G$1163:$G1413,252-STRUCT_L):$G1413),"")</f>
        <v>1676</v>
      </c>
      <c r="AL1413" s="48" t="n">
        <f aca="false">IF($U1413&gt;=STRUCT_L,MIN(INDEX($H$1163:$H1413,252-STRUCT_L):$H1413),"")</f>
        <v>1309</v>
      </c>
      <c r="AM1413" s="46" t="n">
        <f aca="false">IF($A1413&lt;&gt;$A1414,1,0)</f>
        <v>0</v>
      </c>
      <c r="AN1413" s="47" t="str">
        <f aca="false">IF($AM1413=1,$A1413,"")</f>
        <v/>
      </c>
    </row>
    <row r="1414" customFormat="false" ht="15" hidden="false" customHeight="false" outlineLevel="0" collapsed="false">
      <c r="A1414" s="43" t="s">
        <v>157</v>
      </c>
      <c r="B1414" s="44" t="s">
        <v>159</v>
      </c>
      <c r="C1414" s="45" t="n">
        <v>46057</v>
      </c>
      <c r="D1414" s="46" t="n">
        <v>20260204</v>
      </c>
      <c r="E1414" s="47" t="s">
        <v>397</v>
      </c>
      <c r="F1414" s="48" t="n">
        <v>1481</v>
      </c>
      <c r="G1414" s="48" t="n">
        <v>1494</v>
      </c>
      <c r="H1414" s="48" t="n">
        <v>1466</v>
      </c>
      <c r="I1414" s="48" t="n">
        <v>1479</v>
      </c>
      <c r="J1414" s="48" t="n">
        <v>1471</v>
      </c>
      <c r="K1414" s="48" t="n">
        <v>1481</v>
      </c>
      <c r="L1414" s="48" t="n">
        <v>85850126</v>
      </c>
      <c r="M1414" s="48" t="n">
        <v>126972336354</v>
      </c>
      <c r="N1414" s="48" t="n">
        <v>2771</v>
      </c>
      <c r="O1414" s="48" t="n">
        <v>48920762</v>
      </c>
      <c r="P1414" s="48" t="n">
        <v>35862676</v>
      </c>
      <c r="Q1414" s="48" t="n">
        <v>1107</v>
      </c>
      <c r="R1414" s="48" t="n">
        <v>1479</v>
      </c>
      <c r="S1414" s="48" t="n">
        <v>36929364</v>
      </c>
      <c r="T1414" s="48" t="n">
        <v>49987450</v>
      </c>
      <c r="U1414" s="46" t="n">
        <f aca="false">IF($A1414=$A1413,$U1413+1,1)</f>
        <v>110</v>
      </c>
      <c r="V1414" s="48" t="n">
        <f aca="false">IF($U1414&gt;=MA_SHORT,AVERAGE(INDEX($I$1014:$I1414,402-MA_SHORT):$I1414),"")</f>
        <v>1431.35</v>
      </c>
      <c r="W1414" s="48" t="n">
        <f aca="false">IF($U1414&gt;=MA_MED,AVERAGE(INDEX($I$1014:$I1414,402-MA_MED):$I1414),"")</f>
        <v>1446.4</v>
      </c>
      <c r="X1414" s="48" t="n">
        <f aca="false">IF($U1414&gt;=MA_LONG1,AVERAGE(INDEX($I$1014:$I1414,402-MA_LONG1):$I1414),"")</f>
        <v>1472.95</v>
      </c>
      <c r="Y1414" s="48" t="str">
        <f aca="false">IF($U1414&gt;=MA_LONG2,AVERAGE(INDEX($I$1014:$I1414,402-MA_LONG2):$I1414),"")</f>
        <v/>
      </c>
      <c r="Z1414" s="48" t="n">
        <f aca="false">IF($U1414&gt;=MA_SHORT,AVERAGE(INDEX($L$1294:$L1414,122-MA_SHORT):$L1414),"")</f>
        <v>89248188.95</v>
      </c>
      <c r="AA1414" s="48" t="n">
        <f aca="false">IF($U1414=1,$G1414-$H1414,MAX($G1414-$H1414,ABS($G1414-$I1413),ABS($H1414-$I1413)))</f>
        <v>28</v>
      </c>
      <c r="AB1414" s="48" t="n">
        <f aca="false">IF($U1414&gt;=ATR_PER,AVERAGE(INDEX($AA$1294:$AA1414,122-ATR_PER):$AA1414),"")</f>
        <v>54.8571428571429</v>
      </c>
      <c r="AC1414" s="48" t="n">
        <f aca="false">$O1414-$P1414</f>
        <v>13058086</v>
      </c>
      <c r="AD1414" s="48" t="n">
        <f aca="false">$AC1414*$I1414</f>
        <v>19312909194</v>
      </c>
      <c r="AE1414" s="49" t="n">
        <f aca="false">IF($Q1414&gt;0,$O1414*$I1414/$Q1414/1000000,"")</f>
        <v>65.3602592574526</v>
      </c>
      <c r="AF1414" s="49" t="n">
        <f aca="false">IF($R1414&gt;0,$P1414*$I1414/$R1414/1000000,"")</f>
        <v>35.862676</v>
      </c>
      <c r="AG1414" s="50" t="n">
        <f aca="false">IF(AND(ISNUMBER($AE1414),ISNUMBER($AF1414),$AF1414&gt;0),$AE1414/$AF1414,"")</f>
        <v>1.82251484126429</v>
      </c>
      <c r="AH1414" s="48" t="n">
        <f aca="false">IF($U1414&gt;=5,SUM(INDEX($AD$1384:$AD1414,32-5):$AD1414),"")</f>
        <v>26896867211</v>
      </c>
      <c r="AI1414" s="48" t="n">
        <f aca="false">IF($U1414&gt;=STRUCT_S,MAX(INDEX($G$1264:$G1414,152-STRUCT_S):$G1414),"")</f>
        <v>1559</v>
      </c>
      <c r="AJ1414" s="48" t="n">
        <f aca="false">IF($U1414&gt;=STRUCT_S,MIN(INDEX($H$1264:$H1414,152-STRUCT_S):$H1414),"")</f>
        <v>1309</v>
      </c>
      <c r="AK1414" s="48" t="n">
        <f aca="false">IF($U1414&gt;=STRUCT_L,MAX(INDEX($G$1164:$G1414,252-STRUCT_L):$G1414),"")</f>
        <v>1631</v>
      </c>
      <c r="AL1414" s="48" t="n">
        <f aca="false">IF($U1414&gt;=STRUCT_L,MIN(INDEX($H$1164:$H1414,252-STRUCT_L):$H1414),"")</f>
        <v>1309</v>
      </c>
      <c r="AM1414" s="46" t="n">
        <f aca="false">IF($A1414&lt;&gt;$A1415,1,0)</f>
        <v>0</v>
      </c>
      <c r="AN1414" s="47" t="str">
        <f aca="false">IF($AM1414=1,$A1414,"")</f>
        <v/>
      </c>
    </row>
    <row r="1415" customFormat="false" ht="15" hidden="false" customHeight="false" outlineLevel="0" collapsed="false">
      <c r="A1415" s="43" t="s">
        <v>157</v>
      </c>
      <c r="B1415" s="44" t="s">
        <v>159</v>
      </c>
      <c r="C1415" s="45" t="n">
        <v>46060</v>
      </c>
      <c r="D1415" s="46" t="n">
        <v>20260207</v>
      </c>
      <c r="E1415" s="47" t="s">
        <v>398</v>
      </c>
      <c r="F1415" s="48" t="n">
        <v>1466</v>
      </c>
      <c r="G1415" s="48" t="n">
        <v>1502</v>
      </c>
      <c r="H1415" s="48" t="n">
        <v>1449</v>
      </c>
      <c r="I1415" s="48" t="n">
        <v>1472</v>
      </c>
      <c r="J1415" s="48" t="n">
        <v>1462</v>
      </c>
      <c r="K1415" s="48" t="n">
        <v>1479</v>
      </c>
      <c r="L1415" s="48" t="n">
        <v>86139624</v>
      </c>
      <c r="M1415" s="48" t="n">
        <v>126797526528</v>
      </c>
      <c r="N1415" s="48" t="n">
        <v>9259</v>
      </c>
      <c r="O1415" s="48" t="n">
        <v>32526863</v>
      </c>
      <c r="P1415" s="48" t="n">
        <v>48605962</v>
      </c>
      <c r="Q1415" s="48" t="n">
        <v>4936</v>
      </c>
      <c r="R1415" s="48" t="n">
        <v>3424</v>
      </c>
      <c r="S1415" s="48" t="n">
        <v>53612761</v>
      </c>
      <c r="T1415" s="48" t="n">
        <v>37533662</v>
      </c>
      <c r="U1415" s="46" t="n">
        <f aca="false">IF($A1415=$A1414,$U1414+1,1)</f>
        <v>111</v>
      </c>
      <c r="V1415" s="48" t="n">
        <f aca="false">IF($U1415&gt;=MA_SHORT,AVERAGE(INDEX($I$1015:$I1415,402-MA_SHORT):$I1415),"")</f>
        <v>1437.7</v>
      </c>
      <c r="W1415" s="48" t="n">
        <f aca="false">IF($U1415&gt;=MA_MED,AVERAGE(INDEX($I$1015:$I1415,402-MA_MED):$I1415),"")</f>
        <v>1445.36</v>
      </c>
      <c r="X1415" s="48" t="n">
        <f aca="false">IF($U1415&gt;=MA_LONG1,AVERAGE(INDEX($I$1015:$I1415,402-MA_LONG1):$I1415),"")</f>
        <v>1473.9</v>
      </c>
      <c r="Y1415" s="48" t="str">
        <f aca="false">IF($U1415&gt;=MA_LONG2,AVERAGE(INDEX($I$1015:$I1415,402-MA_LONG2):$I1415),"")</f>
        <v/>
      </c>
      <c r="Z1415" s="48" t="n">
        <f aca="false">IF($U1415&gt;=MA_SHORT,AVERAGE(INDEX($L$1295:$L1415,122-MA_SHORT):$L1415),"")</f>
        <v>90086729.7</v>
      </c>
      <c r="AA1415" s="48" t="n">
        <f aca="false">IF($U1415=1,$G1415-$H1415,MAX($G1415-$H1415,ABS($G1415-$I1414),ABS($H1415-$I1414)))</f>
        <v>53</v>
      </c>
      <c r="AB1415" s="48" t="n">
        <f aca="false">IF($U1415&gt;=ATR_PER,AVERAGE(INDEX($AA$1295:$AA1415,122-ATR_PER):$AA1415),"")</f>
        <v>53</v>
      </c>
      <c r="AC1415" s="48" t="n">
        <f aca="false">$O1415-$P1415</f>
        <v>-16079099</v>
      </c>
      <c r="AD1415" s="48" t="n">
        <f aca="false">$AC1415*$I1415</f>
        <v>-23668433728</v>
      </c>
      <c r="AE1415" s="49" t="n">
        <f aca="false">IF($Q1415&gt;0,$O1415*$I1415/$Q1415/1000000,"")</f>
        <v>9.70006935494327</v>
      </c>
      <c r="AF1415" s="49" t="n">
        <f aca="false">IF($R1415&gt;0,$P1415*$I1415/$R1415/1000000,"")</f>
        <v>20.896021046729</v>
      </c>
      <c r="AG1415" s="50" t="n">
        <f aca="false">IF(AND(ISNUMBER($AE1415),ISNUMBER($AF1415),$AF1415&gt;0),$AE1415/$AF1415,"")</f>
        <v>0.464206526843143</v>
      </c>
      <c r="AH1415" s="48" t="n">
        <f aca="false">IF($U1415&gt;=5,SUM(INDEX($AD$1385:$AD1415,32-5):$AD1415),"")</f>
        <v>347119123</v>
      </c>
      <c r="AI1415" s="48" t="n">
        <f aca="false">IF($U1415&gt;=STRUCT_S,MAX(INDEX($G$1265:$G1415,152-STRUCT_S):$G1415),"")</f>
        <v>1559</v>
      </c>
      <c r="AJ1415" s="48" t="n">
        <f aca="false">IF($U1415&gt;=STRUCT_S,MIN(INDEX($H$1265:$H1415,152-STRUCT_S):$H1415),"")</f>
        <v>1309</v>
      </c>
      <c r="AK1415" s="48" t="n">
        <f aca="false">IF($U1415&gt;=STRUCT_L,MAX(INDEX($G$1165:$G1415,252-STRUCT_L):$G1415),"")</f>
        <v>1631</v>
      </c>
      <c r="AL1415" s="48" t="n">
        <f aca="false">IF($U1415&gt;=STRUCT_L,MIN(INDEX($H$1165:$H1415,252-STRUCT_L):$H1415),"")</f>
        <v>1309</v>
      </c>
      <c r="AM1415" s="46" t="n">
        <f aca="false">IF($A1415&lt;&gt;$A1416,1,0)</f>
        <v>0</v>
      </c>
      <c r="AN1415" s="47" t="str">
        <f aca="false">IF($AM1415=1,$A1415,"")</f>
        <v/>
      </c>
    </row>
    <row r="1416" customFormat="false" ht="15" hidden="false" customHeight="false" outlineLevel="0" collapsed="false">
      <c r="A1416" s="43" t="s">
        <v>157</v>
      </c>
      <c r="B1416" s="44" t="s">
        <v>159</v>
      </c>
      <c r="C1416" s="45" t="n">
        <v>46061</v>
      </c>
      <c r="D1416" s="46" t="n">
        <v>20260208</v>
      </c>
      <c r="E1416" s="47" t="s">
        <v>399</v>
      </c>
      <c r="F1416" s="48" t="n">
        <v>1445</v>
      </c>
      <c r="G1416" s="48" t="n">
        <v>1533</v>
      </c>
      <c r="H1416" s="48" t="n">
        <v>1442</v>
      </c>
      <c r="I1416" s="48" t="n">
        <v>1503</v>
      </c>
      <c r="J1416" s="48" t="n">
        <v>1486</v>
      </c>
      <c r="K1416" s="48" t="n">
        <v>1472</v>
      </c>
      <c r="L1416" s="48" t="n">
        <v>105940772</v>
      </c>
      <c r="M1416" s="48" t="n">
        <v>159228980316</v>
      </c>
      <c r="N1416" s="48" t="n">
        <v>7604</v>
      </c>
      <c r="O1416" s="48" t="n">
        <v>60354578</v>
      </c>
      <c r="P1416" s="48" t="n">
        <v>45098382</v>
      </c>
      <c r="Q1416" s="48" t="n">
        <v>3483</v>
      </c>
      <c r="R1416" s="48" t="n">
        <v>2355</v>
      </c>
      <c r="S1416" s="48" t="n">
        <v>45586194</v>
      </c>
      <c r="T1416" s="48" t="n">
        <v>60842390</v>
      </c>
      <c r="U1416" s="46" t="n">
        <f aca="false">IF($A1416=$A1415,$U1415+1,1)</f>
        <v>112</v>
      </c>
      <c r="V1416" s="48" t="n">
        <f aca="false">IF($U1416&gt;=MA_SHORT,AVERAGE(INDEX($I$1016:$I1416,402-MA_SHORT):$I1416),"")</f>
        <v>1443.6</v>
      </c>
      <c r="W1416" s="48" t="n">
        <f aca="false">IF($U1416&gt;=MA_MED,AVERAGE(INDEX($I$1016:$I1416,402-MA_MED):$I1416),"")</f>
        <v>1445.44</v>
      </c>
      <c r="X1416" s="48" t="n">
        <f aca="false">IF($U1416&gt;=MA_LONG1,AVERAGE(INDEX($I$1016:$I1416,402-MA_LONG1):$I1416),"")</f>
        <v>1475</v>
      </c>
      <c r="Y1416" s="48" t="str">
        <f aca="false">IF($U1416&gt;=MA_LONG2,AVERAGE(INDEX($I$1016:$I1416,402-MA_LONG2):$I1416),"")</f>
        <v/>
      </c>
      <c r="Z1416" s="48" t="n">
        <f aca="false">IF($U1416&gt;=MA_SHORT,AVERAGE(INDEX($L$1296:$L1416,122-MA_SHORT):$L1416),"")</f>
        <v>91385279.3</v>
      </c>
      <c r="AA1416" s="48" t="n">
        <f aca="false">IF($U1416=1,$G1416-$H1416,MAX($G1416-$H1416,ABS($G1416-$I1415),ABS($H1416-$I1415)))</f>
        <v>91</v>
      </c>
      <c r="AB1416" s="48" t="n">
        <f aca="false">IF($U1416&gt;=ATR_PER,AVERAGE(INDEX($AA$1296:$AA1416,122-ATR_PER):$AA1416),"")</f>
        <v>57.7142857142857</v>
      </c>
      <c r="AC1416" s="48" t="n">
        <f aca="false">$O1416-$P1416</f>
        <v>15256196</v>
      </c>
      <c r="AD1416" s="48" t="n">
        <f aca="false">$AC1416*$I1416</f>
        <v>22930062588</v>
      </c>
      <c r="AE1416" s="49" t="n">
        <f aca="false">IF($Q1416&gt;0,$O1416*$I1416/$Q1416/1000000,"")</f>
        <v>26.0444819793282</v>
      </c>
      <c r="AF1416" s="49" t="n">
        <f aca="false">IF($R1416&gt;0,$P1416*$I1416/$R1416/1000000,"")</f>
        <v>28.782534244586</v>
      </c>
      <c r="AG1416" s="50" t="n">
        <f aca="false">IF(AND(ISNUMBER($AE1416),ISNUMBER($AF1416),$AF1416&gt;0),$AE1416/$AF1416,"")</f>
        <v>0.90487104985299</v>
      </c>
      <c r="AH1416" s="48" t="n">
        <f aca="false">IF($U1416&gt;=5,SUM(INDEX($AD$1386:$AD1416,32-5):$AD1416),"")</f>
        <v>34365862181</v>
      </c>
      <c r="AI1416" s="48" t="n">
        <f aca="false">IF($U1416&gt;=STRUCT_S,MAX(INDEX($G$1266:$G1416,152-STRUCT_S):$G1416),"")</f>
        <v>1559</v>
      </c>
      <c r="AJ1416" s="48" t="n">
        <f aca="false">IF($U1416&gt;=STRUCT_S,MIN(INDEX($H$1266:$H1416,152-STRUCT_S):$H1416),"")</f>
        <v>1309</v>
      </c>
      <c r="AK1416" s="48" t="n">
        <f aca="false">IF($U1416&gt;=STRUCT_L,MAX(INDEX($G$1166:$G1416,252-STRUCT_L):$G1416),"")</f>
        <v>1631</v>
      </c>
      <c r="AL1416" s="48" t="n">
        <f aca="false">IF($U1416&gt;=STRUCT_L,MIN(INDEX($H$1166:$H1416,252-STRUCT_L):$H1416),"")</f>
        <v>1309</v>
      </c>
      <c r="AM1416" s="46" t="n">
        <f aca="false">IF($A1416&lt;&gt;$A1417,1,0)</f>
        <v>0</v>
      </c>
      <c r="AN1416" s="47" t="str">
        <f aca="false">IF($AM1416=1,$A1416,"")</f>
        <v/>
      </c>
    </row>
    <row r="1417" customFormat="false" ht="15" hidden="false" customHeight="false" outlineLevel="0" collapsed="false">
      <c r="A1417" s="43" t="s">
        <v>157</v>
      </c>
      <c r="B1417" s="44" t="s">
        <v>159</v>
      </c>
      <c r="C1417" s="45" t="n">
        <v>46062</v>
      </c>
      <c r="D1417" s="46" t="n">
        <v>20260209</v>
      </c>
      <c r="E1417" s="47" t="s">
        <v>400</v>
      </c>
      <c r="F1417" s="48" t="n">
        <v>1474</v>
      </c>
      <c r="G1417" s="48" t="n">
        <v>1571</v>
      </c>
      <c r="H1417" s="48" t="n">
        <v>1474</v>
      </c>
      <c r="I1417" s="48" t="n">
        <v>1541</v>
      </c>
      <c r="J1417" s="48" t="n">
        <v>1548</v>
      </c>
      <c r="K1417" s="48" t="n">
        <v>1503</v>
      </c>
      <c r="L1417" s="48" t="n">
        <v>78155043</v>
      </c>
      <c r="M1417" s="48" t="n">
        <v>120436921263</v>
      </c>
      <c r="N1417" s="48" t="n">
        <v>8626</v>
      </c>
      <c r="O1417" s="48" t="n">
        <v>51391173</v>
      </c>
      <c r="P1417" s="48" t="n">
        <v>22591706</v>
      </c>
      <c r="Q1417" s="48" t="n">
        <v>2669</v>
      </c>
      <c r="R1417" s="48" t="n">
        <v>3320</v>
      </c>
      <c r="S1417" s="48" t="n">
        <v>26763870</v>
      </c>
      <c r="T1417" s="48" t="n">
        <v>55563337</v>
      </c>
      <c r="U1417" s="46" t="n">
        <f aca="false">IF($A1417=$A1416,$U1416+1,1)</f>
        <v>113</v>
      </c>
      <c r="V1417" s="48" t="n">
        <f aca="false">IF($U1417&gt;=MA_SHORT,AVERAGE(INDEX($I$1017:$I1417,402-MA_SHORT):$I1417),"")</f>
        <v>1451.8</v>
      </c>
      <c r="W1417" s="48" t="n">
        <f aca="false">IF($U1417&gt;=MA_MED,AVERAGE(INDEX($I$1017:$I1417,402-MA_MED):$I1417),"")</f>
        <v>1445.92</v>
      </c>
      <c r="X1417" s="48" t="n">
        <f aca="false">IF($U1417&gt;=MA_LONG1,AVERAGE(INDEX($I$1017:$I1417,402-MA_LONG1):$I1417),"")</f>
        <v>1476.62</v>
      </c>
      <c r="Y1417" s="48" t="str">
        <f aca="false">IF($U1417&gt;=MA_LONG2,AVERAGE(INDEX($I$1017:$I1417,402-MA_LONG2):$I1417),"")</f>
        <v/>
      </c>
      <c r="Z1417" s="48" t="n">
        <f aca="false">IF($U1417&gt;=MA_SHORT,AVERAGE(INDEX($L$1297:$L1417,122-MA_SHORT):$L1417),"")</f>
        <v>91782399.2</v>
      </c>
      <c r="AA1417" s="48" t="n">
        <f aca="false">IF($U1417=1,$G1417-$H1417,MAX($G1417-$H1417,ABS($G1417-$I1416),ABS($H1417-$I1416)))</f>
        <v>97</v>
      </c>
      <c r="AB1417" s="48" t="n">
        <f aca="false">IF($U1417&gt;=ATR_PER,AVERAGE(INDEX($AA$1297:$AA1417,122-ATR_PER):$AA1417),"")</f>
        <v>61.9285714285714</v>
      </c>
      <c r="AC1417" s="48" t="n">
        <f aca="false">$O1417-$P1417</f>
        <v>28799467</v>
      </c>
      <c r="AD1417" s="48" t="n">
        <f aca="false">$AC1417*$I1417</f>
        <v>44379978647</v>
      </c>
      <c r="AE1417" s="49" t="n">
        <f aca="false">IF($Q1417&gt;0,$O1417*$I1417/$Q1417/1000000,"")</f>
        <v>29.6717113499438</v>
      </c>
      <c r="AF1417" s="49" t="n">
        <f aca="false">IF($R1417&gt;0,$P1417*$I1417/$R1417/1000000,"")</f>
        <v>10.4860900439759</v>
      </c>
      <c r="AG1417" s="50" t="n">
        <f aca="false">IF(AND(ISNUMBER($AE1417),ISNUMBER($AF1417),$AF1417&gt;0),$AE1417/$AF1417,"")</f>
        <v>2.82962584008991</v>
      </c>
      <c r="AH1417" s="48" t="n">
        <f aca="false">IF($U1417&gt;=5,SUM(INDEX($AD$1387:$AD1417,32-5):$AD1417),"")</f>
        <v>51971256310</v>
      </c>
      <c r="AI1417" s="48" t="n">
        <f aca="false">IF($U1417&gt;=STRUCT_S,MAX(INDEX($G$1267:$G1417,152-STRUCT_S):$G1417),"")</f>
        <v>1571</v>
      </c>
      <c r="AJ1417" s="48" t="n">
        <f aca="false">IF($U1417&gt;=STRUCT_S,MIN(INDEX($H$1267:$H1417,152-STRUCT_S):$H1417),"")</f>
        <v>1309</v>
      </c>
      <c r="AK1417" s="48" t="n">
        <f aca="false">IF($U1417&gt;=STRUCT_L,MAX(INDEX($G$1167:$G1417,252-STRUCT_L):$G1417),"")</f>
        <v>1631</v>
      </c>
      <c r="AL1417" s="48" t="n">
        <f aca="false">IF($U1417&gt;=STRUCT_L,MIN(INDEX($H$1167:$H1417,252-STRUCT_L):$H1417),"")</f>
        <v>1309</v>
      </c>
      <c r="AM1417" s="46" t="n">
        <f aca="false">IF($A1417&lt;&gt;$A1418,1,0)</f>
        <v>0</v>
      </c>
      <c r="AN1417" s="47" t="str">
        <f aca="false">IF($AM1417=1,$A1417,"")</f>
        <v/>
      </c>
    </row>
    <row r="1418" customFormat="false" ht="15" hidden="false" customHeight="false" outlineLevel="0" collapsed="false">
      <c r="A1418" s="43" t="s">
        <v>157</v>
      </c>
      <c r="B1418" s="44" t="s">
        <v>159</v>
      </c>
      <c r="C1418" s="45" t="n">
        <v>46063</v>
      </c>
      <c r="D1418" s="46" t="n">
        <v>20260210</v>
      </c>
      <c r="E1418" s="47" t="s">
        <v>401</v>
      </c>
      <c r="F1418" s="48" t="n">
        <v>1564</v>
      </c>
      <c r="G1418" s="48" t="n">
        <v>1574</v>
      </c>
      <c r="H1418" s="48" t="n">
        <v>1533</v>
      </c>
      <c r="I1418" s="48" t="n">
        <v>1566</v>
      </c>
      <c r="J1418" s="48" t="n">
        <v>1551</v>
      </c>
      <c r="K1418" s="48" t="n">
        <v>1541</v>
      </c>
      <c r="L1418" s="48" t="n">
        <v>76881340</v>
      </c>
      <c r="M1418" s="48" t="n">
        <v>120396178440</v>
      </c>
      <c r="N1418" s="48" t="n">
        <v>3362</v>
      </c>
      <c r="O1418" s="48" t="n">
        <v>39473431</v>
      </c>
      <c r="P1418" s="48" t="n">
        <v>37613138</v>
      </c>
      <c r="Q1418" s="48" t="n">
        <v>1309</v>
      </c>
      <c r="R1418" s="48" t="n">
        <v>1170</v>
      </c>
      <c r="S1418" s="48" t="n">
        <v>37407909</v>
      </c>
      <c r="T1418" s="48" t="n">
        <v>39268202</v>
      </c>
      <c r="U1418" s="46" t="n">
        <f aca="false">IF($A1418=$A1417,$U1417+1,1)</f>
        <v>114</v>
      </c>
      <c r="V1418" s="48" t="n">
        <f aca="false">IF($U1418&gt;=MA_SHORT,AVERAGE(INDEX($I$1018:$I1418,402-MA_SHORT):$I1418),"")</f>
        <v>1461.6</v>
      </c>
      <c r="W1418" s="48" t="n">
        <f aca="false">IF($U1418&gt;=MA_MED,AVERAGE(INDEX($I$1018:$I1418,402-MA_MED):$I1418),"")</f>
        <v>1446.46</v>
      </c>
      <c r="X1418" s="48" t="n">
        <f aca="false">IF($U1418&gt;=MA_LONG1,AVERAGE(INDEX($I$1018:$I1418,402-MA_LONG1):$I1418),"")</f>
        <v>1478.08</v>
      </c>
      <c r="Y1418" s="48" t="str">
        <f aca="false">IF($U1418&gt;=MA_LONG2,AVERAGE(INDEX($I$1018:$I1418,402-MA_LONG2):$I1418),"")</f>
        <v/>
      </c>
      <c r="Z1418" s="48" t="n">
        <f aca="false">IF($U1418&gt;=MA_SHORT,AVERAGE(INDEX($L$1298:$L1418,122-MA_SHORT):$L1418),"")</f>
        <v>91275049.55</v>
      </c>
      <c r="AA1418" s="48" t="n">
        <f aca="false">IF($U1418=1,$G1418-$H1418,MAX($G1418-$H1418,ABS($G1418-$I1417),ABS($H1418-$I1417)))</f>
        <v>41</v>
      </c>
      <c r="AB1418" s="48" t="n">
        <f aca="false">IF($U1418&gt;=ATR_PER,AVERAGE(INDEX($AA$1298:$AA1418,122-ATR_PER):$AA1418),"")</f>
        <v>59.6428571428571</v>
      </c>
      <c r="AC1418" s="48" t="n">
        <f aca="false">$O1418-$P1418</f>
        <v>1860293</v>
      </c>
      <c r="AD1418" s="48" t="n">
        <f aca="false">$AC1418*$I1418</f>
        <v>2913218838</v>
      </c>
      <c r="AE1418" s="49" t="n">
        <f aca="false">IF($Q1418&gt;0,$O1418*$I1418/$Q1418/1000000,"")</f>
        <v>47.2233712345302</v>
      </c>
      <c r="AF1418" s="49" t="n">
        <f aca="false">IF($R1418&gt;0,$P1418*$I1418/$R1418/1000000,"")</f>
        <v>50.3437385538462</v>
      </c>
      <c r="AG1418" s="50" t="n">
        <f aca="false">IF(AND(ISNUMBER($AE1418),ISNUMBER($AF1418),$AF1418&gt;0),$AE1418/$AF1418,"")</f>
        <v>0.938018760446673</v>
      </c>
      <c r="AH1418" s="48" t="n">
        <f aca="false">IF($U1418&gt;=5,SUM(INDEX($AD$1388:$AD1418,32-5):$AD1418),"")</f>
        <v>65867735539</v>
      </c>
      <c r="AI1418" s="48" t="n">
        <f aca="false">IF($U1418&gt;=STRUCT_S,MAX(INDEX($G$1268:$G1418,152-STRUCT_S):$G1418),"")</f>
        <v>1574</v>
      </c>
      <c r="AJ1418" s="48" t="n">
        <f aca="false">IF($U1418&gt;=STRUCT_S,MIN(INDEX($H$1268:$H1418,152-STRUCT_S):$H1418),"")</f>
        <v>1309</v>
      </c>
      <c r="AK1418" s="48" t="n">
        <f aca="false">IF($U1418&gt;=STRUCT_L,MAX(INDEX($G$1168:$G1418,252-STRUCT_L):$G1418),"")</f>
        <v>1620</v>
      </c>
      <c r="AL1418" s="48" t="n">
        <f aca="false">IF($U1418&gt;=STRUCT_L,MIN(INDEX($H$1168:$H1418,252-STRUCT_L):$H1418),"")</f>
        <v>1309</v>
      </c>
      <c r="AM1418" s="46" t="n">
        <f aca="false">IF($A1418&lt;&gt;$A1419,1,0)</f>
        <v>0</v>
      </c>
      <c r="AN1418" s="47" t="str">
        <f aca="false">IF($AM1418=1,$A1418,"")</f>
        <v/>
      </c>
    </row>
    <row r="1419" customFormat="false" ht="15" hidden="false" customHeight="false" outlineLevel="0" collapsed="false">
      <c r="A1419" s="43" t="s">
        <v>157</v>
      </c>
      <c r="B1419" s="44" t="s">
        <v>159</v>
      </c>
      <c r="C1419" s="45" t="n">
        <v>46064</v>
      </c>
      <c r="D1419" s="46" t="n">
        <v>20260211</v>
      </c>
      <c r="E1419" s="47" t="s">
        <v>402</v>
      </c>
      <c r="F1419" s="48" t="n">
        <v>1570</v>
      </c>
      <c r="G1419" s="48" t="n">
        <v>1615</v>
      </c>
      <c r="H1419" s="48" t="n">
        <v>1562</v>
      </c>
      <c r="I1419" s="48" t="n">
        <v>1611</v>
      </c>
      <c r="J1419" s="48" t="n">
        <v>1585</v>
      </c>
      <c r="K1419" s="48" t="n">
        <v>1566</v>
      </c>
      <c r="L1419" s="48" t="n">
        <v>80099907</v>
      </c>
      <c r="M1419" s="48" t="n">
        <v>129040950177</v>
      </c>
      <c r="N1419" s="48" t="n">
        <v>2034</v>
      </c>
      <c r="O1419" s="48" t="n">
        <v>49093710</v>
      </c>
      <c r="P1419" s="48" t="n">
        <v>29893099</v>
      </c>
      <c r="Q1419" s="48" t="n">
        <v>1090</v>
      </c>
      <c r="R1419" s="48" t="n">
        <v>630</v>
      </c>
      <c r="S1419" s="48" t="n">
        <v>31006197</v>
      </c>
      <c r="T1419" s="48" t="n">
        <v>50206808</v>
      </c>
      <c r="U1419" s="46" t="n">
        <f aca="false">IF($A1419=$A1418,$U1418+1,1)</f>
        <v>115</v>
      </c>
      <c r="V1419" s="48" t="n">
        <f aca="false">IF($U1419&gt;=MA_SHORT,AVERAGE(INDEX($I$1019:$I1419,402-MA_SHORT):$I1419),"")</f>
        <v>1473.45</v>
      </c>
      <c r="W1419" s="48" t="n">
        <f aca="false">IF($U1419&gt;=MA_MED,AVERAGE(INDEX($I$1019:$I1419,402-MA_MED):$I1419),"")</f>
        <v>1448.76</v>
      </c>
      <c r="X1419" s="48" t="n">
        <f aca="false">IF($U1419&gt;=MA_LONG1,AVERAGE(INDEX($I$1019:$I1419,402-MA_LONG1):$I1419),"")</f>
        <v>1479.81</v>
      </c>
      <c r="Y1419" s="48" t="str">
        <f aca="false">IF($U1419&gt;=MA_LONG2,AVERAGE(INDEX($I$1019:$I1419,402-MA_LONG2):$I1419),"")</f>
        <v/>
      </c>
      <c r="Z1419" s="48" t="n">
        <f aca="false">IF($U1419&gt;=MA_SHORT,AVERAGE(INDEX($L$1299:$L1419,122-MA_SHORT):$L1419),"")</f>
        <v>91827565.25</v>
      </c>
      <c r="AA1419" s="48" t="n">
        <f aca="false">IF($U1419=1,$G1419-$H1419,MAX($G1419-$H1419,ABS($G1419-$I1418),ABS($H1419-$I1418)))</f>
        <v>53</v>
      </c>
      <c r="AB1419" s="48" t="n">
        <f aca="false">IF($U1419&gt;=ATR_PER,AVERAGE(INDEX($AA$1299:$AA1419,122-ATR_PER):$AA1419),"")</f>
        <v>58.8571428571429</v>
      </c>
      <c r="AC1419" s="48" t="n">
        <f aca="false">$O1419-$P1419</f>
        <v>19200611</v>
      </c>
      <c r="AD1419" s="48" t="n">
        <f aca="false">$AC1419*$I1419</f>
        <v>30932184321</v>
      </c>
      <c r="AE1419" s="49" t="n">
        <f aca="false">IF($Q1419&gt;0,$O1419*$I1419/$Q1419/1000000,"")</f>
        <v>72.5596025779817</v>
      </c>
      <c r="AF1419" s="49" t="n">
        <f aca="false">IF($R1419&gt;0,$P1419*$I1419/$R1419/1000000,"")</f>
        <v>76.4409245857143</v>
      </c>
      <c r="AG1419" s="50" t="n">
        <f aca="false">IF(AND(ISNUMBER($AE1419),ISNUMBER($AF1419),$AF1419&gt;0),$AE1419/$AF1419,"")</f>
        <v>0.949224554402394</v>
      </c>
      <c r="AH1419" s="48" t="n">
        <f aca="false">IF($U1419&gt;=5,SUM(INDEX($AD$1389:$AD1419,32-5):$AD1419),"")</f>
        <v>77487010666</v>
      </c>
      <c r="AI1419" s="48" t="n">
        <f aca="false">IF($U1419&gt;=STRUCT_S,MAX(INDEX($G$1269:$G1419,152-STRUCT_S):$G1419),"")</f>
        <v>1615</v>
      </c>
      <c r="AJ1419" s="48" t="n">
        <f aca="false">IF($U1419&gt;=STRUCT_S,MIN(INDEX($H$1269:$H1419,152-STRUCT_S):$H1419),"")</f>
        <v>1309</v>
      </c>
      <c r="AK1419" s="48" t="n">
        <f aca="false">IF($U1419&gt;=STRUCT_L,MAX(INDEX($G$1169:$G1419,252-STRUCT_L):$G1419),"")</f>
        <v>1615</v>
      </c>
      <c r="AL1419" s="48" t="n">
        <f aca="false">IF($U1419&gt;=STRUCT_L,MIN(INDEX($H$1169:$H1419,252-STRUCT_L):$H1419),"")</f>
        <v>1309</v>
      </c>
      <c r="AM1419" s="46" t="n">
        <f aca="false">IF($A1419&lt;&gt;$A1420,1,0)</f>
        <v>0</v>
      </c>
      <c r="AN1419" s="47" t="str">
        <f aca="false">IF($AM1419=1,$A1419,"")</f>
        <v/>
      </c>
    </row>
    <row r="1420" customFormat="false" ht="15" hidden="false" customHeight="false" outlineLevel="0" collapsed="false">
      <c r="A1420" s="43" t="s">
        <v>157</v>
      </c>
      <c r="B1420" s="44" t="s">
        <v>159</v>
      </c>
      <c r="C1420" s="45" t="n">
        <v>46067</v>
      </c>
      <c r="D1420" s="46" t="n">
        <v>20260214</v>
      </c>
      <c r="E1420" s="47" t="s">
        <v>403</v>
      </c>
      <c r="F1420" s="48" t="n">
        <v>1611</v>
      </c>
      <c r="G1420" s="48" t="n">
        <v>1624</v>
      </c>
      <c r="H1420" s="48" t="n">
        <v>1600</v>
      </c>
      <c r="I1420" s="48" t="n">
        <v>1613</v>
      </c>
      <c r="J1420" s="48" t="n">
        <v>1610</v>
      </c>
      <c r="K1420" s="48" t="n">
        <v>1611</v>
      </c>
      <c r="L1420" s="48" t="n">
        <v>83665602</v>
      </c>
      <c r="M1420" s="48" t="n">
        <v>134952616026</v>
      </c>
      <c r="N1420" s="48" t="n">
        <v>4832</v>
      </c>
      <c r="O1420" s="48" t="n">
        <v>42816959</v>
      </c>
      <c r="P1420" s="48" t="n">
        <v>41404705</v>
      </c>
      <c r="Q1420" s="48" t="n">
        <v>1633</v>
      </c>
      <c r="R1420" s="48" t="n">
        <v>2037</v>
      </c>
      <c r="S1420" s="48" t="n">
        <v>40848643</v>
      </c>
      <c r="T1420" s="48" t="n">
        <v>42260897</v>
      </c>
      <c r="U1420" s="46" t="n">
        <f aca="false">IF($A1420=$A1419,$U1419+1,1)</f>
        <v>116</v>
      </c>
      <c r="V1420" s="48" t="n">
        <f aca="false">IF($U1420&gt;=MA_SHORT,AVERAGE(INDEX($I$1020:$I1420,402-MA_SHORT):$I1420),"")</f>
        <v>1487.35</v>
      </c>
      <c r="W1420" s="48" t="n">
        <f aca="false">IF($U1420&gt;=MA_MED,AVERAGE(INDEX($I$1020:$I1420,402-MA_MED):$I1420),"")</f>
        <v>1451.36</v>
      </c>
      <c r="X1420" s="48" t="n">
        <f aca="false">IF($U1420&gt;=MA_LONG1,AVERAGE(INDEX($I$1020:$I1420,402-MA_LONG1):$I1420),"")</f>
        <v>1481.91</v>
      </c>
      <c r="Y1420" s="48" t="str">
        <f aca="false">IF($U1420&gt;=MA_LONG2,AVERAGE(INDEX($I$1020:$I1420,402-MA_LONG2):$I1420),"")</f>
        <v/>
      </c>
      <c r="Z1420" s="48" t="n">
        <f aca="false">IF($U1420&gt;=MA_SHORT,AVERAGE(INDEX($L$1300:$L1420,122-MA_SHORT):$L1420),"")</f>
        <v>91152298.5</v>
      </c>
      <c r="AA1420" s="48" t="n">
        <f aca="false">IF($U1420=1,$G1420-$H1420,MAX($G1420-$H1420,ABS($G1420-$I1419),ABS($H1420-$I1419)))</f>
        <v>24</v>
      </c>
      <c r="AB1420" s="48" t="n">
        <f aca="false">IF($U1420&gt;=ATR_PER,AVERAGE(INDEX($AA$1300:$AA1420,122-ATR_PER):$AA1420),"")</f>
        <v>56.2857142857143</v>
      </c>
      <c r="AC1420" s="48" t="n">
        <f aca="false">$O1420-$P1420</f>
        <v>1412254</v>
      </c>
      <c r="AD1420" s="48" t="n">
        <f aca="false">$AC1420*$I1420</f>
        <v>2277965702</v>
      </c>
      <c r="AE1420" s="49" t="n">
        <f aca="false">IF($Q1420&gt;0,$O1420*$I1420/$Q1420/1000000,"")</f>
        <v>42.2925626864666</v>
      </c>
      <c r="AF1420" s="49" t="n">
        <f aca="false">IF($R1420&gt;0,$P1420*$I1420/$R1420/1000000,"")</f>
        <v>32.7863471600393</v>
      </c>
      <c r="AG1420" s="50" t="n">
        <f aca="false">IF(AND(ISNUMBER($AE1420),ISNUMBER($AF1420),$AF1420&gt;0),$AE1420/$AF1420,"")</f>
        <v>1.28994433201189</v>
      </c>
      <c r="AH1420" s="48" t="n">
        <f aca="false">IF($U1420&gt;=5,SUM(INDEX($AD$1390:$AD1420,32-5):$AD1420),"")</f>
        <v>103433410096</v>
      </c>
      <c r="AI1420" s="48" t="n">
        <f aca="false">IF($U1420&gt;=STRUCT_S,MAX(INDEX($G$1270:$G1420,152-STRUCT_S):$G1420),"")</f>
        <v>1624</v>
      </c>
      <c r="AJ1420" s="48" t="n">
        <f aca="false">IF($U1420&gt;=STRUCT_S,MIN(INDEX($H$1270:$H1420,152-STRUCT_S):$H1420),"")</f>
        <v>1309</v>
      </c>
      <c r="AK1420" s="48" t="n">
        <f aca="false">IF($U1420&gt;=STRUCT_L,MAX(INDEX($G$1170:$G1420,252-STRUCT_L):$G1420),"")</f>
        <v>1624</v>
      </c>
      <c r="AL1420" s="48" t="n">
        <f aca="false">IF($U1420&gt;=STRUCT_L,MIN(INDEX($H$1170:$H1420,252-STRUCT_L):$H1420),"")</f>
        <v>1309</v>
      </c>
      <c r="AM1420" s="46" t="n">
        <f aca="false">IF($A1420&lt;&gt;$A1421,1,0)</f>
        <v>0</v>
      </c>
      <c r="AN1420" s="47" t="str">
        <f aca="false">IF($AM1420=1,$A1420,"")</f>
        <v/>
      </c>
    </row>
    <row r="1421" customFormat="false" ht="15" hidden="false" customHeight="false" outlineLevel="0" collapsed="false">
      <c r="A1421" s="43" t="s">
        <v>157</v>
      </c>
      <c r="B1421" s="44" t="s">
        <v>159</v>
      </c>
      <c r="C1421" s="45" t="n">
        <v>46068</v>
      </c>
      <c r="D1421" s="46" t="n">
        <v>20260215</v>
      </c>
      <c r="E1421" s="47" t="s">
        <v>404</v>
      </c>
      <c r="F1421" s="48" t="n">
        <v>1615</v>
      </c>
      <c r="G1421" s="48" t="n">
        <v>1659</v>
      </c>
      <c r="H1421" s="48" t="n">
        <v>1604</v>
      </c>
      <c r="I1421" s="48" t="n">
        <v>1650</v>
      </c>
      <c r="J1421" s="48" t="n">
        <v>1649</v>
      </c>
      <c r="K1421" s="48" t="n">
        <v>1613</v>
      </c>
      <c r="L1421" s="48" t="n">
        <v>109377815</v>
      </c>
      <c r="M1421" s="48" t="n">
        <v>180473394750</v>
      </c>
      <c r="N1421" s="48" t="n">
        <v>8446</v>
      </c>
      <c r="O1421" s="48" t="n">
        <v>57048718</v>
      </c>
      <c r="P1421" s="48" t="n">
        <v>53655849</v>
      </c>
      <c r="Q1421" s="48" t="n">
        <v>4380</v>
      </c>
      <c r="R1421" s="48" t="n">
        <v>2590</v>
      </c>
      <c r="S1421" s="48" t="n">
        <v>52329097</v>
      </c>
      <c r="T1421" s="48" t="n">
        <v>55721966</v>
      </c>
      <c r="U1421" s="46" t="n">
        <f aca="false">IF($A1421=$A1420,$U1420+1,1)</f>
        <v>117</v>
      </c>
      <c r="V1421" s="48" t="n">
        <f aca="false">IF($U1421&gt;=MA_SHORT,AVERAGE(INDEX($I$1021:$I1421,402-MA_SHORT):$I1421),"")</f>
        <v>1501.8</v>
      </c>
      <c r="W1421" s="48" t="n">
        <f aca="false">IF($U1421&gt;=MA_MED,AVERAGE(INDEX($I$1021:$I1421,402-MA_MED):$I1421),"")</f>
        <v>1454.54</v>
      </c>
      <c r="X1421" s="48" t="n">
        <f aca="false">IF($U1421&gt;=MA_LONG1,AVERAGE(INDEX($I$1021:$I1421,402-MA_LONG1):$I1421),"")</f>
        <v>1484.26</v>
      </c>
      <c r="Y1421" s="48" t="str">
        <f aca="false">IF($U1421&gt;=MA_LONG2,AVERAGE(INDEX($I$1021:$I1421,402-MA_LONG2):$I1421),"")</f>
        <v/>
      </c>
      <c r="Z1421" s="48" t="n">
        <f aca="false">IF($U1421&gt;=MA_SHORT,AVERAGE(INDEX($L$1301:$L1421,122-MA_SHORT):$L1421),"")</f>
        <v>92261863.2</v>
      </c>
      <c r="AA1421" s="48" t="n">
        <f aca="false">IF($U1421=1,$G1421-$H1421,MAX($G1421-$H1421,ABS($G1421-$I1420),ABS($H1421-$I1420)))</f>
        <v>55</v>
      </c>
      <c r="AB1421" s="48" t="n">
        <f aca="false">IF($U1421&gt;=ATR_PER,AVERAGE(INDEX($AA$1301:$AA1421,122-ATR_PER):$AA1421),"")</f>
        <v>55.8571428571429</v>
      </c>
      <c r="AC1421" s="48" t="n">
        <f aca="false">$O1421-$P1421</f>
        <v>3392869</v>
      </c>
      <c r="AD1421" s="48" t="n">
        <f aca="false">$AC1421*$I1421</f>
        <v>5598233850</v>
      </c>
      <c r="AE1421" s="49" t="n">
        <f aca="false">IF($Q1421&gt;0,$O1421*$I1421/$Q1421/1000000,"")</f>
        <v>21.4909554109589</v>
      </c>
      <c r="AF1421" s="49" t="n">
        <f aca="false">IF($R1421&gt;0,$P1421*$I1421/$R1421/1000000,"")</f>
        <v>34.1822976254826</v>
      </c>
      <c r="AG1421" s="50" t="n">
        <f aca="false">IF(AND(ISNUMBER($AE1421),ISNUMBER($AF1421),$AF1421&gt;0),$AE1421/$AF1421,"")</f>
        <v>0.628715940818957</v>
      </c>
      <c r="AH1421" s="48" t="n">
        <f aca="false">IF($U1421&gt;=5,SUM(INDEX($AD$1391:$AD1421,32-5):$AD1421),"")</f>
        <v>86101581358</v>
      </c>
      <c r="AI1421" s="48" t="n">
        <f aca="false">IF($U1421&gt;=STRUCT_S,MAX(INDEX($G$1271:$G1421,152-STRUCT_S):$G1421),"")</f>
        <v>1659</v>
      </c>
      <c r="AJ1421" s="48" t="n">
        <f aca="false">IF($U1421&gt;=STRUCT_S,MIN(INDEX($H$1271:$H1421,152-STRUCT_S):$H1421),"")</f>
        <v>1355</v>
      </c>
      <c r="AK1421" s="48" t="n">
        <f aca="false">IF($U1421&gt;=STRUCT_L,MAX(INDEX($G$1171:$G1421,252-STRUCT_L):$G1421),"")</f>
        <v>1659</v>
      </c>
      <c r="AL1421" s="48" t="n">
        <f aca="false">IF($U1421&gt;=STRUCT_L,MIN(INDEX($H$1171:$H1421,252-STRUCT_L):$H1421),"")</f>
        <v>1309</v>
      </c>
      <c r="AM1421" s="46" t="n">
        <f aca="false">IF($A1421&lt;&gt;$A1422,1,0)</f>
        <v>0</v>
      </c>
      <c r="AN1421" s="47" t="str">
        <f aca="false">IF($AM1421=1,$A1421,"")</f>
        <v/>
      </c>
    </row>
    <row r="1422" customFormat="false" ht="15" hidden="false" customHeight="false" outlineLevel="0" collapsed="false">
      <c r="A1422" s="43" t="s">
        <v>157</v>
      </c>
      <c r="B1422" s="44" t="s">
        <v>159</v>
      </c>
      <c r="C1422" s="45" t="n">
        <v>46069</v>
      </c>
      <c r="D1422" s="46" t="n">
        <v>20260216</v>
      </c>
      <c r="E1422" s="47" t="s">
        <v>405</v>
      </c>
      <c r="F1422" s="48" t="n">
        <v>1661</v>
      </c>
      <c r="G1422" s="48" t="n">
        <v>1696</v>
      </c>
      <c r="H1422" s="48" t="n">
        <v>1645</v>
      </c>
      <c r="I1422" s="48" t="n">
        <v>1691</v>
      </c>
      <c r="J1422" s="48" t="n">
        <v>1689</v>
      </c>
      <c r="K1422" s="48" t="n">
        <v>1650</v>
      </c>
      <c r="L1422" s="48" t="n">
        <v>77978218</v>
      </c>
      <c r="M1422" s="48" t="n">
        <v>131861166638</v>
      </c>
      <c r="N1422" s="48" t="n">
        <v>7441</v>
      </c>
      <c r="O1422" s="48" t="n">
        <v>46981258</v>
      </c>
      <c r="P1422" s="48" t="n">
        <v>30858869</v>
      </c>
      <c r="Q1422" s="48" t="n">
        <v>3967</v>
      </c>
      <c r="R1422" s="48" t="n">
        <v>3637</v>
      </c>
      <c r="S1422" s="48" t="n">
        <v>30996960</v>
      </c>
      <c r="T1422" s="48" t="n">
        <v>47119349</v>
      </c>
      <c r="U1422" s="46" t="n">
        <f aca="false">IF($A1422=$A1421,$U1421+1,1)</f>
        <v>118</v>
      </c>
      <c r="V1422" s="48" t="n">
        <f aca="false">IF($U1422&gt;=MA_SHORT,AVERAGE(INDEX($I$1022:$I1422,402-MA_SHORT):$I1422),"")</f>
        <v>1517.65</v>
      </c>
      <c r="W1422" s="48" t="n">
        <f aca="false">IF($U1422&gt;=MA_MED,AVERAGE(INDEX($I$1022:$I1422,402-MA_MED):$I1422),"")</f>
        <v>1458.64</v>
      </c>
      <c r="X1422" s="48" t="n">
        <f aca="false">IF($U1422&gt;=MA_LONG1,AVERAGE(INDEX($I$1022:$I1422,402-MA_LONG1):$I1422),"")</f>
        <v>1486.71</v>
      </c>
      <c r="Y1422" s="48" t="str">
        <f aca="false">IF($U1422&gt;=MA_LONG2,AVERAGE(INDEX($I$1022:$I1422,402-MA_LONG2):$I1422),"")</f>
        <v/>
      </c>
      <c r="Z1422" s="48" t="n">
        <f aca="false">IF($U1422&gt;=MA_SHORT,AVERAGE(INDEX($L$1302:$L1422,122-MA_SHORT):$L1422),"")</f>
        <v>90717295.25</v>
      </c>
      <c r="AA1422" s="48" t="n">
        <f aca="false">IF($U1422=1,$G1422-$H1422,MAX($G1422-$H1422,ABS($G1422-$I1421),ABS($H1422-$I1421)))</f>
        <v>51</v>
      </c>
      <c r="AB1422" s="48" t="n">
        <f aca="false">IF($U1422&gt;=ATR_PER,AVERAGE(INDEX($AA$1302:$AA1422,122-ATR_PER):$AA1422),"")</f>
        <v>55.5</v>
      </c>
      <c r="AC1422" s="48" t="n">
        <f aca="false">$O1422-$P1422</f>
        <v>16122389</v>
      </c>
      <c r="AD1422" s="48" t="n">
        <f aca="false">$AC1422*$I1422</f>
        <v>27262959799</v>
      </c>
      <c r="AE1422" s="49" t="n">
        <f aca="false">IF($Q1422&gt;0,$O1422*$I1422/$Q1422/1000000,"")</f>
        <v>20.0265458225359</v>
      </c>
      <c r="AF1422" s="49" t="n">
        <f aca="false">IF($R1422&gt;0,$P1422*$I1422/$R1422/1000000,"")</f>
        <v>14.3476347206489</v>
      </c>
      <c r="AG1422" s="50" t="n">
        <f aca="false">IF(AND(ISNUMBER($AE1422),ISNUMBER($AF1422),$AF1422&gt;0),$AE1422/$AF1422,"")</f>
        <v>1.39580817413159</v>
      </c>
      <c r="AH1422" s="48" t="n">
        <f aca="false">IF($U1422&gt;=5,SUM(INDEX($AD$1392:$AD1422,32-5):$AD1422),"")</f>
        <v>68984562510</v>
      </c>
      <c r="AI1422" s="48" t="n">
        <f aca="false">IF($U1422&gt;=STRUCT_S,MAX(INDEX($G$1272:$G1422,152-STRUCT_S):$G1422),"")</f>
        <v>1696</v>
      </c>
      <c r="AJ1422" s="48" t="n">
        <f aca="false">IF($U1422&gt;=STRUCT_S,MIN(INDEX($H$1272:$H1422,152-STRUCT_S):$H1422),"")</f>
        <v>1362</v>
      </c>
      <c r="AK1422" s="48" t="n">
        <f aca="false">IF($U1422&gt;=STRUCT_L,MAX(INDEX($G$1172:$G1422,252-STRUCT_L):$G1422),"")</f>
        <v>1696</v>
      </c>
      <c r="AL1422" s="48" t="n">
        <f aca="false">IF($U1422&gt;=STRUCT_L,MIN(INDEX($H$1172:$H1422,252-STRUCT_L):$H1422),"")</f>
        <v>1309</v>
      </c>
      <c r="AM1422" s="46" t="n">
        <f aca="false">IF($A1422&lt;&gt;$A1423,1,0)</f>
        <v>0</v>
      </c>
      <c r="AN1422" s="47" t="str">
        <f aca="false">IF($AM1422=1,$A1422,"")</f>
        <v/>
      </c>
    </row>
    <row r="1423" customFormat="false" ht="15" hidden="false" customHeight="false" outlineLevel="0" collapsed="false">
      <c r="A1423" s="43" t="s">
        <v>157</v>
      </c>
      <c r="B1423" s="44" t="s">
        <v>159</v>
      </c>
      <c r="C1423" s="45" t="n">
        <v>46070</v>
      </c>
      <c r="D1423" s="46" t="n">
        <v>20260217</v>
      </c>
      <c r="E1423" s="47" t="s">
        <v>406</v>
      </c>
      <c r="F1423" s="48" t="n">
        <v>1685</v>
      </c>
      <c r="G1423" s="48" t="n">
        <v>1737</v>
      </c>
      <c r="H1423" s="48" t="n">
        <v>1658</v>
      </c>
      <c r="I1423" s="48" t="n">
        <v>1704</v>
      </c>
      <c r="J1423" s="48" t="n">
        <v>1719</v>
      </c>
      <c r="K1423" s="48" t="n">
        <v>1691</v>
      </c>
      <c r="L1423" s="48" t="n">
        <v>70990975</v>
      </c>
      <c r="M1423" s="48" t="n">
        <v>120968621400</v>
      </c>
      <c r="N1423" s="48" t="n">
        <v>3148</v>
      </c>
      <c r="O1423" s="48" t="n">
        <v>40839010</v>
      </c>
      <c r="P1423" s="48" t="n">
        <v>28259640</v>
      </c>
      <c r="Q1423" s="48" t="n">
        <v>959</v>
      </c>
      <c r="R1423" s="48" t="n">
        <v>1020</v>
      </c>
      <c r="S1423" s="48" t="n">
        <v>30151965</v>
      </c>
      <c r="T1423" s="48" t="n">
        <v>42731335</v>
      </c>
      <c r="U1423" s="46" t="n">
        <f aca="false">IF($A1423=$A1422,$U1422+1,1)</f>
        <v>119</v>
      </c>
      <c r="V1423" s="48" t="n">
        <f aca="false">IF($U1423&gt;=MA_SHORT,AVERAGE(INDEX($I$1023:$I1423,402-MA_SHORT):$I1423),"")</f>
        <v>1533.45</v>
      </c>
      <c r="W1423" s="48" t="n">
        <f aca="false">IF($U1423&gt;=MA_MED,AVERAGE(INDEX($I$1023:$I1423,402-MA_MED):$I1423),"")</f>
        <v>1462.86</v>
      </c>
      <c r="X1423" s="48" t="n">
        <f aca="false">IF($U1423&gt;=MA_LONG1,AVERAGE(INDEX($I$1023:$I1423,402-MA_LONG1):$I1423),"")</f>
        <v>1489.25</v>
      </c>
      <c r="Y1423" s="48" t="str">
        <f aca="false">IF($U1423&gt;=MA_LONG2,AVERAGE(INDEX($I$1023:$I1423,402-MA_LONG2):$I1423),"")</f>
        <v/>
      </c>
      <c r="Z1423" s="48" t="n">
        <f aca="false">IF($U1423&gt;=MA_SHORT,AVERAGE(INDEX($L$1303:$L1423,122-MA_SHORT):$L1423),"")</f>
        <v>89180061.2</v>
      </c>
      <c r="AA1423" s="48" t="n">
        <f aca="false">IF($U1423=1,$G1423-$H1423,MAX($G1423-$H1423,ABS($G1423-$I1422),ABS($H1423-$I1422)))</f>
        <v>79</v>
      </c>
      <c r="AB1423" s="48" t="n">
        <f aca="false">IF($U1423&gt;=ATR_PER,AVERAGE(INDEX($AA$1303:$AA1423,122-ATR_PER):$AA1423),"")</f>
        <v>59.2142857142857</v>
      </c>
      <c r="AC1423" s="48" t="n">
        <f aca="false">$O1423-$P1423</f>
        <v>12579370</v>
      </c>
      <c r="AD1423" s="48" t="n">
        <f aca="false">$AC1423*$I1423</f>
        <v>21435246480</v>
      </c>
      <c r="AE1423" s="49" t="n">
        <f aca="false">IF($Q1423&gt;0,$O1423*$I1423/$Q1423/1000000,"")</f>
        <v>72.5648311157456</v>
      </c>
      <c r="AF1423" s="49" t="n">
        <f aca="false">IF($R1423&gt;0,$P1423*$I1423/$R1423/1000000,"")</f>
        <v>47.2102221176471</v>
      </c>
      <c r="AG1423" s="50" t="n">
        <f aca="false">IF(AND(ISNUMBER($AE1423),ISNUMBER($AF1423),$AF1423&gt;0),$AE1423/$AF1423,"")</f>
        <v>1.53705760872964</v>
      </c>
      <c r="AH1423" s="48" t="n">
        <f aca="false">IF($U1423&gt;=5,SUM(INDEX($AD$1393:$AD1423,32-5):$AD1423),"")</f>
        <v>87506590152</v>
      </c>
      <c r="AI1423" s="48" t="n">
        <f aca="false">IF($U1423&gt;=STRUCT_S,MAX(INDEX($G$1273:$G1423,152-STRUCT_S):$G1423),"")</f>
        <v>1737</v>
      </c>
      <c r="AJ1423" s="48" t="n">
        <f aca="false">IF($U1423&gt;=STRUCT_S,MIN(INDEX($H$1273:$H1423,152-STRUCT_S):$H1423),"")</f>
        <v>1374</v>
      </c>
      <c r="AK1423" s="48" t="n">
        <f aca="false">IF($U1423&gt;=STRUCT_L,MAX(INDEX($G$1173:$G1423,252-STRUCT_L):$G1423),"")</f>
        <v>1737</v>
      </c>
      <c r="AL1423" s="48" t="n">
        <f aca="false">IF($U1423&gt;=STRUCT_L,MIN(INDEX($H$1173:$H1423,252-STRUCT_L):$H1423),"")</f>
        <v>1309</v>
      </c>
      <c r="AM1423" s="46" t="n">
        <f aca="false">IF($A1423&lt;&gt;$A1424,1,0)</f>
        <v>0</v>
      </c>
      <c r="AN1423" s="47" t="str">
        <f aca="false">IF($AM1423=1,$A1423,"")</f>
        <v/>
      </c>
    </row>
    <row r="1424" customFormat="false" ht="15" hidden="false" customHeight="false" outlineLevel="0" collapsed="false">
      <c r="A1424" s="43" t="s">
        <v>157</v>
      </c>
      <c r="B1424" s="44" t="s">
        <v>159</v>
      </c>
      <c r="C1424" s="45" t="n">
        <v>46071</v>
      </c>
      <c r="D1424" s="46" t="n">
        <v>20260218</v>
      </c>
      <c r="E1424" s="47" t="s">
        <v>407</v>
      </c>
      <c r="F1424" s="48" t="n">
        <v>1679</v>
      </c>
      <c r="G1424" s="48" t="n">
        <v>1771</v>
      </c>
      <c r="H1424" s="48" t="n">
        <v>1671</v>
      </c>
      <c r="I1424" s="48" t="n">
        <v>1737</v>
      </c>
      <c r="J1424" s="48" t="n">
        <v>1730</v>
      </c>
      <c r="K1424" s="48" t="n">
        <v>1704</v>
      </c>
      <c r="L1424" s="48" t="n">
        <v>97026794</v>
      </c>
      <c r="M1424" s="48" t="n">
        <v>168535541178</v>
      </c>
      <c r="N1424" s="48" t="n">
        <v>3324</v>
      </c>
      <c r="O1424" s="48" t="n">
        <v>49175060</v>
      </c>
      <c r="P1424" s="48" t="n">
        <v>51376091</v>
      </c>
      <c r="Q1424" s="48" t="n">
        <v>1596</v>
      </c>
      <c r="R1424" s="48" t="n">
        <v>1411</v>
      </c>
      <c r="S1424" s="48" t="n">
        <v>47851734</v>
      </c>
      <c r="T1424" s="48" t="n">
        <v>45650703</v>
      </c>
      <c r="U1424" s="46" t="n">
        <f aca="false">IF($A1424=$A1423,$U1423+1,1)</f>
        <v>120</v>
      </c>
      <c r="V1424" s="48" t="n">
        <f aca="false">IF($U1424&gt;=MA_SHORT,AVERAGE(INDEX($I$1024:$I1424,402-MA_SHORT):$I1424),"")</f>
        <v>1548.7</v>
      </c>
      <c r="W1424" s="48" t="n">
        <f aca="false">IF($U1424&gt;=MA_MED,AVERAGE(INDEX($I$1024:$I1424,402-MA_MED):$I1424),"")</f>
        <v>1468.36</v>
      </c>
      <c r="X1424" s="48" t="n">
        <f aca="false">IF($U1424&gt;=MA_LONG1,AVERAGE(INDEX($I$1024:$I1424,402-MA_LONG1):$I1424),"")</f>
        <v>1492.13</v>
      </c>
      <c r="Y1424" s="48" t="str">
        <f aca="false">IF($U1424&gt;=MA_LONG2,AVERAGE(INDEX($I$1024:$I1424,402-MA_LONG2):$I1424),"")</f>
        <v/>
      </c>
      <c r="Z1424" s="48" t="n">
        <f aca="false">IF($U1424&gt;=MA_SHORT,AVERAGE(INDEX($L$1304:$L1424,122-MA_SHORT):$L1424),"")</f>
        <v>89992999.35</v>
      </c>
      <c r="AA1424" s="48" t="n">
        <f aca="false">IF($U1424=1,$G1424-$H1424,MAX($G1424-$H1424,ABS($G1424-$I1423),ABS($H1424-$I1423)))</f>
        <v>100</v>
      </c>
      <c r="AB1424" s="48" t="n">
        <f aca="false">IF($U1424&gt;=ATR_PER,AVERAGE(INDEX($AA$1304:$AA1424,122-ATR_PER):$AA1424),"")</f>
        <v>59.5714285714286</v>
      </c>
      <c r="AC1424" s="48" t="n">
        <f aca="false">$O1424-$P1424</f>
        <v>-2201031</v>
      </c>
      <c r="AD1424" s="48" t="n">
        <f aca="false">$AC1424*$I1424</f>
        <v>-3823190847</v>
      </c>
      <c r="AE1424" s="49" t="n">
        <f aca="false">IF($Q1424&gt;0,$O1424*$I1424/$Q1424/1000000,"")</f>
        <v>53.5194731954887</v>
      </c>
      <c r="AF1424" s="49" t="n">
        <f aca="false">IF($R1424&gt;0,$P1424*$I1424/$R1424/1000000,"")</f>
        <v>63.2461162771084</v>
      </c>
      <c r="AG1424" s="50" t="n">
        <f aca="false">IF(AND(ISNUMBER($AE1424),ISNUMBER($AF1424),$AF1424&gt;0),$AE1424/$AF1424,"")</f>
        <v>0.84620963856495</v>
      </c>
      <c r="AH1424" s="48" t="n">
        <f aca="false">IF($U1424&gt;=5,SUM(INDEX($AD$1394:$AD1424,32-5):$AD1424),"")</f>
        <v>52751214984</v>
      </c>
      <c r="AI1424" s="48" t="n">
        <f aca="false">IF($U1424&gt;=STRUCT_S,MAX(INDEX($G$1274:$G1424,152-STRUCT_S):$G1424),"")</f>
        <v>1771</v>
      </c>
      <c r="AJ1424" s="48" t="n">
        <f aca="false">IF($U1424&gt;=STRUCT_S,MIN(INDEX($H$1274:$H1424,152-STRUCT_S):$H1424),"")</f>
        <v>1408</v>
      </c>
      <c r="AK1424" s="48" t="n">
        <f aca="false">IF($U1424&gt;=STRUCT_L,MAX(INDEX($G$1174:$G1424,252-STRUCT_L):$G1424),"")</f>
        <v>1771</v>
      </c>
      <c r="AL1424" s="48" t="n">
        <f aca="false">IF($U1424&gt;=STRUCT_L,MIN(INDEX($H$1174:$H1424,252-STRUCT_L):$H1424),"")</f>
        <v>1309</v>
      </c>
      <c r="AM1424" s="46" t="n">
        <f aca="false">IF($A1424&lt;&gt;$A1425,1,0)</f>
        <v>0</v>
      </c>
      <c r="AN1424" s="47" t="str">
        <f aca="false">IF($AM1424=1,$A1424,"")</f>
        <v/>
      </c>
    </row>
    <row r="1425" customFormat="false" ht="15" hidden="false" customHeight="false" outlineLevel="0" collapsed="false">
      <c r="A1425" s="43" t="s">
        <v>157</v>
      </c>
      <c r="B1425" s="44" t="s">
        <v>159</v>
      </c>
      <c r="C1425" s="45" t="n">
        <v>46074</v>
      </c>
      <c r="D1425" s="46" t="n">
        <v>20260221</v>
      </c>
      <c r="E1425" s="47" t="s">
        <v>408</v>
      </c>
      <c r="F1425" s="48" t="n">
        <v>1749</v>
      </c>
      <c r="G1425" s="48" t="n">
        <v>1774</v>
      </c>
      <c r="H1425" s="48" t="n">
        <v>1715</v>
      </c>
      <c r="I1425" s="48" t="n">
        <v>1752</v>
      </c>
      <c r="J1425" s="48" t="n">
        <v>1772</v>
      </c>
      <c r="K1425" s="48" t="n">
        <v>1737</v>
      </c>
      <c r="L1425" s="48" t="n">
        <v>71376894</v>
      </c>
      <c r="M1425" s="48" t="n">
        <v>125052318288</v>
      </c>
      <c r="N1425" s="48" t="n">
        <v>1687</v>
      </c>
      <c r="O1425" s="48" t="n">
        <v>35561333</v>
      </c>
      <c r="P1425" s="48" t="n">
        <v>36665039</v>
      </c>
      <c r="Q1425" s="48" t="n">
        <v>810</v>
      </c>
      <c r="R1425" s="48" t="n">
        <v>618</v>
      </c>
      <c r="S1425" s="48" t="n">
        <v>35815561</v>
      </c>
      <c r="T1425" s="48" t="n">
        <v>34711855</v>
      </c>
      <c r="U1425" s="46" t="n">
        <f aca="false">IF($A1425=$A1424,$U1424+1,1)</f>
        <v>121</v>
      </c>
      <c r="V1425" s="48" t="n">
        <f aca="false">IF($U1425&gt;=MA_SHORT,AVERAGE(INDEX($I$1025:$I1425,402-MA_SHORT):$I1425),"")</f>
        <v>1563.95</v>
      </c>
      <c r="W1425" s="48" t="n">
        <f aca="false">IF($U1425&gt;=MA_MED,AVERAGE(INDEX($I$1025:$I1425,402-MA_MED):$I1425),"")</f>
        <v>1473.64</v>
      </c>
      <c r="X1425" s="48" t="n">
        <f aca="false">IF($U1425&gt;=MA_LONG1,AVERAGE(INDEX($I$1025:$I1425,402-MA_LONG1):$I1425),"")</f>
        <v>1495.15</v>
      </c>
      <c r="Y1425" s="48" t="str">
        <f aca="false">IF($U1425&gt;=MA_LONG2,AVERAGE(INDEX($I$1025:$I1425,402-MA_LONG2):$I1425),"")</f>
        <v/>
      </c>
      <c r="Z1425" s="48" t="n">
        <f aca="false">IF($U1425&gt;=MA_SHORT,AVERAGE(INDEX($L$1305:$L1425,122-MA_SHORT):$L1425),"")</f>
        <v>89241763.2</v>
      </c>
      <c r="AA1425" s="48" t="n">
        <f aca="false">IF($U1425=1,$G1425-$H1425,MAX($G1425-$H1425,ABS($G1425-$I1424),ABS($H1425-$I1424)))</f>
        <v>59</v>
      </c>
      <c r="AB1425" s="48" t="n">
        <f aca="false">IF($U1425&gt;=ATR_PER,AVERAGE(INDEX($AA$1305:$AA1425,122-ATR_PER):$AA1425),"")</f>
        <v>57.8571428571429</v>
      </c>
      <c r="AC1425" s="48" t="n">
        <f aca="false">$O1425-$P1425</f>
        <v>-1103706</v>
      </c>
      <c r="AD1425" s="48" t="n">
        <f aca="false">$AC1425*$I1425</f>
        <v>-1933692912</v>
      </c>
      <c r="AE1425" s="49" t="n">
        <f aca="false">IF($Q1425&gt;0,$O1425*$I1425/$Q1425/1000000,"")</f>
        <v>76.9178461925926</v>
      </c>
      <c r="AF1425" s="49" t="n">
        <f aca="false">IF($R1425&gt;0,$P1425*$I1425/$R1425/1000000,"")</f>
        <v>103.943605708738</v>
      </c>
      <c r="AG1425" s="50" t="n">
        <f aca="false">IF(AND(ISNUMBER($AE1425),ISNUMBER($AF1425),$AF1425&gt;0),$AE1425/$AF1425,"")</f>
        <v>0.739995939799562</v>
      </c>
      <c r="AH1425" s="48" t="n">
        <f aca="false">IF($U1425&gt;=5,SUM(INDEX($AD$1395:$AD1425,32-5):$AD1425),"")</f>
        <v>48539556370</v>
      </c>
      <c r="AI1425" s="48" t="n">
        <f aca="false">IF($U1425&gt;=STRUCT_S,MAX(INDEX($G$1275:$G1425,152-STRUCT_S):$G1425),"")</f>
        <v>1774</v>
      </c>
      <c r="AJ1425" s="48" t="n">
        <f aca="false">IF($U1425&gt;=STRUCT_S,MIN(INDEX($H$1275:$H1425,152-STRUCT_S):$H1425),"")</f>
        <v>1438</v>
      </c>
      <c r="AK1425" s="48" t="n">
        <f aca="false">IF($U1425&gt;=STRUCT_L,MAX(INDEX($G$1175:$G1425,252-STRUCT_L):$G1425),"")</f>
        <v>1774</v>
      </c>
      <c r="AL1425" s="48" t="n">
        <f aca="false">IF($U1425&gt;=STRUCT_L,MIN(INDEX($H$1175:$H1425,252-STRUCT_L):$H1425),"")</f>
        <v>1309</v>
      </c>
      <c r="AM1425" s="46" t="n">
        <f aca="false">IF($A1425&lt;&gt;$A1426,1,0)</f>
        <v>0</v>
      </c>
      <c r="AN1425" s="47" t="str">
        <f aca="false">IF($AM1425=1,$A1425,"")</f>
        <v/>
      </c>
    </row>
    <row r="1426" customFormat="false" ht="15" hidden="false" customHeight="false" outlineLevel="0" collapsed="false">
      <c r="A1426" s="43" t="s">
        <v>157</v>
      </c>
      <c r="B1426" s="44" t="s">
        <v>159</v>
      </c>
      <c r="C1426" s="45" t="n">
        <v>46075</v>
      </c>
      <c r="D1426" s="46" t="n">
        <v>20260222</v>
      </c>
      <c r="E1426" s="47" t="s">
        <v>409</v>
      </c>
      <c r="F1426" s="48" t="n">
        <v>1688</v>
      </c>
      <c r="G1426" s="48" t="n">
        <v>1778</v>
      </c>
      <c r="H1426" s="48" t="n">
        <v>1641</v>
      </c>
      <c r="I1426" s="48" t="n">
        <v>1666</v>
      </c>
      <c r="J1426" s="48" t="n">
        <v>1674</v>
      </c>
      <c r="K1426" s="48" t="n">
        <v>1752</v>
      </c>
      <c r="L1426" s="48" t="n">
        <v>100078051</v>
      </c>
      <c r="M1426" s="48" t="n">
        <v>166730032966</v>
      </c>
      <c r="N1426" s="48" t="n">
        <v>2254</v>
      </c>
      <c r="O1426" s="48" t="n">
        <v>28249206</v>
      </c>
      <c r="P1426" s="48" t="n">
        <v>76916507</v>
      </c>
      <c r="Q1426" s="48" t="n">
        <v>691</v>
      </c>
      <c r="R1426" s="48" t="n">
        <v>1110</v>
      </c>
      <c r="S1426" s="48" t="n">
        <v>71828845</v>
      </c>
      <c r="T1426" s="48" t="n">
        <v>23161544</v>
      </c>
      <c r="U1426" s="46" t="n">
        <f aca="false">IF($A1426=$A1425,$U1425+1,1)</f>
        <v>122</v>
      </c>
      <c r="V1426" s="48" t="n">
        <f aca="false">IF($U1426&gt;=MA_SHORT,AVERAGE(INDEX($I$1026:$I1426,402-MA_SHORT):$I1426),"")</f>
        <v>1572.8</v>
      </c>
      <c r="W1426" s="48" t="n">
        <f aca="false">IF($U1426&gt;=MA_MED,AVERAGE(INDEX($I$1026:$I1426,402-MA_MED):$I1426),"")</f>
        <v>1477.9</v>
      </c>
      <c r="X1426" s="48" t="n">
        <f aca="false">IF($U1426&gt;=MA_LONG1,AVERAGE(INDEX($I$1026:$I1426,402-MA_LONG1):$I1426),"")</f>
        <v>1497.25</v>
      </c>
      <c r="Y1426" s="48" t="str">
        <f aca="false">IF($U1426&gt;=MA_LONG2,AVERAGE(INDEX($I$1026:$I1426,402-MA_LONG2):$I1426),"")</f>
        <v/>
      </c>
      <c r="Z1426" s="48" t="n">
        <f aca="false">IF($U1426&gt;=MA_SHORT,AVERAGE(INDEX($L$1306:$L1426,122-MA_SHORT):$L1426),"")</f>
        <v>90261716.75</v>
      </c>
      <c r="AA1426" s="48" t="n">
        <f aca="false">IF($U1426=1,$G1426-$H1426,MAX($G1426-$H1426,ABS($G1426-$I1425),ABS($H1426-$I1425)))</f>
        <v>137</v>
      </c>
      <c r="AB1426" s="48" t="n">
        <f aca="false">IF($U1426&gt;=ATR_PER,AVERAGE(INDEX($AA$1306:$AA1426,122-ATR_PER):$AA1426),"")</f>
        <v>63.8571428571429</v>
      </c>
      <c r="AC1426" s="48" t="n">
        <f aca="false">$O1426-$P1426</f>
        <v>-48667301</v>
      </c>
      <c r="AD1426" s="48" t="n">
        <f aca="false">$AC1426*$I1426</f>
        <v>-81079723466</v>
      </c>
      <c r="AE1426" s="49" t="n">
        <f aca="false">IF($Q1426&gt;0,$O1426*$I1426/$Q1426/1000000,"")</f>
        <v>68.1087947843705</v>
      </c>
      <c r="AF1426" s="49" t="n">
        <f aca="false">IF($R1426&gt;0,$P1426*$I1426/$R1426/1000000,"")</f>
        <v>115.44405465045</v>
      </c>
      <c r="AG1426" s="50" t="n">
        <f aca="false">IF(AND(ISNUMBER($AE1426),ISNUMBER($AF1426),$AF1426&gt;0),$AE1426/$AF1426,"")</f>
        <v>0.589972302953106</v>
      </c>
      <c r="AH1426" s="48" t="n">
        <f aca="false">IF($U1426&gt;=5,SUM(INDEX($AD$1396:$AD1426,32-5):$AD1426),"")</f>
        <v>-38138400946</v>
      </c>
      <c r="AI1426" s="48" t="n">
        <f aca="false">IF($U1426&gt;=STRUCT_S,MAX(INDEX($G$1276:$G1426,152-STRUCT_S):$G1426),"")</f>
        <v>1778</v>
      </c>
      <c r="AJ1426" s="48" t="n">
        <f aca="false">IF($U1426&gt;=STRUCT_S,MIN(INDEX($H$1276:$H1426,152-STRUCT_S):$H1426),"")</f>
        <v>1442</v>
      </c>
      <c r="AK1426" s="48" t="n">
        <f aca="false">IF($U1426&gt;=STRUCT_L,MAX(INDEX($G$1176:$G1426,252-STRUCT_L):$G1426),"")</f>
        <v>1778</v>
      </c>
      <c r="AL1426" s="48" t="n">
        <f aca="false">IF($U1426&gt;=STRUCT_L,MIN(INDEX($H$1176:$H1426,252-STRUCT_L):$H1426),"")</f>
        <v>1309</v>
      </c>
      <c r="AM1426" s="46" t="n">
        <f aca="false">IF($A1426&lt;&gt;$A1427,1,0)</f>
        <v>0</v>
      </c>
      <c r="AN1426" s="47" t="str">
        <f aca="false">IF($AM1426=1,$A1426,"")</f>
        <v/>
      </c>
    </row>
    <row r="1427" customFormat="false" ht="15" hidden="false" customHeight="false" outlineLevel="0" collapsed="false">
      <c r="A1427" s="43" t="s">
        <v>157</v>
      </c>
      <c r="B1427" s="44" t="s">
        <v>159</v>
      </c>
      <c r="C1427" s="45" t="n">
        <v>46076</v>
      </c>
      <c r="D1427" s="46" t="n">
        <v>20260223</v>
      </c>
      <c r="E1427" s="47" t="s">
        <v>410</v>
      </c>
      <c r="F1427" s="48" t="n">
        <v>1646</v>
      </c>
      <c r="G1427" s="48" t="n">
        <v>1685</v>
      </c>
      <c r="H1427" s="48" t="n">
        <v>1644</v>
      </c>
      <c r="I1427" s="48" t="n">
        <v>1663</v>
      </c>
      <c r="J1427" s="48" t="n">
        <v>1655</v>
      </c>
      <c r="K1427" s="48" t="n">
        <v>1666</v>
      </c>
      <c r="L1427" s="48" t="n">
        <v>68593981</v>
      </c>
      <c r="M1427" s="48" t="n">
        <v>114071790403</v>
      </c>
      <c r="N1427" s="48" t="n">
        <v>1828</v>
      </c>
      <c r="O1427" s="48" t="n">
        <v>36856939</v>
      </c>
      <c r="P1427" s="48" t="n">
        <v>35414765</v>
      </c>
      <c r="Q1427" s="48" t="n">
        <v>708</v>
      </c>
      <c r="R1427" s="48" t="n">
        <v>557</v>
      </c>
      <c r="S1427" s="48" t="n">
        <v>31737042</v>
      </c>
      <c r="T1427" s="48" t="n">
        <v>33179216</v>
      </c>
      <c r="U1427" s="46" t="n">
        <f aca="false">IF($A1427=$A1426,$U1426+1,1)</f>
        <v>123</v>
      </c>
      <c r="V1427" s="48" t="n">
        <f aca="false">IF($U1427&gt;=MA_SHORT,AVERAGE(INDEX($I$1027:$I1427,402-MA_SHORT):$I1427),"")</f>
        <v>1582.8</v>
      </c>
      <c r="W1427" s="48" t="n">
        <f aca="false">IF($U1427&gt;=MA_MED,AVERAGE(INDEX($I$1027:$I1427,402-MA_MED):$I1427),"")</f>
        <v>1482.22</v>
      </c>
      <c r="X1427" s="48" t="n">
        <f aca="false">IF($U1427&gt;=MA_LONG1,AVERAGE(INDEX($I$1027:$I1427,402-MA_LONG1):$I1427),"")</f>
        <v>1499.27</v>
      </c>
      <c r="Y1427" s="48" t="str">
        <f aca="false">IF($U1427&gt;=MA_LONG2,AVERAGE(INDEX($I$1027:$I1427,402-MA_LONG2):$I1427),"")</f>
        <v/>
      </c>
      <c r="Z1427" s="48" t="n">
        <f aca="false">IF($U1427&gt;=MA_SHORT,AVERAGE(INDEX($L$1307:$L1427,122-MA_SHORT):$L1427),"")</f>
        <v>89785568.45</v>
      </c>
      <c r="AA1427" s="48" t="n">
        <f aca="false">IF($U1427=1,$G1427-$H1427,MAX($G1427-$H1427,ABS($G1427-$I1426),ABS($H1427-$I1426)))</f>
        <v>41</v>
      </c>
      <c r="AB1427" s="48" t="n">
        <f aca="false">IF($U1427&gt;=ATR_PER,AVERAGE(INDEX($AA$1307:$AA1427,122-ATR_PER):$AA1427),"")</f>
        <v>64.9285714285714</v>
      </c>
      <c r="AC1427" s="48" t="n">
        <f aca="false">$O1427-$P1427</f>
        <v>1442174</v>
      </c>
      <c r="AD1427" s="48" t="n">
        <f aca="false">$AC1427*$I1427</f>
        <v>2398335362</v>
      </c>
      <c r="AE1427" s="49" t="n">
        <f aca="false">IF($Q1427&gt;0,$O1427*$I1427/$Q1427/1000000,"")</f>
        <v>86.5721603912429</v>
      </c>
      <c r="AF1427" s="49" t="n">
        <f aca="false">IF($R1427&gt;0,$P1427*$I1427/$R1427/1000000,"")</f>
        <v>105.735644874327</v>
      </c>
      <c r="AG1427" s="50" t="n">
        <f aca="false">IF(AND(ISNUMBER($AE1427),ISNUMBER($AF1427),$AF1427&gt;0),$AE1427/$AF1427,"")</f>
        <v>0.818760414183308</v>
      </c>
      <c r="AH1427" s="48" t="n">
        <f aca="false">IF($U1427&gt;=5,SUM(INDEX($AD$1397:$AD1427,32-5):$AD1427),"")</f>
        <v>-63003025383</v>
      </c>
      <c r="AI1427" s="48" t="n">
        <f aca="false">IF($U1427&gt;=STRUCT_S,MAX(INDEX($G$1277:$G1427,152-STRUCT_S):$G1427),"")</f>
        <v>1778</v>
      </c>
      <c r="AJ1427" s="48" t="n">
        <f aca="false">IF($U1427&gt;=STRUCT_S,MIN(INDEX($H$1277:$H1427,152-STRUCT_S):$H1427),"")</f>
        <v>1442</v>
      </c>
      <c r="AK1427" s="48" t="n">
        <f aca="false">IF($U1427&gt;=STRUCT_L,MAX(INDEX($G$1177:$G1427,252-STRUCT_L):$G1427),"")</f>
        <v>1778</v>
      </c>
      <c r="AL1427" s="48" t="n">
        <f aca="false">IF($U1427&gt;=STRUCT_L,MIN(INDEX($H$1177:$H1427,252-STRUCT_L):$H1427),"")</f>
        <v>1309</v>
      </c>
      <c r="AM1427" s="46" t="n">
        <f aca="false">IF($A1427&lt;&gt;$A1428,1,0)</f>
        <v>0</v>
      </c>
      <c r="AN1427" s="47" t="str">
        <f aca="false">IF($AM1427=1,$A1427,"")</f>
        <v/>
      </c>
    </row>
    <row r="1428" customFormat="false" ht="15" hidden="false" customHeight="false" outlineLevel="0" collapsed="false">
      <c r="A1428" s="43" t="s">
        <v>157</v>
      </c>
      <c r="B1428" s="44" t="s">
        <v>159</v>
      </c>
      <c r="C1428" s="45" t="n">
        <v>46077</v>
      </c>
      <c r="D1428" s="46" t="n">
        <v>20260224</v>
      </c>
      <c r="E1428" s="47" t="s">
        <v>411</v>
      </c>
      <c r="F1428" s="48" t="n">
        <v>1614</v>
      </c>
      <c r="G1428" s="48" t="n">
        <v>1685</v>
      </c>
      <c r="H1428" s="48" t="n">
        <v>1605</v>
      </c>
      <c r="I1428" s="48" t="n">
        <v>1626</v>
      </c>
      <c r="J1428" s="48" t="n">
        <v>1679</v>
      </c>
      <c r="K1428" s="48" t="n">
        <v>1663</v>
      </c>
      <c r="L1428" s="48" t="n">
        <v>77266822</v>
      </c>
      <c r="M1428" s="48" t="n">
        <v>125635852572</v>
      </c>
      <c r="N1428" s="48" t="n">
        <v>4596</v>
      </c>
      <c r="O1428" s="48" t="n">
        <v>32184702</v>
      </c>
      <c r="P1428" s="48" t="n">
        <v>43365473</v>
      </c>
      <c r="Q1428" s="48" t="n">
        <v>1625</v>
      </c>
      <c r="R1428" s="48" t="n">
        <v>2425</v>
      </c>
      <c r="S1428" s="48" t="n">
        <v>45082120</v>
      </c>
      <c r="T1428" s="48" t="n">
        <v>33901349</v>
      </c>
      <c r="U1428" s="46" t="n">
        <f aca="false">IF($A1428=$A1427,$U1427+1,1)</f>
        <v>124</v>
      </c>
      <c r="V1428" s="48" t="n">
        <f aca="false">IF($U1428&gt;=MA_SHORT,AVERAGE(INDEX($I$1028:$I1428,402-MA_SHORT):$I1428),"")</f>
        <v>1588.85</v>
      </c>
      <c r="W1428" s="48" t="n">
        <f aca="false">IF($U1428&gt;=MA_MED,AVERAGE(INDEX($I$1028:$I1428,402-MA_MED):$I1428),"")</f>
        <v>1485.82</v>
      </c>
      <c r="X1428" s="48" t="n">
        <f aca="false">IF($U1428&gt;=MA_LONG1,AVERAGE(INDEX($I$1028:$I1428,402-MA_LONG1):$I1428),"")</f>
        <v>1500.63</v>
      </c>
      <c r="Y1428" s="48" t="str">
        <f aca="false">IF($U1428&gt;=MA_LONG2,AVERAGE(INDEX($I$1028:$I1428,402-MA_LONG2):$I1428),"")</f>
        <v/>
      </c>
      <c r="Z1428" s="48" t="n">
        <f aca="false">IF($U1428&gt;=MA_SHORT,AVERAGE(INDEX($L$1308:$L1428,122-MA_SHORT):$L1428),"")</f>
        <v>89111293</v>
      </c>
      <c r="AA1428" s="48" t="n">
        <f aca="false">IF($U1428=1,$G1428-$H1428,MAX($G1428-$H1428,ABS($G1428-$I1427),ABS($H1428-$I1427)))</f>
        <v>80</v>
      </c>
      <c r="AB1428" s="48" t="n">
        <f aca="false">IF($U1428&gt;=ATR_PER,AVERAGE(INDEX($AA$1308:$AA1428,122-ATR_PER):$AA1428),"")</f>
        <v>68.6428571428571</v>
      </c>
      <c r="AC1428" s="48" t="n">
        <f aca="false">$O1428-$P1428</f>
        <v>-11180771</v>
      </c>
      <c r="AD1428" s="48" t="n">
        <f aca="false">$AC1428*$I1428</f>
        <v>-18179933646</v>
      </c>
      <c r="AE1428" s="49" t="n">
        <f aca="false">IF($Q1428&gt;0,$O1428*$I1428/$Q1428/1000000,"")</f>
        <v>32.2045079704615</v>
      </c>
      <c r="AF1428" s="49" t="n">
        <f aca="false">IF($R1428&gt;0,$P1428*$I1428/$R1428/1000000,"")</f>
        <v>29.0772202465979</v>
      </c>
      <c r="AG1428" s="50" t="n">
        <f aca="false">IF(AND(ISNUMBER($AE1428),ISNUMBER($AF1428),$AF1428&gt;0),$AE1428/$AF1428,"")</f>
        <v>1.10755112412197</v>
      </c>
      <c r="AH1428" s="48" t="n">
        <f aca="false">IF($U1428&gt;=5,SUM(INDEX($AD$1398:$AD1428,32-5):$AD1428),"")</f>
        <v>-102618205509</v>
      </c>
      <c r="AI1428" s="48" t="n">
        <f aca="false">IF($U1428&gt;=STRUCT_S,MAX(INDEX($G$1278:$G1428,152-STRUCT_S):$G1428),"")</f>
        <v>1778</v>
      </c>
      <c r="AJ1428" s="48" t="n">
        <f aca="false">IF($U1428&gt;=STRUCT_S,MIN(INDEX($H$1278:$H1428,152-STRUCT_S):$H1428),"")</f>
        <v>1442</v>
      </c>
      <c r="AK1428" s="48" t="n">
        <f aca="false">IF($U1428&gt;=STRUCT_L,MAX(INDEX($G$1178:$G1428,252-STRUCT_L):$G1428),"")</f>
        <v>1778</v>
      </c>
      <c r="AL1428" s="48" t="n">
        <f aca="false">IF($U1428&gt;=STRUCT_L,MIN(INDEX($H$1178:$H1428,252-STRUCT_L):$H1428),"")</f>
        <v>1309</v>
      </c>
      <c r="AM1428" s="46" t="n">
        <f aca="false">IF($A1428&lt;&gt;$A1429,1,0)</f>
        <v>0</v>
      </c>
      <c r="AN1428" s="47" t="str">
        <f aca="false">IF($AM1428=1,$A1428,"")</f>
        <v/>
      </c>
    </row>
    <row r="1429" customFormat="false" ht="15" hidden="false" customHeight="false" outlineLevel="0" collapsed="false">
      <c r="A1429" s="43" t="s">
        <v>157</v>
      </c>
      <c r="B1429" s="44" t="s">
        <v>159</v>
      </c>
      <c r="C1429" s="45" t="n">
        <v>46078</v>
      </c>
      <c r="D1429" s="46" t="n">
        <v>20260225</v>
      </c>
      <c r="E1429" s="47" t="s">
        <v>412</v>
      </c>
      <c r="F1429" s="48" t="n">
        <v>1629</v>
      </c>
      <c r="G1429" s="48" t="n">
        <v>1676</v>
      </c>
      <c r="H1429" s="48" t="n">
        <v>1613</v>
      </c>
      <c r="I1429" s="48" t="n">
        <v>1663</v>
      </c>
      <c r="J1429" s="48" t="n">
        <v>1672</v>
      </c>
      <c r="K1429" s="48" t="n">
        <v>1626</v>
      </c>
      <c r="L1429" s="48" t="n">
        <v>87738009</v>
      </c>
      <c r="M1429" s="48" t="n">
        <v>145908308967</v>
      </c>
      <c r="N1429" s="48" t="n">
        <v>4273</v>
      </c>
      <c r="O1429" s="48" t="n">
        <v>52500806</v>
      </c>
      <c r="P1429" s="48" t="n">
        <v>34591017</v>
      </c>
      <c r="Q1429" s="48" t="n">
        <v>2263</v>
      </c>
      <c r="R1429" s="48" t="n">
        <v>2324</v>
      </c>
      <c r="S1429" s="48" t="n">
        <v>35237203</v>
      </c>
      <c r="T1429" s="48" t="n">
        <v>53146992</v>
      </c>
      <c r="U1429" s="46" t="n">
        <f aca="false">IF($A1429=$A1428,$U1428+1,1)</f>
        <v>125</v>
      </c>
      <c r="V1429" s="48" t="n">
        <f aca="false">IF($U1429&gt;=MA_SHORT,AVERAGE(INDEX($I$1029:$I1429,402-MA_SHORT):$I1429),"")</f>
        <v>1597.5</v>
      </c>
      <c r="W1429" s="48" t="n">
        <f aca="false">IF($U1429&gt;=MA_MED,AVERAGE(INDEX($I$1029:$I1429,402-MA_MED):$I1429),"")</f>
        <v>1490.7</v>
      </c>
      <c r="X1429" s="48" t="n">
        <f aca="false">IF($U1429&gt;=MA_LONG1,AVERAGE(INDEX($I$1029:$I1429,402-MA_LONG1):$I1429),"")</f>
        <v>1502.64</v>
      </c>
      <c r="Y1429" s="48" t="str">
        <f aca="false">IF($U1429&gt;=MA_LONG2,AVERAGE(INDEX($I$1029:$I1429,402-MA_LONG2):$I1429),"")</f>
        <v/>
      </c>
      <c r="Z1429" s="48" t="n">
        <f aca="false">IF($U1429&gt;=MA_SHORT,AVERAGE(INDEX($L$1309:$L1429,122-MA_SHORT):$L1429),"")</f>
        <v>89902247.85</v>
      </c>
      <c r="AA1429" s="48" t="n">
        <f aca="false">IF($U1429=1,$G1429-$H1429,MAX($G1429-$H1429,ABS($G1429-$I1428),ABS($H1429-$I1428)))</f>
        <v>63</v>
      </c>
      <c r="AB1429" s="48" t="n">
        <f aca="false">IF($U1429&gt;=ATR_PER,AVERAGE(INDEX($AA$1309:$AA1429,122-ATR_PER):$AA1429),"")</f>
        <v>69.3571428571429</v>
      </c>
      <c r="AC1429" s="48" t="n">
        <f aca="false">$O1429-$P1429</f>
        <v>17909789</v>
      </c>
      <c r="AD1429" s="48" t="n">
        <f aca="false">$AC1429*$I1429</f>
        <v>29783979107</v>
      </c>
      <c r="AE1429" s="49" t="n">
        <f aca="false">IF($Q1429&gt;0,$O1429*$I1429/$Q1429/1000000,"")</f>
        <v>38.5810165170128</v>
      </c>
      <c r="AF1429" s="49" t="n">
        <f aca="false">IF($R1429&gt;0,$P1429*$I1429/$R1429/1000000,"")</f>
        <v>24.7525220615318</v>
      </c>
      <c r="AG1429" s="50" t="n">
        <f aca="false">IF(AND(ISNUMBER($AE1429),ISNUMBER($AF1429),$AF1429&gt;0),$AE1429/$AF1429,"")</f>
        <v>1.55867011939652</v>
      </c>
      <c r="AH1429" s="48" t="n">
        <f aca="false">IF($U1429&gt;=5,SUM(INDEX($AD$1399:$AD1429,32-5):$AD1429),"")</f>
        <v>-69011035555</v>
      </c>
      <c r="AI1429" s="48" t="n">
        <f aca="false">IF($U1429&gt;=STRUCT_S,MAX(INDEX($G$1279:$G1429,152-STRUCT_S):$G1429),"")</f>
        <v>1778</v>
      </c>
      <c r="AJ1429" s="48" t="n">
        <f aca="false">IF($U1429&gt;=STRUCT_S,MIN(INDEX($H$1279:$H1429,152-STRUCT_S):$H1429),"")</f>
        <v>1442</v>
      </c>
      <c r="AK1429" s="48" t="n">
        <f aca="false">IF($U1429&gt;=STRUCT_L,MAX(INDEX($G$1179:$G1429,252-STRUCT_L):$G1429),"")</f>
        <v>1778</v>
      </c>
      <c r="AL1429" s="48" t="n">
        <f aca="false">IF($U1429&gt;=STRUCT_L,MIN(INDEX($H$1179:$H1429,252-STRUCT_L):$H1429),"")</f>
        <v>1309</v>
      </c>
      <c r="AM1429" s="46" t="n">
        <f aca="false">IF($A1429&lt;&gt;$A1430,1,0)</f>
        <v>0</v>
      </c>
      <c r="AN1429" s="47" t="str">
        <f aca="false">IF($AM1429=1,$A1429,"")</f>
        <v/>
      </c>
    </row>
    <row r="1430" customFormat="false" ht="15" hidden="false" customHeight="false" outlineLevel="0" collapsed="false">
      <c r="A1430" s="43" t="s">
        <v>157</v>
      </c>
      <c r="B1430" s="44" t="s">
        <v>159</v>
      </c>
      <c r="C1430" s="45" t="n">
        <v>46081</v>
      </c>
      <c r="D1430" s="46" t="n">
        <v>20260228</v>
      </c>
      <c r="E1430" s="47" t="s">
        <v>413</v>
      </c>
      <c r="F1430" s="48" t="n">
        <v>1758</v>
      </c>
      <c r="G1430" s="48" t="n">
        <v>1786</v>
      </c>
      <c r="H1430" s="48" t="n">
        <v>1598</v>
      </c>
      <c r="I1430" s="48" t="n">
        <v>1719</v>
      </c>
      <c r="J1430" s="48" t="n">
        <v>1605</v>
      </c>
      <c r="K1430" s="48" t="n">
        <v>1663</v>
      </c>
      <c r="L1430" s="48" t="n">
        <v>81571691</v>
      </c>
      <c r="M1430" s="48" t="n">
        <v>140221736829</v>
      </c>
      <c r="N1430" s="48" t="n">
        <v>2591</v>
      </c>
      <c r="O1430" s="48" t="n">
        <v>53750822</v>
      </c>
      <c r="P1430" s="48" t="n">
        <v>25150077</v>
      </c>
      <c r="Q1430" s="48" t="n">
        <v>1019</v>
      </c>
      <c r="R1430" s="48" t="n">
        <v>1225</v>
      </c>
      <c r="S1430" s="48" t="n">
        <v>27820869</v>
      </c>
      <c r="T1430" s="48" t="n">
        <v>56421614</v>
      </c>
      <c r="U1430" s="46" t="n">
        <f aca="false">IF($A1430=$A1429,$U1429+1,1)</f>
        <v>126</v>
      </c>
      <c r="V1430" s="48" t="n">
        <f aca="false">IF($U1430&gt;=MA_SHORT,AVERAGE(INDEX($I$1030:$I1430,402-MA_SHORT):$I1430),"")</f>
        <v>1606.95</v>
      </c>
      <c r="W1430" s="48" t="n">
        <f aca="false">IF($U1430&gt;=MA_MED,AVERAGE(INDEX($I$1030:$I1430,402-MA_MED):$I1430),"")</f>
        <v>1496.74</v>
      </c>
      <c r="X1430" s="48" t="n">
        <f aca="false">IF($U1430&gt;=MA_LONG1,AVERAGE(INDEX($I$1030:$I1430,402-MA_LONG1):$I1430),"")</f>
        <v>1505.7</v>
      </c>
      <c r="Y1430" s="48" t="str">
        <f aca="false">IF($U1430&gt;=MA_LONG2,AVERAGE(INDEX($I$1030:$I1430,402-MA_LONG2):$I1430),"")</f>
        <v/>
      </c>
      <c r="Z1430" s="48" t="n">
        <f aca="false">IF($U1430&gt;=MA_SHORT,AVERAGE(INDEX($L$1310:$L1430,122-MA_SHORT):$L1430),"")</f>
        <v>89915437.3</v>
      </c>
      <c r="AA1430" s="48" t="n">
        <f aca="false">IF($U1430=1,$G1430-$H1430,MAX($G1430-$H1430,ABS($G1430-$I1429),ABS($H1430-$I1429)))</f>
        <v>188</v>
      </c>
      <c r="AB1430" s="48" t="n">
        <f aca="false">IF($U1430&gt;=ATR_PER,AVERAGE(INDEX($AA$1310:$AA1430,122-ATR_PER):$AA1430),"")</f>
        <v>76.2857142857143</v>
      </c>
      <c r="AC1430" s="48" t="n">
        <f aca="false">$O1430-$P1430</f>
        <v>28600745</v>
      </c>
      <c r="AD1430" s="48" t="n">
        <f aca="false">$AC1430*$I1430</f>
        <v>49164680655</v>
      </c>
      <c r="AE1430" s="49" t="n">
        <f aca="false">IF($Q1430&gt;0,$O1430*$I1430/$Q1430/1000000,"")</f>
        <v>90.6748410382728</v>
      </c>
      <c r="AF1430" s="49" t="n">
        <f aca="false">IF($R1430&gt;0,$P1430*$I1430/$R1430/1000000,"")</f>
        <v>35.2922305004082</v>
      </c>
      <c r="AG1430" s="50" t="n">
        <f aca="false">IF(AND(ISNUMBER($AE1430),ISNUMBER($AF1430),$AF1430&gt;0),$AE1430/$AF1430,"")</f>
        <v>2.56925787213206</v>
      </c>
      <c r="AH1430" s="48" t="n">
        <f aca="false">IF($U1430&gt;=5,SUM(INDEX($AD$1400:$AD1430,32-5):$AD1430),"")</f>
        <v>-17912661988</v>
      </c>
      <c r="AI1430" s="48" t="n">
        <f aca="false">IF($U1430&gt;=STRUCT_S,MAX(INDEX($G$1280:$G1430,152-STRUCT_S):$G1430),"")</f>
        <v>1786</v>
      </c>
      <c r="AJ1430" s="48" t="n">
        <f aca="false">IF($U1430&gt;=STRUCT_S,MIN(INDEX($H$1280:$H1430,152-STRUCT_S):$H1430),"")</f>
        <v>1442</v>
      </c>
      <c r="AK1430" s="48" t="n">
        <f aca="false">IF($U1430&gt;=STRUCT_L,MAX(INDEX($G$1180:$G1430,252-STRUCT_L):$G1430),"")</f>
        <v>1786</v>
      </c>
      <c r="AL1430" s="48" t="n">
        <f aca="false">IF($U1430&gt;=STRUCT_L,MIN(INDEX($H$1180:$H1430,252-STRUCT_L):$H1430),"")</f>
        <v>1309</v>
      </c>
      <c r="AM1430" s="46" t="n">
        <f aca="false">IF($A1430&lt;&gt;$A1431,1,0)</f>
        <v>0</v>
      </c>
      <c r="AN1430" s="47" t="str">
        <f aca="false">IF($AM1430=1,$A1430,"")</f>
        <v/>
      </c>
    </row>
    <row r="1431" customFormat="false" ht="15" hidden="false" customHeight="false" outlineLevel="0" collapsed="false">
      <c r="A1431" s="43" t="s">
        <v>157</v>
      </c>
      <c r="B1431" s="44" t="s">
        <v>159</v>
      </c>
      <c r="C1431" s="45" t="n">
        <v>46082</v>
      </c>
      <c r="D1431" s="46" t="n">
        <v>20260301</v>
      </c>
      <c r="E1431" s="47" t="s">
        <v>414</v>
      </c>
      <c r="F1431" s="48" t="n">
        <v>1693</v>
      </c>
      <c r="G1431" s="48" t="n">
        <v>1757</v>
      </c>
      <c r="H1431" s="48" t="n">
        <v>1661</v>
      </c>
      <c r="I1431" s="48" t="n">
        <v>1699</v>
      </c>
      <c r="J1431" s="48" t="n">
        <v>1718</v>
      </c>
      <c r="K1431" s="48" t="n">
        <v>1719</v>
      </c>
      <c r="L1431" s="48" t="n">
        <v>94175464</v>
      </c>
      <c r="M1431" s="48" t="n">
        <v>160004113336</v>
      </c>
      <c r="N1431" s="48" t="n">
        <v>3144</v>
      </c>
      <c r="O1431" s="48" t="n">
        <v>45420378</v>
      </c>
      <c r="P1431" s="48" t="n">
        <v>45917563</v>
      </c>
      <c r="Q1431" s="48" t="n">
        <v>1349</v>
      </c>
      <c r="R1431" s="48" t="n">
        <v>986</v>
      </c>
      <c r="S1431" s="48" t="n">
        <v>48755086</v>
      </c>
      <c r="T1431" s="48" t="n">
        <v>48257901</v>
      </c>
      <c r="U1431" s="46" t="n">
        <f aca="false">IF($A1431=$A1430,$U1430+1,1)</f>
        <v>127</v>
      </c>
      <c r="V1431" s="48" t="n">
        <f aca="false">IF($U1431&gt;=MA_SHORT,AVERAGE(INDEX($I$1031:$I1431,402-MA_SHORT):$I1431),"")</f>
        <v>1616.65</v>
      </c>
      <c r="W1431" s="48" t="n">
        <f aca="false">IF($U1431&gt;=MA_MED,AVERAGE(INDEX($I$1031:$I1431,402-MA_MED):$I1431),"")</f>
        <v>1502</v>
      </c>
      <c r="X1431" s="48" t="n">
        <f aca="false">IF($U1431&gt;=MA_LONG1,AVERAGE(INDEX($I$1031:$I1431,402-MA_LONG1):$I1431),"")</f>
        <v>1508.32</v>
      </c>
      <c r="Y1431" s="48" t="str">
        <f aca="false">IF($U1431&gt;=MA_LONG2,AVERAGE(INDEX($I$1031:$I1431,402-MA_LONG2):$I1431),"")</f>
        <v/>
      </c>
      <c r="Z1431" s="48" t="n">
        <f aca="false">IF($U1431&gt;=MA_SHORT,AVERAGE(INDEX($L$1311:$L1431,122-MA_SHORT):$L1431),"")</f>
        <v>90898520</v>
      </c>
      <c r="AA1431" s="48" t="n">
        <f aca="false">IF($U1431=1,$G1431-$H1431,MAX($G1431-$H1431,ABS($G1431-$I1430),ABS($H1431-$I1430)))</f>
        <v>96</v>
      </c>
      <c r="AB1431" s="48" t="n">
        <f aca="false">IF($U1431&gt;=ATR_PER,AVERAGE(INDEX($AA$1311:$AA1431,122-ATR_PER):$AA1431),"")</f>
        <v>76.2142857142857</v>
      </c>
      <c r="AC1431" s="48" t="n">
        <f aca="false">$O1431-$P1431</f>
        <v>-497185</v>
      </c>
      <c r="AD1431" s="48" t="n">
        <f aca="false">$AC1431*$I1431</f>
        <v>-844717315</v>
      </c>
      <c r="AE1431" s="49" t="n">
        <f aca="false">IF($Q1431&gt;0,$O1431*$I1431/$Q1431/1000000,"")</f>
        <v>57.2047607279466</v>
      </c>
      <c r="AF1431" s="49" t="n">
        <f aca="false">IF($R1431&gt;0,$P1431*$I1431/$R1431/1000000,"")</f>
        <v>79.1216425324544</v>
      </c>
      <c r="AG1431" s="50" t="n">
        <f aca="false">IF(AND(ISNUMBER($AE1431),ISNUMBER($AF1431),$AF1431&gt;0),$AE1431/$AF1431,"")</f>
        <v>0.722997638787418</v>
      </c>
      <c r="AH1431" s="48" t="n">
        <f aca="false">IF($U1431&gt;=5,SUM(INDEX($AD$1401:$AD1431,32-5):$AD1431),"")</f>
        <v>62322344163</v>
      </c>
      <c r="AI1431" s="48" t="n">
        <f aca="false">IF($U1431&gt;=STRUCT_S,MAX(INDEX($G$1281:$G1431,152-STRUCT_S):$G1431),"")</f>
        <v>1786</v>
      </c>
      <c r="AJ1431" s="48" t="n">
        <f aca="false">IF($U1431&gt;=STRUCT_S,MIN(INDEX($H$1281:$H1431,152-STRUCT_S):$H1431),"")</f>
        <v>1442</v>
      </c>
      <c r="AK1431" s="48" t="n">
        <f aca="false">IF($U1431&gt;=STRUCT_L,MAX(INDEX($G$1181:$G1431,252-STRUCT_L):$G1431),"")</f>
        <v>1786</v>
      </c>
      <c r="AL1431" s="48" t="n">
        <f aca="false">IF($U1431&gt;=STRUCT_L,MIN(INDEX($H$1181:$H1431,252-STRUCT_L):$H1431),"")</f>
        <v>1309</v>
      </c>
      <c r="AM1431" s="46" t="n">
        <f aca="false">IF($A1431&lt;&gt;$A1432,1,0)</f>
        <v>0</v>
      </c>
      <c r="AN1431" s="47" t="str">
        <f aca="false">IF($AM1431=1,$A1431,"")</f>
        <v/>
      </c>
    </row>
    <row r="1432" customFormat="false" ht="15" hidden="false" customHeight="false" outlineLevel="0" collapsed="false">
      <c r="A1432" s="43" t="s">
        <v>157</v>
      </c>
      <c r="B1432" s="44" t="s">
        <v>159</v>
      </c>
      <c r="C1432" s="45" t="n">
        <v>46083</v>
      </c>
      <c r="D1432" s="46" t="n">
        <v>20260302</v>
      </c>
      <c r="E1432" s="47" t="s">
        <v>415</v>
      </c>
      <c r="F1432" s="48" t="n">
        <v>1713</v>
      </c>
      <c r="G1432" s="48" t="n">
        <v>1766</v>
      </c>
      <c r="H1432" s="48" t="n">
        <v>1656</v>
      </c>
      <c r="I1432" s="48" t="n">
        <v>1723</v>
      </c>
      <c r="J1432" s="48" t="n">
        <v>1751</v>
      </c>
      <c r="K1432" s="48" t="n">
        <v>1699</v>
      </c>
      <c r="L1432" s="48" t="n">
        <v>73612383</v>
      </c>
      <c r="M1432" s="48" t="n">
        <v>126834135909</v>
      </c>
      <c r="N1432" s="48" t="n">
        <v>4346</v>
      </c>
      <c r="O1432" s="48" t="n">
        <v>41765810</v>
      </c>
      <c r="P1432" s="48" t="n">
        <v>33163053</v>
      </c>
      <c r="Q1432" s="48" t="n">
        <v>1722</v>
      </c>
      <c r="R1432" s="48" t="n">
        <v>2030</v>
      </c>
      <c r="S1432" s="48" t="n">
        <v>31846573</v>
      </c>
      <c r="T1432" s="48" t="n">
        <v>40449330</v>
      </c>
      <c r="U1432" s="46" t="n">
        <f aca="false">IF($A1432=$A1431,$U1431+1,1)</f>
        <v>128</v>
      </c>
      <c r="V1432" s="48" t="n">
        <f aca="false">IF($U1432&gt;=MA_SHORT,AVERAGE(INDEX($I$1032:$I1432,402-MA_SHORT):$I1432),"")</f>
        <v>1627.95</v>
      </c>
      <c r="W1432" s="48" t="n">
        <f aca="false">IF($U1432&gt;=MA_MED,AVERAGE(INDEX($I$1032:$I1432,402-MA_MED):$I1432),"")</f>
        <v>1506.7</v>
      </c>
      <c r="X1432" s="48" t="n">
        <f aca="false">IF($U1432&gt;=MA_LONG1,AVERAGE(INDEX($I$1032:$I1432,402-MA_LONG1):$I1432),"")</f>
        <v>1511.1</v>
      </c>
      <c r="Y1432" s="48" t="str">
        <f aca="false">IF($U1432&gt;=MA_LONG2,AVERAGE(INDEX($I$1032:$I1432,402-MA_LONG2):$I1432),"")</f>
        <v/>
      </c>
      <c r="Z1432" s="48" t="n">
        <f aca="false">IF($U1432&gt;=MA_SHORT,AVERAGE(INDEX($L$1312:$L1432,122-MA_SHORT):$L1432),"")</f>
        <v>84263989.1</v>
      </c>
      <c r="AA1432" s="48" t="n">
        <f aca="false">IF($U1432=1,$G1432-$H1432,MAX($G1432-$H1432,ABS($G1432-$I1431),ABS($H1432-$I1431)))</f>
        <v>110</v>
      </c>
      <c r="AB1432" s="48" t="n">
        <f aca="false">IF($U1432&gt;=ATR_PER,AVERAGE(INDEX($AA$1312:$AA1432,122-ATR_PER):$AA1432),"")</f>
        <v>81.1428571428571</v>
      </c>
      <c r="AC1432" s="48" t="n">
        <f aca="false">$O1432-$P1432</f>
        <v>8602757</v>
      </c>
      <c r="AD1432" s="48" t="n">
        <f aca="false">$AC1432*$I1432</f>
        <v>14822550311</v>
      </c>
      <c r="AE1432" s="49" t="n">
        <f aca="false">IF($Q1432&gt;0,$O1432*$I1432/$Q1432/1000000,"")</f>
        <v>41.7900642450639</v>
      </c>
      <c r="AF1432" s="49" t="n">
        <f aca="false">IF($R1432&gt;0,$P1432*$I1432/$R1432/1000000,"")</f>
        <v>28.1477538517241</v>
      </c>
      <c r="AG1432" s="50" t="n">
        <f aca="false">IF(AND(ISNUMBER($AE1432),ISNUMBER($AF1432),$AF1432&gt;0),$AE1432/$AF1432,"")</f>
        <v>1.48466781630976</v>
      </c>
      <c r="AH1432" s="48" t="n">
        <f aca="false">IF($U1432&gt;=5,SUM(INDEX($AD$1402:$AD1432,32-5):$AD1432),"")</f>
        <v>74746559112</v>
      </c>
      <c r="AI1432" s="48" t="n">
        <f aca="false">IF($U1432&gt;=STRUCT_S,MAX(INDEX($G$1282:$G1432,152-STRUCT_S):$G1432),"")</f>
        <v>1786</v>
      </c>
      <c r="AJ1432" s="48" t="n">
        <f aca="false">IF($U1432&gt;=STRUCT_S,MIN(INDEX($H$1282:$H1432,152-STRUCT_S):$H1432),"")</f>
        <v>1442</v>
      </c>
      <c r="AK1432" s="48" t="n">
        <f aca="false">IF($U1432&gt;=STRUCT_L,MAX(INDEX($G$1182:$G1432,252-STRUCT_L):$G1432),"")</f>
        <v>1786</v>
      </c>
      <c r="AL1432" s="48" t="n">
        <f aca="false">IF($U1432&gt;=STRUCT_L,MIN(INDEX($H$1182:$H1432,252-STRUCT_L):$H1432),"")</f>
        <v>1309</v>
      </c>
      <c r="AM1432" s="46" t="n">
        <f aca="false">IF($A1432&lt;&gt;$A1433,1,0)</f>
        <v>0</v>
      </c>
      <c r="AN1432" s="47" t="str">
        <f aca="false">IF($AM1432=1,$A1432,"")</f>
        <v/>
      </c>
    </row>
    <row r="1433" customFormat="false" ht="15" hidden="false" customHeight="false" outlineLevel="0" collapsed="false">
      <c r="A1433" s="43" t="s">
        <v>157</v>
      </c>
      <c r="B1433" s="44" t="s">
        <v>159</v>
      </c>
      <c r="C1433" s="45" t="n">
        <v>46084</v>
      </c>
      <c r="D1433" s="46" t="n">
        <v>20260303</v>
      </c>
      <c r="E1433" s="47" t="s">
        <v>416</v>
      </c>
      <c r="F1433" s="48" t="n">
        <v>1720</v>
      </c>
      <c r="G1433" s="48" t="n">
        <v>1735</v>
      </c>
      <c r="H1433" s="48" t="n">
        <v>1712</v>
      </c>
      <c r="I1433" s="48" t="n">
        <v>1724</v>
      </c>
      <c r="J1433" s="48" t="n">
        <v>1734</v>
      </c>
      <c r="K1433" s="48" t="n">
        <v>1723</v>
      </c>
      <c r="L1433" s="48" t="n">
        <v>105280172</v>
      </c>
      <c r="M1433" s="48" t="n">
        <v>181503016528</v>
      </c>
      <c r="N1433" s="48" t="n">
        <v>2403</v>
      </c>
      <c r="O1433" s="48" t="n">
        <v>55409184</v>
      </c>
      <c r="P1433" s="48" t="n">
        <v>44340372</v>
      </c>
      <c r="Q1433" s="48" t="n">
        <v>1237</v>
      </c>
      <c r="R1433" s="48" t="n">
        <v>835</v>
      </c>
      <c r="S1433" s="48" t="n">
        <v>49870988</v>
      </c>
      <c r="T1433" s="48" t="n">
        <v>60939800</v>
      </c>
      <c r="U1433" s="46" t="n">
        <f aca="false">IF($A1433=$A1432,$U1432+1,1)</f>
        <v>129</v>
      </c>
      <c r="V1433" s="48" t="n">
        <f aca="false">IF($U1433&gt;=MA_SHORT,AVERAGE(INDEX($I$1033:$I1433,402-MA_SHORT):$I1433),"")</f>
        <v>1640.1</v>
      </c>
      <c r="W1433" s="48" t="n">
        <f aca="false">IF($U1433&gt;=MA_MED,AVERAGE(INDEX($I$1033:$I1433,402-MA_MED):$I1433),"")</f>
        <v>1510.74</v>
      </c>
      <c r="X1433" s="48" t="n">
        <f aca="false">IF($U1433&gt;=MA_LONG1,AVERAGE(INDEX($I$1033:$I1433,402-MA_LONG1):$I1433),"")</f>
        <v>1513.63</v>
      </c>
      <c r="Y1433" s="48" t="str">
        <f aca="false">IF($U1433&gt;=MA_LONG2,AVERAGE(INDEX($I$1033:$I1433,402-MA_LONG2):$I1433),"")</f>
        <v/>
      </c>
      <c r="Z1433" s="48" t="n">
        <f aca="false">IF($U1433&gt;=MA_SHORT,AVERAGE(INDEX($L$1313:$L1433,122-MA_SHORT):$L1433),"")</f>
        <v>85589984.15</v>
      </c>
      <c r="AA1433" s="48" t="n">
        <f aca="false">IF($U1433=1,$G1433-$H1433,MAX($G1433-$H1433,ABS($G1433-$I1432),ABS($H1433-$I1432)))</f>
        <v>23</v>
      </c>
      <c r="AB1433" s="48" t="n">
        <f aca="false">IF($U1433&gt;=ATR_PER,AVERAGE(INDEX($AA$1313:$AA1433,122-ATR_PER):$AA1433),"")</f>
        <v>79</v>
      </c>
      <c r="AC1433" s="48" t="n">
        <f aca="false">$O1433-$P1433</f>
        <v>11068812</v>
      </c>
      <c r="AD1433" s="48" t="n">
        <f aca="false">$AC1433*$I1433</f>
        <v>19082631888</v>
      </c>
      <c r="AE1433" s="49" t="n">
        <f aca="false">IF($Q1433&gt;0,$O1433*$I1433/$Q1433/1000000,"")</f>
        <v>77.2234706677446</v>
      </c>
      <c r="AF1433" s="49" t="n">
        <f aca="false">IF($R1433&gt;0,$P1433*$I1433/$R1433/1000000,"")</f>
        <v>91.5482650634731</v>
      </c>
      <c r="AG1433" s="50" t="n">
        <f aca="false">IF(AND(ISNUMBER($AE1433),ISNUMBER($AF1433),$AF1433&gt;0),$AE1433/$AF1433,"")</f>
        <v>0.843527407255651</v>
      </c>
      <c r="AH1433" s="48" t="n">
        <f aca="false">IF($U1433&gt;=5,SUM(INDEX($AD$1403:$AD1433,32-5):$AD1433),"")</f>
        <v>112009124646</v>
      </c>
      <c r="AI1433" s="48" t="n">
        <f aca="false">IF($U1433&gt;=STRUCT_S,MAX(INDEX($G$1283:$G1433,152-STRUCT_S):$G1433),"")</f>
        <v>1786</v>
      </c>
      <c r="AJ1433" s="48" t="n">
        <f aca="false">IF($U1433&gt;=STRUCT_S,MIN(INDEX($H$1283:$H1433,152-STRUCT_S):$H1433),"")</f>
        <v>1442</v>
      </c>
      <c r="AK1433" s="48" t="n">
        <f aca="false">IF($U1433&gt;=STRUCT_L,MAX(INDEX($G$1183:$G1433,252-STRUCT_L):$G1433),"")</f>
        <v>1786</v>
      </c>
      <c r="AL1433" s="48" t="n">
        <f aca="false">IF($U1433&gt;=STRUCT_L,MIN(INDEX($H$1183:$H1433,252-STRUCT_L):$H1433),"")</f>
        <v>1309</v>
      </c>
      <c r="AM1433" s="46" t="n">
        <f aca="false">IF($A1433&lt;&gt;$A1434,1,0)</f>
        <v>0</v>
      </c>
      <c r="AN1433" s="47" t="str">
        <f aca="false">IF($AM1433=1,$A1433,"")</f>
        <v/>
      </c>
    </row>
    <row r="1434" customFormat="false" ht="15" hidden="false" customHeight="false" outlineLevel="0" collapsed="false">
      <c r="A1434" s="43" t="s">
        <v>157</v>
      </c>
      <c r="B1434" s="44" t="s">
        <v>159</v>
      </c>
      <c r="C1434" s="45" t="n">
        <v>46085</v>
      </c>
      <c r="D1434" s="46" t="n">
        <v>20260304</v>
      </c>
      <c r="E1434" s="47" t="s">
        <v>417</v>
      </c>
      <c r="F1434" s="48" t="n">
        <v>1771</v>
      </c>
      <c r="G1434" s="48" t="n">
        <v>1783</v>
      </c>
      <c r="H1434" s="48" t="n">
        <v>1709</v>
      </c>
      <c r="I1434" s="48" t="n">
        <v>1768</v>
      </c>
      <c r="J1434" s="48" t="n">
        <v>1736</v>
      </c>
      <c r="K1434" s="48" t="n">
        <v>1724</v>
      </c>
      <c r="L1434" s="48" t="n">
        <v>78252467</v>
      </c>
      <c r="M1434" s="48" t="n">
        <v>138350361656</v>
      </c>
      <c r="N1434" s="48" t="n">
        <v>6077</v>
      </c>
      <c r="O1434" s="48" t="n">
        <v>47283039</v>
      </c>
      <c r="P1434" s="48" t="n">
        <v>29786702</v>
      </c>
      <c r="Q1434" s="48" t="n">
        <v>3226</v>
      </c>
      <c r="R1434" s="48" t="n">
        <v>2259</v>
      </c>
      <c r="S1434" s="48" t="n">
        <v>30969428</v>
      </c>
      <c r="T1434" s="48" t="n">
        <v>48465765</v>
      </c>
      <c r="U1434" s="46" t="n">
        <f aca="false">IF($A1434=$A1433,$U1433+1,1)</f>
        <v>130</v>
      </c>
      <c r="V1434" s="48" t="n">
        <f aca="false">IF($U1434&gt;=MA_SHORT,AVERAGE(INDEX($I$1034:$I1434,402-MA_SHORT):$I1434),"")</f>
        <v>1654.55</v>
      </c>
      <c r="W1434" s="48" t="n">
        <f aca="false">IF($U1434&gt;=MA_MED,AVERAGE(INDEX($I$1034:$I1434,402-MA_MED):$I1434),"")</f>
        <v>1516.34</v>
      </c>
      <c r="X1434" s="48" t="n">
        <f aca="false">IF($U1434&gt;=MA_LONG1,AVERAGE(INDEX($I$1034:$I1434,402-MA_LONG1):$I1434),"")</f>
        <v>1516.95</v>
      </c>
      <c r="Y1434" s="48" t="str">
        <f aca="false">IF($U1434&gt;=MA_LONG2,AVERAGE(INDEX($I$1034:$I1434,402-MA_LONG2):$I1434),"")</f>
        <v/>
      </c>
      <c r="Z1434" s="48" t="n">
        <f aca="false">IF($U1434&gt;=MA_SHORT,AVERAGE(INDEX($L$1314:$L1434,122-MA_SHORT):$L1434),"")</f>
        <v>85210101.2</v>
      </c>
      <c r="AA1434" s="48" t="n">
        <f aca="false">IF($U1434=1,$G1434-$H1434,MAX($G1434-$H1434,ABS($G1434-$I1433),ABS($H1434-$I1433)))</f>
        <v>74</v>
      </c>
      <c r="AB1434" s="48" t="n">
        <f aca="false">IF($U1434&gt;=ATR_PER,AVERAGE(INDEX($AA$1314:$AA1434,122-ATR_PER):$AA1434),"")</f>
        <v>82.5714285714286</v>
      </c>
      <c r="AC1434" s="48" t="n">
        <f aca="false">$O1434-$P1434</f>
        <v>17496337</v>
      </c>
      <c r="AD1434" s="48" t="n">
        <f aca="false">$AC1434*$I1434</f>
        <v>30933523816</v>
      </c>
      <c r="AE1434" s="49" t="n">
        <f aca="false">IF($Q1434&gt;0,$O1434*$I1434/$Q1434/1000000,"")</f>
        <v>25.9133332151271</v>
      </c>
      <c r="AF1434" s="49" t="n">
        <f aca="false">IF($R1434&gt;0,$P1434*$I1434/$R1434/1000000,"")</f>
        <v>23.3124785905268</v>
      </c>
      <c r="AG1434" s="50" t="n">
        <f aca="false">IF(AND(ISNUMBER($AE1434),ISNUMBER($AF1434),$AF1434&gt;0),$AE1434/$AF1434,"")</f>
        <v>1.11156491209207</v>
      </c>
      <c r="AH1434" s="48" t="n">
        <f aca="false">IF($U1434&gt;=5,SUM(INDEX($AD$1404:$AD1434,32-5):$AD1434),"")</f>
        <v>113158669355</v>
      </c>
      <c r="AI1434" s="48" t="n">
        <f aca="false">IF($U1434&gt;=STRUCT_S,MAX(INDEX($G$1284:$G1434,152-STRUCT_S):$G1434),"")</f>
        <v>1786</v>
      </c>
      <c r="AJ1434" s="48" t="n">
        <f aca="false">IF($U1434&gt;=STRUCT_S,MIN(INDEX($H$1284:$H1434,152-STRUCT_S):$H1434),"")</f>
        <v>1442</v>
      </c>
      <c r="AK1434" s="48" t="n">
        <f aca="false">IF($U1434&gt;=STRUCT_L,MAX(INDEX($G$1184:$G1434,252-STRUCT_L):$G1434),"")</f>
        <v>1786</v>
      </c>
      <c r="AL1434" s="48" t="n">
        <f aca="false">IF($U1434&gt;=STRUCT_L,MIN(INDEX($H$1184:$H1434,252-STRUCT_L):$H1434),"")</f>
        <v>1309</v>
      </c>
      <c r="AM1434" s="46" t="n">
        <f aca="false">IF($A1434&lt;&gt;$A1435,1,0)</f>
        <v>0</v>
      </c>
      <c r="AN1434" s="47" t="str">
        <f aca="false">IF($AM1434=1,$A1434,"")</f>
        <v/>
      </c>
    </row>
    <row r="1435" customFormat="false" ht="15" hidden="false" customHeight="false" outlineLevel="0" collapsed="false">
      <c r="A1435" s="43" t="s">
        <v>157</v>
      </c>
      <c r="B1435" s="44" t="s">
        <v>159</v>
      </c>
      <c r="C1435" s="45" t="n">
        <v>46088</v>
      </c>
      <c r="D1435" s="46" t="n">
        <v>20260307</v>
      </c>
      <c r="E1435" s="47" t="s">
        <v>418</v>
      </c>
      <c r="F1435" s="48" t="n">
        <v>1759</v>
      </c>
      <c r="G1435" s="48" t="n">
        <v>1773</v>
      </c>
      <c r="H1435" s="48" t="n">
        <v>1757</v>
      </c>
      <c r="I1435" s="48" t="n">
        <v>1762</v>
      </c>
      <c r="J1435" s="48" t="n">
        <v>1771</v>
      </c>
      <c r="K1435" s="48" t="n">
        <v>1768</v>
      </c>
      <c r="L1435" s="48" t="n">
        <v>69242572</v>
      </c>
      <c r="M1435" s="48" t="n">
        <v>122005411864</v>
      </c>
      <c r="N1435" s="48" t="n">
        <v>3154</v>
      </c>
      <c r="O1435" s="48" t="n">
        <v>34930085</v>
      </c>
      <c r="P1435" s="48" t="n">
        <v>36213302</v>
      </c>
      <c r="Q1435" s="48" t="n">
        <v>1603</v>
      </c>
      <c r="R1435" s="48" t="n">
        <v>973</v>
      </c>
      <c r="S1435" s="48" t="n">
        <v>34312487</v>
      </c>
      <c r="T1435" s="48" t="n">
        <v>33029270</v>
      </c>
      <c r="U1435" s="46" t="n">
        <f aca="false">IF($A1435=$A1434,$U1434+1,1)</f>
        <v>131</v>
      </c>
      <c r="V1435" s="48" t="n">
        <f aca="false">IF($U1435&gt;=MA_SHORT,AVERAGE(INDEX($I$1035:$I1435,402-MA_SHORT):$I1435),"")</f>
        <v>1669.05</v>
      </c>
      <c r="W1435" s="48" t="n">
        <f aca="false">IF($U1435&gt;=MA_MED,AVERAGE(INDEX($I$1035:$I1435,402-MA_MED):$I1435),"")</f>
        <v>1522.26</v>
      </c>
      <c r="X1435" s="48" t="n">
        <f aca="false">IF($U1435&gt;=MA_LONG1,AVERAGE(INDEX($I$1035:$I1435,402-MA_LONG1):$I1435),"")</f>
        <v>1519.76</v>
      </c>
      <c r="Y1435" s="48" t="str">
        <f aca="false">IF($U1435&gt;=MA_LONG2,AVERAGE(INDEX($I$1035:$I1435,402-MA_LONG2):$I1435),"")</f>
        <v/>
      </c>
      <c r="Z1435" s="48" t="n">
        <f aca="false">IF($U1435&gt;=MA_SHORT,AVERAGE(INDEX($L$1315:$L1435,122-MA_SHORT):$L1435),"")</f>
        <v>84365248.6</v>
      </c>
      <c r="AA1435" s="48" t="n">
        <f aca="false">IF($U1435=1,$G1435-$H1435,MAX($G1435-$H1435,ABS($G1435-$I1434),ABS($H1435-$I1434)))</f>
        <v>16</v>
      </c>
      <c r="AB1435" s="48" t="n">
        <f aca="false">IF($U1435&gt;=ATR_PER,AVERAGE(INDEX($AA$1315:$AA1435,122-ATR_PER):$AA1435),"")</f>
        <v>79.7857142857143</v>
      </c>
      <c r="AC1435" s="48" t="n">
        <f aca="false">$O1435-$P1435</f>
        <v>-1283217</v>
      </c>
      <c r="AD1435" s="48" t="n">
        <f aca="false">$AC1435*$I1435</f>
        <v>-2261028354</v>
      </c>
      <c r="AE1435" s="49" t="n">
        <f aca="false">IF($Q1435&gt;0,$O1435*$I1435/$Q1435/1000000,"")</f>
        <v>38.3947659201497</v>
      </c>
      <c r="AF1435" s="49" t="n">
        <f aca="false">IF($R1435&gt;0,$P1435*$I1435/$R1435/1000000,"")</f>
        <v>65.5784564480987</v>
      </c>
      <c r="AG1435" s="50" t="n">
        <f aca="false">IF(AND(ISNUMBER($AE1435),ISNUMBER($AF1435),$AF1435&gt;0),$AE1435/$AF1435,"")</f>
        <v>0.585478341512</v>
      </c>
      <c r="AH1435" s="48" t="n">
        <f aca="false">IF($U1435&gt;=5,SUM(INDEX($AD$1405:$AD1435,32-5):$AD1435),"")</f>
        <v>61732960346</v>
      </c>
      <c r="AI1435" s="48" t="n">
        <f aca="false">IF($U1435&gt;=STRUCT_S,MAX(INDEX($G$1285:$G1435,152-STRUCT_S):$G1435),"")</f>
        <v>1786</v>
      </c>
      <c r="AJ1435" s="48" t="n">
        <f aca="false">IF($U1435&gt;=STRUCT_S,MIN(INDEX($H$1285:$H1435,152-STRUCT_S):$H1435),"")</f>
        <v>1442</v>
      </c>
      <c r="AK1435" s="48" t="n">
        <f aca="false">IF($U1435&gt;=STRUCT_L,MAX(INDEX($G$1185:$G1435,252-STRUCT_L):$G1435),"")</f>
        <v>1786</v>
      </c>
      <c r="AL1435" s="48" t="n">
        <f aca="false">IF($U1435&gt;=STRUCT_L,MIN(INDEX($H$1185:$H1435,252-STRUCT_L):$H1435),"")</f>
        <v>1309</v>
      </c>
      <c r="AM1435" s="46" t="n">
        <f aca="false">IF($A1435&lt;&gt;$A1436,1,0)</f>
        <v>0</v>
      </c>
      <c r="AN1435" s="47" t="str">
        <f aca="false">IF($AM1435=1,$A1435,"")</f>
        <v/>
      </c>
    </row>
    <row r="1436" customFormat="false" ht="15" hidden="false" customHeight="false" outlineLevel="0" collapsed="false">
      <c r="A1436" s="43" t="s">
        <v>157</v>
      </c>
      <c r="B1436" s="44" t="s">
        <v>159</v>
      </c>
      <c r="C1436" s="45" t="n">
        <v>46089</v>
      </c>
      <c r="D1436" s="46" t="n">
        <v>20260308</v>
      </c>
      <c r="E1436" s="47" t="s">
        <v>419</v>
      </c>
      <c r="F1436" s="48" t="n">
        <v>1732</v>
      </c>
      <c r="G1436" s="48" t="n">
        <v>1774</v>
      </c>
      <c r="H1436" s="48" t="n">
        <v>1688</v>
      </c>
      <c r="I1436" s="48" t="n">
        <v>1700</v>
      </c>
      <c r="J1436" s="48" t="n">
        <v>1693</v>
      </c>
      <c r="K1436" s="48" t="n">
        <v>1762</v>
      </c>
      <c r="L1436" s="48" t="n">
        <v>82187814</v>
      </c>
      <c r="M1436" s="48" t="n">
        <v>139719283800</v>
      </c>
      <c r="N1436" s="48" t="n">
        <v>1956</v>
      </c>
      <c r="O1436" s="48" t="n">
        <v>33156966</v>
      </c>
      <c r="P1436" s="48" t="n">
        <v>48497822</v>
      </c>
      <c r="Q1436" s="48" t="n">
        <v>644</v>
      </c>
      <c r="R1436" s="48" t="n">
        <v>779</v>
      </c>
      <c r="S1436" s="48" t="n">
        <v>49030848</v>
      </c>
      <c r="T1436" s="48" t="n">
        <v>33689992</v>
      </c>
      <c r="U1436" s="46" t="n">
        <f aca="false">IF($A1436=$A1435,$U1435+1,1)</f>
        <v>132</v>
      </c>
      <c r="V1436" s="48" t="n">
        <f aca="false">IF($U1436&gt;=MA_SHORT,AVERAGE(INDEX($I$1036:$I1436,402-MA_SHORT):$I1436),"")</f>
        <v>1678.9</v>
      </c>
      <c r="W1436" s="48" t="n">
        <f aca="false">IF($U1436&gt;=MA_MED,AVERAGE(INDEX($I$1036:$I1436,402-MA_MED):$I1436),"")</f>
        <v>1527.26</v>
      </c>
      <c r="X1436" s="48" t="n">
        <f aca="false">IF($U1436&gt;=MA_LONG1,AVERAGE(INDEX($I$1036:$I1436,402-MA_LONG1):$I1436),"")</f>
        <v>1521.89</v>
      </c>
      <c r="Y1436" s="48" t="str">
        <f aca="false">IF($U1436&gt;=MA_LONG2,AVERAGE(INDEX($I$1036:$I1436,402-MA_LONG2):$I1436),"")</f>
        <v/>
      </c>
      <c r="Z1436" s="48" t="n">
        <f aca="false">IF($U1436&gt;=MA_SHORT,AVERAGE(INDEX($L$1316:$L1436,122-MA_SHORT):$L1436),"")</f>
        <v>83177600.7</v>
      </c>
      <c r="AA1436" s="48" t="n">
        <f aca="false">IF($U1436=1,$G1436-$H1436,MAX($G1436-$H1436,ABS($G1436-$I1435),ABS($H1436-$I1435)))</f>
        <v>86</v>
      </c>
      <c r="AB1436" s="48" t="n">
        <f aca="false">IF($U1436&gt;=ATR_PER,AVERAGE(INDEX($AA$1316:$AA1436,122-ATR_PER):$AA1436),"")</f>
        <v>82.2857142857143</v>
      </c>
      <c r="AC1436" s="48" t="n">
        <f aca="false">$O1436-$P1436</f>
        <v>-15340856</v>
      </c>
      <c r="AD1436" s="48" t="n">
        <f aca="false">$AC1436*$I1436</f>
        <v>-26079455200</v>
      </c>
      <c r="AE1436" s="49" t="n">
        <f aca="false">IF($Q1436&gt;0,$O1436*$I1436/$Q1436/1000000,"")</f>
        <v>87.5261524844721</v>
      </c>
      <c r="AF1436" s="49" t="n">
        <f aca="false">IF($R1436&gt;0,$P1436*$I1436/$R1436/1000000,"")</f>
        <v>105.836068549422</v>
      </c>
      <c r="AG1436" s="50" t="n">
        <f aca="false">IF(AND(ISNUMBER($AE1436),ISNUMBER($AF1436),$AF1436&gt;0),$AE1436/$AF1436,"")</f>
        <v>0.826997390247918</v>
      </c>
      <c r="AH1436" s="48" t="n">
        <f aca="false">IF($U1436&gt;=5,SUM(INDEX($AD$1406:$AD1436,32-5):$AD1436),"")</f>
        <v>36498222461</v>
      </c>
      <c r="AI1436" s="48" t="n">
        <f aca="false">IF($U1436&gt;=STRUCT_S,MAX(INDEX($G$1286:$G1436,152-STRUCT_S):$G1436),"")</f>
        <v>1786</v>
      </c>
      <c r="AJ1436" s="48" t="n">
        <f aca="false">IF($U1436&gt;=STRUCT_S,MIN(INDEX($H$1286:$H1436,152-STRUCT_S):$H1436),"")</f>
        <v>1474</v>
      </c>
      <c r="AK1436" s="48" t="n">
        <f aca="false">IF($U1436&gt;=STRUCT_L,MAX(INDEX($G$1186:$G1436,252-STRUCT_L):$G1436),"")</f>
        <v>1786</v>
      </c>
      <c r="AL1436" s="48" t="n">
        <f aca="false">IF($U1436&gt;=STRUCT_L,MIN(INDEX($H$1186:$H1436,252-STRUCT_L):$H1436),"")</f>
        <v>1309</v>
      </c>
      <c r="AM1436" s="46" t="n">
        <f aca="false">IF($A1436&lt;&gt;$A1437,1,0)</f>
        <v>0</v>
      </c>
      <c r="AN1436" s="47" t="str">
        <f aca="false">IF($AM1436=1,$A1436,"")</f>
        <v/>
      </c>
    </row>
    <row r="1437" customFormat="false" ht="15" hidden="false" customHeight="false" outlineLevel="0" collapsed="false">
      <c r="A1437" s="43" t="s">
        <v>157</v>
      </c>
      <c r="B1437" s="44" t="s">
        <v>159</v>
      </c>
      <c r="C1437" s="45" t="n">
        <v>46090</v>
      </c>
      <c r="D1437" s="46" t="n">
        <v>20260309</v>
      </c>
      <c r="E1437" s="47" t="s">
        <v>420</v>
      </c>
      <c r="F1437" s="48" t="n">
        <v>1701</v>
      </c>
      <c r="G1437" s="48" t="n">
        <v>1719</v>
      </c>
      <c r="H1437" s="48" t="n">
        <v>1694</v>
      </c>
      <c r="I1437" s="48" t="n">
        <v>1713</v>
      </c>
      <c r="J1437" s="48" t="n">
        <v>1716</v>
      </c>
      <c r="K1437" s="48" t="n">
        <v>1700</v>
      </c>
      <c r="L1437" s="48" t="n">
        <v>72015499</v>
      </c>
      <c r="M1437" s="48" t="n">
        <v>123362549787</v>
      </c>
      <c r="N1437" s="48" t="n">
        <v>5652</v>
      </c>
      <c r="O1437" s="48" t="n">
        <v>39492138</v>
      </c>
      <c r="P1437" s="48" t="n">
        <v>29265584</v>
      </c>
      <c r="Q1437" s="48" t="n">
        <v>2163</v>
      </c>
      <c r="R1437" s="48" t="n">
        <v>2135</v>
      </c>
      <c r="S1437" s="48" t="n">
        <v>32523361</v>
      </c>
      <c r="T1437" s="48" t="n">
        <v>42749915</v>
      </c>
      <c r="U1437" s="46" t="n">
        <f aca="false">IF($A1437=$A1436,$U1436+1,1)</f>
        <v>133</v>
      </c>
      <c r="V1437" s="48" t="n">
        <f aca="false">IF($U1437&gt;=MA_SHORT,AVERAGE(INDEX($I$1037:$I1437,402-MA_SHORT):$I1437),"")</f>
        <v>1687.5</v>
      </c>
      <c r="W1437" s="48" t="n">
        <f aca="false">IF($U1437&gt;=MA_MED,AVERAGE(INDEX($I$1037:$I1437,402-MA_MED):$I1437),"")</f>
        <v>1532.82</v>
      </c>
      <c r="X1437" s="48" t="n">
        <f aca="false">IF($U1437&gt;=MA_LONG1,AVERAGE(INDEX($I$1037:$I1437,402-MA_LONG1):$I1437),"")</f>
        <v>1524.43</v>
      </c>
      <c r="Y1437" s="48" t="str">
        <f aca="false">IF($U1437&gt;=MA_LONG2,AVERAGE(INDEX($I$1037:$I1437,402-MA_LONG2):$I1437),"")</f>
        <v/>
      </c>
      <c r="Z1437" s="48" t="n">
        <f aca="false">IF($U1437&gt;=MA_SHORT,AVERAGE(INDEX($L$1317:$L1437,122-MA_SHORT):$L1437),"")</f>
        <v>82870623.5</v>
      </c>
      <c r="AA1437" s="48" t="n">
        <f aca="false">IF($U1437=1,$G1437-$H1437,MAX($G1437-$H1437,ABS($G1437-$I1436),ABS($H1437-$I1436)))</f>
        <v>25</v>
      </c>
      <c r="AB1437" s="48" t="n">
        <f aca="false">IF($U1437&gt;=ATR_PER,AVERAGE(INDEX($AA$1317:$AA1437,122-ATR_PER):$AA1437),"")</f>
        <v>78.4285714285714</v>
      </c>
      <c r="AC1437" s="48" t="n">
        <f aca="false">$O1437-$P1437</f>
        <v>10226554</v>
      </c>
      <c r="AD1437" s="48" t="n">
        <f aca="false">$AC1437*$I1437</f>
        <v>17518087002</v>
      </c>
      <c r="AE1437" s="49" t="n">
        <f aca="false">IF($Q1437&gt;0,$O1437*$I1437/$Q1437/1000000,"")</f>
        <v>31.2760205242718</v>
      </c>
      <c r="AF1437" s="49" t="n">
        <f aca="false">IF($R1437&gt;0,$P1437*$I1437/$R1437/1000000,"")</f>
        <v>23.4810048674473</v>
      </c>
      <c r="AG1437" s="50" t="n">
        <f aca="false">IF(AND(ISNUMBER($AE1437),ISNUMBER($AF1437),$AF1437&gt;0),$AE1437/$AF1437,"")</f>
        <v>1.33197112733583</v>
      </c>
      <c r="AH1437" s="48" t="n">
        <f aca="false">IF($U1437&gt;=5,SUM(INDEX($AD$1407:$AD1437,32-5):$AD1437),"")</f>
        <v>39193759152</v>
      </c>
      <c r="AI1437" s="48" t="n">
        <f aca="false">IF($U1437&gt;=STRUCT_S,MAX(INDEX($G$1287:$G1437,152-STRUCT_S):$G1437),"")</f>
        <v>1786</v>
      </c>
      <c r="AJ1437" s="48" t="n">
        <f aca="false">IF($U1437&gt;=STRUCT_S,MIN(INDEX($H$1287:$H1437,152-STRUCT_S):$H1437),"")</f>
        <v>1533</v>
      </c>
      <c r="AK1437" s="48" t="n">
        <f aca="false">IF($U1437&gt;=STRUCT_L,MAX(INDEX($G$1187:$G1437,252-STRUCT_L):$G1437),"")</f>
        <v>1786</v>
      </c>
      <c r="AL1437" s="48" t="n">
        <f aca="false">IF($U1437&gt;=STRUCT_L,MIN(INDEX($H$1187:$H1437,252-STRUCT_L):$H1437),"")</f>
        <v>1309</v>
      </c>
      <c r="AM1437" s="46" t="n">
        <f aca="false">IF($A1437&lt;&gt;$A1438,1,0)</f>
        <v>0</v>
      </c>
      <c r="AN1437" s="47" t="str">
        <f aca="false">IF($AM1437=1,$A1437,"")</f>
        <v/>
      </c>
    </row>
    <row r="1438" customFormat="false" ht="15" hidden="false" customHeight="false" outlineLevel="0" collapsed="false">
      <c r="A1438" s="43" t="s">
        <v>157</v>
      </c>
      <c r="B1438" s="44" t="s">
        <v>159</v>
      </c>
      <c r="C1438" s="45" t="n">
        <v>46091</v>
      </c>
      <c r="D1438" s="46" t="n">
        <v>20260310</v>
      </c>
      <c r="E1438" s="47" t="s">
        <v>421</v>
      </c>
      <c r="F1438" s="48" t="n">
        <v>1702</v>
      </c>
      <c r="G1438" s="48" t="n">
        <v>1731</v>
      </c>
      <c r="H1438" s="48" t="n">
        <v>1644</v>
      </c>
      <c r="I1438" s="48" t="n">
        <v>1661</v>
      </c>
      <c r="J1438" s="48" t="n">
        <v>1685</v>
      </c>
      <c r="K1438" s="48" t="n">
        <v>1713</v>
      </c>
      <c r="L1438" s="48" t="n">
        <v>80220725</v>
      </c>
      <c r="M1438" s="48" t="n">
        <v>133246624225</v>
      </c>
      <c r="N1438" s="48" t="n">
        <v>3240</v>
      </c>
      <c r="O1438" s="48" t="n">
        <v>29907041</v>
      </c>
      <c r="P1438" s="48" t="n">
        <v>51847840</v>
      </c>
      <c r="Q1438" s="48" t="n">
        <v>1649</v>
      </c>
      <c r="R1438" s="48" t="n">
        <v>1328</v>
      </c>
      <c r="S1438" s="48" t="n">
        <v>50313684</v>
      </c>
      <c r="T1438" s="48" t="n">
        <v>28372885</v>
      </c>
      <c r="U1438" s="46" t="n">
        <f aca="false">IF($A1438=$A1437,$U1437+1,1)</f>
        <v>134</v>
      </c>
      <c r="V1438" s="48" t="n">
        <f aca="false">IF($U1438&gt;=MA_SHORT,AVERAGE(INDEX($I$1038:$I1438,402-MA_SHORT):$I1438),"")</f>
        <v>1692.25</v>
      </c>
      <c r="W1438" s="48" t="n">
        <f aca="false">IF($U1438&gt;=MA_MED,AVERAGE(INDEX($I$1038:$I1438,402-MA_MED):$I1438),"")</f>
        <v>1536.92</v>
      </c>
      <c r="X1438" s="48" t="n">
        <f aca="false">IF($U1438&gt;=MA_LONG1,AVERAGE(INDEX($I$1038:$I1438,402-MA_LONG1):$I1438),"")</f>
        <v>1526.22</v>
      </c>
      <c r="Y1438" s="48" t="str">
        <f aca="false">IF($U1438&gt;=MA_LONG2,AVERAGE(INDEX($I$1038:$I1438,402-MA_LONG2):$I1438),"")</f>
        <v/>
      </c>
      <c r="Z1438" s="48" t="n">
        <f aca="false">IF($U1438&gt;=MA_SHORT,AVERAGE(INDEX($L$1318:$L1438,122-MA_SHORT):$L1438),"")</f>
        <v>83037592.75</v>
      </c>
      <c r="AA1438" s="48" t="n">
        <f aca="false">IF($U1438=1,$G1438-$H1438,MAX($G1438-$H1438,ABS($G1438-$I1437),ABS($H1438-$I1437)))</f>
        <v>87</v>
      </c>
      <c r="AB1438" s="48" t="n">
        <f aca="false">IF($U1438&gt;=ATR_PER,AVERAGE(INDEX($AA$1318:$AA1438,122-ATR_PER):$AA1438),"")</f>
        <v>77.5</v>
      </c>
      <c r="AC1438" s="48" t="n">
        <f aca="false">$O1438-$P1438</f>
        <v>-21940799</v>
      </c>
      <c r="AD1438" s="48" t="n">
        <f aca="false">$AC1438*$I1438</f>
        <v>-36443667139</v>
      </c>
      <c r="AE1438" s="49" t="n">
        <f aca="false">IF($Q1438&gt;0,$O1438*$I1438/$Q1438/1000000,"")</f>
        <v>30.124678654336</v>
      </c>
      <c r="AF1438" s="49" t="n">
        <f aca="false">IF($R1438&gt;0,$P1438*$I1438/$R1438/1000000,"")</f>
        <v>64.8488420481928</v>
      </c>
      <c r="AG1438" s="50" t="n">
        <f aca="false">IF(AND(ISNUMBER($AE1438),ISNUMBER($AF1438),$AF1438&gt;0),$AE1438/$AF1438,"")</f>
        <v>0.464536878421802</v>
      </c>
      <c r="AH1438" s="48" t="n">
        <f aca="false">IF($U1438&gt;=5,SUM(INDEX($AD$1408:$AD1438,32-5):$AD1438),"")</f>
        <v>-16332539875</v>
      </c>
      <c r="AI1438" s="48" t="n">
        <f aca="false">IF($U1438&gt;=STRUCT_S,MAX(INDEX($G$1288:$G1438,152-STRUCT_S):$G1438),"")</f>
        <v>1786</v>
      </c>
      <c r="AJ1438" s="48" t="n">
        <f aca="false">IF($U1438&gt;=STRUCT_S,MIN(INDEX($H$1288:$H1438,152-STRUCT_S):$H1438),"")</f>
        <v>1562</v>
      </c>
      <c r="AK1438" s="48" t="n">
        <f aca="false">IF($U1438&gt;=STRUCT_L,MAX(INDEX($G$1188:$G1438,252-STRUCT_L):$G1438),"")</f>
        <v>1786</v>
      </c>
      <c r="AL1438" s="48" t="n">
        <f aca="false">IF($U1438&gt;=STRUCT_L,MIN(INDEX($H$1188:$H1438,252-STRUCT_L):$H1438),"")</f>
        <v>1309</v>
      </c>
      <c r="AM1438" s="46" t="n">
        <f aca="false">IF($A1438&lt;&gt;$A1439,1,0)</f>
        <v>0</v>
      </c>
      <c r="AN1438" s="47" t="str">
        <f aca="false">IF($AM1438=1,$A1438,"")</f>
        <v/>
      </c>
    </row>
    <row r="1439" customFormat="false" ht="15" hidden="false" customHeight="false" outlineLevel="0" collapsed="false">
      <c r="A1439" s="43" t="s">
        <v>157</v>
      </c>
      <c r="B1439" s="44" t="s">
        <v>159</v>
      </c>
      <c r="C1439" s="45" t="n">
        <v>46092</v>
      </c>
      <c r="D1439" s="46" t="n">
        <v>20260311</v>
      </c>
      <c r="E1439" s="47" t="s">
        <v>422</v>
      </c>
      <c r="F1439" s="48" t="n">
        <v>1692</v>
      </c>
      <c r="G1439" s="48" t="n">
        <v>1732</v>
      </c>
      <c r="H1439" s="48" t="n">
        <v>1633</v>
      </c>
      <c r="I1439" s="48" t="n">
        <v>1703</v>
      </c>
      <c r="J1439" s="48" t="n">
        <v>1712</v>
      </c>
      <c r="K1439" s="48" t="n">
        <v>1661</v>
      </c>
      <c r="L1439" s="48" t="n">
        <v>78156348</v>
      </c>
      <c r="M1439" s="48" t="n">
        <v>133100260644</v>
      </c>
      <c r="N1439" s="48" t="n">
        <v>1996</v>
      </c>
      <c r="O1439" s="48" t="n">
        <v>50943067</v>
      </c>
      <c r="P1439" s="48" t="n">
        <v>26926836</v>
      </c>
      <c r="Q1439" s="48" t="n">
        <v>783</v>
      </c>
      <c r="R1439" s="48" t="n">
        <v>774</v>
      </c>
      <c r="S1439" s="48" t="n">
        <v>27213281</v>
      </c>
      <c r="T1439" s="48" t="n">
        <v>51229512</v>
      </c>
      <c r="U1439" s="46" t="n">
        <f aca="false">IF($A1439=$A1438,$U1438+1,1)</f>
        <v>135</v>
      </c>
      <c r="V1439" s="48" t="n">
        <f aca="false">IF($U1439&gt;=MA_SHORT,AVERAGE(INDEX($I$1039:$I1439,402-MA_SHORT):$I1439),"")</f>
        <v>1696.85</v>
      </c>
      <c r="W1439" s="48" t="n">
        <f aca="false">IF($U1439&gt;=MA_MED,AVERAGE(INDEX($I$1039:$I1439,402-MA_MED):$I1439),"")</f>
        <v>1543.02</v>
      </c>
      <c r="X1439" s="48" t="n">
        <f aca="false">IF($U1439&gt;=MA_LONG1,AVERAGE(INDEX($I$1039:$I1439,402-MA_LONG1):$I1439),"")</f>
        <v>1528.34</v>
      </c>
      <c r="Y1439" s="48" t="str">
        <f aca="false">IF($U1439&gt;=MA_LONG2,AVERAGE(INDEX($I$1039:$I1439,402-MA_LONG2):$I1439),"")</f>
        <v/>
      </c>
      <c r="Z1439" s="48" t="n">
        <f aca="false">IF($U1439&gt;=MA_SHORT,AVERAGE(INDEX($L$1319:$L1439,122-MA_SHORT):$L1439),"")</f>
        <v>82940414.8</v>
      </c>
      <c r="AA1439" s="48" t="n">
        <f aca="false">IF($U1439=1,$G1439-$H1439,MAX($G1439-$H1439,ABS($G1439-$I1438),ABS($H1439-$I1438)))</f>
        <v>99</v>
      </c>
      <c r="AB1439" s="48" t="n">
        <f aca="false">IF($U1439&gt;=ATR_PER,AVERAGE(INDEX($AA$1319:$AA1439,122-ATR_PER):$AA1439),"")</f>
        <v>80.3571428571429</v>
      </c>
      <c r="AC1439" s="48" t="n">
        <f aca="false">$O1439-$P1439</f>
        <v>24016231</v>
      </c>
      <c r="AD1439" s="48" t="n">
        <f aca="false">$AC1439*$I1439</f>
        <v>40899641393</v>
      </c>
      <c r="AE1439" s="49" t="n">
        <f aca="false">IF($Q1439&gt;0,$O1439*$I1439/$Q1439/1000000,"")</f>
        <v>110.799544190294</v>
      </c>
      <c r="AF1439" s="49" t="n">
        <f aca="false">IF($R1439&gt;0,$P1439*$I1439/$R1439/1000000,"")</f>
        <v>59.2459970387597</v>
      </c>
      <c r="AG1439" s="50" t="n">
        <f aca="false">IF(AND(ISNUMBER($AE1439),ISNUMBER($AF1439),$AF1439&gt;0),$AE1439/$AF1439,"")</f>
        <v>1.87016085015511</v>
      </c>
      <c r="AH1439" s="48" t="n">
        <f aca="false">IF($U1439&gt;=5,SUM(INDEX($AD$1409:$AD1439,32-5):$AD1439),"")</f>
        <v>-6366422298</v>
      </c>
      <c r="AI1439" s="48" t="n">
        <f aca="false">IF($U1439&gt;=STRUCT_S,MAX(INDEX($G$1289:$G1439,152-STRUCT_S):$G1439),"")</f>
        <v>1786</v>
      </c>
      <c r="AJ1439" s="48" t="n">
        <f aca="false">IF($U1439&gt;=STRUCT_S,MIN(INDEX($H$1289:$H1439,152-STRUCT_S):$H1439),"")</f>
        <v>1598</v>
      </c>
      <c r="AK1439" s="48" t="n">
        <f aca="false">IF($U1439&gt;=STRUCT_L,MAX(INDEX($G$1189:$G1439,252-STRUCT_L):$G1439),"")</f>
        <v>1786</v>
      </c>
      <c r="AL1439" s="48" t="n">
        <f aca="false">IF($U1439&gt;=STRUCT_L,MIN(INDEX($H$1189:$H1439,252-STRUCT_L):$H1439),"")</f>
        <v>1309</v>
      </c>
      <c r="AM1439" s="46" t="n">
        <f aca="false">IF($A1439&lt;&gt;$A1440,1,0)</f>
        <v>0</v>
      </c>
      <c r="AN1439" s="47" t="str">
        <f aca="false">IF($AM1439=1,$A1439,"")</f>
        <v/>
      </c>
    </row>
    <row r="1440" customFormat="false" ht="15" hidden="false" customHeight="false" outlineLevel="0" collapsed="false">
      <c r="A1440" s="43" t="s">
        <v>157</v>
      </c>
      <c r="B1440" s="44" t="s">
        <v>159</v>
      </c>
      <c r="C1440" s="45" t="n">
        <v>46095</v>
      </c>
      <c r="D1440" s="46" t="n">
        <v>20260314</v>
      </c>
      <c r="E1440" s="47" t="s">
        <v>423</v>
      </c>
      <c r="F1440" s="48" t="n">
        <v>1758</v>
      </c>
      <c r="G1440" s="48" t="n">
        <v>1766</v>
      </c>
      <c r="H1440" s="48" t="n">
        <v>1680</v>
      </c>
      <c r="I1440" s="48" t="n">
        <v>1743</v>
      </c>
      <c r="J1440" s="48" t="n">
        <v>1682</v>
      </c>
      <c r="K1440" s="48" t="n">
        <v>1703</v>
      </c>
      <c r="L1440" s="48" t="n">
        <v>77424261</v>
      </c>
      <c r="M1440" s="48" t="n">
        <v>134950486923</v>
      </c>
      <c r="N1440" s="48" t="n">
        <v>7616</v>
      </c>
      <c r="O1440" s="48" t="n">
        <v>45428674</v>
      </c>
      <c r="P1440" s="48" t="n">
        <v>26831805</v>
      </c>
      <c r="Q1440" s="48" t="n">
        <v>2727</v>
      </c>
      <c r="R1440" s="48" t="n">
        <v>3622</v>
      </c>
      <c r="S1440" s="48" t="n">
        <v>31995587</v>
      </c>
      <c r="T1440" s="48" t="n">
        <v>50592456</v>
      </c>
      <c r="U1440" s="46" t="n">
        <f aca="false">IF($A1440=$A1439,$U1439+1,1)</f>
        <v>136</v>
      </c>
      <c r="V1440" s="48" t="n">
        <f aca="false">IF($U1440&gt;=MA_SHORT,AVERAGE(INDEX($I$1040:$I1440,402-MA_SHORT):$I1440),"")</f>
        <v>1703.35</v>
      </c>
      <c r="W1440" s="48" t="n">
        <f aca="false">IF($U1440&gt;=MA_MED,AVERAGE(INDEX($I$1040:$I1440,402-MA_MED):$I1440),"")</f>
        <v>1549.84</v>
      </c>
      <c r="X1440" s="48" t="n">
        <f aca="false">IF($U1440&gt;=MA_LONG1,AVERAGE(INDEX($I$1040:$I1440,402-MA_LONG1):$I1440),"")</f>
        <v>1531</v>
      </c>
      <c r="Y1440" s="48" t="str">
        <f aca="false">IF($U1440&gt;=MA_LONG2,AVERAGE(INDEX($I$1040:$I1440,402-MA_LONG2):$I1440),"")</f>
        <v/>
      </c>
      <c r="Z1440" s="48" t="n">
        <f aca="false">IF($U1440&gt;=MA_SHORT,AVERAGE(INDEX($L$1320:$L1440,122-MA_SHORT):$L1440),"")</f>
        <v>82628347.75</v>
      </c>
      <c r="AA1440" s="48" t="n">
        <f aca="false">IF($U1440=1,$G1440-$H1440,MAX($G1440-$H1440,ABS($G1440-$I1439),ABS($H1440-$I1439)))</f>
        <v>86</v>
      </c>
      <c r="AB1440" s="48" t="n">
        <f aca="false">IF($U1440&gt;=ATR_PER,AVERAGE(INDEX($AA$1320:$AA1440,122-ATR_PER):$AA1440),"")</f>
        <v>76.7142857142857</v>
      </c>
      <c r="AC1440" s="48" t="n">
        <f aca="false">$O1440-$P1440</f>
        <v>18596869</v>
      </c>
      <c r="AD1440" s="48" t="n">
        <f aca="false">$AC1440*$I1440</f>
        <v>32414342667</v>
      </c>
      <c r="AE1440" s="49" t="n">
        <f aca="false">IF($Q1440&gt;0,$O1440*$I1440/$Q1440/1000000,"")</f>
        <v>29.036369190319</v>
      </c>
      <c r="AF1440" s="49" t="n">
        <f aca="false">IF($R1440&gt;0,$P1440*$I1440/$R1440/1000000,"")</f>
        <v>12.9121579555494</v>
      </c>
      <c r="AG1440" s="50" t="n">
        <f aca="false">IF(AND(ISNUMBER($AE1440),ISNUMBER($AF1440),$AF1440&gt;0),$AE1440/$AF1440,"")</f>
        <v>2.24876192579721</v>
      </c>
      <c r="AH1440" s="48" t="n">
        <f aca="false">IF($U1440&gt;=5,SUM(INDEX($AD$1410:$AD1440,32-5):$AD1440),"")</f>
        <v>28308948723</v>
      </c>
      <c r="AI1440" s="48" t="n">
        <f aca="false">IF($U1440&gt;=STRUCT_S,MAX(INDEX($G$1290:$G1440,152-STRUCT_S):$G1440),"")</f>
        <v>1786</v>
      </c>
      <c r="AJ1440" s="48" t="n">
        <f aca="false">IF($U1440&gt;=STRUCT_S,MIN(INDEX($H$1290:$H1440,152-STRUCT_S):$H1440),"")</f>
        <v>1598</v>
      </c>
      <c r="AK1440" s="48" t="n">
        <f aca="false">IF($U1440&gt;=STRUCT_L,MAX(INDEX($G$1190:$G1440,252-STRUCT_L):$G1440),"")</f>
        <v>1786</v>
      </c>
      <c r="AL1440" s="48" t="n">
        <f aca="false">IF($U1440&gt;=STRUCT_L,MIN(INDEX($H$1190:$H1440,252-STRUCT_L):$H1440),"")</f>
        <v>1309</v>
      </c>
      <c r="AM1440" s="46" t="n">
        <f aca="false">IF($A1440&lt;&gt;$A1441,1,0)</f>
        <v>0</v>
      </c>
      <c r="AN1440" s="47" t="str">
        <f aca="false">IF($AM1440=1,$A1440,"")</f>
        <v/>
      </c>
    </row>
    <row r="1441" customFormat="false" ht="15" hidden="false" customHeight="false" outlineLevel="0" collapsed="false">
      <c r="A1441" s="43" t="s">
        <v>157</v>
      </c>
      <c r="B1441" s="44" t="s">
        <v>159</v>
      </c>
      <c r="C1441" s="45" t="n">
        <v>46096</v>
      </c>
      <c r="D1441" s="46" t="n">
        <v>20260315</v>
      </c>
      <c r="E1441" s="47" t="s">
        <v>424</v>
      </c>
      <c r="F1441" s="48" t="n">
        <v>1775</v>
      </c>
      <c r="G1441" s="48" t="n">
        <v>1781</v>
      </c>
      <c r="H1441" s="48" t="n">
        <v>1668</v>
      </c>
      <c r="I1441" s="48" t="n">
        <v>1705</v>
      </c>
      <c r="J1441" s="48" t="n">
        <v>1748</v>
      </c>
      <c r="K1441" s="48" t="n">
        <v>1743</v>
      </c>
      <c r="L1441" s="48" t="n">
        <v>107266910</v>
      </c>
      <c r="M1441" s="48" t="n">
        <v>182890081550</v>
      </c>
      <c r="N1441" s="48" t="n">
        <v>7743</v>
      </c>
      <c r="O1441" s="48" t="n">
        <v>42133483</v>
      </c>
      <c r="P1441" s="48" t="n">
        <v>66646817</v>
      </c>
      <c r="Q1441" s="48" t="n">
        <v>2941</v>
      </c>
      <c r="R1441" s="48" t="n">
        <v>2718</v>
      </c>
      <c r="S1441" s="48" t="n">
        <v>65133427</v>
      </c>
      <c r="T1441" s="48" t="n">
        <v>40620093</v>
      </c>
      <c r="U1441" s="46" t="n">
        <f aca="false">IF($A1441=$A1440,$U1440+1,1)</f>
        <v>137</v>
      </c>
      <c r="V1441" s="48" t="n">
        <f aca="false">IF($U1441&gt;=MA_SHORT,AVERAGE(INDEX($I$1041:$I1441,402-MA_SHORT):$I1441),"")</f>
        <v>1706.1</v>
      </c>
      <c r="W1441" s="48" t="n">
        <f aca="false">IF($U1441&gt;=MA_MED,AVERAGE(INDEX($I$1041:$I1441,402-MA_MED):$I1441),"")</f>
        <v>1555.44</v>
      </c>
      <c r="X1441" s="48" t="n">
        <f aca="false">IF($U1441&gt;=MA_LONG1,AVERAGE(INDEX($I$1041:$I1441,402-MA_LONG1):$I1441),"")</f>
        <v>1532.72</v>
      </c>
      <c r="Y1441" s="48" t="str">
        <f aca="false">IF($U1441&gt;=MA_LONG2,AVERAGE(INDEX($I$1041:$I1441,402-MA_LONG2):$I1441),"")</f>
        <v/>
      </c>
      <c r="Z1441" s="48" t="n">
        <f aca="false">IF($U1441&gt;=MA_SHORT,AVERAGE(INDEX($L$1321:$L1441,122-MA_SHORT):$L1441),"")</f>
        <v>82522802.5</v>
      </c>
      <c r="AA1441" s="48" t="n">
        <f aca="false">IF($U1441=1,$G1441-$H1441,MAX($G1441-$H1441,ABS($G1441-$I1440),ABS($H1441-$I1440)))</f>
        <v>113</v>
      </c>
      <c r="AB1441" s="48" t="n">
        <f aca="false">IF($U1441&gt;=ATR_PER,AVERAGE(INDEX($AA$1321:$AA1441,122-ATR_PER):$AA1441),"")</f>
        <v>81.8571428571429</v>
      </c>
      <c r="AC1441" s="48" t="n">
        <f aca="false">$O1441-$P1441</f>
        <v>-24513334</v>
      </c>
      <c r="AD1441" s="48" t="n">
        <f aca="false">$AC1441*$I1441</f>
        <v>-41795234470</v>
      </c>
      <c r="AE1441" s="49" t="n">
        <f aca="false">IF($Q1441&gt;0,$O1441*$I1441/$Q1441/1000000,"")</f>
        <v>24.4262456698402</v>
      </c>
      <c r="AF1441" s="49" t="n">
        <f aca="false">IF($R1441&gt;0,$P1441*$I1441/$R1441/1000000,"")</f>
        <v>41.8075139753495</v>
      </c>
      <c r="AG1441" s="50" t="n">
        <f aca="false">IF(AND(ISNUMBER($AE1441),ISNUMBER($AF1441),$AF1441&gt;0),$AE1441/$AF1441,"")</f>
        <v>0.584254918487676</v>
      </c>
      <c r="AH1441" s="48" t="n">
        <f aca="false">IF($U1441&gt;=5,SUM(INDEX($AD$1411:$AD1441,32-5):$AD1441),"")</f>
        <v>12593169453</v>
      </c>
      <c r="AI1441" s="48" t="n">
        <f aca="false">IF($U1441&gt;=STRUCT_S,MAX(INDEX($G$1291:$G1441,152-STRUCT_S):$G1441),"")</f>
        <v>1786</v>
      </c>
      <c r="AJ1441" s="48" t="n">
        <f aca="false">IF($U1441&gt;=STRUCT_S,MIN(INDEX($H$1291:$H1441,152-STRUCT_S):$H1441),"")</f>
        <v>1598</v>
      </c>
      <c r="AK1441" s="48" t="n">
        <f aca="false">IF($U1441&gt;=STRUCT_L,MAX(INDEX($G$1191:$G1441,252-STRUCT_L):$G1441),"")</f>
        <v>1786</v>
      </c>
      <c r="AL1441" s="48" t="n">
        <f aca="false">IF($U1441&gt;=STRUCT_L,MIN(INDEX($H$1191:$H1441,252-STRUCT_L):$H1441),"")</f>
        <v>1309</v>
      </c>
      <c r="AM1441" s="46" t="n">
        <f aca="false">IF($A1441&lt;&gt;$A1442,1,0)</f>
        <v>0</v>
      </c>
      <c r="AN1441" s="47" t="str">
        <f aca="false">IF($AM1441=1,$A1441,"")</f>
        <v/>
      </c>
    </row>
    <row r="1442" customFormat="false" ht="15" hidden="false" customHeight="false" outlineLevel="0" collapsed="false">
      <c r="A1442" s="43" t="s">
        <v>157</v>
      </c>
      <c r="B1442" s="44" t="s">
        <v>159</v>
      </c>
      <c r="C1442" s="45" t="n">
        <v>46097</v>
      </c>
      <c r="D1442" s="46" t="n">
        <v>20260316</v>
      </c>
      <c r="E1442" s="47" t="s">
        <v>425</v>
      </c>
      <c r="F1442" s="48" t="n">
        <v>1730</v>
      </c>
      <c r="G1442" s="48" t="n">
        <v>1744</v>
      </c>
      <c r="H1442" s="48" t="n">
        <v>1673</v>
      </c>
      <c r="I1442" s="48" t="n">
        <v>1711</v>
      </c>
      <c r="J1442" s="48" t="n">
        <v>1744</v>
      </c>
      <c r="K1442" s="48" t="n">
        <v>1705</v>
      </c>
      <c r="L1442" s="48" t="n">
        <v>149463297</v>
      </c>
      <c r="M1442" s="48" t="n">
        <v>255731701167</v>
      </c>
      <c r="N1442" s="48" t="n">
        <v>10546</v>
      </c>
      <c r="O1442" s="48" t="n">
        <v>62581514</v>
      </c>
      <c r="P1442" s="48" t="n">
        <v>90050559</v>
      </c>
      <c r="Q1442" s="48" t="n">
        <v>3569</v>
      </c>
      <c r="R1442" s="48" t="n">
        <v>4025</v>
      </c>
      <c r="S1442" s="48" t="n">
        <v>86881783</v>
      </c>
      <c r="T1442" s="48" t="n">
        <v>59412738</v>
      </c>
      <c r="U1442" s="46" t="n">
        <f aca="false">IF($A1442=$A1441,$U1441+1,1)</f>
        <v>138</v>
      </c>
      <c r="V1442" s="48" t="n">
        <f aca="false">IF($U1442&gt;=MA_SHORT,AVERAGE(INDEX($I$1042:$I1442,402-MA_SHORT):$I1442),"")</f>
        <v>1707.1</v>
      </c>
      <c r="W1442" s="48" t="n">
        <f aca="false">IF($U1442&gt;=MA_MED,AVERAGE(INDEX($I$1042:$I1442,402-MA_MED):$I1442),"")</f>
        <v>1561.92</v>
      </c>
      <c r="X1442" s="48" t="n">
        <f aca="false">IF($U1442&gt;=MA_LONG1,AVERAGE(INDEX($I$1042:$I1442,402-MA_LONG1):$I1442),"")</f>
        <v>1534.31</v>
      </c>
      <c r="Y1442" s="48" t="str">
        <f aca="false">IF($U1442&gt;=MA_LONG2,AVERAGE(INDEX($I$1042:$I1442,402-MA_LONG2):$I1442),"")</f>
        <v/>
      </c>
      <c r="Z1442" s="48" t="n">
        <f aca="false">IF($U1442&gt;=MA_SHORT,AVERAGE(INDEX($L$1322:$L1442,122-MA_SHORT):$L1442),"")</f>
        <v>86097056.45</v>
      </c>
      <c r="AA1442" s="48" t="n">
        <f aca="false">IF($U1442=1,$G1442-$H1442,MAX($G1442-$H1442,ABS($G1442-$I1441),ABS($H1442-$I1441)))</f>
        <v>71</v>
      </c>
      <c r="AB1442" s="48" t="n">
        <f aca="false">IF($U1442&gt;=ATR_PER,AVERAGE(INDEX($AA$1322:$AA1442,122-ATR_PER):$AA1442),"")</f>
        <v>81.2142857142857</v>
      </c>
      <c r="AC1442" s="48" t="n">
        <f aca="false">$O1442-$P1442</f>
        <v>-27469045</v>
      </c>
      <c r="AD1442" s="48" t="n">
        <f aca="false">$AC1442*$I1442</f>
        <v>-46999535995</v>
      </c>
      <c r="AE1442" s="49" t="n">
        <f aca="false">IF($Q1442&gt;0,$O1442*$I1442/$Q1442/1000000,"")</f>
        <v>30.0019530551975</v>
      </c>
      <c r="AF1442" s="49" t="n">
        <f aca="false">IF($R1442&gt;0,$P1442*$I1442/$R1442/1000000,"")</f>
        <v>38.2798773786335</v>
      </c>
      <c r="AG1442" s="50" t="n">
        <f aca="false">IF(AND(ISNUMBER($AE1442),ISNUMBER($AF1442),$AF1442&gt;0),$AE1442/$AF1442,"")</f>
        <v>0.783752590386916</v>
      </c>
      <c r="AH1442" s="48" t="n">
        <f aca="false">IF($U1442&gt;=5,SUM(INDEX($AD$1412:$AD1442,32-5):$AD1442),"")</f>
        <v>-51924453544</v>
      </c>
      <c r="AI1442" s="48" t="n">
        <f aca="false">IF($U1442&gt;=STRUCT_S,MAX(INDEX($G$1292:$G1442,152-STRUCT_S):$G1442),"")</f>
        <v>1786</v>
      </c>
      <c r="AJ1442" s="48" t="n">
        <f aca="false">IF($U1442&gt;=STRUCT_S,MIN(INDEX($H$1292:$H1442,152-STRUCT_S):$H1442),"")</f>
        <v>1598</v>
      </c>
      <c r="AK1442" s="48" t="n">
        <f aca="false">IF($U1442&gt;=STRUCT_L,MAX(INDEX($G$1192:$G1442,252-STRUCT_L):$G1442),"")</f>
        <v>1786</v>
      </c>
      <c r="AL1442" s="48" t="n">
        <f aca="false">IF($U1442&gt;=STRUCT_L,MIN(INDEX($H$1192:$H1442,252-STRUCT_L):$H1442),"")</f>
        <v>1309</v>
      </c>
      <c r="AM1442" s="46" t="n">
        <f aca="false">IF($A1442&lt;&gt;$A1443,1,0)</f>
        <v>0</v>
      </c>
      <c r="AN1442" s="47" t="str">
        <f aca="false">IF($AM1442=1,$A1442,"")</f>
        <v/>
      </c>
    </row>
    <row r="1443" customFormat="false" ht="15" hidden="false" customHeight="false" outlineLevel="0" collapsed="false">
      <c r="A1443" s="43" t="s">
        <v>157</v>
      </c>
      <c r="B1443" s="44" t="s">
        <v>159</v>
      </c>
      <c r="C1443" s="45" t="n">
        <v>46098</v>
      </c>
      <c r="D1443" s="46" t="n">
        <v>20260317</v>
      </c>
      <c r="E1443" s="47" t="s">
        <v>426</v>
      </c>
      <c r="F1443" s="48" t="n">
        <v>1792</v>
      </c>
      <c r="G1443" s="48" t="n">
        <v>1822</v>
      </c>
      <c r="H1443" s="48" t="n">
        <v>1683</v>
      </c>
      <c r="I1443" s="48" t="n">
        <v>1792</v>
      </c>
      <c r="J1443" s="48" t="n">
        <v>1781</v>
      </c>
      <c r="K1443" s="48" t="n">
        <v>1711</v>
      </c>
      <c r="L1443" s="48" t="n">
        <v>104876326</v>
      </c>
      <c r="M1443" s="48" t="n">
        <v>187938376192</v>
      </c>
      <c r="N1443" s="48" t="n">
        <v>4466</v>
      </c>
      <c r="O1443" s="48" t="n">
        <v>66331955</v>
      </c>
      <c r="P1443" s="48" t="n">
        <v>44965978</v>
      </c>
      <c r="Q1443" s="48" t="n">
        <v>1509</v>
      </c>
      <c r="R1443" s="48" t="n">
        <v>2340</v>
      </c>
      <c r="S1443" s="48" t="n">
        <v>38544371</v>
      </c>
      <c r="T1443" s="48" t="n">
        <v>59910348</v>
      </c>
      <c r="U1443" s="46" t="n">
        <f aca="false">IF($A1443=$A1442,$U1442+1,1)</f>
        <v>139</v>
      </c>
      <c r="V1443" s="48" t="n">
        <f aca="false">IF($U1443&gt;=MA_SHORT,AVERAGE(INDEX($I$1043:$I1443,402-MA_SHORT):$I1443),"")</f>
        <v>1711.5</v>
      </c>
      <c r="W1443" s="48" t="n">
        <f aca="false">IF($U1443&gt;=MA_MED,AVERAGE(INDEX($I$1043:$I1443,402-MA_MED):$I1443),"")</f>
        <v>1571.16</v>
      </c>
      <c r="X1443" s="48" t="n">
        <f aca="false">IF($U1443&gt;=MA_LONG1,AVERAGE(INDEX($I$1043:$I1443,402-MA_LONG1):$I1443),"")</f>
        <v>1536.87</v>
      </c>
      <c r="Y1443" s="48" t="str">
        <f aca="false">IF($U1443&gt;=MA_LONG2,AVERAGE(INDEX($I$1043:$I1443,402-MA_LONG2):$I1443),"")</f>
        <v/>
      </c>
      <c r="Z1443" s="48" t="n">
        <f aca="false">IF($U1443&gt;=MA_SHORT,AVERAGE(INDEX($L$1323:$L1443,122-MA_SHORT):$L1443),"")</f>
        <v>87791324</v>
      </c>
      <c r="AA1443" s="48" t="n">
        <f aca="false">IF($U1443=1,$G1443-$H1443,MAX($G1443-$H1443,ABS($G1443-$I1442),ABS($H1443-$I1442)))</f>
        <v>139</v>
      </c>
      <c r="AB1443" s="48" t="n">
        <f aca="false">IF($U1443&gt;=ATR_PER,AVERAGE(INDEX($AA$1323:$AA1443,122-ATR_PER):$AA1443),"")</f>
        <v>86.6428571428571</v>
      </c>
      <c r="AC1443" s="48" t="n">
        <f aca="false">$O1443-$P1443</f>
        <v>21365977</v>
      </c>
      <c r="AD1443" s="48" t="n">
        <f aca="false">$AC1443*$I1443</f>
        <v>38287830784</v>
      </c>
      <c r="AE1443" s="49" t="n">
        <f aca="false">IF($Q1443&gt;0,$O1443*$I1443/$Q1443/1000000,"")</f>
        <v>78.7719439098741</v>
      </c>
      <c r="AF1443" s="49" t="n">
        <f aca="false">IF($R1443&gt;0,$P1443*$I1443/$R1443/1000000,"")</f>
        <v>34.4354840068376</v>
      </c>
      <c r="AG1443" s="50" t="n">
        <f aca="false">IF(AND(ISNUMBER($AE1443),ISNUMBER($AF1443),$AF1443&gt;0),$AE1443/$AF1443,"")</f>
        <v>2.28752248390738</v>
      </c>
      <c r="AH1443" s="48" t="n">
        <f aca="false">IF($U1443&gt;=5,SUM(INDEX($AD$1413:$AD1443,32-5):$AD1443),"")</f>
        <v>22807044379</v>
      </c>
      <c r="AI1443" s="48" t="n">
        <f aca="false">IF($U1443&gt;=STRUCT_S,MAX(INDEX($G$1293:$G1443,152-STRUCT_S):$G1443),"")</f>
        <v>1822</v>
      </c>
      <c r="AJ1443" s="48" t="n">
        <f aca="false">IF($U1443&gt;=STRUCT_S,MIN(INDEX($H$1293:$H1443,152-STRUCT_S):$H1443),"")</f>
        <v>1598</v>
      </c>
      <c r="AK1443" s="48" t="n">
        <f aca="false">IF($U1443&gt;=STRUCT_L,MAX(INDEX($G$1193:$G1443,252-STRUCT_L):$G1443),"")</f>
        <v>1822</v>
      </c>
      <c r="AL1443" s="48" t="n">
        <f aca="false">IF($U1443&gt;=STRUCT_L,MIN(INDEX($H$1193:$H1443,252-STRUCT_L):$H1443),"")</f>
        <v>1309</v>
      </c>
      <c r="AM1443" s="46" t="n">
        <f aca="false">IF($A1443&lt;&gt;$A1444,1,0)</f>
        <v>0</v>
      </c>
      <c r="AN1443" s="47" t="str">
        <f aca="false">IF($AM1443=1,$A1443,"")</f>
        <v/>
      </c>
    </row>
    <row r="1444" customFormat="false" ht="15" hidden="false" customHeight="false" outlineLevel="0" collapsed="false">
      <c r="A1444" s="43" t="s">
        <v>157</v>
      </c>
      <c r="B1444" s="44" t="s">
        <v>159</v>
      </c>
      <c r="C1444" s="45" t="n">
        <v>46099</v>
      </c>
      <c r="D1444" s="46" t="n">
        <v>20260318</v>
      </c>
      <c r="E1444" s="47" t="s">
        <v>427</v>
      </c>
      <c r="F1444" s="48" t="n">
        <v>1769</v>
      </c>
      <c r="G1444" s="48" t="n">
        <v>1854</v>
      </c>
      <c r="H1444" s="48" t="n">
        <v>1759</v>
      </c>
      <c r="I1444" s="48" t="n">
        <v>1821</v>
      </c>
      <c r="J1444" s="48" t="n">
        <v>1827</v>
      </c>
      <c r="K1444" s="48" t="n">
        <v>1792</v>
      </c>
      <c r="L1444" s="48" t="n">
        <v>83815346</v>
      </c>
      <c r="M1444" s="48" t="n">
        <v>152627745066</v>
      </c>
      <c r="N1444" s="48" t="n">
        <v>5024</v>
      </c>
      <c r="O1444" s="48" t="n">
        <v>36629996</v>
      </c>
      <c r="P1444" s="48" t="n">
        <v>43710497</v>
      </c>
      <c r="Q1444" s="48" t="n">
        <v>1773</v>
      </c>
      <c r="R1444" s="48" t="n">
        <v>2422</v>
      </c>
      <c r="S1444" s="48" t="n">
        <v>47185350</v>
      </c>
      <c r="T1444" s="48" t="n">
        <v>40104849</v>
      </c>
      <c r="U1444" s="46" t="n">
        <f aca="false">IF($A1444=$A1443,$U1443+1,1)</f>
        <v>140</v>
      </c>
      <c r="V1444" s="48" t="n">
        <f aca="false">IF($U1444&gt;=MA_SHORT,AVERAGE(INDEX($I$1044:$I1444,402-MA_SHORT):$I1444),"")</f>
        <v>1715.7</v>
      </c>
      <c r="W1444" s="48" t="n">
        <f aca="false">IF($U1444&gt;=MA_MED,AVERAGE(INDEX($I$1044:$I1444,402-MA_MED):$I1444),"")</f>
        <v>1580.58</v>
      </c>
      <c r="X1444" s="48" t="n">
        <f aca="false">IF($U1444&gt;=MA_LONG1,AVERAGE(INDEX($I$1044:$I1444,402-MA_LONG1):$I1444),"")</f>
        <v>1539.91</v>
      </c>
      <c r="Y1444" s="48" t="str">
        <f aca="false">IF($U1444&gt;=MA_LONG2,AVERAGE(INDEX($I$1044:$I1444,402-MA_LONG2):$I1444),"")</f>
        <v/>
      </c>
      <c r="Z1444" s="48" t="n">
        <f aca="false">IF($U1444&gt;=MA_SHORT,AVERAGE(INDEX($L$1324:$L1444,122-MA_SHORT):$L1444),"")</f>
        <v>87130751.6</v>
      </c>
      <c r="AA1444" s="48" t="n">
        <f aca="false">IF($U1444=1,$G1444-$H1444,MAX($G1444-$H1444,ABS($G1444-$I1443),ABS($H1444-$I1443)))</f>
        <v>95</v>
      </c>
      <c r="AB1444" s="48" t="n">
        <f aca="false">IF($U1444&gt;=ATR_PER,AVERAGE(INDEX($AA$1324:$AA1444,122-ATR_PER):$AA1444),"")</f>
        <v>80</v>
      </c>
      <c r="AC1444" s="48" t="n">
        <f aca="false">$O1444-$P1444</f>
        <v>-7080501</v>
      </c>
      <c r="AD1444" s="48" t="n">
        <f aca="false">$AC1444*$I1444</f>
        <v>-12893592321</v>
      </c>
      <c r="AE1444" s="49" t="n">
        <f aca="false">IF($Q1444&gt;0,$O1444*$I1444/$Q1444/1000000,"")</f>
        <v>37.6216710186125</v>
      </c>
      <c r="AF1444" s="49" t="n">
        <f aca="false">IF($R1444&gt;0,$P1444*$I1444/$R1444/1000000,"")</f>
        <v>32.8640854818332</v>
      </c>
      <c r="AG1444" s="50" t="n">
        <f aca="false">IF(AND(ISNUMBER($AE1444),ISNUMBER($AF1444),$AF1444&gt;0),$AE1444/$AF1444,"")</f>
        <v>1.14476549300023</v>
      </c>
      <c r="AH1444" s="48" t="n">
        <f aca="false">IF($U1444&gt;=5,SUM(INDEX($AD$1414:$AD1444,32-5):$AD1444),"")</f>
        <v>-30986189335</v>
      </c>
      <c r="AI1444" s="48" t="n">
        <f aca="false">IF($U1444&gt;=STRUCT_S,MAX(INDEX($G$1294:$G1444,152-STRUCT_S):$G1444),"")</f>
        <v>1854</v>
      </c>
      <c r="AJ1444" s="48" t="n">
        <f aca="false">IF($U1444&gt;=STRUCT_S,MIN(INDEX($H$1294:$H1444,152-STRUCT_S):$H1444),"")</f>
        <v>1598</v>
      </c>
      <c r="AK1444" s="48" t="n">
        <f aca="false">IF($U1444&gt;=STRUCT_L,MAX(INDEX($G$1194:$G1444,252-STRUCT_L):$G1444),"")</f>
        <v>1854</v>
      </c>
      <c r="AL1444" s="48" t="n">
        <f aca="false">IF($U1444&gt;=STRUCT_L,MIN(INDEX($H$1194:$H1444,252-STRUCT_L):$H1444),"")</f>
        <v>1309</v>
      </c>
      <c r="AM1444" s="46" t="n">
        <f aca="false">IF($A1444&lt;&gt;$A1445,1,0)</f>
        <v>0</v>
      </c>
      <c r="AN1444" s="47" t="str">
        <f aca="false">IF($AM1444=1,$A1444,"")</f>
        <v/>
      </c>
    </row>
    <row r="1445" customFormat="false" ht="15" hidden="false" customHeight="false" outlineLevel="0" collapsed="false">
      <c r="A1445" s="43" t="s">
        <v>157</v>
      </c>
      <c r="B1445" s="44" t="s">
        <v>159</v>
      </c>
      <c r="C1445" s="45" t="n">
        <v>46102</v>
      </c>
      <c r="D1445" s="46" t="n">
        <v>20260321</v>
      </c>
      <c r="E1445" s="47" t="s">
        <v>428</v>
      </c>
      <c r="F1445" s="48" t="n">
        <v>1802</v>
      </c>
      <c r="G1445" s="48" t="n">
        <v>1847</v>
      </c>
      <c r="H1445" s="48" t="n">
        <v>1802</v>
      </c>
      <c r="I1445" s="48" t="n">
        <v>1828</v>
      </c>
      <c r="J1445" s="48" t="n">
        <v>1804</v>
      </c>
      <c r="K1445" s="48" t="n">
        <v>1821</v>
      </c>
      <c r="L1445" s="48" t="n">
        <v>161919875</v>
      </c>
      <c r="M1445" s="48" t="n">
        <v>295989531500</v>
      </c>
      <c r="N1445" s="48" t="n">
        <v>14108</v>
      </c>
      <c r="O1445" s="48" t="n">
        <v>64474904</v>
      </c>
      <c r="P1445" s="48" t="n">
        <v>101744241</v>
      </c>
      <c r="Q1445" s="48" t="n">
        <v>7500</v>
      </c>
      <c r="R1445" s="48" t="n">
        <v>7801</v>
      </c>
      <c r="S1445" s="48" t="n">
        <v>97444971</v>
      </c>
      <c r="T1445" s="48" t="n">
        <v>60175634</v>
      </c>
      <c r="U1445" s="46" t="n">
        <f aca="false">IF($A1445=$A1444,$U1444+1,1)</f>
        <v>141</v>
      </c>
      <c r="V1445" s="48" t="n">
        <f aca="false">IF($U1445&gt;=MA_SHORT,AVERAGE(INDEX($I$1045:$I1445,402-MA_SHORT):$I1445),"")</f>
        <v>1719.5</v>
      </c>
      <c r="W1445" s="48" t="n">
        <f aca="false">IF($U1445&gt;=MA_MED,AVERAGE(INDEX($I$1045:$I1445,402-MA_MED):$I1445),"")</f>
        <v>1590.24</v>
      </c>
      <c r="X1445" s="48" t="n">
        <f aca="false">IF($U1445&gt;=MA_LONG1,AVERAGE(INDEX($I$1045:$I1445,402-MA_LONG1):$I1445),"")</f>
        <v>1543.18</v>
      </c>
      <c r="Y1445" s="48" t="str">
        <f aca="false">IF($U1445&gt;=MA_LONG2,AVERAGE(INDEX($I$1045:$I1445,402-MA_LONG2):$I1445),"")</f>
        <v/>
      </c>
      <c r="Z1445" s="48" t="n">
        <f aca="false">IF($U1445&gt;=MA_SHORT,AVERAGE(INDEX($L$1325:$L1445,122-MA_SHORT):$L1445),"")</f>
        <v>91657900.65</v>
      </c>
      <c r="AA1445" s="48" t="n">
        <f aca="false">IF($U1445=1,$G1445-$H1445,MAX($G1445-$H1445,ABS($G1445-$I1444),ABS($H1445-$I1444)))</f>
        <v>45</v>
      </c>
      <c r="AB1445" s="48" t="n">
        <f aca="false">IF($U1445&gt;=ATR_PER,AVERAGE(INDEX($AA$1325:$AA1445,122-ATR_PER):$AA1445),"")</f>
        <v>76.3571428571429</v>
      </c>
      <c r="AC1445" s="48" t="n">
        <f aca="false">$O1445-$P1445</f>
        <v>-37269337</v>
      </c>
      <c r="AD1445" s="48" t="n">
        <f aca="false">$AC1445*$I1445</f>
        <v>-68128348036</v>
      </c>
      <c r="AE1445" s="49" t="n">
        <f aca="false">IF($Q1445&gt;0,$O1445*$I1445/$Q1445/1000000,"")</f>
        <v>15.7146832682667</v>
      </c>
      <c r="AF1445" s="49" t="n">
        <f aca="false">IF($R1445&gt;0,$P1445*$I1445/$R1445/1000000,"")</f>
        <v>23.8416193498269</v>
      </c>
      <c r="AG1445" s="50" t="n">
        <f aca="false">IF(AND(ISNUMBER($AE1445),ISNUMBER($AF1445),$AF1445&gt;0),$AE1445/$AF1445,"")</f>
        <v>0.659128184108884</v>
      </c>
      <c r="AH1445" s="48" t="n">
        <f aca="false">IF($U1445&gt;=5,SUM(INDEX($AD$1415:$AD1445,32-5):$AD1445),"")</f>
        <v>-131528880038</v>
      </c>
      <c r="AI1445" s="48" t="n">
        <f aca="false">IF($U1445&gt;=STRUCT_S,MAX(INDEX($G$1295:$G1445,152-STRUCT_S):$G1445),"")</f>
        <v>1854</v>
      </c>
      <c r="AJ1445" s="48" t="n">
        <f aca="false">IF($U1445&gt;=STRUCT_S,MIN(INDEX($H$1295:$H1445,152-STRUCT_S):$H1445),"")</f>
        <v>1598</v>
      </c>
      <c r="AK1445" s="48" t="n">
        <f aca="false">IF($U1445&gt;=STRUCT_L,MAX(INDEX($G$1195:$G1445,252-STRUCT_L):$G1445),"")</f>
        <v>1854</v>
      </c>
      <c r="AL1445" s="48" t="n">
        <f aca="false">IF($U1445&gt;=STRUCT_L,MIN(INDEX($H$1195:$H1445,252-STRUCT_L):$H1445),"")</f>
        <v>1309</v>
      </c>
      <c r="AM1445" s="46" t="n">
        <f aca="false">IF($A1445&lt;&gt;$A1446,1,0)</f>
        <v>0</v>
      </c>
      <c r="AN1445" s="47" t="str">
        <f aca="false">IF($AM1445=1,$A1445,"")</f>
        <v/>
      </c>
    </row>
    <row r="1446" customFormat="false" ht="15" hidden="false" customHeight="false" outlineLevel="0" collapsed="false">
      <c r="A1446" s="43" t="s">
        <v>157</v>
      </c>
      <c r="B1446" s="44" t="s">
        <v>159</v>
      </c>
      <c r="C1446" s="45" t="n">
        <v>46103</v>
      </c>
      <c r="D1446" s="46" t="n">
        <v>20260322</v>
      </c>
      <c r="E1446" s="47" t="s">
        <v>429</v>
      </c>
      <c r="F1446" s="48" t="n">
        <v>1834</v>
      </c>
      <c r="G1446" s="48" t="n">
        <v>1862</v>
      </c>
      <c r="H1446" s="48" t="n">
        <v>1820</v>
      </c>
      <c r="I1446" s="48" t="n">
        <v>1854</v>
      </c>
      <c r="J1446" s="48" t="n">
        <v>1845</v>
      </c>
      <c r="K1446" s="48" t="n">
        <v>1828</v>
      </c>
      <c r="L1446" s="48" t="n">
        <v>92339937</v>
      </c>
      <c r="M1446" s="48" t="n">
        <v>171198243198</v>
      </c>
      <c r="N1446" s="48" t="n">
        <v>4616</v>
      </c>
      <c r="O1446" s="48" t="n">
        <v>50413112</v>
      </c>
      <c r="P1446" s="48" t="n">
        <v>43616359</v>
      </c>
      <c r="Q1446" s="48" t="n">
        <v>1952</v>
      </c>
      <c r="R1446" s="48" t="n">
        <v>2519</v>
      </c>
      <c r="S1446" s="48" t="n">
        <v>41926825</v>
      </c>
      <c r="T1446" s="48" t="n">
        <v>48723578</v>
      </c>
      <c r="U1446" s="46" t="n">
        <f aca="false">IF($A1446=$A1445,$U1445+1,1)</f>
        <v>142</v>
      </c>
      <c r="V1446" s="48" t="n">
        <f aca="false">IF($U1446&gt;=MA_SHORT,AVERAGE(INDEX($I$1046:$I1446,402-MA_SHORT):$I1446),"")</f>
        <v>1728.9</v>
      </c>
      <c r="W1446" s="48" t="n">
        <f aca="false">IF($U1446&gt;=MA_MED,AVERAGE(INDEX($I$1046:$I1446,402-MA_MED):$I1446),"")</f>
        <v>1599.62</v>
      </c>
      <c r="X1446" s="48" t="n">
        <f aca="false">IF($U1446&gt;=MA_LONG1,AVERAGE(INDEX($I$1046:$I1446,402-MA_LONG1):$I1446),"")</f>
        <v>1546.99</v>
      </c>
      <c r="Y1446" s="48" t="str">
        <f aca="false">IF($U1446&gt;=MA_LONG2,AVERAGE(INDEX($I$1046:$I1446,402-MA_LONG2):$I1446),"")</f>
        <v/>
      </c>
      <c r="Z1446" s="48" t="n">
        <f aca="false">IF($U1446&gt;=MA_SHORT,AVERAGE(INDEX($L$1326:$L1446,122-MA_SHORT):$L1446),"")</f>
        <v>91270994.95</v>
      </c>
      <c r="AA1446" s="48" t="n">
        <f aca="false">IF($U1446=1,$G1446-$H1446,MAX($G1446-$H1446,ABS($G1446-$I1445),ABS($H1446-$I1445)))</f>
        <v>42</v>
      </c>
      <c r="AB1446" s="48" t="n">
        <f aca="false">IF($U1446&gt;=ATR_PER,AVERAGE(INDEX($AA$1326:$AA1446,122-ATR_PER):$AA1446),"")</f>
        <v>71.5</v>
      </c>
      <c r="AC1446" s="48" t="n">
        <f aca="false">$O1446-$P1446</f>
        <v>6796753</v>
      </c>
      <c r="AD1446" s="48" t="n">
        <f aca="false">$AC1446*$I1446</f>
        <v>12601180062</v>
      </c>
      <c r="AE1446" s="49" t="n">
        <f aca="false">IF($Q1446&gt;0,$O1446*$I1446/$Q1446/1000000,"")</f>
        <v>47.8821258442623</v>
      </c>
      <c r="AF1446" s="49" t="n">
        <f aca="false">IF($R1446&gt;0,$P1446*$I1446/$R1446/1000000,"")</f>
        <v>32.1019172631997</v>
      </c>
      <c r="AG1446" s="50" t="n">
        <f aca="false">IF(AND(ISNUMBER($AE1446),ISNUMBER($AF1446),$AF1446&gt;0),$AE1446/$AF1446,"")</f>
        <v>1.49156592273547</v>
      </c>
      <c r="AH1446" s="48" t="n">
        <f aca="false">IF($U1446&gt;=5,SUM(INDEX($AD$1416:$AD1446,32-5):$AD1446),"")</f>
        <v>-77132465506</v>
      </c>
      <c r="AI1446" s="48" t="n">
        <f aca="false">IF($U1446&gt;=STRUCT_S,MAX(INDEX($G$1296:$G1446,152-STRUCT_S):$G1446),"")</f>
        <v>1862</v>
      </c>
      <c r="AJ1446" s="48" t="n">
        <f aca="false">IF($U1446&gt;=STRUCT_S,MIN(INDEX($H$1296:$H1446,152-STRUCT_S):$H1446),"")</f>
        <v>1598</v>
      </c>
      <c r="AK1446" s="48" t="n">
        <f aca="false">IF($U1446&gt;=STRUCT_L,MAX(INDEX($G$1196:$G1446,252-STRUCT_L):$G1446),"")</f>
        <v>1862</v>
      </c>
      <c r="AL1446" s="48" t="n">
        <f aca="false">IF($U1446&gt;=STRUCT_L,MIN(INDEX($H$1196:$H1446,252-STRUCT_L):$H1446),"")</f>
        <v>1309</v>
      </c>
      <c r="AM1446" s="46" t="n">
        <f aca="false">IF($A1446&lt;&gt;$A1447,1,0)</f>
        <v>0</v>
      </c>
      <c r="AN1446" s="47" t="str">
        <f aca="false">IF($AM1446=1,$A1446,"")</f>
        <v/>
      </c>
    </row>
    <row r="1447" customFormat="false" ht="15" hidden="false" customHeight="false" outlineLevel="0" collapsed="false">
      <c r="A1447" s="43" t="s">
        <v>157</v>
      </c>
      <c r="B1447" s="44" t="s">
        <v>159</v>
      </c>
      <c r="C1447" s="45" t="n">
        <v>46104</v>
      </c>
      <c r="D1447" s="46" t="n">
        <v>20260323</v>
      </c>
      <c r="E1447" s="47" t="s">
        <v>430</v>
      </c>
      <c r="F1447" s="48" t="n">
        <v>1880</v>
      </c>
      <c r="G1447" s="48" t="n">
        <v>1882</v>
      </c>
      <c r="H1447" s="48" t="n">
        <v>1845</v>
      </c>
      <c r="I1447" s="48" t="n">
        <v>1873</v>
      </c>
      <c r="J1447" s="48" t="n">
        <v>1864</v>
      </c>
      <c r="K1447" s="48" t="n">
        <v>1854</v>
      </c>
      <c r="L1447" s="48" t="n">
        <v>79665569</v>
      </c>
      <c r="M1447" s="48" t="n">
        <v>149213610737</v>
      </c>
      <c r="N1447" s="48" t="n">
        <v>2932</v>
      </c>
      <c r="O1447" s="48" t="n">
        <v>44369204</v>
      </c>
      <c r="P1447" s="48" t="n">
        <v>38288308</v>
      </c>
      <c r="Q1447" s="48" t="n">
        <v>1370</v>
      </c>
      <c r="R1447" s="48" t="n">
        <v>1082</v>
      </c>
      <c r="S1447" s="48" t="n">
        <v>35296365</v>
      </c>
      <c r="T1447" s="48" t="n">
        <v>41377261</v>
      </c>
      <c r="U1447" s="46" t="n">
        <f aca="false">IF($A1447=$A1446,$U1446+1,1)</f>
        <v>143</v>
      </c>
      <c r="V1447" s="48" t="n">
        <f aca="false">IF($U1447&gt;=MA_SHORT,AVERAGE(INDEX($I$1047:$I1447,402-MA_SHORT):$I1447),"")</f>
        <v>1739.4</v>
      </c>
      <c r="W1447" s="48" t="n">
        <f aca="false">IF($U1447&gt;=MA_MED,AVERAGE(INDEX($I$1047:$I1447,402-MA_MED):$I1447),"")</f>
        <v>1609.54</v>
      </c>
      <c r="X1447" s="48" t="n">
        <f aca="false">IF($U1447&gt;=MA_LONG1,AVERAGE(INDEX($I$1047:$I1447,402-MA_LONG1):$I1447),"")</f>
        <v>1550.99</v>
      </c>
      <c r="Y1447" s="48" t="str">
        <f aca="false">IF($U1447&gt;=MA_LONG2,AVERAGE(INDEX($I$1047:$I1447,402-MA_LONG2):$I1447),"")</f>
        <v/>
      </c>
      <c r="Z1447" s="48" t="n">
        <f aca="false">IF($U1447&gt;=MA_SHORT,AVERAGE(INDEX($L$1327:$L1447,122-MA_SHORT):$L1447),"")</f>
        <v>91824574.35</v>
      </c>
      <c r="AA1447" s="48" t="n">
        <f aca="false">IF($U1447=1,$G1447-$H1447,MAX($G1447-$H1447,ABS($G1447-$I1446),ABS($H1447-$I1446)))</f>
        <v>37</v>
      </c>
      <c r="AB1447" s="48" t="n">
        <f aca="false">IF($U1447&gt;=ATR_PER,AVERAGE(INDEX($AA$1327:$AA1447,122-ATR_PER):$AA1447),"")</f>
        <v>72.5</v>
      </c>
      <c r="AC1447" s="48" t="n">
        <f aca="false">$O1447-$P1447</f>
        <v>6080896</v>
      </c>
      <c r="AD1447" s="48" t="n">
        <f aca="false">$AC1447*$I1447</f>
        <v>11389518208</v>
      </c>
      <c r="AE1447" s="49" t="n">
        <f aca="false">IF($Q1447&gt;0,$O1447*$I1447/$Q1447/1000000,"")</f>
        <v>60.6595029868613</v>
      </c>
      <c r="AF1447" s="49" t="n">
        <f aca="false">IF($R1447&gt;0,$P1447*$I1447/$R1447/1000000,"")</f>
        <v>66.2791135711645</v>
      </c>
      <c r="AG1447" s="50" t="n">
        <f aca="false">IF(AND(ISNUMBER($AE1447),ISNUMBER($AF1447),$AF1447&gt;0),$AE1447/$AF1447,"")</f>
        <v>0.915212948974199</v>
      </c>
      <c r="AH1447" s="48" t="n">
        <f aca="false">IF($U1447&gt;=5,SUM(INDEX($AD$1417:$AD1447,32-5):$AD1447),"")</f>
        <v>-18743411303</v>
      </c>
      <c r="AI1447" s="48" t="n">
        <f aca="false">IF($U1447&gt;=STRUCT_S,MAX(INDEX($G$1297:$G1447,152-STRUCT_S):$G1447),"")</f>
        <v>1882</v>
      </c>
      <c r="AJ1447" s="48" t="n">
        <f aca="false">IF($U1447&gt;=STRUCT_S,MIN(INDEX($H$1297:$H1447,152-STRUCT_S):$H1447),"")</f>
        <v>1598</v>
      </c>
      <c r="AK1447" s="48" t="n">
        <f aca="false">IF($U1447&gt;=STRUCT_L,MAX(INDEX($G$1197:$G1447,252-STRUCT_L):$G1447),"")</f>
        <v>1882</v>
      </c>
      <c r="AL1447" s="48" t="n">
        <f aca="false">IF($U1447&gt;=STRUCT_L,MIN(INDEX($H$1197:$H1447,252-STRUCT_L):$H1447),"")</f>
        <v>1309</v>
      </c>
      <c r="AM1447" s="46" t="n">
        <f aca="false">IF($A1447&lt;&gt;$A1448,1,0)</f>
        <v>0</v>
      </c>
      <c r="AN1447" s="47" t="str">
        <f aca="false">IF($AM1447=1,$A1447,"")</f>
        <v/>
      </c>
    </row>
    <row r="1448" customFormat="false" ht="15" hidden="false" customHeight="false" outlineLevel="0" collapsed="false">
      <c r="A1448" s="43" t="s">
        <v>157</v>
      </c>
      <c r="B1448" s="44" t="s">
        <v>159</v>
      </c>
      <c r="C1448" s="45" t="n">
        <v>46105</v>
      </c>
      <c r="D1448" s="46" t="n">
        <v>20260324</v>
      </c>
      <c r="E1448" s="47" t="s">
        <v>431</v>
      </c>
      <c r="F1448" s="48" t="n">
        <v>1862</v>
      </c>
      <c r="G1448" s="48" t="n">
        <v>1881</v>
      </c>
      <c r="H1448" s="48" t="n">
        <v>1832</v>
      </c>
      <c r="I1448" s="48" t="n">
        <v>1839</v>
      </c>
      <c r="J1448" s="48" t="n">
        <v>1874</v>
      </c>
      <c r="K1448" s="48" t="n">
        <v>1873</v>
      </c>
      <c r="L1448" s="48" t="n">
        <v>75251929</v>
      </c>
      <c r="M1448" s="48" t="n">
        <v>138388297431</v>
      </c>
      <c r="N1448" s="48" t="n">
        <v>3418</v>
      </c>
      <c r="O1448" s="48" t="n">
        <v>32725105</v>
      </c>
      <c r="P1448" s="48" t="n">
        <v>45023273</v>
      </c>
      <c r="Q1448" s="48" t="n">
        <v>1628</v>
      </c>
      <c r="R1448" s="48" t="n">
        <v>1436</v>
      </c>
      <c r="S1448" s="48" t="n">
        <v>42526824</v>
      </c>
      <c r="T1448" s="48" t="n">
        <v>30228656</v>
      </c>
      <c r="U1448" s="46" t="n">
        <f aca="false">IF($A1448=$A1447,$U1447+1,1)</f>
        <v>144</v>
      </c>
      <c r="V1448" s="48" t="n">
        <f aca="false">IF($U1448&gt;=MA_SHORT,AVERAGE(INDEX($I$1048:$I1448,402-MA_SHORT):$I1448),"")</f>
        <v>1750.05</v>
      </c>
      <c r="W1448" s="48" t="n">
        <f aca="false">IF($U1448&gt;=MA_MED,AVERAGE(INDEX($I$1048:$I1448,402-MA_MED):$I1448),"")</f>
        <v>1618.92</v>
      </c>
      <c r="X1448" s="48" t="n">
        <f aca="false">IF($U1448&gt;=MA_LONG1,AVERAGE(INDEX($I$1048:$I1448,402-MA_LONG1):$I1448),"")</f>
        <v>1554.23</v>
      </c>
      <c r="Y1448" s="48" t="str">
        <f aca="false">IF($U1448&gt;=MA_LONG2,AVERAGE(INDEX($I$1048:$I1448,402-MA_LONG2):$I1448),"")</f>
        <v/>
      </c>
      <c r="Z1448" s="48" t="n">
        <f aca="false">IF($U1448&gt;=MA_SHORT,AVERAGE(INDEX($L$1328:$L1448,122-MA_SHORT):$L1448),"")</f>
        <v>91723829.7</v>
      </c>
      <c r="AA1448" s="48" t="n">
        <f aca="false">IF($U1448=1,$G1448-$H1448,MAX($G1448-$H1448,ABS($G1448-$I1447),ABS($H1448-$I1447)))</f>
        <v>49</v>
      </c>
      <c r="AB1448" s="48" t="n">
        <f aca="false">IF($U1448&gt;=ATR_PER,AVERAGE(INDEX($AA$1328:$AA1448,122-ATR_PER):$AA1448),"")</f>
        <v>70.7142857142857</v>
      </c>
      <c r="AC1448" s="48" t="n">
        <f aca="false">$O1448-$P1448</f>
        <v>-12298168</v>
      </c>
      <c r="AD1448" s="48" t="n">
        <f aca="false">$AC1448*$I1448</f>
        <v>-22616330952</v>
      </c>
      <c r="AE1448" s="49" t="n">
        <f aca="false">IF($Q1448&gt;0,$O1448*$I1448/$Q1448/1000000,"")</f>
        <v>36.9665037438575</v>
      </c>
      <c r="AF1448" s="49" t="n">
        <f aca="false">IF($R1448&gt;0,$P1448*$I1448/$R1448/1000000,"")</f>
        <v>57.658634433844</v>
      </c>
      <c r="AG1448" s="50" t="n">
        <f aca="false">IF(AND(ISNUMBER($AE1448),ISNUMBER($AF1448),$AF1448&gt;0),$AE1448/$AF1448,"")</f>
        <v>0.641126938000446</v>
      </c>
      <c r="AH1448" s="48" t="n">
        <f aca="false">IF($U1448&gt;=5,SUM(INDEX($AD$1418:$AD1448,32-5):$AD1448),"")</f>
        <v>-79647573039</v>
      </c>
      <c r="AI1448" s="48" t="n">
        <f aca="false">IF($U1448&gt;=STRUCT_S,MAX(INDEX($G$1298:$G1448,152-STRUCT_S):$G1448),"")</f>
        <v>1882</v>
      </c>
      <c r="AJ1448" s="48" t="n">
        <f aca="false">IF($U1448&gt;=STRUCT_S,MIN(INDEX($H$1298:$H1448,152-STRUCT_S):$H1448),"")</f>
        <v>1598</v>
      </c>
      <c r="AK1448" s="48" t="n">
        <f aca="false">IF($U1448&gt;=STRUCT_L,MAX(INDEX($G$1198:$G1448,252-STRUCT_L):$G1448),"")</f>
        <v>1882</v>
      </c>
      <c r="AL1448" s="48" t="n">
        <f aca="false">IF($U1448&gt;=STRUCT_L,MIN(INDEX($H$1198:$H1448,252-STRUCT_L):$H1448),"")</f>
        <v>1309</v>
      </c>
      <c r="AM1448" s="46" t="n">
        <f aca="false">IF($A1448&lt;&gt;$A1449,1,0)</f>
        <v>0</v>
      </c>
      <c r="AN1448" s="47" t="str">
        <f aca="false">IF($AM1448=1,$A1448,"")</f>
        <v/>
      </c>
    </row>
    <row r="1449" customFormat="false" ht="15" hidden="false" customHeight="false" outlineLevel="0" collapsed="false">
      <c r="A1449" s="43" t="s">
        <v>157</v>
      </c>
      <c r="B1449" s="44" t="s">
        <v>159</v>
      </c>
      <c r="C1449" s="45" t="n">
        <v>46106</v>
      </c>
      <c r="D1449" s="46" t="n">
        <v>20260325</v>
      </c>
      <c r="E1449" s="47" t="s">
        <v>432</v>
      </c>
      <c r="F1449" s="48" t="n">
        <v>1800</v>
      </c>
      <c r="G1449" s="48" t="n">
        <v>1854</v>
      </c>
      <c r="H1449" s="48" t="n">
        <v>1785</v>
      </c>
      <c r="I1449" s="48" t="n">
        <v>1799</v>
      </c>
      <c r="J1449" s="48" t="n">
        <v>1815</v>
      </c>
      <c r="K1449" s="48" t="n">
        <v>1839</v>
      </c>
      <c r="L1449" s="48" t="n">
        <v>84672938</v>
      </c>
      <c r="M1449" s="48" t="n">
        <v>152326615462</v>
      </c>
      <c r="N1449" s="48" t="n">
        <v>1977</v>
      </c>
      <c r="O1449" s="48" t="n">
        <v>48364483</v>
      </c>
      <c r="P1449" s="48" t="n">
        <v>34018812</v>
      </c>
      <c r="Q1449" s="48" t="n">
        <v>969</v>
      </c>
      <c r="R1449" s="48" t="n">
        <v>698</v>
      </c>
      <c r="S1449" s="48" t="n">
        <v>36308455</v>
      </c>
      <c r="T1449" s="48" t="n">
        <v>50654126</v>
      </c>
      <c r="U1449" s="46" t="n">
        <f aca="false">IF($A1449=$A1448,$U1448+1,1)</f>
        <v>145</v>
      </c>
      <c r="V1449" s="48" t="n">
        <f aca="false">IF($U1449&gt;=MA_SHORT,AVERAGE(INDEX($I$1049:$I1449,402-MA_SHORT):$I1449),"")</f>
        <v>1756.85</v>
      </c>
      <c r="W1449" s="48" t="n">
        <f aca="false">IF($U1449&gt;=MA_MED,AVERAGE(INDEX($I$1049:$I1449,402-MA_MED):$I1449),"")</f>
        <v>1627.42</v>
      </c>
      <c r="X1449" s="48" t="n">
        <f aca="false">IF($U1449&gt;=MA_LONG1,AVERAGE(INDEX($I$1049:$I1449,402-MA_LONG1):$I1449),"")</f>
        <v>1556.87</v>
      </c>
      <c r="Y1449" s="48" t="str">
        <f aca="false">IF($U1449&gt;=MA_LONG2,AVERAGE(INDEX($I$1049:$I1449,402-MA_LONG2):$I1449),"")</f>
        <v/>
      </c>
      <c r="Z1449" s="48" t="n">
        <f aca="false">IF($U1449&gt;=MA_SHORT,AVERAGE(INDEX($L$1329:$L1449,122-MA_SHORT):$L1449),"")</f>
        <v>91570576.15</v>
      </c>
      <c r="AA1449" s="48" t="n">
        <f aca="false">IF($U1449=1,$G1449-$H1449,MAX($G1449-$H1449,ABS($G1449-$I1448),ABS($H1449-$I1448)))</f>
        <v>69</v>
      </c>
      <c r="AB1449" s="48" t="n">
        <f aca="false">IF($U1449&gt;=ATR_PER,AVERAGE(INDEX($AA$1329:$AA1449,122-ATR_PER):$AA1449),"")</f>
        <v>74.5</v>
      </c>
      <c r="AC1449" s="48" t="n">
        <f aca="false">$O1449-$P1449</f>
        <v>14345671</v>
      </c>
      <c r="AD1449" s="48" t="n">
        <f aca="false">$AC1449*$I1449</f>
        <v>25807862129</v>
      </c>
      <c r="AE1449" s="49" t="n">
        <f aca="false">IF($Q1449&gt;0,$O1449*$I1449/$Q1449/1000000,"")</f>
        <v>89.7912331444788</v>
      </c>
      <c r="AF1449" s="49" t="n">
        <f aca="false">IF($R1449&gt;0,$P1449*$I1449/$R1449/1000000,"")</f>
        <v>87.6788578624642</v>
      </c>
      <c r="AG1449" s="50" t="n">
        <f aca="false">IF(AND(ISNUMBER($AE1449),ISNUMBER($AF1449),$AF1449&gt;0),$AE1449/$AF1449,"")</f>
        <v>1.02409218520305</v>
      </c>
      <c r="AH1449" s="48" t="n">
        <f aca="false">IF($U1449&gt;=5,SUM(INDEX($AD$1419:$AD1449,32-5):$AD1449),"")</f>
        <v>-40946118589</v>
      </c>
      <c r="AI1449" s="48" t="n">
        <f aca="false">IF($U1449&gt;=STRUCT_S,MAX(INDEX($G$1299:$G1449,152-STRUCT_S):$G1449),"")</f>
        <v>1882</v>
      </c>
      <c r="AJ1449" s="48" t="n">
        <f aca="false">IF($U1449&gt;=STRUCT_S,MIN(INDEX($H$1299:$H1449,152-STRUCT_S):$H1449),"")</f>
        <v>1598</v>
      </c>
      <c r="AK1449" s="48" t="n">
        <f aca="false">IF($U1449&gt;=STRUCT_L,MAX(INDEX($G$1199:$G1449,252-STRUCT_L):$G1449),"")</f>
        <v>1882</v>
      </c>
      <c r="AL1449" s="48" t="n">
        <f aca="false">IF($U1449&gt;=STRUCT_L,MIN(INDEX($H$1199:$H1449,252-STRUCT_L):$H1449),"")</f>
        <v>1309</v>
      </c>
      <c r="AM1449" s="46" t="n">
        <f aca="false">IF($A1449&lt;&gt;$A1450,1,0)</f>
        <v>0</v>
      </c>
      <c r="AN1449" s="47" t="str">
        <f aca="false">IF($AM1449=1,$A1449,"")</f>
        <v/>
      </c>
    </row>
    <row r="1450" customFormat="false" ht="15" hidden="false" customHeight="false" outlineLevel="0" collapsed="false">
      <c r="A1450" s="43" t="s">
        <v>157</v>
      </c>
      <c r="B1450" s="44" t="s">
        <v>159</v>
      </c>
      <c r="C1450" s="45" t="n">
        <v>46109</v>
      </c>
      <c r="D1450" s="46" t="n">
        <v>20260328</v>
      </c>
      <c r="E1450" s="47" t="s">
        <v>433</v>
      </c>
      <c r="F1450" s="48" t="n">
        <v>1804</v>
      </c>
      <c r="G1450" s="48" t="n">
        <v>1834</v>
      </c>
      <c r="H1450" s="48" t="n">
        <v>1725</v>
      </c>
      <c r="I1450" s="48" t="n">
        <v>1759</v>
      </c>
      <c r="J1450" s="48" t="n">
        <v>1759</v>
      </c>
      <c r="K1450" s="48" t="n">
        <v>1799</v>
      </c>
      <c r="L1450" s="48" t="n">
        <v>76913926</v>
      </c>
      <c r="M1450" s="48" t="n">
        <v>135291595834</v>
      </c>
      <c r="N1450" s="48" t="n">
        <v>3561</v>
      </c>
      <c r="O1450" s="48" t="n">
        <v>30602493</v>
      </c>
      <c r="P1450" s="48" t="n">
        <v>46308816</v>
      </c>
      <c r="Q1450" s="48" t="n">
        <v>1952</v>
      </c>
      <c r="R1450" s="48" t="n">
        <v>1581</v>
      </c>
      <c r="S1450" s="48" t="n">
        <v>46311433</v>
      </c>
      <c r="T1450" s="48" t="n">
        <v>30605110</v>
      </c>
      <c r="U1450" s="46" t="n">
        <f aca="false">IF($A1450=$A1449,$U1449+1,1)</f>
        <v>146</v>
      </c>
      <c r="V1450" s="48" t="n">
        <f aca="false">IF($U1450&gt;=MA_SHORT,AVERAGE(INDEX($I$1050:$I1450,402-MA_SHORT):$I1450),"")</f>
        <v>1758.85</v>
      </c>
      <c r="W1450" s="48" t="n">
        <f aca="false">IF($U1450&gt;=MA_MED,AVERAGE(INDEX($I$1050:$I1450,402-MA_MED):$I1450),"")</f>
        <v>1635.9</v>
      </c>
      <c r="X1450" s="48" t="n">
        <f aca="false">IF($U1450&gt;=MA_LONG1,AVERAGE(INDEX($I$1050:$I1450,402-MA_LONG1):$I1450),"")</f>
        <v>1558.93</v>
      </c>
      <c r="Y1450" s="48" t="str">
        <f aca="false">IF($U1450&gt;=MA_LONG2,AVERAGE(INDEX($I$1050:$I1450,402-MA_LONG2):$I1450),"")</f>
        <v/>
      </c>
      <c r="Z1450" s="48" t="n">
        <f aca="false">IF($U1450&gt;=MA_SHORT,AVERAGE(INDEX($L$1330:$L1450,122-MA_SHORT):$L1450),"")</f>
        <v>91337687.9</v>
      </c>
      <c r="AA1450" s="48" t="n">
        <f aca="false">IF($U1450=1,$G1450-$H1450,MAX($G1450-$H1450,ABS($G1450-$I1449),ABS($H1450-$I1449)))</f>
        <v>109</v>
      </c>
      <c r="AB1450" s="48" t="n">
        <f aca="false">IF($U1450&gt;=ATR_PER,AVERAGE(INDEX($AA$1330:$AA1450,122-ATR_PER):$AA1450),"")</f>
        <v>76.1428571428571</v>
      </c>
      <c r="AC1450" s="48" t="n">
        <f aca="false">$O1450-$P1450</f>
        <v>-15706323</v>
      </c>
      <c r="AD1450" s="48" t="n">
        <f aca="false">$AC1450*$I1450</f>
        <v>-27627422157</v>
      </c>
      <c r="AE1450" s="49" t="n">
        <f aca="false">IF($Q1450&gt;0,$O1450*$I1450/$Q1450/1000000,"")</f>
        <v>27.5767342146516</v>
      </c>
      <c r="AF1450" s="49" t="n">
        <f aca="false">IF($R1450&gt;0,$P1450*$I1450/$R1450/1000000,"")</f>
        <v>51.5225852903226</v>
      </c>
      <c r="AG1450" s="50" t="n">
        <f aca="false">IF(AND(ISNUMBER($AE1450),ISNUMBER($AF1450),$AF1450&gt;0),$AE1450/$AF1450,"")</f>
        <v>0.535235839957576</v>
      </c>
      <c r="AH1450" s="48" t="n">
        <f aca="false">IF($U1450&gt;=5,SUM(INDEX($AD$1420:$AD1450,32-5):$AD1450),"")</f>
        <v>-445192710</v>
      </c>
      <c r="AI1450" s="48" t="n">
        <f aca="false">IF($U1450&gt;=STRUCT_S,MAX(INDEX($G$1300:$G1450,152-STRUCT_S):$G1450),"")</f>
        <v>1882</v>
      </c>
      <c r="AJ1450" s="48" t="n">
        <f aca="false">IF($U1450&gt;=STRUCT_S,MIN(INDEX($H$1300:$H1450,152-STRUCT_S):$H1450),"")</f>
        <v>1633</v>
      </c>
      <c r="AK1450" s="48" t="n">
        <f aca="false">IF($U1450&gt;=STRUCT_L,MAX(INDEX($G$1200:$G1450,252-STRUCT_L):$G1450),"")</f>
        <v>1882</v>
      </c>
      <c r="AL1450" s="48" t="n">
        <f aca="false">IF($U1450&gt;=STRUCT_L,MIN(INDEX($H$1200:$H1450,252-STRUCT_L):$H1450),"")</f>
        <v>1309</v>
      </c>
      <c r="AM1450" s="46" t="n">
        <f aca="false">IF($A1450&lt;&gt;$A1451,1,0)</f>
        <v>0</v>
      </c>
      <c r="AN1450" s="47" t="str">
        <f aca="false">IF($AM1450=1,$A1450,"")</f>
        <v/>
      </c>
    </row>
    <row r="1451" customFormat="false" ht="15" hidden="false" customHeight="false" outlineLevel="0" collapsed="false">
      <c r="A1451" s="43" t="s">
        <v>157</v>
      </c>
      <c r="B1451" s="44" t="s">
        <v>159</v>
      </c>
      <c r="C1451" s="45" t="n">
        <v>46110</v>
      </c>
      <c r="D1451" s="46" t="n">
        <v>20260329</v>
      </c>
      <c r="E1451" s="47" t="s">
        <v>434</v>
      </c>
      <c r="F1451" s="48" t="n">
        <v>1779</v>
      </c>
      <c r="G1451" s="48" t="n">
        <v>1811</v>
      </c>
      <c r="H1451" s="48" t="n">
        <v>1736</v>
      </c>
      <c r="I1451" s="48" t="n">
        <v>1787</v>
      </c>
      <c r="J1451" s="48" t="n">
        <v>1771</v>
      </c>
      <c r="K1451" s="48" t="n">
        <v>1759</v>
      </c>
      <c r="L1451" s="48" t="n">
        <v>99364753</v>
      </c>
      <c r="M1451" s="48" t="n">
        <v>177564813611</v>
      </c>
      <c r="N1451" s="48" t="n">
        <v>2832</v>
      </c>
      <c r="O1451" s="48" t="n">
        <v>65902147</v>
      </c>
      <c r="P1451" s="48" t="n">
        <v>28680671</v>
      </c>
      <c r="Q1451" s="48" t="n">
        <v>915</v>
      </c>
      <c r="R1451" s="48" t="n">
        <v>1551</v>
      </c>
      <c r="S1451" s="48" t="n">
        <v>33462606</v>
      </c>
      <c r="T1451" s="48" t="n">
        <v>70684082</v>
      </c>
      <c r="U1451" s="46" t="n">
        <f aca="false">IF($A1451=$A1450,$U1450+1,1)</f>
        <v>147</v>
      </c>
      <c r="V1451" s="48" t="n">
        <f aca="false">IF($U1451&gt;=MA_SHORT,AVERAGE(INDEX($I$1051:$I1451,402-MA_SHORT):$I1451),"")</f>
        <v>1763.25</v>
      </c>
      <c r="W1451" s="48" t="n">
        <f aca="false">IF($U1451&gt;=MA_MED,AVERAGE(INDEX($I$1051:$I1451,402-MA_MED):$I1451),"")</f>
        <v>1644.42</v>
      </c>
      <c r="X1451" s="48" t="n">
        <f aca="false">IF($U1451&gt;=MA_LONG1,AVERAGE(INDEX($I$1051:$I1451,402-MA_LONG1):$I1451),"")</f>
        <v>1560.83</v>
      </c>
      <c r="Y1451" s="48" t="str">
        <f aca="false">IF($U1451&gt;=MA_LONG2,AVERAGE(INDEX($I$1051:$I1451,402-MA_LONG2):$I1451),"")</f>
        <v/>
      </c>
      <c r="Z1451" s="48" t="n">
        <f aca="false">IF($U1451&gt;=MA_SHORT,AVERAGE(INDEX($L$1331:$L1451,122-MA_SHORT):$L1451),"")</f>
        <v>91597152.35</v>
      </c>
      <c r="AA1451" s="48" t="n">
        <f aca="false">IF($U1451=1,$G1451-$H1451,MAX($G1451-$H1451,ABS($G1451-$I1450),ABS($H1451-$I1450)))</f>
        <v>75</v>
      </c>
      <c r="AB1451" s="48" t="n">
        <f aca="false">IF($U1451&gt;=ATR_PER,AVERAGE(INDEX($AA$1331:$AA1451,122-ATR_PER):$AA1451),"")</f>
        <v>79.7142857142857</v>
      </c>
      <c r="AC1451" s="48" t="n">
        <f aca="false">$O1451-$P1451</f>
        <v>37221476</v>
      </c>
      <c r="AD1451" s="48" t="n">
        <f aca="false">$AC1451*$I1451</f>
        <v>66514777612</v>
      </c>
      <c r="AE1451" s="49" t="n">
        <f aca="false">IF($Q1451&gt;0,$O1451*$I1451/$Q1451/1000000,"")</f>
        <v>128.707253212022</v>
      </c>
      <c r="AF1451" s="49" t="n">
        <f aca="false">IF($R1451&gt;0,$P1451*$I1451/$R1451/1000000,"")</f>
        <v>33.0447189406834</v>
      </c>
      <c r="AG1451" s="50" t="n">
        <f aca="false">IF(AND(ISNUMBER($AE1451),ISNUMBER($AF1451),$AF1451&gt;0),$AE1451/$AF1451,"")</f>
        <v>3.89494168320985</v>
      </c>
      <c r="AH1451" s="48" t="n">
        <f aca="false">IF($U1451&gt;=5,SUM(INDEX($AD$1421:$AD1451,32-5):$AD1451),"")</f>
        <v>53468404840</v>
      </c>
      <c r="AI1451" s="48" t="n">
        <f aca="false">IF($U1451&gt;=STRUCT_S,MAX(INDEX($G$1301:$G1451,152-STRUCT_S):$G1451),"")</f>
        <v>1882</v>
      </c>
      <c r="AJ1451" s="48" t="n">
        <f aca="false">IF($U1451&gt;=STRUCT_S,MIN(INDEX($H$1301:$H1451,152-STRUCT_S):$H1451),"")</f>
        <v>1633</v>
      </c>
      <c r="AK1451" s="48" t="n">
        <f aca="false">IF($U1451&gt;=STRUCT_L,MAX(INDEX($G$1201:$G1451,252-STRUCT_L):$G1451),"")</f>
        <v>1882</v>
      </c>
      <c r="AL1451" s="48" t="n">
        <f aca="false">IF($U1451&gt;=STRUCT_L,MIN(INDEX($H$1201:$H1451,252-STRUCT_L):$H1451),"")</f>
        <v>1309</v>
      </c>
      <c r="AM1451" s="46" t="n">
        <f aca="false">IF($A1451&lt;&gt;$A1452,1,0)</f>
        <v>0</v>
      </c>
      <c r="AN1451" s="47" t="str">
        <f aca="false">IF($AM1451=1,$A1451,"")</f>
        <v/>
      </c>
    </row>
    <row r="1452" customFormat="false" ht="15" hidden="false" customHeight="false" outlineLevel="0" collapsed="false">
      <c r="A1452" s="43" t="s">
        <v>157</v>
      </c>
      <c r="B1452" s="44" t="s">
        <v>159</v>
      </c>
      <c r="C1452" s="45" t="n">
        <v>46111</v>
      </c>
      <c r="D1452" s="46" t="n">
        <v>20260330</v>
      </c>
      <c r="E1452" s="47" t="s">
        <v>435</v>
      </c>
      <c r="F1452" s="48" t="n">
        <v>1783</v>
      </c>
      <c r="G1452" s="48" t="n">
        <v>1802</v>
      </c>
      <c r="H1452" s="48" t="n">
        <v>1760</v>
      </c>
      <c r="I1452" s="48" t="n">
        <v>1775</v>
      </c>
      <c r="J1452" s="48" t="n">
        <v>1777</v>
      </c>
      <c r="K1452" s="48" t="n">
        <v>1787</v>
      </c>
      <c r="L1452" s="48" t="n">
        <v>114637073</v>
      </c>
      <c r="M1452" s="48" t="n">
        <v>203480804575</v>
      </c>
      <c r="N1452" s="48" t="n">
        <v>4779</v>
      </c>
      <c r="O1452" s="48" t="n">
        <v>50912785</v>
      </c>
      <c r="P1452" s="48" t="n">
        <v>69616968</v>
      </c>
      <c r="Q1452" s="48" t="n">
        <v>2170</v>
      </c>
      <c r="R1452" s="48" t="n">
        <v>2219</v>
      </c>
      <c r="S1452" s="48" t="n">
        <v>63724288</v>
      </c>
      <c r="T1452" s="48" t="n">
        <v>45020105</v>
      </c>
      <c r="U1452" s="46" t="n">
        <f aca="false">IF($A1452=$A1451,$U1451+1,1)</f>
        <v>148</v>
      </c>
      <c r="V1452" s="48" t="n">
        <f aca="false">IF($U1452&gt;=MA_SHORT,AVERAGE(INDEX($I$1052:$I1452,402-MA_SHORT):$I1452),"")</f>
        <v>1765.85</v>
      </c>
      <c r="W1452" s="48" t="n">
        <f aca="false">IF($U1452&gt;=MA_MED,AVERAGE(INDEX($I$1052:$I1452,402-MA_MED):$I1452),"")</f>
        <v>1652.44</v>
      </c>
      <c r="X1452" s="48" t="n">
        <f aca="false">IF($U1452&gt;=MA_LONG1,AVERAGE(INDEX($I$1052:$I1452,402-MA_LONG1):$I1452),"")</f>
        <v>1562.21</v>
      </c>
      <c r="Y1452" s="48" t="str">
        <f aca="false">IF($U1452&gt;=MA_LONG2,AVERAGE(INDEX($I$1052:$I1452,402-MA_LONG2):$I1452),"")</f>
        <v/>
      </c>
      <c r="Z1452" s="48" t="n">
        <f aca="false">IF($U1452&gt;=MA_SHORT,AVERAGE(INDEX($L$1332:$L1452,122-MA_SHORT):$L1452),"")</f>
        <v>93648386.85</v>
      </c>
      <c r="AA1452" s="48" t="n">
        <f aca="false">IF($U1452=1,$G1452-$H1452,MAX($G1452-$H1452,ABS($G1452-$I1451),ABS($H1452-$I1451)))</f>
        <v>42</v>
      </c>
      <c r="AB1452" s="48" t="n">
        <f aca="false">IF($U1452&gt;=ATR_PER,AVERAGE(INDEX($AA$1332:$AA1452,122-ATR_PER):$AA1452),"")</f>
        <v>76.5</v>
      </c>
      <c r="AC1452" s="48" t="n">
        <f aca="false">$O1452-$P1452</f>
        <v>-18704183</v>
      </c>
      <c r="AD1452" s="48" t="n">
        <f aca="false">$AC1452*$I1452</f>
        <v>-33199924825</v>
      </c>
      <c r="AE1452" s="49" t="n">
        <f aca="false">IF($Q1452&gt;0,$O1452*$I1452/$Q1452/1000000,"")</f>
        <v>41.6452504032258</v>
      </c>
      <c r="AF1452" s="49" t="n">
        <f aca="false">IF($R1452&gt;0,$P1452*$I1452/$R1452/1000000,"")</f>
        <v>55.6872997746733</v>
      </c>
      <c r="AG1452" s="50" t="n">
        <f aca="false">IF(AND(ISNUMBER($AE1452),ISNUMBER($AF1452),$AF1452&gt;0),$AE1452/$AF1452,"")</f>
        <v>0.747841079954216</v>
      </c>
      <c r="AH1452" s="48" t="n">
        <f aca="false">IF($U1452&gt;=5,SUM(INDEX($AD$1422:$AD1452,32-5):$AD1452),"")</f>
        <v>8878961807</v>
      </c>
      <c r="AI1452" s="48" t="n">
        <f aca="false">IF($U1452&gt;=STRUCT_S,MAX(INDEX($G$1302:$G1452,152-STRUCT_S):$G1452),"")</f>
        <v>1882</v>
      </c>
      <c r="AJ1452" s="48" t="n">
        <f aca="false">IF($U1452&gt;=STRUCT_S,MIN(INDEX($H$1302:$H1452,152-STRUCT_S):$H1452),"")</f>
        <v>1633</v>
      </c>
      <c r="AK1452" s="48" t="n">
        <f aca="false">IF($U1452&gt;=STRUCT_L,MAX(INDEX($G$1202:$G1452,252-STRUCT_L):$G1452),"")</f>
        <v>1882</v>
      </c>
      <c r="AL1452" s="48" t="n">
        <f aca="false">IF($U1452&gt;=STRUCT_L,MIN(INDEX($H$1202:$H1452,252-STRUCT_L):$H1452),"")</f>
        <v>1309</v>
      </c>
      <c r="AM1452" s="46" t="n">
        <f aca="false">IF($A1452&lt;&gt;$A1453,1,0)</f>
        <v>0</v>
      </c>
      <c r="AN1452" s="47" t="str">
        <f aca="false">IF($AM1452=1,$A1452,"")</f>
        <v/>
      </c>
    </row>
    <row r="1453" customFormat="false" ht="15" hidden="false" customHeight="false" outlineLevel="0" collapsed="false">
      <c r="A1453" s="43" t="s">
        <v>157</v>
      </c>
      <c r="B1453" s="44" t="s">
        <v>159</v>
      </c>
      <c r="C1453" s="45" t="n">
        <v>46112</v>
      </c>
      <c r="D1453" s="46" t="n">
        <v>20260331</v>
      </c>
      <c r="E1453" s="47" t="s">
        <v>436</v>
      </c>
      <c r="F1453" s="48" t="n">
        <v>1796</v>
      </c>
      <c r="G1453" s="48" t="n">
        <v>1848</v>
      </c>
      <c r="H1453" s="48" t="n">
        <v>1750</v>
      </c>
      <c r="I1453" s="48" t="n">
        <v>1823</v>
      </c>
      <c r="J1453" s="48" t="n">
        <v>1755</v>
      </c>
      <c r="K1453" s="48" t="n">
        <v>1775</v>
      </c>
      <c r="L1453" s="48" t="n">
        <v>78871444</v>
      </c>
      <c r="M1453" s="48" t="n">
        <v>143782642412</v>
      </c>
      <c r="N1453" s="48" t="n">
        <v>7364</v>
      </c>
      <c r="O1453" s="48" t="n">
        <v>51634635</v>
      </c>
      <c r="P1453" s="48" t="n">
        <v>27601643</v>
      </c>
      <c r="Q1453" s="48" t="n">
        <v>2852</v>
      </c>
      <c r="R1453" s="48" t="n">
        <v>3047</v>
      </c>
      <c r="S1453" s="48" t="n">
        <v>27236809</v>
      </c>
      <c r="T1453" s="48" t="n">
        <v>51269801</v>
      </c>
      <c r="U1453" s="46" t="n">
        <f aca="false">IF($A1453=$A1452,$U1452+1,1)</f>
        <v>149</v>
      </c>
      <c r="V1453" s="48" t="n">
        <f aca="false">IF($U1453&gt;=MA_SHORT,AVERAGE(INDEX($I$1053:$I1453,402-MA_SHORT):$I1453),"")</f>
        <v>1770.8</v>
      </c>
      <c r="W1453" s="48" t="n">
        <f aca="false">IF($U1453&gt;=MA_MED,AVERAGE(INDEX($I$1053:$I1453,402-MA_MED):$I1453),"")</f>
        <v>1661.14</v>
      </c>
      <c r="X1453" s="48" t="n">
        <f aca="false">IF($U1453&gt;=MA_LONG1,AVERAGE(INDEX($I$1053:$I1453,402-MA_LONG1):$I1453),"")</f>
        <v>1564</v>
      </c>
      <c r="Y1453" s="48" t="str">
        <f aca="false">IF($U1453&gt;=MA_LONG2,AVERAGE(INDEX($I$1053:$I1453,402-MA_LONG2):$I1453),"")</f>
        <v/>
      </c>
      <c r="Z1453" s="48" t="n">
        <f aca="false">IF($U1453&gt;=MA_SHORT,AVERAGE(INDEX($L$1333:$L1453,122-MA_SHORT):$L1453),"")</f>
        <v>92327950.45</v>
      </c>
      <c r="AA1453" s="48" t="n">
        <f aca="false">IF($U1453=1,$G1453-$H1453,MAX($G1453-$H1453,ABS($G1453-$I1452),ABS($H1453-$I1452)))</f>
        <v>98</v>
      </c>
      <c r="AB1453" s="48" t="n">
        <f aca="false">IF($U1453&gt;=ATR_PER,AVERAGE(INDEX($AA$1333:$AA1453,122-ATR_PER):$AA1453),"")</f>
        <v>76.4285714285714</v>
      </c>
      <c r="AC1453" s="48" t="n">
        <f aca="false">$O1453-$P1453</f>
        <v>24032992</v>
      </c>
      <c r="AD1453" s="48" t="n">
        <f aca="false">$AC1453*$I1453</f>
        <v>43812144416</v>
      </c>
      <c r="AE1453" s="49" t="n">
        <f aca="false">IF($Q1453&gt;0,$O1453*$I1453/$Q1453/1000000,"")</f>
        <v>33.0048876595372</v>
      </c>
      <c r="AF1453" s="49" t="n">
        <f aca="false">IF($R1453&gt;0,$P1453*$I1453/$R1453/1000000,"")</f>
        <v>16.5138809284542</v>
      </c>
      <c r="AG1453" s="50" t="n">
        <f aca="false">IF(AND(ISNUMBER($AE1453),ISNUMBER($AF1453),$AF1453&gt;0),$AE1453/$AF1453,"")</f>
        <v>1.99861485029047</v>
      </c>
      <c r="AH1453" s="48" t="n">
        <f aca="false">IF($U1453&gt;=5,SUM(INDEX($AD$1423:$AD1453,32-5):$AD1453),"")</f>
        <v>75307437175</v>
      </c>
      <c r="AI1453" s="48" t="n">
        <f aca="false">IF($U1453&gt;=STRUCT_S,MAX(INDEX($G$1303:$G1453,152-STRUCT_S):$G1453),"")</f>
        <v>1882</v>
      </c>
      <c r="AJ1453" s="48" t="n">
        <f aca="false">IF($U1453&gt;=STRUCT_S,MIN(INDEX($H$1303:$H1453,152-STRUCT_S):$H1453),"")</f>
        <v>1633</v>
      </c>
      <c r="AK1453" s="48" t="n">
        <f aca="false">IF($U1453&gt;=STRUCT_L,MAX(INDEX($G$1203:$G1453,252-STRUCT_L):$G1453),"")</f>
        <v>1882</v>
      </c>
      <c r="AL1453" s="48" t="n">
        <f aca="false">IF($U1453&gt;=STRUCT_L,MIN(INDEX($H$1203:$H1453,252-STRUCT_L):$H1453),"")</f>
        <v>1309</v>
      </c>
      <c r="AM1453" s="46" t="n">
        <f aca="false">IF($A1453&lt;&gt;$A1454,1,0)</f>
        <v>0</v>
      </c>
      <c r="AN1453" s="47" t="str">
        <f aca="false">IF($AM1453=1,$A1453,"")</f>
        <v/>
      </c>
    </row>
    <row r="1454" customFormat="false" ht="15" hidden="false" customHeight="false" outlineLevel="0" collapsed="false">
      <c r="A1454" s="43" t="s">
        <v>157</v>
      </c>
      <c r="B1454" s="44" t="s">
        <v>159</v>
      </c>
      <c r="C1454" s="45" t="n">
        <v>46113</v>
      </c>
      <c r="D1454" s="46" t="n">
        <v>20260401</v>
      </c>
      <c r="E1454" s="47" t="s">
        <v>437</v>
      </c>
      <c r="F1454" s="48" t="n">
        <v>1823</v>
      </c>
      <c r="G1454" s="48" t="n">
        <v>1830</v>
      </c>
      <c r="H1454" s="48" t="n">
        <v>1811</v>
      </c>
      <c r="I1454" s="48" t="n">
        <v>1818</v>
      </c>
      <c r="J1454" s="48" t="n">
        <v>1817</v>
      </c>
      <c r="K1454" s="48" t="n">
        <v>1823</v>
      </c>
      <c r="L1454" s="48" t="n">
        <v>89485197</v>
      </c>
      <c r="M1454" s="48" t="n">
        <v>162684088146</v>
      </c>
      <c r="N1454" s="48" t="n">
        <v>7933</v>
      </c>
      <c r="O1454" s="48" t="n">
        <v>39568831</v>
      </c>
      <c r="P1454" s="48" t="n">
        <v>52827835</v>
      </c>
      <c r="Q1454" s="48" t="n">
        <v>4132</v>
      </c>
      <c r="R1454" s="48" t="n">
        <v>3367</v>
      </c>
      <c r="S1454" s="48" t="n">
        <v>49916366</v>
      </c>
      <c r="T1454" s="48" t="n">
        <v>36657362</v>
      </c>
      <c r="U1454" s="46" t="n">
        <f aca="false">IF($A1454=$A1453,$U1453+1,1)</f>
        <v>150</v>
      </c>
      <c r="V1454" s="48" t="n">
        <f aca="false">IF($U1454&gt;=MA_SHORT,AVERAGE(INDEX($I$1054:$I1454,402-MA_SHORT):$I1454),"")</f>
        <v>1773.3</v>
      </c>
      <c r="W1454" s="48" t="n">
        <f aca="false">IF($U1454&gt;=MA_MED,AVERAGE(INDEX($I$1054:$I1454,402-MA_MED):$I1454),"")</f>
        <v>1668.86</v>
      </c>
      <c r="X1454" s="48" t="n">
        <f aca="false">IF($U1454&gt;=MA_LONG1,AVERAGE(INDEX($I$1054:$I1454,402-MA_LONG1):$I1454),"")</f>
        <v>1566.06</v>
      </c>
      <c r="Y1454" s="48" t="str">
        <f aca="false">IF($U1454&gt;=MA_LONG2,AVERAGE(INDEX($I$1054:$I1454,402-MA_LONG2):$I1454),"")</f>
        <v/>
      </c>
      <c r="Z1454" s="48" t="n">
        <f aca="false">IF($U1454&gt;=MA_SHORT,AVERAGE(INDEX($L$1334:$L1454,122-MA_SHORT):$L1454),"")</f>
        <v>92889586.95</v>
      </c>
      <c r="AA1454" s="48" t="n">
        <f aca="false">IF($U1454=1,$G1454-$H1454,MAX($G1454-$H1454,ABS($G1454-$I1453),ABS($H1454-$I1453)))</f>
        <v>19</v>
      </c>
      <c r="AB1454" s="48" t="n">
        <f aca="false">IF($U1454&gt;=ATR_PER,AVERAGE(INDEX($AA$1334:$AA1454,122-ATR_PER):$AA1454),"")</f>
        <v>71.6428571428571</v>
      </c>
      <c r="AC1454" s="48" t="n">
        <f aca="false">$O1454-$P1454</f>
        <v>-13259004</v>
      </c>
      <c r="AD1454" s="48" t="n">
        <f aca="false">$AC1454*$I1454</f>
        <v>-24104869272</v>
      </c>
      <c r="AE1454" s="49" t="n">
        <f aca="false">IF($Q1454&gt;0,$O1454*$I1454/$Q1454/1000000,"")</f>
        <v>17.4095195445305</v>
      </c>
      <c r="AF1454" s="49" t="n">
        <f aca="false">IF($R1454&gt;0,$P1454*$I1454/$R1454/1000000,"")</f>
        <v>28.5242067211167</v>
      </c>
      <c r="AG1454" s="50" t="n">
        <f aca="false">IF(AND(ISNUMBER($AE1454),ISNUMBER($AF1454),$AF1454&gt;0),$AE1454/$AF1454,"")</f>
        <v>0.610341935702004</v>
      </c>
      <c r="AH1454" s="48" t="n">
        <f aca="false">IF($U1454&gt;=5,SUM(INDEX($AD$1424:$AD1454,32-5):$AD1454),"")</f>
        <v>25394705774</v>
      </c>
      <c r="AI1454" s="48" t="n">
        <f aca="false">IF($U1454&gt;=STRUCT_S,MAX(INDEX($G$1304:$G1454,152-STRUCT_S):$G1454),"")</f>
        <v>1882</v>
      </c>
      <c r="AJ1454" s="48" t="n">
        <f aca="false">IF($U1454&gt;=STRUCT_S,MIN(INDEX($H$1304:$H1454,152-STRUCT_S):$H1454),"")</f>
        <v>1633</v>
      </c>
      <c r="AK1454" s="48" t="n">
        <f aca="false">IF($U1454&gt;=STRUCT_L,MAX(INDEX($G$1204:$G1454,252-STRUCT_L):$G1454),"")</f>
        <v>1882</v>
      </c>
      <c r="AL1454" s="48" t="n">
        <f aca="false">IF($U1454&gt;=STRUCT_L,MIN(INDEX($H$1204:$H1454,252-STRUCT_L):$H1454),"")</f>
        <v>1309</v>
      </c>
      <c r="AM1454" s="46" t="n">
        <f aca="false">IF($A1454&lt;&gt;$A1455,1,0)</f>
        <v>0</v>
      </c>
      <c r="AN1454" s="47" t="str">
        <f aca="false">IF($AM1454=1,$A1454,"")</f>
        <v/>
      </c>
    </row>
    <row r="1455" customFormat="false" ht="15" hidden="false" customHeight="false" outlineLevel="0" collapsed="false">
      <c r="A1455" s="43" t="s">
        <v>157</v>
      </c>
      <c r="B1455" s="44" t="s">
        <v>159</v>
      </c>
      <c r="C1455" s="45" t="n">
        <v>46116</v>
      </c>
      <c r="D1455" s="46" t="n">
        <v>20260404</v>
      </c>
      <c r="E1455" s="47" t="s">
        <v>438</v>
      </c>
      <c r="F1455" s="48" t="n">
        <v>1841</v>
      </c>
      <c r="G1455" s="48" t="n">
        <v>1841</v>
      </c>
      <c r="H1455" s="48" t="n">
        <v>1802</v>
      </c>
      <c r="I1455" s="48" t="n">
        <v>1825</v>
      </c>
      <c r="J1455" s="48" t="n">
        <v>1812</v>
      </c>
      <c r="K1455" s="48" t="n">
        <v>1818</v>
      </c>
      <c r="L1455" s="48" t="n">
        <v>69428532</v>
      </c>
      <c r="M1455" s="48" t="n">
        <v>126707070900</v>
      </c>
      <c r="N1455" s="48" t="n">
        <v>2033</v>
      </c>
      <c r="O1455" s="48" t="n">
        <v>37077819</v>
      </c>
      <c r="P1455" s="48" t="n">
        <v>36582046</v>
      </c>
      <c r="Q1455" s="48" t="n">
        <v>945</v>
      </c>
      <c r="R1455" s="48" t="n">
        <v>827</v>
      </c>
      <c r="S1455" s="48" t="n">
        <v>32350713</v>
      </c>
      <c r="T1455" s="48" t="n">
        <v>32846486</v>
      </c>
      <c r="U1455" s="46" t="n">
        <f aca="false">IF($A1455=$A1454,$U1454+1,1)</f>
        <v>151</v>
      </c>
      <c r="V1455" s="48" t="n">
        <f aca="false">IF($U1455&gt;=MA_SHORT,AVERAGE(INDEX($I$1055:$I1455,402-MA_SHORT):$I1455),"")</f>
        <v>1776.45</v>
      </c>
      <c r="W1455" s="48" t="n">
        <f aca="false">IF($U1455&gt;=MA_MED,AVERAGE(INDEX($I$1055:$I1455,402-MA_MED):$I1455),"")</f>
        <v>1676.42</v>
      </c>
      <c r="X1455" s="48" t="n">
        <f aca="false">IF($U1455&gt;=MA_LONG1,AVERAGE(INDEX($I$1055:$I1455,402-MA_LONG1):$I1455),"")</f>
        <v>1568.4</v>
      </c>
      <c r="Y1455" s="48" t="str">
        <f aca="false">IF($U1455&gt;=MA_LONG2,AVERAGE(INDEX($I$1055:$I1455,402-MA_LONG2):$I1455),"")</f>
        <v/>
      </c>
      <c r="Z1455" s="48" t="n">
        <f aca="false">IF($U1455&gt;=MA_SHORT,AVERAGE(INDEX($L$1335:$L1455,122-MA_SHORT):$L1455),"")</f>
        <v>92898884.95</v>
      </c>
      <c r="AA1455" s="48" t="n">
        <f aca="false">IF($U1455=1,$G1455-$H1455,MAX($G1455-$H1455,ABS($G1455-$I1454),ABS($H1455-$I1454)))</f>
        <v>39</v>
      </c>
      <c r="AB1455" s="48" t="n">
        <f aca="false">IF($U1455&gt;=ATR_PER,AVERAGE(INDEX($AA$1335:$AA1455,122-ATR_PER):$AA1455),"")</f>
        <v>66.3571428571429</v>
      </c>
      <c r="AC1455" s="48" t="n">
        <f aca="false">$O1455-$P1455</f>
        <v>495773</v>
      </c>
      <c r="AD1455" s="48" t="n">
        <f aca="false">$AC1455*$I1455</f>
        <v>904785725</v>
      </c>
      <c r="AE1455" s="49" t="n">
        <f aca="false">IF($Q1455&gt;0,$O1455*$I1455/$Q1455/1000000,"")</f>
        <v>71.6053118253968</v>
      </c>
      <c r="AF1455" s="49" t="n">
        <f aca="false">IF($R1455&gt;0,$P1455*$I1455/$R1455/1000000,"")</f>
        <v>80.7282151753325</v>
      </c>
      <c r="AG1455" s="50" t="n">
        <f aca="false">IF(AND(ISNUMBER($AE1455),ISNUMBER($AF1455),$AF1455&gt;0),$AE1455/$AF1455,"")</f>
        <v>0.886992381410616</v>
      </c>
      <c r="AH1455" s="48" t="n">
        <f aca="false">IF($U1455&gt;=5,SUM(INDEX($AD$1425:$AD1455,32-5):$AD1455),"")</f>
        <v>53926913656</v>
      </c>
      <c r="AI1455" s="48" t="n">
        <f aca="false">IF($U1455&gt;=STRUCT_S,MAX(INDEX($G$1305:$G1455,152-STRUCT_S):$G1455),"")</f>
        <v>1882</v>
      </c>
      <c r="AJ1455" s="48" t="n">
        <f aca="false">IF($U1455&gt;=STRUCT_S,MIN(INDEX($H$1305:$H1455,152-STRUCT_S):$H1455),"")</f>
        <v>1633</v>
      </c>
      <c r="AK1455" s="48" t="n">
        <f aca="false">IF($U1455&gt;=STRUCT_L,MAX(INDEX($G$1205:$G1455,252-STRUCT_L):$G1455),"")</f>
        <v>1882</v>
      </c>
      <c r="AL1455" s="48" t="n">
        <f aca="false">IF($U1455&gt;=STRUCT_L,MIN(INDEX($H$1205:$H1455,252-STRUCT_L):$H1455),"")</f>
        <v>1309</v>
      </c>
      <c r="AM1455" s="46" t="n">
        <f aca="false">IF($A1455&lt;&gt;$A1456,1,0)</f>
        <v>0</v>
      </c>
      <c r="AN1455" s="47" t="str">
        <f aca="false">IF($AM1455=1,$A1455,"")</f>
        <v/>
      </c>
    </row>
    <row r="1456" customFormat="false" ht="15" hidden="false" customHeight="false" outlineLevel="0" collapsed="false">
      <c r="A1456" s="43" t="s">
        <v>157</v>
      </c>
      <c r="B1456" s="44" t="s">
        <v>159</v>
      </c>
      <c r="C1456" s="45" t="n">
        <v>46117</v>
      </c>
      <c r="D1456" s="46" t="n">
        <v>20260405</v>
      </c>
      <c r="E1456" s="47" t="s">
        <v>439</v>
      </c>
      <c r="F1456" s="48" t="n">
        <v>1818</v>
      </c>
      <c r="G1456" s="48" t="n">
        <v>1830</v>
      </c>
      <c r="H1456" s="48" t="n">
        <v>1776</v>
      </c>
      <c r="I1456" s="48" t="n">
        <v>1781</v>
      </c>
      <c r="J1456" s="48" t="n">
        <v>1799</v>
      </c>
      <c r="K1456" s="48" t="n">
        <v>1825</v>
      </c>
      <c r="L1456" s="48" t="n">
        <v>80694007</v>
      </c>
      <c r="M1456" s="48" t="n">
        <v>143716026467</v>
      </c>
      <c r="N1456" s="48" t="n">
        <v>2325</v>
      </c>
      <c r="O1456" s="48" t="n">
        <v>38537576</v>
      </c>
      <c r="P1456" s="48" t="n">
        <v>41812917</v>
      </c>
      <c r="Q1456" s="48" t="n">
        <v>1036</v>
      </c>
      <c r="R1456" s="48" t="n">
        <v>1131</v>
      </c>
      <c r="S1456" s="48" t="n">
        <v>42156431</v>
      </c>
      <c r="T1456" s="48" t="n">
        <v>38881090</v>
      </c>
      <c r="U1456" s="46" t="n">
        <f aca="false">IF($A1456=$A1455,$U1455+1,1)</f>
        <v>152</v>
      </c>
      <c r="V1456" s="48" t="n">
        <f aca="false">IF($U1456&gt;=MA_SHORT,AVERAGE(INDEX($I$1056:$I1456,402-MA_SHORT):$I1456),"")</f>
        <v>1780.5</v>
      </c>
      <c r="W1456" s="48" t="n">
        <f aca="false">IF($U1456&gt;=MA_MED,AVERAGE(INDEX($I$1056:$I1456,402-MA_MED):$I1456),"")</f>
        <v>1682.26</v>
      </c>
      <c r="X1456" s="48" t="n">
        <f aca="false">IF($U1456&gt;=MA_LONG1,AVERAGE(INDEX($I$1056:$I1456,402-MA_LONG1):$I1456),"")</f>
        <v>1570.1</v>
      </c>
      <c r="Y1456" s="48" t="str">
        <f aca="false">IF($U1456&gt;=MA_LONG2,AVERAGE(INDEX($I$1056:$I1456,402-MA_LONG2):$I1456),"")</f>
        <v/>
      </c>
      <c r="Z1456" s="48" t="n">
        <f aca="false">IF($U1456&gt;=MA_SHORT,AVERAGE(INDEX($L$1336:$L1456,122-MA_SHORT):$L1456),"")</f>
        <v>92824194.6</v>
      </c>
      <c r="AA1456" s="48" t="n">
        <f aca="false">IF($U1456=1,$G1456-$H1456,MAX($G1456-$H1456,ABS($G1456-$I1455),ABS($H1456-$I1455)))</f>
        <v>54</v>
      </c>
      <c r="AB1456" s="48" t="n">
        <f aca="false">IF($U1456&gt;=ATR_PER,AVERAGE(INDEX($AA$1336:$AA1456,122-ATR_PER):$AA1456),"")</f>
        <v>65.1428571428571</v>
      </c>
      <c r="AC1456" s="48" t="n">
        <f aca="false">$O1456-$P1456</f>
        <v>-3275341</v>
      </c>
      <c r="AD1456" s="48" t="n">
        <f aca="false">$AC1456*$I1456</f>
        <v>-5833382321</v>
      </c>
      <c r="AE1456" s="49" t="n">
        <f aca="false">IF($Q1456&gt;0,$O1456*$I1456/$Q1456/1000000,"")</f>
        <v>66.2504081621622</v>
      </c>
      <c r="AF1456" s="49" t="n">
        <f aca="false">IF($R1456&gt;0,$P1456*$I1456/$R1456/1000000,"")</f>
        <v>65.8433290689655</v>
      </c>
      <c r="AG1456" s="50" t="n">
        <f aca="false">IF(AND(ISNUMBER($AE1456),ISNUMBER($AF1456),$AF1456&gt;0),$AE1456/$AF1456,"")</f>
        <v>1.00618254117695</v>
      </c>
      <c r="AH1456" s="48" t="n">
        <f aca="false">IF($U1456&gt;=5,SUM(INDEX($AD$1426:$AD1456,32-5):$AD1456),"")</f>
        <v>-18421246277</v>
      </c>
      <c r="AI1456" s="48" t="n">
        <f aca="false">IF($U1456&gt;=STRUCT_S,MAX(INDEX($G$1306:$G1456,152-STRUCT_S):$G1456),"")</f>
        <v>1882</v>
      </c>
      <c r="AJ1456" s="48" t="n">
        <f aca="false">IF($U1456&gt;=STRUCT_S,MIN(INDEX($H$1306:$H1456,152-STRUCT_S):$H1456),"")</f>
        <v>1633</v>
      </c>
      <c r="AK1456" s="48" t="n">
        <f aca="false">IF($U1456&gt;=STRUCT_L,MAX(INDEX($G$1206:$G1456,252-STRUCT_L):$G1456),"")</f>
        <v>1882</v>
      </c>
      <c r="AL1456" s="48" t="n">
        <f aca="false">IF($U1456&gt;=STRUCT_L,MIN(INDEX($H$1206:$H1456,252-STRUCT_L):$H1456),"")</f>
        <v>1309</v>
      </c>
      <c r="AM1456" s="46" t="n">
        <f aca="false">IF($A1456&lt;&gt;$A1457,1,0)</f>
        <v>0</v>
      </c>
      <c r="AN1456" s="47" t="str">
        <f aca="false">IF($AM1456=1,$A1456,"")</f>
        <v/>
      </c>
    </row>
    <row r="1457" customFormat="false" ht="15" hidden="false" customHeight="false" outlineLevel="0" collapsed="false">
      <c r="A1457" s="43" t="s">
        <v>157</v>
      </c>
      <c r="B1457" s="44" t="s">
        <v>159</v>
      </c>
      <c r="C1457" s="45" t="n">
        <v>46118</v>
      </c>
      <c r="D1457" s="46" t="n">
        <v>20260406</v>
      </c>
      <c r="E1457" s="47" t="s">
        <v>440</v>
      </c>
      <c r="F1457" s="48" t="n">
        <v>1766</v>
      </c>
      <c r="G1457" s="48" t="n">
        <v>1808</v>
      </c>
      <c r="H1457" s="48" t="n">
        <v>1704</v>
      </c>
      <c r="I1457" s="48" t="n">
        <v>1731</v>
      </c>
      <c r="J1457" s="48" t="n">
        <v>1750</v>
      </c>
      <c r="K1457" s="48" t="n">
        <v>1781</v>
      </c>
      <c r="L1457" s="48" t="n">
        <v>79780014</v>
      </c>
      <c r="M1457" s="48" t="n">
        <v>138099204234</v>
      </c>
      <c r="N1457" s="48" t="n">
        <v>3281</v>
      </c>
      <c r="O1457" s="48" t="n">
        <v>31580090</v>
      </c>
      <c r="P1457" s="48" t="n">
        <v>42316845</v>
      </c>
      <c r="Q1457" s="48" t="n">
        <v>1126</v>
      </c>
      <c r="R1457" s="48" t="n">
        <v>1569</v>
      </c>
      <c r="S1457" s="48" t="n">
        <v>48199924</v>
      </c>
      <c r="T1457" s="48" t="n">
        <v>37463169</v>
      </c>
      <c r="U1457" s="46" t="n">
        <f aca="false">IF($A1457=$A1456,$U1456+1,1)</f>
        <v>153</v>
      </c>
      <c r="V1457" s="48" t="n">
        <f aca="false">IF($U1457&gt;=MA_SHORT,AVERAGE(INDEX($I$1057:$I1457,402-MA_SHORT):$I1457),"")</f>
        <v>1781.4</v>
      </c>
      <c r="W1457" s="48" t="n">
        <f aca="false">IF($U1457&gt;=MA_MED,AVERAGE(INDEX($I$1057:$I1457,402-MA_MED):$I1457),"")</f>
        <v>1687.62</v>
      </c>
      <c r="X1457" s="48" t="n">
        <f aca="false">IF($U1457&gt;=MA_LONG1,AVERAGE(INDEX($I$1057:$I1457,402-MA_LONG1):$I1457),"")</f>
        <v>1571.42</v>
      </c>
      <c r="Y1457" s="48" t="str">
        <f aca="false">IF($U1457&gt;=MA_LONG2,AVERAGE(INDEX($I$1057:$I1457,402-MA_LONG2):$I1457),"")</f>
        <v/>
      </c>
      <c r="Z1457" s="48" t="n">
        <f aca="false">IF($U1457&gt;=MA_SHORT,AVERAGE(INDEX($L$1337:$L1457,122-MA_SHORT):$L1457),"")</f>
        <v>93212420.35</v>
      </c>
      <c r="AA1457" s="48" t="n">
        <f aca="false">IF($U1457=1,$G1457-$H1457,MAX($G1457-$H1457,ABS($G1457-$I1456),ABS($H1457-$I1456)))</f>
        <v>104</v>
      </c>
      <c r="AB1457" s="48" t="n">
        <f aca="false">IF($U1457&gt;=ATR_PER,AVERAGE(INDEX($AA$1337:$AA1457,122-ATR_PER):$AA1457),"")</f>
        <v>62.6428571428571</v>
      </c>
      <c r="AC1457" s="48" t="n">
        <f aca="false">$O1457-$P1457</f>
        <v>-10736755</v>
      </c>
      <c r="AD1457" s="48" t="n">
        <f aca="false">$AC1457*$I1457</f>
        <v>-18585322905</v>
      </c>
      <c r="AE1457" s="49" t="n">
        <f aca="false">IF($Q1457&gt;0,$O1457*$I1457/$Q1457/1000000,"")</f>
        <v>48.5480779662522</v>
      </c>
      <c r="AF1457" s="49" t="n">
        <f aca="false">IF($R1457&gt;0,$P1457*$I1457/$R1457/1000000,"")</f>
        <v>46.6860794741874</v>
      </c>
      <c r="AG1457" s="50" t="n">
        <f aca="false">IF(AND(ISNUMBER($AE1457),ISNUMBER($AF1457),$AF1457&gt;0),$AE1457/$AF1457,"")</f>
        <v>1.0398833766518</v>
      </c>
      <c r="AH1457" s="48" t="n">
        <f aca="false">IF($U1457&gt;=5,SUM(INDEX($AD$1427:$AD1457,32-5):$AD1457),"")</f>
        <v>-3806644357</v>
      </c>
      <c r="AI1457" s="48" t="n">
        <f aca="false">IF($U1457&gt;=STRUCT_S,MAX(INDEX($G$1307:$G1457,152-STRUCT_S):$G1457),"")</f>
        <v>1882</v>
      </c>
      <c r="AJ1457" s="48" t="n">
        <f aca="false">IF($U1457&gt;=STRUCT_S,MIN(INDEX($H$1307:$H1457,152-STRUCT_S):$H1457),"")</f>
        <v>1633</v>
      </c>
      <c r="AK1457" s="48" t="n">
        <f aca="false">IF($U1457&gt;=STRUCT_L,MAX(INDEX($G$1207:$G1457,252-STRUCT_L):$G1457),"")</f>
        <v>1882</v>
      </c>
      <c r="AL1457" s="48" t="n">
        <f aca="false">IF($U1457&gt;=STRUCT_L,MIN(INDEX($H$1207:$H1457,252-STRUCT_L):$H1457),"")</f>
        <v>1309</v>
      </c>
      <c r="AM1457" s="46" t="n">
        <f aca="false">IF($A1457&lt;&gt;$A1458,1,0)</f>
        <v>0</v>
      </c>
      <c r="AN1457" s="47" t="str">
        <f aca="false">IF($AM1457=1,$A1457,"")</f>
        <v/>
      </c>
    </row>
    <row r="1458" customFormat="false" ht="15" hidden="false" customHeight="false" outlineLevel="0" collapsed="false">
      <c r="A1458" s="43" t="s">
        <v>157</v>
      </c>
      <c r="B1458" s="44" t="s">
        <v>159</v>
      </c>
      <c r="C1458" s="45" t="n">
        <v>46119</v>
      </c>
      <c r="D1458" s="46" t="n">
        <v>20260407</v>
      </c>
      <c r="E1458" s="47" t="s">
        <v>441</v>
      </c>
      <c r="F1458" s="48" t="n">
        <v>1736</v>
      </c>
      <c r="G1458" s="48" t="n">
        <v>1737</v>
      </c>
      <c r="H1458" s="48" t="n">
        <v>1712</v>
      </c>
      <c r="I1458" s="48" t="n">
        <v>1718</v>
      </c>
      <c r="J1458" s="48" t="n">
        <v>1734</v>
      </c>
      <c r="K1458" s="48" t="n">
        <v>1731</v>
      </c>
      <c r="L1458" s="48" t="n">
        <v>96308558</v>
      </c>
      <c r="M1458" s="48" t="n">
        <v>165458102644</v>
      </c>
      <c r="N1458" s="48" t="n">
        <v>3700</v>
      </c>
      <c r="O1458" s="48" t="n">
        <v>47227122</v>
      </c>
      <c r="P1458" s="48" t="n">
        <v>45887697</v>
      </c>
      <c r="Q1458" s="48" t="n">
        <v>1784</v>
      </c>
      <c r="R1458" s="48" t="n">
        <v>1557</v>
      </c>
      <c r="S1458" s="48" t="n">
        <v>49081436</v>
      </c>
      <c r="T1458" s="48" t="n">
        <v>50420861</v>
      </c>
      <c r="U1458" s="46" t="n">
        <f aca="false">IF($A1458=$A1457,$U1457+1,1)</f>
        <v>154</v>
      </c>
      <c r="V1458" s="48" t="n">
        <f aca="false">IF($U1458&gt;=MA_SHORT,AVERAGE(INDEX($I$1058:$I1458,402-MA_SHORT):$I1458),"")</f>
        <v>1784.25</v>
      </c>
      <c r="W1458" s="48" t="n">
        <f aca="false">IF($U1458&gt;=MA_MED,AVERAGE(INDEX($I$1058:$I1458,402-MA_MED):$I1458),"")</f>
        <v>1691.88</v>
      </c>
      <c r="X1458" s="48" t="n">
        <f aca="false">IF($U1458&gt;=MA_LONG1,AVERAGE(INDEX($I$1058:$I1458,402-MA_LONG1):$I1458),"")</f>
        <v>1572.61</v>
      </c>
      <c r="Y1458" s="48" t="str">
        <f aca="false">IF($U1458&gt;=MA_LONG2,AVERAGE(INDEX($I$1058:$I1458,402-MA_LONG2):$I1458),"")</f>
        <v/>
      </c>
      <c r="Z1458" s="48" t="n">
        <f aca="false">IF($U1458&gt;=MA_SHORT,AVERAGE(INDEX($L$1338:$L1458,122-MA_SHORT):$L1458),"")</f>
        <v>94016812</v>
      </c>
      <c r="AA1458" s="48" t="n">
        <f aca="false">IF($U1458=1,$G1458-$H1458,MAX($G1458-$H1458,ABS($G1458-$I1457),ABS($H1458-$I1457)))</f>
        <v>25</v>
      </c>
      <c r="AB1458" s="48" t="n">
        <f aca="false">IF($U1458&gt;=ATR_PER,AVERAGE(INDEX($AA$1338:$AA1458,122-ATR_PER):$AA1458),"")</f>
        <v>57.6428571428571</v>
      </c>
      <c r="AC1458" s="48" t="n">
        <f aca="false">$O1458-$P1458</f>
        <v>1339425</v>
      </c>
      <c r="AD1458" s="48" t="n">
        <f aca="false">$AC1458*$I1458</f>
        <v>2301132150</v>
      </c>
      <c r="AE1458" s="49" t="n">
        <f aca="false">IF($Q1458&gt;0,$O1458*$I1458/$Q1458/1000000,"")</f>
        <v>45.4799302668162</v>
      </c>
      <c r="AF1458" s="49" t="n">
        <f aca="false">IF($R1458&gt;0,$P1458*$I1458/$R1458/1000000,"")</f>
        <v>50.6326675953757</v>
      </c>
      <c r="AG1458" s="50" t="n">
        <f aca="false">IF(AND(ISNUMBER($AE1458),ISNUMBER($AF1458),$AF1458&gt;0),$AE1458/$AF1458,"")</f>
        <v>0.898232947753474</v>
      </c>
      <c r="AH1458" s="48" t="n">
        <f aca="false">IF($U1458&gt;=5,SUM(INDEX($AD$1428:$AD1458,32-5):$AD1458),"")</f>
        <v>-45317656623</v>
      </c>
      <c r="AI1458" s="48" t="n">
        <f aca="false">IF($U1458&gt;=STRUCT_S,MAX(INDEX($G$1308:$G1458,152-STRUCT_S):$G1458),"")</f>
        <v>1882</v>
      </c>
      <c r="AJ1458" s="48" t="n">
        <f aca="false">IF($U1458&gt;=STRUCT_S,MIN(INDEX($H$1308:$H1458,152-STRUCT_S):$H1458),"")</f>
        <v>1633</v>
      </c>
      <c r="AK1458" s="48" t="n">
        <f aca="false">IF($U1458&gt;=STRUCT_L,MAX(INDEX($G$1208:$G1458,252-STRUCT_L):$G1458),"")</f>
        <v>1882</v>
      </c>
      <c r="AL1458" s="48" t="n">
        <f aca="false">IF($U1458&gt;=STRUCT_L,MIN(INDEX($H$1208:$H1458,252-STRUCT_L):$H1458),"")</f>
        <v>1309</v>
      </c>
      <c r="AM1458" s="46" t="n">
        <f aca="false">IF($A1458&lt;&gt;$A1459,1,0)</f>
        <v>0</v>
      </c>
      <c r="AN1458" s="47" t="str">
        <f aca="false">IF($AM1458=1,$A1458,"")</f>
        <v/>
      </c>
    </row>
    <row r="1459" customFormat="false" ht="15" hidden="false" customHeight="false" outlineLevel="0" collapsed="false">
      <c r="A1459" s="43" t="s">
        <v>157</v>
      </c>
      <c r="B1459" s="44" t="s">
        <v>159</v>
      </c>
      <c r="C1459" s="45" t="n">
        <v>46120</v>
      </c>
      <c r="D1459" s="46" t="n">
        <v>20260408</v>
      </c>
      <c r="E1459" s="47" t="s">
        <v>442</v>
      </c>
      <c r="F1459" s="48" t="n">
        <v>1715</v>
      </c>
      <c r="G1459" s="48" t="n">
        <v>1775</v>
      </c>
      <c r="H1459" s="48" t="n">
        <v>1713</v>
      </c>
      <c r="I1459" s="48" t="n">
        <v>1770</v>
      </c>
      <c r="J1459" s="48" t="n">
        <v>1743</v>
      </c>
      <c r="K1459" s="48" t="n">
        <v>1718</v>
      </c>
      <c r="L1459" s="48" t="n">
        <v>99301748</v>
      </c>
      <c r="M1459" s="48" t="n">
        <v>175764093960</v>
      </c>
      <c r="N1459" s="48" t="n">
        <v>2481</v>
      </c>
      <c r="O1459" s="48" t="n">
        <v>57927587</v>
      </c>
      <c r="P1459" s="48" t="n">
        <v>46209459</v>
      </c>
      <c r="Q1459" s="48" t="n">
        <v>903</v>
      </c>
      <c r="R1459" s="48" t="n">
        <v>871</v>
      </c>
      <c r="S1459" s="48" t="n">
        <v>41374161</v>
      </c>
      <c r="T1459" s="48" t="n">
        <v>53092289</v>
      </c>
      <c r="U1459" s="46" t="n">
        <f aca="false">IF($A1459=$A1458,$U1458+1,1)</f>
        <v>155</v>
      </c>
      <c r="V1459" s="48" t="n">
        <f aca="false">IF($U1459&gt;=MA_SHORT,AVERAGE(INDEX($I$1059:$I1459,402-MA_SHORT):$I1459),"")</f>
        <v>1787.6</v>
      </c>
      <c r="W1459" s="48" t="n">
        <f aca="false">IF($U1459&gt;=MA_MED,AVERAGE(INDEX($I$1059:$I1459,402-MA_MED):$I1459),"")</f>
        <v>1697.48</v>
      </c>
      <c r="X1459" s="48" t="n">
        <f aca="false">IF($U1459&gt;=MA_LONG1,AVERAGE(INDEX($I$1059:$I1459,402-MA_LONG1):$I1459),"")</f>
        <v>1574.47</v>
      </c>
      <c r="Y1459" s="48" t="str">
        <f aca="false">IF($U1459&gt;=MA_LONG2,AVERAGE(INDEX($I$1059:$I1459,402-MA_LONG2):$I1459),"")</f>
        <v/>
      </c>
      <c r="Z1459" s="48" t="n">
        <f aca="false">IF($U1459&gt;=MA_SHORT,AVERAGE(INDEX($L$1339:$L1459,122-MA_SHORT):$L1459),"")</f>
        <v>95074082</v>
      </c>
      <c r="AA1459" s="48" t="n">
        <f aca="false">IF($U1459=1,$G1459-$H1459,MAX($G1459-$H1459,ABS($G1459-$I1458),ABS($H1459-$I1458)))</f>
        <v>62</v>
      </c>
      <c r="AB1459" s="48" t="n">
        <f aca="false">IF($U1459&gt;=ATR_PER,AVERAGE(INDEX($AA$1339:$AA1459,122-ATR_PER):$AA1459),"")</f>
        <v>58.8571428571429</v>
      </c>
      <c r="AC1459" s="48" t="n">
        <f aca="false">$O1459-$P1459</f>
        <v>11718128</v>
      </c>
      <c r="AD1459" s="48" t="n">
        <f aca="false">$AC1459*$I1459</f>
        <v>20741086560</v>
      </c>
      <c r="AE1459" s="49" t="n">
        <f aca="false">IF($Q1459&gt;0,$O1459*$I1459/$Q1459/1000000,"")</f>
        <v>113.545768538206</v>
      </c>
      <c r="AF1459" s="49" t="n">
        <f aca="false">IF($R1459&gt;0,$P1459*$I1459/$R1459/1000000,"")</f>
        <v>93.9044115154994</v>
      </c>
      <c r="AG1459" s="50" t="n">
        <f aca="false">IF(AND(ISNUMBER($AE1459),ISNUMBER($AF1459),$AF1459&gt;0),$AE1459/$AF1459,"")</f>
        <v>1.20916330453191</v>
      </c>
      <c r="AH1459" s="48" t="n">
        <f aca="false">IF($U1459&gt;=5,SUM(INDEX($AD$1429:$AD1459,32-5):$AD1459),"")</f>
        <v>-471700791</v>
      </c>
      <c r="AI1459" s="48" t="n">
        <f aca="false">IF($U1459&gt;=STRUCT_S,MAX(INDEX($G$1309:$G1459,152-STRUCT_S):$G1459),"")</f>
        <v>1882</v>
      </c>
      <c r="AJ1459" s="48" t="n">
        <f aca="false">IF($U1459&gt;=STRUCT_S,MIN(INDEX($H$1309:$H1459,152-STRUCT_S):$H1459),"")</f>
        <v>1668</v>
      </c>
      <c r="AK1459" s="48" t="n">
        <f aca="false">IF($U1459&gt;=STRUCT_L,MAX(INDEX($G$1209:$G1459,252-STRUCT_L):$G1459),"")</f>
        <v>1882</v>
      </c>
      <c r="AL1459" s="48" t="n">
        <f aca="false">IF($U1459&gt;=STRUCT_L,MIN(INDEX($H$1209:$H1459,252-STRUCT_L):$H1459),"")</f>
        <v>1309</v>
      </c>
      <c r="AM1459" s="46" t="n">
        <f aca="false">IF($A1459&lt;&gt;$A1460,1,0)</f>
        <v>0</v>
      </c>
      <c r="AN1459" s="47" t="str">
        <f aca="false">IF($AM1459=1,$A1459,"")</f>
        <v/>
      </c>
    </row>
    <row r="1460" customFormat="false" ht="15" hidden="false" customHeight="false" outlineLevel="0" collapsed="false">
      <c r="A1460" s="43" t="s">
        <v>157</v>
      </c>
      <c r="B1460" s="44" t="s">
        <v>159</v>
      </c>
      <c r="C1460" s="45" t="n">
        <v>46123</v>
      </c>
      <c r="D1460" s="46" t="n">
        <v>20260411</v>
      </c>
      <c r="E1460" s="47" t="s">
        <v>443</v>
      </c>
      <c r="F1460" s="48" t="n">
        <v>1741</v>
      </c>
      <c r="G1460" s="48" t="n">
        <v>1893</v>
      </c>
      <c r="H1460" s="48" t="n">
        <v>1736</v>
      </c>
      <c r="I1460" s="48" t="n">
        <v>1857</v>
      </c>
      <c r="J1460" s="48" t="n">
        <v>1793</v>
      </c>
      <c r="K1460" s="48" t="n">
        <v>1770</v>
      </c>
      <c r="L1460" s="48" t="n">
        <v>87873974</v>
      </c>
      <c r="M1460" s="48" t="n">
        <v>163181969718</v>
      </c>
      <c r="N1460" s="48" t="n">
        <v>1999</v>
      </c>
      <c r="O1460" s="48" t="n">
        <v>53835374</v>
      </c>
      <c r="P1460" s="48" t="n">
        <v>31126780</v>
      </c>
      <c r="Q1460" s="48" t="n">
        <v>859</v>
      </c>
      <c r="R1460" s="48" t="n">
        <v>822</v>
      </c>
      <c r="S1460" s="48" t="n">
        <v>34038600</v>
      </c>
      <c r="T1460" s="48" t="n">
        <v>56747194</v>
      </c>
      <c r="U1460" s="46" t="n">
        <f aca="false">IF($A1460=$A1459,$U1459+1,1)</f>
        <v>156</v>
      </c>
      <c r="V1460" s="48" t="n">
        <f aca="false">IF($U1460&gt;=MA_SHORT,AVERAGE(INDEX($I$1060:$I1460,402-MA_SHORT):$I1460),"")</f>
        <v>1793.3</v>
      </c>
      <c r="W1460" s="48" t="n">
        <f aca="false">IF($U1460&gt;=MA_MED,AVERAGE(INDEX($I$1060:$I1460,402-MA_MED):$I1460),"")</f>
        <v>1704.02</v>
      </c>
      <c r="X1460" s="48" t="n">
        <f aca="false">IF($U1460&gt;=MA_LONG1,AVERAGE(INDEX($I$1060:$I1460,402-MA_LONG1):$I1460),"")</f>
        <v>1577.72</v>
      </c>
      <c r="Y1460" s="48" t="str">
        <f aca="false">IF($U1460&gt;=MA_LONG2,AVERAGE(INDEX($I$1060:$I1460,402-MA_LONG2):$I1460),"")</f>
        <v/>
      </c>
      <c r="Z1460" s="48" t="n">
        <f aca="false">IF($U1460&gt;=MA_SHORT,AVERAGE(INDEX($L$1340:$L1460,122-MA_SHORT):$L1460),"")</f>
        <v>95596567.65</v>
      </c>
      <c r="AA1460" s="48" t="n">
        <f aca="false">IF($U1460=1,$G1460-$H1460,MAX($G1460-$H1460,ABS($G1460-$I1459),ABS($H1460-$I1459)))</f>
        <v>157</v>
      </c>
      <c r="AB1460" s="48" t="n">
        <f aca="false">IF($U1460&gt;=ATR_PER,AVERAGE(INDEX($AA$1340:$AA1460,122-ATR_PER):$AA1460),"")</f>
        <v>67.0714285714286</v>
      </c>
      <c r="AC1460" s="48" t="n">
        <f aca="false">$O1460-$P1460</f>
        <v>22708594</v>
      </c>
      <c r="AD1460" s="48" t="n">
        <f aca="false">$AC1460*$I1460</f>
        <v>42169859058</v>
      </c>
      <c r="AE1460" s="49" t="n">
        <f aca="false">IF($Q1460&gt;0,$O1460*$I1460/$Q1460/1000000,"")</f>
        <v>116.382176388824</v>
      </c>
      <c r="AF1460" s="49" t="n">
        <f aca="false">IF($R1460&gt;0,$P1460*$I1460/$R1460/1000000,"")</f>
        <v>70.3192584671533</v>
      </c>
      <c r="AG1460" s="50" t="n">
        <f aca="false">IF(AND(ISNUMBER($AE1460),ISNUMBER($AF1460),$AF1460&gt;0),$AE1460/$AF1460,"")</f>
        <v>1.65505409081052</v>
      </c>
      <c r="AH1460" s="48" t="n">
        <f aca="false">IF($U1460&gt;=5,SUM(INDEX($AD$1430:$AD1460,32-5):$AD1460),"")</f>
        <v>40793372542</v>
      </c>
      <c r="AI1460" s="48" t="n">
        <f aca="false">IF($U1460&gt;=STRUCT_S,MAX(INDEX($G$1310:$G1460,152-STRUCT_S):$G1460),"")</f>
        <v>1893</v>
      </c>
      <c r="AJ1460" s="48" t="n">
        <f aca="false">IF($U1460&gt;=STRUCT_S,MIN(INDEX($H$1310:$H1460,152-STRUCT_S):$H1460),"")</f>
        <v>1668</v>
      </c>
      <c r="AK1460" s="48" t="n">
        <f aca="false">IF($U1460&gt;=STRUCT_L,MAX(INDEX($G$1210:$G1460,252-STRUCT_L):$G1460),"")</f>
        <v>1893</v>
      </c>
      <c r="AL1460" s="48" t="n">
        <f aca="false">IF($U1460&gt;=STRUCT_L,MIN(INDEX($H$1210:$H1460,252-STRUCT_L):$H1460),"")</f>
        <v>1309</v>
      </c>
      <c r="AM1460" s="46" t="n">
        <f aca="false">IF($A1460&lt;&gt;$A1461,1,0)</f>
        <v>0</v>
      </c>
      <c r="AN1460" s="47" t="str">
        <f aca="false">IF($AM1460=1,$A1460,"")</f>
        <v/>
      </c>
    </row>
    <row r="1461" customFormat="false" ht="15" hidden="false" customHeight="false" outlineLevel="0" collapsed="false">
      <c r="A1461" s="43" t="s">
        <v>157</v>
      </c>
      <c r="B1461" s="44" t="s">
        <v>159</v>
      </c>
      <c r="C1461" s="45" t="n">
        <v>46124</v>
      </c>
      <c r="D1461" s="46" t="n">
        <v>20260412</v>
      </c>
      <c r="E1461" s="47" t="s">
        <v>444</v>
      </c>
      <c r="F1461" s="48" t="n">
        <v>1832</v>
      </c>
      <c r="G1461" s="48" t="n">
        <v>1873</v>
      </c>
      <c r="H1461" s="48" t="n">
        <v>1827</v>
      </c>
      <c r="I1461" s="48" t="n">
        <v>1843</v>
      </c>
      <c r="J1461" s="48" t="n">
        <v>1829</v>
      </c>
      <c r="K1461" s="48" t="n">
        <v>1857</v>
      </c>
      <c r="L1461" s="48" t="n">
        <v>70930423</v>
      </c>
      <c r="M1461" s="48" t="n">
        <v>130724769589</v>
      </c>
      <c r="N1461" s="48" t="n">
        <v>1884</v>
      </c>
      <c r="O1461" s="48" t="n">
        <v>34735833</v>
      </c>
      <c r="P1461" s="48" t="n">
        <v>38715286</v>
      </c>
      <c r="Q1461" s="48" t="n">
        <v>781</v>
      </c>
      <c r="R1461" s="48" t="n">
        <v>591</v>
      </c>
      <c r="S1461" s="48" t="n">
        <v>36194590</v>
      </c>
      <c r="T1461" s="48" t="n">
        <v>32215137</v>
      </c>
      <c r="U1461" s="46" t="n">
        <f aca="false">IF($A1461=$A1460,$U1460+1,1)</f>
        <v>157</v>
      </c>
      <c r="V1461" s="48" t="n">
        <f aca="false">IF($U1461&gt;=MA_SHORT,AVERAGE(INDEX($I$1061:$I1461,402-MA_SHORT):$I1461),"")</f>
        <v>1800.2</v>
      </c>
      <c r="W1461" s="48" t="n">
        <f aca="false">IF($U1461&gt;=MA_MED,AVERAGE(INDEX($I$1061:$I1461,402-MA_MED):$I1461),"")</f>
        <v>1710.78</v>
      </c>
      <c r="X1461" s="48" t="n">
        <f aca="false">IF($U1461&gt;=MA_LONG1,AVERAGE(INDEX($I$1061:$I1461,402-MA_LONG1):$I1461),"")</f>
        <v>1580.72</v>
      </c>
      <c r="Y1461" s="48" t="str">
        <f aca="false">IF($U1461&gt;=MA_LONG2,AVERAGE(INDEX($I$1061:$I1461,402-MA_LONG2):$I1461),"")</f>
        <v/>
      </c>
      <c r="Z1461" s="48" t="n">
        <f aca="false">IF($U1461&gt;=MA_SHORT,AVERAGE(INDEX($L$1341:$L1461,122-MA_SHORT):$L1461),"")</f>
        <v>93779743.3</v>
      </c>
      <c r="AA1461" s="48" t="n">
        <f aca="false">IF($U1461=1,$G1461-$H1461,MAX($G1461-$H1461,ABS($G1461-$I1460),ABS($H1461-$I1460)))</f>
        <v>46</v>
      </c>
      <c r="AB1461" s="48" t="n">
        <f aca="false">IF($U1461&gt;=ATR_PER,AVERAGE(INDEX($AA$1341:$AA1461,122-ATR_PER):$AA1461),"")</f>
        <v>67.7142857142857</v>
      </c>
      <c r="AC1461" s="48" t="n">
        <f aca="false">$O1461-$P1461</f>
        <v>-3979453</v>
      </c>
      <c r="AD1461" s="48" t="n">
        <f aca="false">$AC1461*$I1461</f>
        <v>-7334131879</v>
      </c>
      <c r="AE1461" s="49" t="n">
        <f aca="false">IF($Q1461&gt;0,$O1461*$I1461/$Q1461/1000000,"")</f>
        <v>81.9694497042253</v>
      </c>
      <c r="AF1461" s="49" t="n">
        <f aca="false">IF($R1461&gt;0,$P1461*$I1461/$R1461/1000000,"")</f>
        <v>120.731424869712</v>
      </c>
      <c r="AG1461" s="50" t="n">
        <f aca="false">IF(AND(ISNUMBER($AE1461),ISNUMBER($AF1461),$AF1461&gt;0),$AE1461/$AF1461,"")</f>
        <v>0.678940464694117</v>
      </c>
      <c r="AH1461" s="48" t="n">
        <f aca="false">IF($U1461&gt;=5,SUM(INDEX($AD$1431:$AD1461,32-5):$AD1461),"")</f>
        <v>39292622984</v>
      </c>
      <c r="AI1461" s="48" t="n">
        <f aca="false">IF($U1461&gt;=STRUCT_S,MAX(INDEX($G$1311:$G1461,152-STRUCT_S):$G1461),"")</f>
        <v>1893</v>
      </c>
      <c r="AJ1461" s="48" t="n">
        <f aca="false">IF($U1461&gt;=STRUCT_S,MIN(INDEX($H$1311:$H1461,152-STRUCT_S):$H1461),"")</f>
        <v>1673</v>
      </c>
      <c r="AK1461" s="48" t="n">
        <f aca="false">IF($U1461&gt;=STRUCT_L,MAX(INDEX($G$1211:$G1461,252-STRUCT_L):$G1461),"")</f>
        <v>1893</v>
      </c>
      <c r="AL1461" s="48" t="n">
        <f aca="false">IF($U1461&gt;=STRUCT_L,MIN(INDEX($H$1211:$H1461,252-STRUCT_L):$H1461),"")</f>
        <v>1355</v>
      </c>
      <c r="AM1461" s="46" t="n">
        <f aca="false">IF($A1461&lt;&gt;$A1462,1,0)</f>
        <v>0</v>
      </c>
      <c r="AN1461" s="47" t="str">
        <f aca="false">IF($AM1461=1,$A1461,"")</f>
        <v/>
      </c>
    </row>
    <row r="1462" customFormat="false" ht="15" hidden="false" customHeight="false" outlineLevel="0" collapsed="false">
      <c r="A1462" s="43" t="s">
        <v>157</v>
      </c>
      <c r="B1462" s="44" t="s">
        <v>159</v>
      </c>
      <c r="C1462" s="45" t="n">
        <v>46125</v>
      </c>
      <c r="D1462" s="46" t="n">
        <v>20260413</v>
      </c>
      <c r="E1462" s="47" t="s">
        <v>445</v>
      </c>
      <c r="F1462" s="48" t="n">
        <v>1831</v>
      </c>
      <c r="G1462" s="48" t="n">
        <v>1884</v>
      </c>
      <c r="H1462" s="48" t="n">
        <v>1774</v>
      </c>
      <c r="I1462" s="48" t="n">
        <v>1814</v>
      </c>
      <c r="J1462" s="48" t="n">
        <v>1785</v>
      </c>
      <c r="K1462" s="48" t="n">
        <v>1843</v>
      </c>
      <c r="L1462" s="48" t="n">
        <v>161599436</v>
      </c>
      <c r="M1462" s="48" t="n">
        <v>293141376904</v>
      </c>
      <c r="N1462" s="48" t="n">
        <v>15596</v>
      </c>
      <c r="O1462" s="48" t="n">
        <v>62302820</v>
      </c>
      <c r="P1462" s="48" t="n">
        <v>97119454</v>
      </c>
      <c r="Q1462" s="48" t="n">
        <v>5585</v>
      </c>
      <c r="R1462" s="48" t="n">
        <v>6799</v>
      </c>
      <c r="S1462" s="48" t="n">
        <v>99296616</v>
      </c>
      <c r="T1462" s="48" t="n">
        <v>64479982</v>
      </c>
      <c r="U1462" s="46" t="n">
        <f aca="false">IF($A1462=$A1461,$U1461+1,1)</f>
        <v>158</v>
      </c>
      <c r="V1462" s="48" t="n">
        <f aca="false">IF($U1462&gt;=MA_SHORT,AVERAGE(INDEX($I$1062:$I1462,402-MA_SHORT):$I1462),"")</f>
        <v>1805.35</v>
      </c>
      <c r="W1462" s="48" t="n">
        <f aca="false">IF($U1462&gt;=MA_MED,AVERAGE(INDEX($I$1062:$I1462,402-MA_MED):$I1462),"")</f>
        <v>1717.12</v>
      </c>
      <c r="X1462" s="48" t="n">
        <f aca="false">IF($U1462&gt;=MA_LONG1,AVERAGE(INDEX($I$1062:$I1462,402-MA_LONG1):$I1462),"")</f>
        <v>1583.34</v>
      </c>
      <c r="Y1462" s="48" t="str">
        <f aca="false">IF($U1462&gt;=MA_LONG2,AVERAGE(INDEX($I$1062:$I1462,402-MA_LONG2):$I1462),"")</f>
        <v/>
      </c>
      <c r="Z1462" s="48" t="n">
        <f aca="false">IF($U1462&gt;=MA_SHORT,AVERAGE(INDEX($L$1342:$L1462,122-MA_SHORT):$L1462),"")</f>
        <v>94386550.25</v>
      </c>
      <c r="AA1462" s="48" t="n">
        <f aca="false">IF($U1462=1,$G1462-$H1462,MAX($G1462-$H1462,ABS($G1462-$I1461),ABS($H1462-$I1461)))</f>
        <v>110</v>
      </c>
      <c r="AB1462" s="48" t="n">
        <f aca="false">IF($U1462&gt;=ATR_PER,AVERAGE(INDEX($AA$1342:$AA1462,122-ATR_PER):$AA1462),"")</f>
        <v>72.0714285714286</v>
      </c>
      <c r="AC1462" s="48" t="n">
        <f aca="false">$O1462-$P1462</f>
        <v>-34816634</v>
      </c>
      <c r="AD1462" s="48" t="n">
        <f aca="false">$AC1462*$I1462</f>
        <v>-63157374076</v>
      </c>
      <c r="AE1462" s="49" t="n">
        <f aca="false">IF($Q1462&gt;0,$O1462*$I1462/$Q1462/1000000,"")</f>
        <v>20.2358666929275</v>
      </c>
      <c r="AF1462" s="49" t="n">
        <f aca="false">IF($R1462&gt;0,$P1462*$I1462/$R1462/1000000,"")</f>
        <v>25.9118531484042</v>
      </c>
      <c r="AG1462" s="50" t="n">
        <f aca="false">IF(AND(ISNUMBER($AE1462),ISNUMBER($AF1462),$AF1462&gt;0),$AE1462/$AF1462,"")</f>
        <v>0.780950192061958</v>
      </c>
      <c r="AH1462" s="48" t="n">
        <f aca="false">IF($U1462&gt;=5,SUM(INDEX($AD$1432:$AD1462,32-5):$AD1462),"")</f>
        <v>-5279428187</v>
      </c>
      <c r="AI1462" s="48" t="n">
        <f aca="false">IF($U1462&gt;=STRUCT_S,MAX(INDEX($G$1312:$G1462,152-STRUCT_S):$G1462),"")</f>
        <v>1893</v>
      </c>
      <c r="AJ1462" s="48" t="n">
        <f aca="false">IF($U1462&gt;=STRUCT_S,MIN(INDEX($H$1312:$H1462,152-STRUCT_S):$H1462),"")</f>
        <v>1683</v>
      </c>
      <c r="AK1462" s="48" t="n">
        <f aca="false">IF($U1462&gt;=STRUCT_L,MAX(INDEX($G$1212:$G1462,252-STRUCT_L):$G1462),"")</f>
        <v>1893</v>
      </c>
      <c r="AL1462" s="48" t="n">
        <f aca="false">IF($U1462&gt;=STRUCT_L,MIN(INDEX($H$1212:$H1462,252-STRUCT_L):$H1462),"")</f>
        <v>1362</v>
      </c>
      <c r="AM1462" s="46" t="n">
        <f aca="false">IF($A1462&lt;&gt;$A1463,1,0)</f>
        <v>0</v>
      </c>
      <c r="AN1462" s="47" t="str">
        <f aca="false">IF($AM1462=1,$A1462,"")</f>
        <v/>
      </c>
    </row>
    <row r="1463" customFormat="false" ht="15" hidden="false" customHeight="false" outlineLevel="0" collapsed="false">
      <c r="A1463" s="43" t="s">
        <v>157</v>
      </c>
      <c r="B1463" s="44" t="s">
        <v>159</v>
      </c>
      <c r="C1463" s="45" t="n">
        <v>46126</v>
      </c>
      <c r="D1463" s="46" t="n">
        <v>20260414</v>
      </c>
      <c r="E1463" s="47" t="s">
        <v>446</v>
      </c>
      <c r="F1463" s="48" t="n">
        <v>1802</v>
      </c>
      <c r="G1463" s="48" t="n">
        <v>1832</v>
      </c>
      <c r="H1463" s="48" t="n">
        <v>1763</v>
      </c>
      <c r="I1463" s="48" t="n">
        <v>1780</v>
      </c>
      <c r="J1463" s="48" t="n">
        <v>1828</v>
      </c>
      <c r="K1463" s="48" t="n">
        <v>1814</v>
      </c>
      <c r="L1463" s="48" t="n">
        <v>75492324</v>
      </c>
      <c r="M1463" s="48" t="n">
        <v>134376336720</v>
      </c>
      <c r="N1463" s="48" t="n">
        <v>2137</v>
      </c>
      <c r="O1463" s="48" t="n">
        <v>37042002</v>
      </c>
      <c r="P1463" s="48" t="n">
        <v>35283479</v>
      </c>
      <c r="Q1463" s="48" t="n">
        <v>683</v>
      </c>
      <c r="R1463" s="48" t="n">
        <v>988</v>
      </c>
      <c r="S1463" s="48" t="n">
        <v>38450322</v>
      </c>
      <c r="T1463" s="48" t="n">
        <v>40208845</v>
      </c>
      <c r="U1463" s="46" t="n">
        <f aca="false">IF($A1463=$A1462,$U1462+1,1)</f>
        <v>159</v>
      </c>
      <c r="V1463" s="48" t="n">
        <f aca="false">IF($U1463&gt;=MA_SHORT,AVERAGE(INDEX($I$1063:$I1463,402-MA_SHORT):$I1463),"")</f>
        <v>1804.75</v>
      </c>
      <c r="W1463" s="48" t="n">
        <f aca="false">IF($U1463&gt;=MA_MED,AVERAGE(INDEX($I$1063:$I1463,402-MA_MED):$I1463),"")</f>
        <v>1723.1</v>
      </c>
      <c r="X1463" s="48" t="n">
        <f aca="false">IF($U1463&gt;=MA_LONG1,AVERAGE(INDEX($I$1063:$I1463,402-MA_LONG1):$I1463),"")</f>
        <v>1585.33</v>
      </c>
      <c r="Y1463" s="48" t="str">
        <f aca="false">IF($U1463&gt;=MA_LONG2,AVERAGE(INDEX($I$1063:$I1463,402-MA_LONG2):$I1463),"")</f>
        <v/>
      </c>
      <c r="Z1463" s="48" t="n">
        <f aca="false">IF($U1463&gt;=MA_SHORT,AVERAGE(INDEX($L$1343:$L1463,122-MA_SHORT):$L1463),"")</f>
        <v>92917350.15</v>
      </c>
      <c r="AA1463" s="48" t="n">
        <f aca="false">IF($U1463=1,$G1463-$H1463,MAX($G1463-$H1463,ABS($G1463-$I1462),ABS($H1463-$I1462)))</f>
        <v>69</v>
      </c>
      <c r="AB1463" s="48" t="n">
        <f aca="false">IF($U1463&gt;=ATR_PER,AVERAGE(INDEX($AA$1343:$AA1463,122-ATR_PER):$AA1463),"")</f>
        <v>72.0714285714286</v>
      </c>
      <c r="AC1463" s="48" t="n">
        <f aca="false">$O1463-$P1463</f>
        <v>1758523</v>
      </c>
      <c r="AD1463" s="48" t="n">
        <f aca="false">$AC1463*$I1463</f>
        <v>3130170940</v>
      </c>
      <c r="AE1463" s="49" t="n">
        <f aca="false">IF($Q1463&gt;0,$O1463*$I1463/$Q1463/1000000,"")</f>
        <v>96.5369891068814</v>
      </c>
      <c r="AF1463" s="49" t="n">
        <f aca="false">IF($R1463&gt;0,$P1463*$I1463/$R1463/1000000,"")</f>
        <v>63.567401437247</v>
      </c>
      <c r="AG1463" s="50" t="n">
        <f aca="false">IF(AND(ISNUMBER($AE1463),ISNUMBER($AF1463),$AF1463&gt;0),$AE1463/$AF1463,"")</f>
        <v>1.51865558327379</v>
      </c>
      <c r="AH1463" s="48" t="n">
        <f aca="false">IF($U1463&gt;=5,SUM(INDEX($AD$1433:$AD1463,32-5):$AD1463),"")</f>
        <v>-4450389397</v>
      </c>
      <c r="AI1463" s="48" t="n">
        <f aca="false">IF($U1463&gt;=STRUCT_S,MAX(INDEX($G$1313:$G1463,152-STRUCT_S):$G1463),"")</f>
        <v>1893</v>
      </c>
      <c r="AJ1463" s="48" t="n">
        <f aca="false">IF($U1463&gt;=STRUCT_S,MIN(INDEX($H$1313:$H1463,152-STRUCT_S):$H1463),"")</f>
        <v>1704</v>
      </c>
      <c r="AK1463" s="48" t="n">
        <f aca="false">IF($U1463&gt;=STRUCT_L,MAX(INDEX($G$1213:$G1463,252-STRUCT_L):$G1463),"")</f>
        <v>1893</v>
      </c>
      <c r="AL1463" s="48" t="n">
        <f aca="false">IF($U1463&gt;=STRUCT_L,MIN(INDEX($H$1213:$H1463,252-STRUCT_L):$H1463),"")</f>
        <v>1374</v>
      </c>
      <c r="AM1463" s="46" t="n">
        <f aca="false">IF($A1463&lt;&gt;$A1464,1,0)</f>
        <v>0</v>
      </c>
      <c r="AN1463" s="47" t="str">
        <f aca="false">IF($AM1463=1,$A1463,"")</f>
        <v/>
      </c>
    </row>
    <row r="1464" customFormat="false" ht="15" hidden="false" customHeight="false" outlineLevel="0" collapsed="false">
      <c r="A1464" s="43" t="s">
        <v>157</v>
      </c>
      <c r="B1464" s="44" t="s">
        <v>159</v>
      </c>
      <c r="C1464" s="45" t="n">
        <v>46127</v>
      </c>
      <c r="D1464" s="46" t="n">
        <v>20260415</v>
      </c>
      <c r="E1464" s="47" t="s">
        <v>447</v>
      </c>
      <c r="F1464" s="48" t="n">
        <v>1797</v>
      </c>
      <c r="G1464" s="48" t="n">
        <v>1806</v>
      </c>
      <c r="H1464" s="48" t="n">
        <v>1761</v>
      </c>
      <c r="I1464" s="48" t="n">
        <v>1787</v>
      </c>
      <c r="J1464" s="48" t="n">
        <v>1785</v>
      </c>
      <c r="K1464" s="48" t="n">
        <v>1780</v>
      </c>
      <c r="L1464" s="48" t="n">
        <v>117855566</v>
      </c>
      <c r="M1464" s="48" t="n">
        <v>210607896442</v>
      </c>
      <c r="N1464" s="48" t="n">
        <v>3415</v>
      </c>
      <c r="O1464" s="48" t="n">
        <v>62097174</v>
      </c>
      <c r="P1464" s="48" t="n">
        <v>51353986</v>
      </c>
      <c r="Q1464" s="48" t="n">
        <v>1510</v>
      </c>
      <c r="R1464" s="48" t="n">
        <v>1863</v>
      </c>
      <c r="S1464" s="48" t="n">
        <v>55758392</v>
      </c>
      <c r="T1464" s="48" t="n">
        <v>66501580</v>
      </c>
      <c r="U1464" s="46" t="n">
        <f aca="false">IF($A1464=$A1463,$U1463+1,1)</f>
        <v>160</v>
      </c>
      <c r="V1464" s="48" t="n">
        <f aca="false">IF($U1464&gt;=MA_SHORT,AVERAGE(INDEX($I$1064:$I1464,402-MA_SHORT):$I1464),"")</f>
        <v>1803.05</v>
      </c>
      <c r="W1464" s="48" t="n">
        <f aca="false">IF($U1464&gt;=MA_MED,AVERAGE(INDEX($I$1064:$I1464,402-MA_MED):$I1464),"")</f>
        <v>1729.26</v>
      </c>
      <c r="X1464" s="48" t="n">
        <f aca="false">IF($U1464&gt;=MA_LONG1,AVERAGE(INDEX($I$1064:$I1464,402-MA_LONG1):$I1464),"")</f>
        <v>1587.83</v>
      </c>
      <c r="Y1464" s="48" t="str">
        <f aca="false">IF($U1464&gt;=MA_LONG2,AVERAGE(INDEX($I$1064:$I1464,402-MA_LONG2):$I1464),"")</f>
        <v/>
      </c>
      <c r="Z1464" s="48" t="n">
        <f aca="false">IF($U1464&gt;=MA_SHORT,AVERAGE(INDEX($L$1344:$L1464,122-MA_SHORT):$L1464),"")</f>
        <v>94619361.15</v>
      </c>
      <c r="AA1464" s="48" t="n">
        <f aca="false">IF($U1464=1,$G1464-$H1464,MAX($G1464-$H1464,ABS($G1464-$I1463),ABS($H1464-$I1463)))</f>
        <v>45</v>
      </c>
      <c r="AB1464" s="48" t="n">
        <f aca="false">IF($U1464&gt;=ATR_PER,AVERAGE(INDEX($AA$1344:$AA1464,122-ATR_PER):$AA1464),"")</f>
        <v>67.5</v>
      </c>
      <c r="AC1464" s="48" t="n">
        <f aca="false">$O1464-$P1464</f>
        <v>10743188</v>
      </c>
      <c r="AD1464" s="48" t="n">
        <f aca="false">$AC1464*$I1464</f>
        <v>19198076956</v>
      </c>
      <c r="AE1464" s="49" t="n">
        <f aca="false">IF($Q1464&gt;0,$O1464*$I1464/$Q1464/1000000,"")</f>
        <v>73.4885098927152</v>
      </c>
      <c r="AF1464" s="49" t="n">
        <f aca="false">IF($R1464&gt;0,$P1464*$I1464/$R1464/1000000,"")</f>
        <v>49.2590300493827</v>
      </c>
      <c r="AG1464" s="50" t="n">
        <f aca="false">IF(AND(ISNUMBER($AE1464),ISNUMBER($AF1464),$AF1464&gt;0),$AE1464/$AF1464,"")</f>
        <v>1.49187894725175</v>
      </c>
      <c r="AH1464" s="48" t="n">
        <f aca="false">IF($U1464&gt;=5,SUM(INDEX($AD$1434:$AD1464,32-5):$AD1464),"")</f>
        <v>-5993399001</v>
      </c>
      <c r="AI1464" s="48" t="n">
        <f aca="false">IF($U1464&gt;=STRUCT_S,MAX(INDEX($G$1314:$G1464,152-STRUCT_S):$G1464),"")</f>
        <v>1893</v>
      </c>
      <c r="AJ1464" s="48" t="n">
        <f aca="false">IF($U1464&gt;=STRUCT_S,MIN(INDEX($H$1314:$H1464,152-STRUCT_S):$H1464),"")</f>
        <v>1704</v>
      </c>
      <c r="AK1464" s="48" t="n">
        <f aca="false">IF($U1464&gt;=STRUCT_L,MAX(INDEX($G$1214:$G1464,252-STRUCT_L):$G1464),"")</f>
        <v>1893</v>
      </c>
      <c r="AL1464" s="48" t="n">
        <f aca="false">IF($U1464&gt;=STRUCT_L,MIN(INDEX($H$1214:$H1464,252-STRUCT_L):$H1464),"")</f>
        <v>1408</v>
      </c>
      <c r="AM1464" s="46" t="n">
        <f aca="false">IF($A1464&lt;&gt;$A1465,1,0)</f>
        <v>0</v>
      </c>
      <c r="AN1464" s="47" t="str">
        <f aca="false">IF($AM1464=1,$A1464,"")</f>
        <v/>
      </c>
    </row>
    <row r="1465" customFormat="false" ht="15" hidden="false" customHeight="false" outlineLevel="0" collapsed="false">
      <c r="A1465" s="43" t="s">
        <v>157</v>
      </c>
      <c r="B1465" s="44" t="s">
        <v>159</v>
      </c>
      <c r="C1465" s="45" t="n">
        <v>46130</v>
      </c>
      <c r="D1465" s="46" t="n">
        <v>20260418</v>
      </c>
      <c r="E1465" s="47" t="s">
        <v>448</v>
      </c>
      <c r="F1465" s="48" t="n">
        <v>1786</v>
      </c>
      <c r="G1465" s="48" t="n">
        <v>1817</v>
      </c>
      <c r="H1465" s="48" t="n">
        <v>1717</v>
      </c>
      <c r="I1465" s="48" t="n">
        <v>1746</v>
      </c>
      <c r="J1465" s="48" t="n">
        <v>1797</v>
      </c>
      <c r="K1465" s="48" t="n">
        <v>1787</v>
      </c>
      <c r="L1465" s="48" t="n">
        <v>77202568</v>
      </c>
      <c r="M1465" s="48" t="n">
        <v>134795683728</v>
      </c>
      <c r="N1465" s="48" t="n">
        <v>7217</v>
      </c>
      <c r="O1465" s="48" t="n">
        <v>35235671</v>
      </c>
      <c r="P1465" s="48" t="n">
        <v>41238906</v>
      </c>
      <c r="Q1465" s="48" t="n">
        <v>3347</v>
      </c>
      <c r="R1465" s="48" t="n">
        <v>3183</v>
      </c>
      <c r="S1465" s="48" t="n">
        <v>41966897</v>
      </c>
      <c r="T1465" s="48" t="n">
        <v>35963662</v>
      </c>
      <c r="U1465" s="46" t="n">
        <f aca="false">IF($A1465=$A1464,$U1464+1,1)</f>
        <v>161</v>
      </c>
      <c r="V1465" s="48" t="n">
        <f aca="false">IF($U1465&gt;=MA_SHORT,AVERAGE(INDEX($I$1065:$I1465,402-MA_SHORT):$I1465),"")</f>
        <v>1798.95</v>
      </c>
      <c r="W1465" s="48" t="n">
        <f aca="false">IF($U1465&gt;=MA_MED,AVERAGE(INDEX($I$1065:$I1465,402-MA_MED):$I1465),"")</f>
        <v>1734.74</v>
      </c>
      <c r="X1465" s="48" t="n">
        <f aca="false">IF($U1465&gt;=MA_LONG1,AVERAGE(INDEX($I$1065:$I1465,402-MA_LONG1):$I1465),"")</f>
        <v>1590.05</v>
      </c>
      <c r="Y1465" s="48" t="str">
        <f aca="false">IF($U1465&gt;=MA_LONG2,AVERAGE(INDEX($I$1065:$I1465,402-MA_LONG2):$I1465),"")</f>
        <v/>
      </c>
      <c r="Z1465" s="48" t="n">
        <f aca="false">IF($U1465&gt;=MA_SHORT,AVERAGE(INDEX($L$1345:$L1465,122-MA_SHORT):$L1465),"")</f>
        <v>90383495.8</v>
      </c>
      <c r="AA1465" s="48" t="n">
        <f aca="false">IF($U1465=1,$G1465-$H1465,MAX($G1465-$H1465,ABS($G1465-$I1464),ABS($H1465-$I1464)))</f>
        <v>100</v>
      </c>
      <c r="AB1465" s="48" t="n">
        <f aca="false">IF($U1465&gt;=ATR_PER,AVERAGE(INDEX($AA$1345:$AA1465,122-ATR_PER):$AA1465),"")</f>
        <v>69.2857142857143</v>
      </c>
      <c r="AC1465" s="48" t="n">
        <f aca="false">$O1465-$P1465</f>
        <v>-6003235</v>
      </c>
      <c r="AD1465" s="48" t="n">
        <f aca="false">$AC1465*$I1465</f>
        <v>-10481648310</v>
      </c>
      <c r="AE1465" s="49" t="n">
        <f aca="false">IF($Q1465&gt;0,$O1465*$I1465/$Q1465/1000000,"")</f>
        <v>18.3810820334628</v>
      </c>
      <c r="AF1465" s="49" t="n">
        <f aca="false">IF($R1465&gt;0,$P1465*$I1465/$R1465/1000000,"")</f>
        <v>22.6211529613572</v>
      </c>
      <c r="AG1465" s="50" t="n">
        <f aca="false">IF(AND(ISNUMBER($AE1465),ISNUMBER($AF1465),$AF1465&gt;0),$AE1465/$AF1465,"")</f>
        <v>0.812561679100197</v>
      </c>
      <c r="AH1465" s="48" t="n">
        <f aca="false">IF($U1465&gt;=5,SUM(INDEX($AD$1435:$AD1465,32-5):$AD1465),"")</f>
        <v>-58644906369</v>
      </c>
      <c r="AI1465" s="48" t="n">
        <f aca="false">IF($U1465&gt;=STRUCT_S,MAX(INDEX($G$1315:$G1465,152-STRUCT_S):$G1465),"")</f>
        <v>1893</v>
      </c>
      <c r="AJ1465" s="48" t="n">
        <f aca="false">IF($U1465&gt;=STRUCT_S,MIN(INDEX($H$1315:$H1465,152-STRUCT_S):$H1465),"")</f>
        <v>1704</v>
      </c>
      <c r="AK1465" s="48" t="n">
        <f aca="false">IF($U1465&gt;=STRUCT_L,MAX(INDEX($G$1215:$G1465,252-STRUCT_L):$G1465),"")</f>
        <v>1893</v>
      </c>
      <c r="AL1465" s="48" t="n">
        <f aca="false">IF($U1465&gt;=STRUCT_L,MIN(INDEX($H$1215:$H1465,252-STRUCT_L):$H1465),"")</f>
        <v>1438</v>
      </c>
      <c r="AM1465" s="46" t="n">
        <f aca="false">IF($A1465&lt;&gt;$A1466,1,0)</f>
        <v>0</v>
      </c>
      <c r="AN1465" s="47" t="str">
        <f aca="false">IF($AM1465=1,$A1465,"")</f>
        <v/>
      </c>
    </row>
    <row r="1466" customFormat="false" ht="15" hidden="false" customHeight="false" outlineLevel="0" collapsed="false">
      <c r="A1466" s="43" t="s">
        <v>157</v>
      </c>
      <c r="B1466" s="44" t="s">
        <v>159</v>
      </c>
      <c r="C1466" s="45" t="n">
        <v>46131</v>
      </c>
      <c r="D1466" s="46" t="n">
        <v>20260419</v>
      </c>
      <c r="E1466" s="47" t="s">
        <v>449</v>
      </c>
      <c r="F1466" s="48" t="n">
        <v>1749</v>
      </c>
      <c r="G1466" s="48" t="n">
        <v>1752</v>
      </c>
      <c r="H1466" s="48" t="n">
        <v>1735</v>
      </c>
      <c r="I1466" s="48" t="n">
        <v>1741</v>
      </c>
      <c r="J1466" s="48" t="n">
        <v>1747</v>
      </c>
      <c r="K1466" s="48" t="n">
        <v>1746</v>
      </c>
      <c r="L1466" s="48" t="n">
        <v>69026784</v>
      </c>
      <c r="M1466" s="48" t="n">
        <v>120175630944</v>
      </c>
      <c r="N1466" s="48" t="n">
        <v>2779</v>
      </c>
      <c r="O1466" s="48" t="n">
        <v>38053177</v>
      </c>
      <c r="P1466" s="48" t="n">
        <v>32963885</v>
      </c>
      <c r="Q1466" s="48" t="n">
        <v>1196</v>
      </c>
      <c r="R1466" s="48" t="n">
        <v>1042</v>
      </c>
      <c r="S1466" s="48" t="n">
        <v>30973607</v>
      </c>
      <c r="T1466" s="48" t="n">
        <v>36062899</v>
      </c>
      <c r="U1466" s="46" t="n">
        <f aca="false">IF($A1466=$A1465,$U1465+1,1)</f>
        <v>162</v>
      </c>
      <c r="V1466" s="48" t="n">
        <f aca="false">IF($U1466&gt;=MA_SHORT,AVERAGE(INDEX($I$1066:$I1466,402-MA_SHORT):$I1466),"")</f>
        <v>1793.3</v>
      </c>
      <c r="W1466" s="48" t="n">
        <f aca="false">IF($U1466&gt;=MA_MED,AVERAGE(INDEX($I$1066:$I1466,402-MA_MED):$I1466),"")</f>
        <v>1739.5</v>
      </c>
      <c r="X1466" s="48" t="n">
        <f aca="false">IF($U1466&gt;=MA_LONG1,AVERAGE(INDEX($I$1066:$I1466,402-MA_LONG1):$I1466),"")</f>
        <v>1592.47</v>
      </c>
      <c r="Y1466" s="48" t="str">
        <f aca="false">IF($U1466&gt;=MA_LONG2,AVERAGE(INDEX($I$1066:$I1466,402-MA_LONG2):$I1466),"")</f>
        <v/>
      </c>
      <c r="Z1466" s="48" t="n">
        <f aca="false">IF($U1466&gt;=MA_SHORT,AVERAGE(INDEX($L$1346:$L1466,122-MA_SHORT):$L1466),"")</f>
        <v>89217838.15</v>
      </c>
      <c r="AA1466" s="48" t="n">
        <f aca="false">IF($U1466=1,$G1466-$H1466,MAX($G1466-$H1466,ABS($G1466-$I1465),ABS($H1466-$I1465)))</f>
        <v>17</v>
      </c>
      <c r="AB1466" s="48" t="n">
        <f aca="false">IF($U1466&gt;=ATR_PER,AVERAGE(INDEX($AA$1346:$AA1466,122-ATR_PER):$AA1466),"")</f>
        <v>67.5</v>
      </c>
      <c r="AC1466" s="48" t="n">
        <f aca="false">$O1466-$P1466</f>
        <v>5089292</v>
      </c>
      <c r="AD1466" s="48" t="n">
        <f aca="false">$AC1466*$I1466</f>
        <v>8860457372</v>
      </c>
      <c r="AE1466" s="49" t="n">
        <f aca="false">IF($Q1466&gt;0,$O1466*$I1466/$Q1466/1000000,"")</f>
        <v>55.3934625058528</v>
      </c>
      <c r="AF1466" s="49" t="n">
        <f aca="false">IF($R1466&gt;0,$P1466*$I1466/$R1466/1000000,"")</f>
        <v>55.0768942274472</v>
      </c>
      <c r="AG1466" s="50" t="n">
        <f aca="false">IF(AND(ISNUMBER($AE1466),ISNUMBER($AF1466),$AF1466&gt;0),$AE1466/$AF1466,"")</f>
        <v>1.0057477510823</v>
      </c>
      <c r="AH1466" s="48" t="n">
        <f aca="false">IF($U1466&gt;=5,SUM(INDEX($AD$1436:$AD1466,32-5):$AD1466),"")</f>
        <v>-42450317118</v>
      </c>
      <c r="AI1466" s="48" t="n">
        <f aca="false">IF($U1466&gt;=STRUCT_S,MAX(INDEX($G$1316:$G1466,152-STRUCT_S):$G1466),"")</f>
        <v>1893</v>
      </c>
      <c r="AJ1466" s="48" t="n">
        <f aca="false">IF($U1466&gt;=STRUCT_S,MIN(INDEX($H$1316:$H1466,152-STRUCT_S):$H1466),"")</f>
        <v>1704</v>
      </c>
      <c r="AK1466" s="48" t="n">
        <f aca="false">IF($U1466&gt;=STRUCT_L,MAX(INDEX($G$1216:$G1466,252-STRUCT_L):$G1466),"")</f>
        <v>1893</v>
      </c>
      <c r="AL1466" s="48" t="n">
        <f aca="false">IF($U1466&gt;=STRUCT_L,MIN(INDEX($H$1216:$H1466,252-STRUCT_L):$H1466),"")</f>
        <v>1442</v>
      </c>
      <c r="AM1466" s="46" t="n">
        <f aca="false">IF($A1466&lt;&gt;$A1467,1,0)</f>
        <v>0</v>
      </c>
      <c r="AN1466" s="47" t="str">
        <f aca="false">IF($AM1466=1,$A1466,"")</f>
        <v/>
      </c>
    </row>
    <row r="1467" customFormat="false" ht="15" hidden="false" customHeight="false" outlineLevel="0" collapsed="false">
      <c r="A1467" s="43" t="s">
        <v>157</v>
      </c>
      <c r="B1467" s="44" t="s">
        <v>159</v>
      </c>
      <c r="C1467" s="45" t="n">
        <v>46132</v>
      </c>
      <c r="D1467" s="46" t="n">
        <v>20260420</v>
      </c>
      <c r="E1467" s="47" t="s">
        <v>450</v>
      </c>
      <c r="F1467" s="48" t="n">
        <v>1739</v>
      </c>
      <c r="G1467" s="48" t="n">
        <v>1751</v>
      </c>
      <c r="H1467" s="48" t="n">
        <v>1736</v>
      </c>
      <c r="I1467" s="48" t="n">
        <v>1746</v>
      </c>
      <c r="J1467" s="48" t="n">
        <v>1746</v>
      </c>
      <c r="K1467" s="48" t="n">
        <v>1741</v>
      </c>
      <c r="L1467" s="48" t="n">
        <v>96142778</v>
      </c>
      <c r="M1467" s="48" t="n">
        <v>167865290388</v>
      </c>
      <c r="N1467" s="48" t="n">
        <v>3042</v>
      </c>
      <c r="O1467" s="48" t="n">
        <v>39776435</v>
      </c>
      <c r="P1467" s="48" t="n">
        <v>55283966</v>
      </c>
      <c r="Q1467" s="48" t="n">
        <v>1468</v>
      </c>
      <c r="R1467" s="48" t="n">
        <v>1164</v>
      </c>
      <c r="S1467" s="48" t="n">
        <v>56366343</v>
      </c>
      <c r="T1467" s="48" t="n">
        <v>40858812</v>
      </c>
      <c r="U1467" s="46" t="n">
        <f aca="false">IF($A1467=$A1466,$U1466+1,1)</f>
        <v>163</v>
      </c>
      <c r="V1467" s="48" t="n">
        <f aca="false">IF($U1467&gt;=MA_SHORT,AVERAGE(INDEX($I$1067:$I1467,402-MA_SHORT):$I1467),"")</f>
        <v>1786.95</v>
      </c>
      <c r="W1467" s="48" t="n">
        <f aca="false">IF($U1467&gt;=MA_MED,AVERAGE(INDEX($I$1067:$I1467,402-MA_MED):$I1467),"")</f>
        <v>1743.6</v>
      </c>
      <c r="X1467" s="48" t="n">
        <f aca="false">IF($U1467&gt;=MA_LONG1,AVERAGE(INDEX($I$1067:$I1467,402-MA_LONG1):$I1467),"")</f>
        <v>1594.76</v>
      </c>
      <c r="Y1467" s="48" t="str">
        <f aca="false">IF($U1467&gt;=MA_LONG2,AVERAGE(INDEX($I$1067:$I1467,402-MA_LONG2):$I1467),"")</f>
        <v/>
      </c>
      <c r="Z1467" s="48" t="n">
        <f aca="false">IF($U1467&gt;=MA_SHORT,AVERAGE(INDEX($L$1347:$L1467,122-MA_SHORT):$L1467),"")</f>
        <v>90041698.6</v>
      </c>
      <c r="AA1467" s="48" t="n">
        <f aca="false">IF($U1467=1,$G1467-$H1467,MAX($G1467-$H1467,ABS($G1467-$I1466),ABS($H1467-$I1466)))</f>
        <v>15</v>
      </c>
      <c r="AB1467" s="48" t="n">
        <f aca="false">IF($U1467&gt;=ATR_PER,AVERAGE(INDEX($AA$1347:$AA1467,122-ATR_PER):$AA1467),"")</f>
        <v>61.5714285714286</v>
      </c>
      <c r="AC1467" s="48" t="n">
        <f aca="false">$O1467-$P1467</f>
        <v>-15507531</v>
      </c>
      <c r="AD1467" s="48" t="n">
        <f aca="false">$AC1467*$I1467</f>
        <v>-27076149126</v>
      </c>
      <c r="AE1467" s="49" t="n">
        <f aca="false">IF($Q1467&gt;0,$O1467*$I1467/$Q1467/1000000,"")</f>
        <v>47.3090296389646</v>
      </c>
      <c r="AF1467" s="49" t="n">
        <f aca="false">IF($R1467&gt;0,$P1467*$I1467/$R1467/1000000,"")</f>
        <v>82.925949</v>
      </c>
      <c r="AG1467" s="50" t="n">
        <f aca="false">IF(AND(ISNUMBER($AE1467),ISNUMBER($AF1467),$AF1467&gt;0),$AE1467/$AF1467,"")</f>
        <v>0.570497295592777</v>
      </c>
      <c r="AH1467" s="48" t="n">
        <f aca="false">IF($U1467&gt;=5,SUM(INDEX($AD$1437:$AD1467,32-5):$AD1467),"")</f>
        <v>-6369092168</v>
      </c>
      <c r="AI1467" s="48" t="n">
        <f aca="false">IF($U1467&gt;=STRUCT_S,MAX(INDEX($G$1317:$G1467,152-STRUCT_S):$G1467),"")</f>
        <v>1893</v>
      </c>
      <c r="AJ1467" s="48" t="n">
        <f aca="false">IF($U1467&gt;=STRUCT_S,MIN(INDEX($H$1317:$H1467,152-STRUCT_S):$H1467),"")</f>
        <v>1704</v>
      </c>
      <c r="AK1467" s="48" t="n">
        <f aca="false">IF($U1467&gt;=STRUCT_L,MAX(INDEX($G$1217:$G1467,252-STRUCT_L):$G1467),"")</f>
        <v>1893</v>
      </c>
      <c r="AL1467" s="48" t="n">
        <f aca="false">IF($U1467&gt;=STRUCT_L,MIN(INDEX($H$1217:$H1467,252-STRUCT_L):$H1467),"")</f>
        <v>1442</v>
      </c>
      <c r="AM1467" s="46" t="n">
        <f aca="false">IF($A1467&lt;&gt;$A1468,1,0)</f>
        <v>0</v>
      </c>
      <c r="AN1467" s="47" t="str">
        <f aca="false">IF($AM1467=1,$A1467,"")</f>
        <v/>
      </c>
    </row>
    <row r="1468" customFormat="false" ht="15" hidden="false" customHeight="false" outlineLevel="0" collapsed="false">
      <c r="A1468" s="43" t="s">
        <v>157</v>
      </c>
      <c r="B1468" s="44" t="s">
        <v>159</v>
      </c>
      <c r="C1468" s="45" t="n">
        <v>46133</v>
      </c>
      <c r="D1468" s="46" t="n">
        <v>20260421</v>
      </c>
      <c r="E1468" s="47" t="s">
        <v>451</v>
      </c>
      <c r="F1468" s="48" t="n">
        <v>1711</v>
      </c>
      <c r="G1468" s="48" t="n">
        <v>1765</v>
      </c>
      <c r="H1468" s="48" t="n">
        <v>1655</v>
      </c>
      <c r="I1468" s="48" t="n">
        <v>1673</v>
      </c>
      <c r="J1468" s="48" t="n">
        <v>1689</v>
      </c>
      <c r="K1468" s="48" t="n">
        <v>1746</v>
      </c>
      <c r="L1468" s="48" t="n">
        <v>84884289</v>
      </c>
      <c r="M1468" s="48" t="n">
        <v>142011415497</v>
      </c>
      <c r="N1468" s="48" t="n">
        <v>2878</v>
      </c>
      <c r="O1468" s="48" t="n">
        <v>31624016</v>
      </c>
      <c r="P1468" s="48" t="n">
        <v>48474204</v>
      </c>
      <c r="Q1468" s="48" t="n">
        <v>1577</v>
      </c>
      <c r="R1468" s="48" t="n">
        <v>1295</v>
      </c>
      <c r="S1468" s="48" t="n">
        <v>53260273</v>
      </c>
      <c r="T1468" s="48" t="n">
        <v>36410085</v>
      </c>
      <c r="U1468" s="46" t="n">
        <f aca="false">IF($A1468=$A1467,$U1467+1,1)</f>
        <v>164</v>
      </c>
      <c r="V1468" s="48" t="n">
        <f aca="false">IF($U1468&gt;=MA_SHORT,AVERAGE(INDEX($I$1068:$I1468,402-MA_SHORT):$I1468),"")</f>
        <v>1778.65</v>
      </c>
      <c r="W1468" s="48" t="n">
        <f aca="false">IF($U1468&gt;=MA_MED,AVERAGE(INDEX($I$1068:$I1468,402-MA_MED):$I1468),"")</f>
        <v>1745.74</v>
      </c>
      <c r="X1468" s="48" t="n">
        <f aca="false">IF($U1468&gt;=MA_LONG1,AVERAGE(INDEX($I$1068:$I1468,402-MA_LONG1):$I1468),"")</f>
        <v>1596.1</v>
      </c>
      <c r="Y1468" s="48" t="str">
        <f aca="false">IF($U1468&gt;=MA_LONG2,AVERAGE(INDEX($I$1068:$I1468,402-MA_LONG2):$I1468),"")</f>
        <v/>
      </c>
      <c r="Z1468" s="48" t="n">
        <f aca="false">IF($U1468&gt;=MA_SHORT,AVERAGE(INDEX($L$1348:$L1468,122-MA_SHORT):$L1468),"")</f>
        <v>90523316.6</v>
      </c>
      <c r="AA1468" s="48" t="n">
        <f aca="false">IF($U1468=1,$G1468-$H1468,MAX($G1468-$H1468,ABS($G1468-$I1467),ABS($H1468-$I1467)))</f>
        <v>110</v>
      </c>
      <c r="AB1468" s="48" t="n">
        <f aca="false">IF($U1468&gt;=ATR_PER,AVERAGE(INDEX($AA$1348:$AA1468,122-ATR_PER):$AA1468),"")</f>
        <v>68.0714285714286</v>
      </c>
      <c r="AC1468" s="48" t="n">
        <f aca="false">$O1468-$P1468</f>
        <v>-16850188</v>
      </c>
      <c r="AD1468" s="48" t="n">
        <f aca="false">$AC1468*$I1468</f>
        <v>-28190364524</v>
      </c>
      <c r="AE1468" s="49" t="n">
        <f aca="false">IF($Q1468&gt;0,$O1468*$I1468/$Q1468/1000000,"")</f>
        <v>33.5491304806595</v>
      </c>
      <c r="AF1468" s="49" t="n">
        <f aca="false">IF($R1468&gt;0,$P1468*$I1468/$R1468/1000000,"")</f>
        <v>62.6234311135135</v>
      </c>
      <c r="AG1468" s="50" t="n">
        <f aca="false">IF(AND(ISNUMBER($AE1468),ISNUMBER($AF1468),$AF1468&gt;0),$AE1468/$AF1468,"")</f>
        <v>0.535728079476308</v>
      </c>
      <c r="AH1468" s="48" t="n">
        <f aca="false">IF($U1468&gt;=5,SUM(INDEX($AD$1438:$AD1468,32-5):$AD1468),"")</f>
        <v>-37689627632</v>
      </c>
      <c r="AI1468" s="48" t="n">
        <f aca="false">IF($U1468&gt;=STRUCT_S,MAX(INDEX($G$1318:$G1468,152-STRUCT_S):$G1468),"")</f>
        <v>1893</v>
      </c>
      <c r="AJ1468" s="48" t="n">
        <f aca="false">IF($U1468&gt;=STRUCT_S,MIN(INDEX($H$1318:$H1468,152-STRUCT_S):$H1468),"")</f>
        <v>1655</v>
      </c>
      <c r="AK1468" s="48" t="n">
        <f aca="false">IF($U1468&gt;=STRUCT_L,MAX(INDEX($G$1218:$G1468,252-STRUCT_L):$G1468),"")</f>
        <v>1893</v>
      </c>
      <c r="AL1468" s="48" t="n">
        <f aca="false">IF($U1468&gt;=STRUCT_L,MIN(INDEX($H$1218:$H1468,252-STRUCT_L):$H1468),"")</f>
        <v>1442</v>
      </c>
      <c r="AM1468" s="46" t="n">
        <f aca="false">IF($A1468&lt;&gt;$A1469,1,0)</f>
        <v>0</v>
      </c>
      <c r="AN1468" s="47" t="str">
        <f aca="false">IF($AM1468=1,$A1468,"")</f>
        <v/>
      </c>
    </row>
    <row r="1469" customFormat="false" ht="15" hidden="false" customHeight="false" outlineLevel="0" collapsed="false">
      <c r="A1469" s="43" t="s">
        <v>157</v>
      </c>
      <c r="B1469" s="44" t="s">
        <v>159</v>
      </c>
      <c r="C1469" s="45" t="n">
        <v>46134</v>
      </c>
      <c r="D1469" s="46" t="n">
        <v>20260422</v>
      </c>
      <c r="E1469" s="47" t="s">
        <v>452</v>
      </c>
      <c r="F1469" s="48" t="n">
        <v>1682</v>
      </c>
      <c r="G1469" s="48" t="n">
        <v>1696</v>
      </c>
      <c r="H1469" s="48" t="n">
        <v>1649</v>
      </c>
      <c r="I1469" s="48" t="n">
        <v>1672</v>
      </c>
      <c r="J1469" s="48" t="n">
        <v>1685</v>
      </c>
      <c r="K1469" s="48" t="n">
        <v>1673</v>
      </c>
      <c r="L1469" s="48" t="n">
        <v>68104165</v>
      </c>
      <c r="M1469" s="48" t="n">
        <v>113870163880</v>
      </c>
      <c r="N1469" s="48" t="n">
        <v>5503</v>
      </c>
      <c r="O1469" s="48" t="n">
        <v>39288044</v>
      </c>
      <c r="P1469" s="48" t="n">
        <v>27204286</v>
      </c>
      <c r="Q1469" s="48" t="n">
        <v>2005</v>
      </c>
      <c r="R1469" s="48" t="n">
        <v>2099</v>
      </c>
      <c r="S1469" s="48" t="n">
        <v>28816121</v>
      </c>
      <c r="T1469" s="48" t="n">
        <v>40899879</v>
      </c>
      <c r="U1469" s="46" t="n">
        <f aca="false">IF($A1469=$A1468,$U1468+1,1)</f>
        <v>165</v>
      </c>
      <c r="V1469" s="48" t="n">
        <f aca="false">IF($U1469&gt;=MA_SHORT,AVERAGE(INDEX($I$1069:$I1469,402-MA_SHORT):$I1469),"")</f>
        <v>1772.3</v>
      </c>
      <c r="W1469" s="48" t="n">
        <f aca="false">IF($U1469&gt;=MA_MED,AVERAGE(INDEX($I$1069:$I1469,402-MA_MED):$I1469),"")</f>
        <v>1746.96</v>
      </c>
      <c r="X1469" s="48" t="n">
        <f aca="false">IF($U1469&gt;=MA_LONG1,AVERAGE(INDEX($I$1069:$I1469,402-MA_LONG1):$I1469),"")</f>
        <v>1597.86</v>
      </c>
      <c r="Y1469" s="48" t="str">
        <f aca="false">IF($U1469&gt;=MA_LONG2,AVERAGE(INDEX($I$1069:$I1469,402-MA_LONG2):$I1469),"")</f>
        <v/>
      </c>
      <c r="Z1469" s="48" t="n">
        <f aca="false">IF($U1469&gt;=MA_SHORT,AVERAGE(INDEX($L$1349:$L1469,122-MA_SHORT):$L1469),"")</f>
        <v>89694877.95</v>
      </c>
      <c r="AA1469" s="48" t="n">
        <f aca="false">IF($U1469=1,$G1469-$H1469,MAX($G1469-$H1469,ABS($G1469-$I1468),ABS($H1469-$I1468)))</f>
        <v>47</v>
      </c>
      <c r="AB1469" s="48" t="n">
        <f aca="false">IF($U1469&gt;=ATR_PER,AVERAGE(INDEX($AA$1349:$AA1469,122-ATR_PER):$AA1469),"")</f>
        <v>68.6428571428571</v>
      </c>
      <c r="AC1469" s="48" t="n">
        <f aca="false">$O1469-$P1469</f>
        <v>12083758</v>
      </c>
      <c r="AD1469" s="48" t="n">
        <f aca="false">$AC1469*$I1469</f>
        <v>20204043376</v>
      </c>
      <c r="AE1469" s="49" t="n">
        <f aca="false">IF($Q1469&gt;0,$O1469*$I1469/$Q1469/1000000,"")</f>
        <v>32.7628975401496</v>
      </c>
      <c r="AF1469" s="49" t="n">
        <f aca="false">IF($R1469&gt;0,$P1469*$I1469/$R1469/1000000,"")</f>
        <v>21.6701125259647</v>
      </c>
      <c r="AG1469" s="50" t="n">
        <f aca="false">IF(AND(ISNUMBER($AE1469),ISNUMBER($AF1469),$AF1469&gt;0),$AE1469/$AF1469,"")</f>
        <v>1.51189328162896</v>
      </c>
      <c r="AH1469" s="48" t="n">
        <f aca="false">IF($U1469&gt;=5,SUM(INDEX($AD$1439:$AD1469,32-5):$AD1469),"")</f>
        <v>-36683661212</v>
      </c>
      <c r="AI1469" s="48" t="n">
        <f aca="false">IF($U1469&gt;=STRUCT_S,MAX(INDEX($G$1319:$G1469,152-STRUCT_S):$G1469),"")</f>
        <v>1893</v>
      </c>
      <c r="AJ1469" s="48" t="n">
        <f aca="false">IF($U1469&gt;=STRUCT_S,MIN(INDEX($H$1319:$H1469,152-STRUCT_S):$H1469),"")</f>
        <v>1649</v>
      </c>
      <c r="AK1469" s="48" t="n">
        <f aca="false">IF($U1469&gt;=STRUCT_L,MAX(INDEX($G$1219:$G1469,252-STRUCT_L):$G1469),"")</f>
        <v>1893</v>
      </c>
      <c r="AL1469" s="48" t="n">
        <f aca="false">IF($U1469&gt;=STRUCT_L,MIN(INDEX($H$1219:$H1469,252-STRUCT_L):$H1469),"")</f>
        <v>1442</v>
      </c>
      <c r="AM1469" s="46" t="n">
        <f aca="false">IF($A1469&lt;&gt;$A1470,1,0)</f>
        <v>0</v>
      </c>
      <c r="AN1469" s="47" t="str">
        <f aca="false">IF($AM1469=1,$A1469,"")</f>
        <v/>
      </c>
    </row>
    <row r="1470" customFormat="false" ht="15" hidden="false" customHeight="false" outlineLevel="0" collapsed="false">
      <c r="A1470" s="43" t="s">
        <v>157</v>
      </c>
      <c r="B1470" s="44" t="s">
        <v>159</v>
      </c>
      <c r="C1470" s="45" t="n">
        <v>46137</v>
      </c>
      <c r="D1470" s="46" t="n">
        <v>20260425</v>
      </c>
      <c r="E1470" s="47" t="s">
        <v>453</v>
      </c>
      <c r="F1470" s="48" t="n">
        <v>1647</v>
      </c>
      <c r="G1470" s="48" t="n">
        <v>1680</v>
      </c>
      <c r="H1470" s="48" t="n">
        <v>1603</v>
      </c>
      <c r="I1470" s="48" t="n">
        <v>1610</v>
      </c>
      <c r="J1470" s="48" t="n">
        <v>1609</v>
      </c>
      <c r="K1470" s="48" t="n">
        <v>1672</v>
      </c>
      <c r="L1470" s="48" t="n">
        <v>84047598</v>
      </c>
      <c r="M1470" s="48" t="n">
        <v>135316632780</v>
      </c>
      <c r="N1470" s="48" t="n">
        <v>2181</v>
      </c>
      <c r="O1470" s="48" t="n">
        <v>31931646</v>
      </c>
      <c r="P1470" s="48" t="n">
        <v>54584021</v>
      </c>
      <c r="Q1470" s="48" t="n">
        <v>936</v>
      </c>
      <c r="R1470" s="48" t="n">
        <v>797</v>
      </c>
      <c r="S1470" s="48" t="n">
        <v>52115952</v>
      </c>
      <c r="T1470" s="48" t="n">
        <v>29463577</v>
      </c>
      <c r="U1470" s="46" t="n">
        <f aca="false">IF($A1470=$A1469,$U1469+1,1)</f>
        <v>166</v>
      </c>
      <c r="V1470" s="48" t="n">
        <f aca="false">IF($U1470&gt;=MA_SHORT,AVERAGE(INDEX($I$1070:$I1470,402-MA_SHORT):$I1470),"")</f>
        <v>1764.85</v>
      </c>
      <c r="W1470" s="48" t="n">
        <f aca="false">IF($U1470&gt;=MA_MED,AVERAGE(INDEX($I$1070:$I1470,402-MA_MED):$I1470),"")</f>
        <v>1746.9</v>
      </c>
      <c r="X1470" s="48" t="n">
        <f aca="false">IF($U1470&gt;=MA_LONG1,AVERAGE(INDEX($I$1070:$I1470,402-MA_LONG1):$I1470),"")</f>
        <v>1599.13</v>
      </c>
      <c r="Y1470" s="48" t="str">
        <f aca="false">IF($U1470&gt;=MA_LONG2,AVERAGE(INDEX($I$1070:$I1470,402-MA_LONG2):$I1470),"")</f>
        <v/>
      </c>
      <c r="Z1470" s="48" t="n">
        <f aca="false">IF($U1470&gt;=MA_SHORT,AVERAGE(INDEX($L$1350:$L1470,122-MA_SHORT):$L1470),"")</f>
        <v>90051561.55</v>
      </c>
      <c r="AA1470" s="48" t="n">
        <f aca="false">IF($U1470=1,$G1470-$H1470,MAX($G1470-$H1470,ABS($G1470-$I1469),ABS($H1470-$I1469)))</f>
        <v>77</v>
      </c>
      <c r="AB1470" s="48" t="n">
        <f aca="false">IF($U1470&gt;=ATR_PER,AVERAGE(INDEX($AA$1350:$AA1470,122-ATR_PER):$AA1470),"")</f>
        <v>70.2857142857143</v>
      </c>
      <c r="AC1470" s="48" t="n">
        <f aca="false">$O1470-$P1470</f>
        <v>-22652375</v>
      </c>
      <c r="AD1470" s="48" t="n">
        <f aca="false">$AC1470*$I1470</f>
        <v>-36470323750</v>
      </c>
      <c r="AE1470" s="49" t="n">
        <f aca="false">IF($Q1470&gt;0,$O1470*$I1470/$Q1470/1000000,"")</f>
        <v>54.9251603205128</v>
      </c>
      <c r="AF1470" s="49" t="n">
        <f aca="false">IF($R1470&gt;0,$P1470*$I1470/$R1470/1000000,"")</f>
        <v>110.263831631117</v>
      </c>
      <c r="AG1470" s="50" t="n">
        <f aca="false">IF(AND(ISNUMBER($AE1470),ISNUMBER($AF1470),$AF1470&gt;0),$AE1470/$AF1470,"")</f>
        <v>0.498124901955727</v>
      </c>
      <c r="AH1470" s="48" t="n">
        <f aca="false">IF($U1470&gt;=5,SUM(INDEX($AD$1440:$AD1470,32-5):$AD1470),"")</f>
        <v>-62672336652</v>
      </c>
      <c r="AI1470" s="48" t="n">
        <f aca="false">IF($U1470&gt;=STRUCT_S,MAX(INDEX($G$1320:$G1470,152-STRUCT_S):$G1470),"")</f>
        <v>1893</v>
      </c>
      <c r="AJ1470" s="48" t="n">
        <f aca="false">IF($U1470&gt;=STRUCT_S,MIN(INDEX($H$1320:$H1470,152-STRUCT_S):$H1470),"")</f>
        <v>1603</v>
      </c>
      <c r="AK1470" s="48" t="n">
        <f aca="false">IF($U1470&gt;=STRUCT_L,MAX(INDEX($G$1220:$G1470,252-STRUCT_L):$G1470),"")</f>
        <v>1893</v>
      </c>
      <c r="AL1470" s="48" t="n">
        <f aca="false">IF($U1470&gt;=STRUCT_L,MIN(INDEX($H$1220:$H1470,252-STRUCT_L):$H1470),"")</f>
        <v>1442</v>
      </c>
      <c r="AM1470" s="46" t="n">
        <f aca="false">IF($A1470&lt;&gt;$A1471,1,0)</f>
        <v>0</v>
      </c>
      <c r="AN1470" s="47" t="str">
        <f aca="false">IF($AM1470=1,$A1470,"")</f>
        <v/>
      </c>
    </row>
    <row r="1471" customFormat="false" ht="15" hidden="false" customHeight="false" outlineLevel="0" collapsed="false">
      <c r="A1471" s="43" t="s">
        <v>157</v>
      </c>
      <c r="B1471" s="44" t="s">
        <v>159</v>
      </c>
      <c r="C1471" s="45" t="n">
        <v>46138</v>
      </c>
      <c r="D1471" s="46" t="n">
        <v>20260426</v>
      </c>
      <c r="E1471" s="47" t="s">
        <v>454</v>
      </c>
      <c r="F1471" s="48" t="n">
        <v>1583</v>
      </c>
      <c r="G1471" s="48" t="n">
        <v>1708</v>
      </c>
      <c r="H1471" s="48" t="n">
        <v>1582</v>
      </c>
      <c r="I1471" s="48" t="n">
        <v>1679</v>
      </c>
      <c r="J1471" s="48" t="n">
        <v>1601</v>
      </c>
      <c r="K1471" s="48" t="n">
        <v>1610</v>
      </c>
      <c r="L1471" s="48" t="n">
        <v>92480112</v>
      </c>
      <c r="M1471" s="48" t="n">
        <v>155274108048</v>
      </c>
      <c r="N1471" s="48" t="n">
        <v>4908</v>
      </c>
      <c r="O1471" s="48" t="n">
        <v>57351668</v>
      </c>
      <c r="P1471" s="48" t="n">
        <v>39356446</v>
      </c>
      <c r="Q1471" s="48" t="n">
        <v>1608</v>
      </c>
      <c r="R1471" s="48" t="n">
        <v>2638</v>
      </c>
      <c r="S1471" s="48" t="n">
        <v>35128444</v>
      </c>
      <c r="T1471" s="48" t="n">
        <v>53123666</v>
      </c>
      <c r="U1471" s="46" t="n">
        <f aca="false">IF($A1471=$A1470,$U1470+1,1)</f>
        <v>167</v>
      </c>
      <c r="V1471" s="48" t="n">
        <f aca="false">IF($U1471&gt;=MA_SHORT,AVERAGE(INDEX($I$1071:$I1471,402-MA_SHORT):$I1471),"")</f>
        <v>1759.45</v>
      </c>
      <c r="W1471" s="48" t="n">
        <f aca="false">IF($U1471&gt;=MA_MED,AVERAGE(INDEX($I$1071:$I1471,402-MA_MED):$I1471),"")</f>
        <v>1747.48</v>
      </c>
      <c r="X1471" s="48" t="n">
        <f aca="false">IF($U1471&gt;=MA_LONG1,AVERAGE(INDEX($I$1071:$I1471,402-MA_LONG1):$I1471),"")</f>
        <v>1601.01</v>
      </c>
      <c r="Y1471" s="48" t="str">
        <f aca="false">IF($U1471&gt;=MA_LONG2,AVERAGE(INDEX($I$1071:$I1471,402-MA_LONG2):$I1471),"")</f>
        <v/>
      </c>
      <c r="Z1471" s="48" t="n">
        <f aca="false">IF($U1471&gt;=MA_SHORT,AVERAGE(INDEX($L$1351:$L1471,122-MA_SHORT):$L1471),"")</f>
        <v>89707329.5</v>
      </c>
      <c r="AA1471" s="48" t="n">
        <f aca="false">IF($U1471=1,$G1471-$H1471,MAX($G1471-$H1471,ABS($G1471-$I1470),ABS($H1471-$I1470)))</f>
        <v>126</v>
      </c>
      <c r="AB1471" s="48" t="n">
        <f aca="false">IF($U1471&gt;=ATR_PER,AVERAGE(INDEX($AA$1351:$AA1471,122-ATR_PER):$AA1471),"")</f>
        <v>71.8571428571429</v>
      </c>
      <c r="AC1471" s="48" t="n">
        <f aca="false">$O1471-$P1471</f>
        <v>17995222</v>
      </c>
      <c r="AD1471" s="48" t="n">
        <f aca="false">$AC1471*$I1471</f>
        <v>30213977738</v>
      </c>
      <c r="AE1471" s="49" t="n">
        <f aca="false">IF($Q1471&gt;0,$O1471*$I1471/$Q1471/1000000,"")</f>
        <v>59.8839866741294</v>
      </c>
      <c r="AF1471" s="49" t="n">
        <f aca="false">IF($R1471&gt;0,$P1471*$I1471/$R1471/1000000,"")</f>
        <v>25.0490799219105</v>
      </c>
      <c r="AG1471" s="50" t="n">
        <f aca="false">IF(AND(ISNUMBER($AE1471),ISNUMBER($AF1471),$AF1471&gt;0),$AE1471/$AF1471,"")</f>
        <v>2.39066611870836</v>
      </c>
      <c r="AH1471" s="48" t="n">
        <f aca="false">IF($U1471&gt;=5,SUM(INDEX($AD$1441:$AD1471,32-5):$AD1471),"")</f>
        <v>-41318816286</v>
      </c>
      <c r="AI1471" s="48" t="n">
        <f aca="false">IF($U1471&gt;=STRUCT_S,MAX(INDEX($G$1321:$G1471,152-STRUCT_S):$G1471),"")</f>
        <v>1893</v>
      </c>
      <c r="AJ1471" s="48" t="n">
        <f aca="false">IF($U1471&gt;=STRUCT_S,MIN(INDEX($H$1321:$H1471,152-STRUCT_S):$H1471),"")</f>
        <v>1582</v>
      </c>
      <c r="AK1471" s="48" t="n">
        <f aca="false">IF($U1471&gt;=STRUCT_L,MAX(INDEX($G$1221:$G1471,252-STRUCT_L):$G1471),"")</f>
        <v>1893</v>
      </c>
      <c r="AL1471" s="48" t="n">
        <f aca="false">IF($U1471&gt;=STRUCT_L,MIN(INDEX($H$1221:$H1471,252-STRUCT_L):$H1471),"")</f>
        <v>1442</v>
      </c>
      <c r="AM1471" s="46" t="n">
        <f aca="false">IF($A1471&lt;&gt;$A1472,1,0)</f>
        <v>0</v>
      </c>
      <c r="AN1471" s="47" t="str">
        <f aca="false">IF($AM1471=1,$A1471,"")</f>
        <v/>
      </c>
    </row>
    <row r="1472" customFormat="false" ht="15" hidden="false" customHeight="false" outlineLevel="0" collapsed="false">
      <c r="A1472" s="43" t="s">
        <v>157</v>
      </c>
      <c r="B1472" s="44" t="s">
        <v>159</v>
      </c>
      <c r="C1472" s="45" t="n">
        <v>46139</v>
      </c>
      <c r="D1472" s="46" t="n">
        <v>20260427</v>
      </c>
      <c r="E1472" s="47" t="s">
        <v>455</v>
      </c>
      <c r="F1472" s="48" t="n">
        <v>1679</v>
      </c>
      <c r="G1472" s="48" t="n">
        <v>1696</v>
      </c>
      <c r="H1472" s="48" t="n">
        <v>1651</v>
      </c>
      <c r="I1472" s="48" t="n">
        <v>1668</v>
      </c>
      <c r="J1472" s="48" t="n">
        <v>1652</v>
      </c>
      <c r="K1472" s="48" t="n">
        <v>1679</v>
      </c>
      <c r="L1472" s="48" t="n">
        <v>70528339</v>
      </c>
      <c r="M1472" s="48" t="n">
        <v>117641269452</v>
      </c>
      <c r="N1472" s="48" t="n">
        <v>3315</v>
      </c>
      <c r="O1472" s="48" t="n">
        <v>32587038</v>
      </c>
      <c r="P1472" s="48" t="n">
        <v>41640393</v>
      </c>
      <c r="Q1472" s="48" t="n">
        <v>1500</v>
      </c>
      <c r="R1472" s="48" t="n">
        <v>1058</v>
      </c>
      <c r="S1472" s="48" t="n">
        <v>37941301</v>
      </c>
      <c r="T1472" s="48" t="n">
        <v>28887946</v>
      </c>
      <c r="U1472" s="46" t="n">
        <f aca="false">IF($A1472=$A1471,$U1471+1,1)</f>
        <v>168</v>
      </c>
      <c r="V1472" s="48" t="n">
        <f aca="false">IF($U1472&gt;=MA_SHORT,AVERAGE(INDEX($I$1072:$I1472,402-MA_SHORT):$I1472),"")</f>
        <v>1754.1</v>
      </c>
      <c r="W1472" s="48" t="n">
        <f aca="false">IF($U1472&gt;=MA_MED,AVERAGE(INDEX($I$1072:$I1472,402-MA_MED):$I1472),"")</f>
        <v>1747.02</v>
      </c>
      <c r="X1472" s="48" t="n">
        <f aca="false">IF($U1472&gt;=MA_LONG1,AVERAGE(INDEX($I$1072:$I1472,402-MA_LONG1):$I1472),"")</f>
        <v>1602.83</v>
      </c>
      <c r="Y1472" s="48" t="str">
        <f aca="false">IF($U1472&gt;=MA_LONG2,AVERAGE(INDEX($I$1072:$I1472,402-MA_LONG2):$I1472),"")</f>
        <v/>
      </c>
      <c r="Z1472" s="48" t="n">
        <f aca="false">IF($U1472&gt;=MA_SHORT,AVERAGE(INDEX($L$1352:$L1472,122-MA_SHORT):$L1472),"")</f>
        <v>87501892.8</v>
      </c>
      <c r="AA1472" s="48" t="n">
        <f aca="false">IF($U1472=1,$G1472-$H1472,MAX($G1472-$H1472,ABS($G1472-$I1471),ABS($H1472-$I1471)))</f>
        <v>45</v>
      </c>
      <c r="AB1472" s="48" t="n">
        <f aca="false">IF($U1472&gt;=ATR_PER,AVERAGE(INDEX($AA$1352:$AA1472,122-ATR_PER):$AA1472),"")</f>
        <v>73.2857142857143</v>
      </c>
      <c r="AC1472" s="48" t="n">
        <f aca="false">$O1472-$P1472</f>
        <v>-9053355</v>
      </c>
      <c r="AD1472" s="48" t="n">
        <f aca="false">$AC1472*$I1472</f>
        <v>-15100996140</v>
      </c>
      <c r="AE1472" s="49" t="n">
        <f aca="false">IF($Q1472&gt;0,$O1472*$I1472/$Q1472/1000000,"")</f>
        <v>36.236786256</v>
      </c>
      <c r="AF1472" s="49" t="n">
        <f aca="false">IF($R1472&gt;0,$P1472*$I1472/$R1472/1000000,"")</f>
        <v>65.6485590964083</v>
      </c>
      <c r="AG1472" s="50" t="n">
        <f aca="false">IF(AND(ISNUMBER($AE1472),ISNUMBER($AF1472),$AF1472&gt;0),$AE1472/$AF1472,"")</f>
        <v>0.55198144109735</v>
      </c>
      <c r="AH1472" s="48" t="n">
        <f aca="false">IF($U1472&gt;=5,SUM(INDEX($AD$1442:$AD1472,32-5):$AD1472),"")</f>
        <v>-29343663300</v>
      </c>
      <c r="AI1472" s="48" t="n">
        <f aca="false">IF($U1472&gt;=STRUCT_S,MAX(INDEX($G$1322:$G1472,152-STRUCT_S):$G1472),"")</f>
        <v>1893</v>
      </c>
      <c r="AJ1472" s="48" t="n">
        <f aca="false">IF($U1472&gt;=STRUCT_S,MIN(INDEX($H$1322:$H1472,152-STRUCT_S):$H1472),"")</f>
        <v>1582</v>
      </c>
      <c r="AK1472" s="48" t="n">
        <f aca="false">IF($U1472&gt;=STRUCT_L,MAX(INDEX($G$1222:$G1472,252-STRUCT_L):$G1472),"")</f>
        <v>1893</v>
      </c>
      <c r="AL1472" s="48" t="n">
        <f aca="false">IF($U1472&gt;=STRUCT_L,MIN(INDEX($H$1222:$H1472,252-STRUCT_L):$H1472),"")</f>
        <v>1442</v>
      </c>
      <c r="AM1472" s="46" t="n">
        <f aca="false">IF($A1472&lt;&gt;$A1473,1,0)</f>
        <v>0</v>
      </c>
      <c r="AN1472" s="47" t="str">
        <f aca="false">IF($AM1472=1,$A1472,"")</f>
        <v/>
      </c>
    </row>
    <row r="1473" customFormat="false" ht="15" hidden="false" customHeight="false" outlineLevel="0" collapsed="false">
      <c r="A1473" s="43" t="s">
        <v>157</v>
      </c>
      <c r="B1473" s="44" t="s">
        <v>159</v>
      </c>
      <c r="C1473" s="45" t="n">
        <v>46140</v>
      </c>
      <c r="D1473" s="46" t="n">
        <v>20260428</v>
      </c>
      <c r="E1473" s="47" t="s">
        <v>456</v>
      </c>
      <c r="F1473" s="48" t="n">
        <v>1669</v>
      </c>
      <c r="G1473" s="48" t="n">
        <v>1690</v>
      </c>
      <c r="H1473" s="48" t="n">
        <v>1630</v>
      </c>
      <c r="I1473" s="48" t="n">
        <v>1651</v>
      </c>
      <c r="J1473" s="48" t="n">
        <v>1647</v>
      </c>
      <c r="K1473" s="48" t="n">
        <v>1668</v>
      </c>
      <c r="L1473" s="48" t="n">
        <v>97425168</v>
      </c>
      <c r="M1473" s="48" t="n">
        <v>160848952368</v>
      </c>
      <c r="N1473" s="48" t="n">
        <v>3439</v>
      </c>
      <c r="O1473" s="48" t="n">
        <v>47126465</v>
      </c>
      <c r="P1473" s="48" t="n">
        <v>48928652</v>
      </c>
      <c r="Q1473" s="48" t="n">
        <v>1828</v>
      </c>
      <c r="R1473" s="48" t="n">
        <v>1209</v>
      </c>
      <c r="S1473" s="48" t="n">
        <v>50298703</v>
      </c>
      <c r="T1473" s="48" t="n">
        <v>48496516</v>
      </c>
      <c r="U1473" s="46" t="n">
        <f aca="false">IF($A1473=$A1472,$U1472+1,1)</f>
        <v>169</v>
      </c>
      <c r="V1473" s="48" t="n">
        <f aca="false">IF($U1473&gt;=MA_SHORT,AVERAGE(INDEX($I$1073:$I1473,402-MA_SHORT):$I1473),"")</f>
        <v>1745.5</v>
      </c>
      <c r="W1473" s="48" t="n">
        <f aca="false">IF($U1473&gt;=MA_MED,AVERAGE(INDEX($I$1073:$I1473,402-MA_MED):$I1473),"")</f>
        <v>1745.96</v>
      </c>
      <c r="X1473" s="48" t="n">
        <f aca="false">IF($U1473&gt;=MA_LONG1,AVERAGE(INDEX($I$1073:$I1473,402-MA_LONG1):$I1473),"")</f>
        <v>1604.41</v>
      </c>
      <c r="Y1473" s="48" t="str">
        <f aca="false">IF($U1473&gt;=MA_LONG2,AVERAGE(INDEX($I$1073:$I1473,402-MA_LONG2):$I1473),"")</f>
        <v/>
      </c>
      <c r="Z1473" s="48" t="n">
        <f aca="false">IF($U1473&gt;=MA_SHORT,AVERAGE(INDEX($L$1353:$L1473,122-MA_SHORT):$L1473),"")</f>
        <v>88429579</v>
      </c>
      <c r="AA1473" s="48" t="n">
        <f aca="false">IF($U1473=1,$G1473-$H1473,MAX($G1473-$H1473,ABS($G1473-$I1472),ABS($H1473-$I1472)))</f>
        <v>60</v>
      </c>
      <c r="AB1473" s="48" t="n">
        <f aca="false">IF($U1473&gt;=ATR_PER,AVERAGE(INDEX($AA$1353:$AA1473,122-ATR_PER):$AA1473),"")</f>
        <v>73.1428571428571</v>
      </c>
      <c r="AC1473" s="48" t="n">
        <f aca="false">$O1473-$P1473</f>
        <v>-1802187</v>
      </c>
      <c r="AD1473" s="48" t="n">
        <f aca="false">$AC1473*$I1473</f>
        <v>-2975410737</v>
      </c>
      <c r="AE1473" s="49" t="n">
        <f aca="false">IF($Q1473&gt;0,$O1473*$I1473/$Q1473/1000000,"")</f>
        <v>42.5633444830416</v>
      </c>
      <c r="AF1473" s="49" t="n">
        <f aca="false">IF($R1473&gt;0,$P1473*$I1473/$R1473/1000000,"")</f>
        <v>66.8165462795699</v>
      </c>
      <c r="AG1473" s="50" t="n">
        <f aca="false">IF(AND(ISNUMBER($AE1473),ISNUMBER($AF1473),$AF1473&gt;0),$AE1473/$AF1473,"")</f>
        <v>0.6370180270161</v>
      </c>
      <c r="AH1473" s="48" t="n">
        <f aca="false">IF($U1473&gt;=5,SUM(INDEX($AD$1443:$AD1473,32-5):$AD1473),"")</f>
        <v>-4128709513</v>
      </c>
      <c r="AI1473" s="48" t="n">
        <f aca="false">IF($U1473&gt;=STRUCT_S,MAX(INDEX($G$1323:$G1473,152-STRUCT_S):$G1473),"")</f>
        <v>1893</v>
      </c>
      <c r="AJ1473" s="48" t="n">
        <f aca="false">IF($U1473&gt;=STRUCT_S,MIN(INDEX($H$1323:$H1473,152-STRUCT_S):$H1473),"")</f>
        <v>1582</v>
      </c>
      <c r="AK1473" s="48" t="n">
        <f aca="false">IF($U1473&gt;=STRUCT_L,MAX(INDEX($G$1223:$G1473,252-STRUCT_L):$G1473),"")</f>
        <v>1893</v>
      </c>
      <c r="AL1473" s="48" t="n">
        <f aca="false">IF($U1473&gt;=STRUCT_L,MIN(INDEX($H$1223:$H1473,252-STRUCT_L):$H1473),"")</f>
        <v>1442</v>
      </c>
      <c r="AM1473" s="46" t="n">
        <f aca="false">IF($A1473&lt;&gt;$A1474,1,0)</f>
        <v>0</v>
      </c>
      <c r="AN1473" s="47" t="str">
        <f aca="false">IF($AM1473=1,$A1473,"")</f>
        <v/>
      </c>
    </row>
    <row r="1474" customFormat="false" ht="15" hidden="false" customHeight="false" outlineLevel="0" collapsed="false">
      <c r="A1474" s="43" t="s">
        <v>157</v>
      </c>
      <c r="B1474" s="44" t="s">
        <v>159</v>
      </c>
      <c r="C1474" s="45" t="n">
        <v>46141</v>
      </c>
      <c r="D1474" s="46" t="n">
        <v>20260429</v>
      </c>
      <c r="E1474" s="47" t="s">
        <v>457</v>
      </c>
      <c r="F1474" s="48" t="n">
        <v>1651</v>
      </c>
      <c r="G1474" s="48" t="n">
        <v>1687</v>
      </c>
      <c r="H1474" s="48" t="n">
        <v>1588</v>
      </c>
      <c r="I1474" s="48" t="n">
        <v>1624</v>
      </c>
      <c r="J1474" s="48" t="n">
        <v>1601</v>
      </c>
      <c r="K1474" s="48" t="n">
        <v>1651</v>
      </c>
      <c r="L1474" s="48" t="n">
        <v>74519451</v>
      </c>
      <c r="M1474" s="48" t="n">
        <v>121019588424</v>
      </c>
      <c r="N1474" s="48" t="n">
        <v>4937</v>
      </c>
      <c r="O1474" s="48" t="n">
        <v>34247190</v>
      </c>
      <c r="P1474" s="48" t="n">
        <v>40507584</v>
      </c>
      <c r="Q1474" s="48" t="n">
        <v>2235</v>
      </c>
      <c r="R1474" s="48" t="n">
        <v>2441</v>
      </c>
      <c r="S1474" s="48" t="n">
        <v>40272261</v>
      </c>
      <c r="T1474" s="48" t="n">
        <v>34011867</v>
      </c>
      <c r="U1474" s="46" t="n">
        <f aca="false">IF($A1474=$A1473,$U1473+1,1)</f>
        <v>170</v>
      </c>
      <c r="V1474" s="48" t="n">
        <f aca="false">IF($U1474&gt;=MA_SHORT,AVERAGE(INDEX($I$1074:$I1474,402-MA_SHORT):$I1474),"")</f>
        <v>1735.8</v>
      </c>
      <c r="W1474" s="48" t="n">
        <f aca="false">IF($U1474&gt;=MA_MED,AVERAGE(INDEX($I$1074:$I1474,402-MA_MED):$I1474),"")</f>
        <v>1743.7</v>
      </c>
      <c r="X1474" s="48" t="n">
        <f aca="false">IF($U1474&gt;=MA_LONG1,AVERAGE(INDEX($I$1074:$I1474,402-MA_LONG1):$I1474),"")</f>
        <v>1606.03</v>
      </c>
      <c r="Y1474" s="48" t="str">
        <f aca="false">IF($U1474&gt;=MA_LONG2,AVERAGE(INDEX($I$1074:$I1474,402-MA_LONG2):$I1474),"")</f>
        <v/>
      </c>
      <c r="Z1474" s="48" t="n">
        <f aca="false">IF($U1474&gt;=MA_SHORT,AVERAGE(INDEX($L$1354:$L1474,122-MA_SHORT):$L1474),"")</f>
        <v>87681291.7</v>
      </c>
      <c r="AA1474" s="48" t="n">
        <f aca="false">IF($U1474=1,$G1474-$H1474,MAX($G1474-$H1474,ABS($G1474-$I1473),ABS($H1474-$I1473)))</f>
        <v>99</v>
      </c>
      <c r="AB1474" s="48" t="n">
        <f aca="false">IF($U1474&gt;=ATR_PER,AVERAGE(INDEX($AA$1354:$AA1474,122-ATR_PER):$AA1474),"")</f>
        <v>69</v>
      </c>
      <c r="AC1474" s="48" t="n">
        <f aca="false">$O1474-$P1474</f>
        <v>-6260394</v>
      </c>
      <c r="AD1474" s="48" t="n">
        <f aca="false">$AC1474*$I1474</f>
        <v>-10166879856</v>
      </c>
      <c r="AE1474" s="49" t="n">
        <f aca="false">IF($Q1474&gt;0,$O1474*$I1474/$Q1474/1000000,"")</f>
        <v>24.8847590872483</v>
      </c>
      <c r="AF1474" s="49" t="n">
        <f aca="false">IF($R1474&gt;0,$P1474*$I1474/$R1474/1000000,"")</f>
        <v>26.949740440803</v>
      </c>
      <c r="AG1474" s="50" t="n">
        <f aca="false">IF(AND(ISNUMBER($AE1474),ISNUMBER($AF1474),$AF1474&gt;0),$AE1474/$AF1474,"")</f>
        <v>0.923376577296152</v>
      </c>
      <c r="AH1474" s="48" t="n">
        <f aca="false">IF($U1474&gt;=5,SUM(INDEX($AD$1444:$AD1474,32-5):$AD1474),"")</f>
        <v>-34499632745</v>
      </c>
      <c r="AI1474" s="48" t="n">
        <f aca="false">IF($U1474&gt;=STRUCT_S,MAX(INDEX($G$1324:$G1474,152-STRUCT_S):$G1474),"")</f>
        <v>1893</v>
      </c>
      <c r="AJ1474" s="48" t="n">
        <f aca="false">IF($U1474&gt;=STRUCT_S,MIN(INDEX($H$1324:$H1474,152-STRUCT_S):$H1474),"")</f>
        <v>1582</v>
      </c>
      <c r="AK1474" s="48" t="n">
        <f aca="false">IF($U1474&gt;=STRUCT_L,MAX(INDEX($G$1224:$G1474,252-STRUCT_L):$G1474),"")</f>
        <v>1893</v>
      </c>
      <c r="AL1474" s="48" t="n">
        <f aca="false">IF($U1474&gt;=STRUCT_L,MIN(INDEX($H$1224:$H1474,252-STRUCT_L):$H1474),"")</f>
        <v>1442</v>
      </c>
      <c r="AM1474" s="46" t="n">
        <f aca="false">IF($A1474&lt;&gt;$A1475,1,0)</f>
        <v>0</v>
      </c>
      <c r="AN1474" s="47" t="str">
        <f aca="false">IF($AM1474=1,$A1474,"")</f>
        <v/>
      </c>
    </row>
    <row r="1475" customFormat="false" ht="15" hidden="false" customHeight="false" outlineLevel="0" collapsed="false">
      <c r="A1475" s="43" t="s">
        <v>157</v>
      </c>
      <c r="B1475" s="44" t="s">
        <v>159</v>
      </c>
      <c r="C1475" s="45" t="n">
        <v>46144</v>
      </c>
      <c r="D1475" s="46" t="n">
        <v>20260502</v>
      </c>
      <c r="E1475" s="47" t="s">
        <v>458</v>
      </c>
      <c r="F1475" s="48" t="n">
        <v>1620</v>
      </c>
      <c r="G1475" s="48" t="n">
        <v>1661</v>
      </c>
      <c r="H1475" s="48" t="n">
        <v>1618</v>
      </c>
      <c r="I1475" s="48" t="n">
        <v>1655</v>
      </c>
      <c r="J1475" s="48" t="n">
        <v>1641</v>
      </c>
      <c r="K1475" s="48" t="n">
        <v>1624</v>
      </c>
      <c r="L1475" s="48" t="n">
        <v>231232302</v>
      </c>
      <c r="M1475" s="48" t="n">
        <v>382689459810</v>
      </c>
      <c r="N1475" s="48" t="n">
        <v>10323</v>
      </c>
      <c r="O1475" s="48" t="n">
        <v>131763839</v>
      </c>
      <c r="P1475" s="48" t="n">
        <v>114577839</v>
      </c>
      <c r="Q1475" s="48" t="n">
        <v>3140</v>
      </c>
      <c r="R1475" s="48" t="n">
        <v>4370</v>
      </c>
      <c r="S1475" s="48" t="n">
        <v>99468463</v>
      </c>
      <c r="T1475" s="48" t="n">
        <v>116654463</v>
      </c>
      <c r="U1475" s="46" t="n">
        <f aca="false">IF($A1475=$A1474,$U1474+1,1)</f>
        <v>171</v>
      </c>
      <c r="V1475" s="48" t="n">
        <f aca="false">IF($U1475&gt;=MA_SHORT,AVERAGE(INDEX($I$1075:$I1475,402-MA_SHORT):$I1475),"")</f>
        <v>1727.3</v>
      </c>
      <c r="W1475" s="48" t="n">
        <f aca="false">IF($U1475&gt;=MA_MED,AVERAGE(INDEX($I$1075:$I1475,402-MA_MED):$I1475),"")</f>
        <v>1741.76</v>
      </c>
      <c r="X1475" s="48" t="n">
        <f aca="false">IF($U1475&gt;=MA_LONG1,AVERAGE(INDEX($I$1075:$I1475,402-MA_LONG1):$I1475),"")</f>
        <v>1607.7</v>
      </c>
      <c r="Y1475" s="48" t="str">
        <f aca="false">IF($U1475&gt;=MA_LONG2,AVERAGE(INDEX($I$1075:$I1475,402-MA_LONG2):$I1475),"")</f>
        <v/>
      </c>
      <c r="Z1475" s="48" t="n">
        <f aca="false">IF($U1475&gt;=MA_SHORT,AVERAGE(INDEX($L$1355:$L1475,122-MA_SHORT):$L1475),"")</f>
        <v>95771480.2</v>
      </c>
      <c r="AA1475" s="48" t="n">
        <f aca="false">IF($U1475=1,$G1475-$H1475,MAX($G1475-$H1475,ABS($G1475-$I1474),ABS($H1475-$I1474)))</f>
        <v>43</v>
      </c>
      <c r="AB1475" s="48" t="n">
        <f aca="false">IF($U1475&gt;=ATR_PER,AVERAGE(INDEX($AA$1355:$AA1475,122-ATR_PER):$AA1475),"")</f>
        <v>68.7857142857143</v>
      </c>
      <c r="AC1475" s="48" t="n">
        <f aca="false">$O1475-$P1475</f>
        <v>17186000</v>
      </c>
      <c r="AD1475" s="48" t="n">
        <f aca="false">$AC1475*$I1475</f>
        <v>28442830000</v>
      </c>
      <c r="AE1475" s="49" t="n">
        <f aca="false">IF($Q1475&gt;0,$O1475*$I1475/$Q1475/1000000,"")</f>
        <v>69.4487750143312</v>
      </c>
      <c r="AF1475" s="49" t="n">
        <f aca="false">IF($R1475&gt;0,$P1475*$I1475/$R1475/1000000,"")</f>
        <v>43.3927513832952</v>
      </c>
      <c r="AG1475" s="50" t="n">
        <f aca="false">IF(AND(ISNUMBER($AE1475),ISNUMBER($AF1475),$AF1475&gt;0),$AE1475/$AF1475,"")</f>
        <v>1.6004694977942</v>
      </c>
      <c r="AH1475" s="48" t="n">
        <f aca="false">IF($U1475&gt;=5,SUM(INDEX($AD$1445:$AD1475,32-5):$AD1475),"")</f>
        <v>30413521005</v>
      </c>
      <c r="AI1475" s="48" t="n">
        <f aca="false">IF($U1475&gt;=STRUCT_S,MAX(INDEX($G$1325:$G1475,152-STRUCT_S):$G1475),"")</f>
        <v>1893</v>
      </c>
      <c r="AJ1475" s="48" t="n">
        <f aca="false">IF($U1475&gt;=STRUCT_S,MIN(INDEX($H$1325:$H1475,152-STRUCT_S):$H1475),"")</f>
        <v>1582</v>
      </c>
      <c r="AK1475" s="48" t="n">
        <f aca="false">IF($U1475&gt;=STRUCT_L,MAX(INDEX($G$1225:$G1475,252-STRUCT_L):$G1475),"")</f>
        <v>1893</v>
      </c>
      <c r="AL1475" s="48" t="n">
        <f aca="false">IF($U1475&gt;=STRUCT_L,MIN(INDEX($H$1225:$H1475,252-STRUCT_L):$H1475),"")</f>
        <v>1442</v>
      </c>
      <c r="AM1475" s="46" t="n">
        <f aca="false">IF($A1475&lt;&gt;$A1476,1,0)</f>
        <v>0</v>
      </c>
      <c r="AN1475" s="47" t="str">
        <f aca="false">IF($AM1475=1,$A1475,"")</f>
        <v/>
      </c>
    </row>
    <row r="1476" customFormat="false" ht="15" hidden="false" customHeight="false" outlineLevel="0" collapsed="false">
      <c r="A1476" s="43" t="s">
        <v>157</v>
      </c>
      <c r="B1476" s="44" t="s">
        <v>159</v>
      </c>
      <c r="C1476" s="45" t="n">
        <v>46145</v>
      </c>
      <c r="D1476" s="46" t="n">
        <v>20260503</v>
      </c>
      <c r="E1476" s="47" t="s">
        <v>459</v>
      </c>
      <c r="F1476" s="48" t="n">
        <v>1667</v>
      </c>
      <c r="G1476" s="48" t="n">
        <v>1671</v>
      </c>
      <c r="H1476" s="48" t="n">
        <v>1614</v>
      </c>
      <c r="I1476" s="48" t="n">
        <v>1630</v>
      </c>
      <c r="J1476" s="48" t="n">
        <v>1663</v>
      </c>
      <c r="K1476" s="48" t="n">
        <v>1655</v>
      </c>
      <c r="L1476" s="48" t="n">
        <v>74011316</v>
      </c>
      <c r="M1476" s="48" t="n">
        <v>120638445080</v>
      </c>
      <c r="N1476" s="48" t="n">
        <v>3374</v>
      </c>
      <c r="O1476" s="48" t="n">
        <v>39993953</v>
      </c>
      <c r="P1476" s="48" t="n">
        <v>32713280</v>
      </c>
      <c r="Q1476" s="48" t="n">
        <v>1168</v>
      </c>
      <c r="R1476" s="48" t="n">
        <v>1087</v>
      </c>
      <c r="S1476" s="48" t="n">
        <v>34017363</v>
      </c>
      <c r="T1476" s="48" t="n">
        <v>41298036</v>
      </c>
      <c r="U1476" s="46" t="n">
        <f aca="false">IF($A1476=$A1475,$U1475+1,1)</f>
        <v>172</v>
      </c>
      <c r="V1476" s="48" t="n">
        <f aca="false">IF($U1476&gt;=MA_SHORT,AVERAGE(INDEX($I$1076:$I1476,402-MA_SHORT):$I1476),"")</f>
        <v>1719.75</v>
      </c>
      <c r="W1476" s="48" t="n">
        <f aca="false">IF($U1476&gt;=MA_MED,AVERAGE(INDEX($I$1076:$I1476,402-MA_MED):$I1476),"")</f>
        <v>1741.04</v>
      </c>
      <c r="X1476" s="48" t="n">
        <f aca="false">IF($U1476&gt;=MA_LONG1,AVERAGE(INDEX($I$1076:$I1476,402-MA_LONG1):$I1476),"")</f>
        <v>1609.47</v>
      </c>
      <c r="Y1476" s="48" t="str">
        <f aca="false">IF($U1476&gt;=MA_LONG2,AVERAGE(INDEX($I$1076:$I1476,402-MA_LONG2):$I1476),"")</f>
        <v/>
      </c>
      <c r="Z1476" s="48" t="n">
        <f aca="false">IF($U1476&gt;=MA_SHORT,AVERAGE(INDEX($L$1356:$L1476,122-MA_SHORT):$L1476),"")</f>
        <v>95437345.65</v>
      </c>
      <c r="AA1476" s="48" t="n">
        <f aca="false">IF($U1476=1,$G1476-$H1476,MAX($G1476-$H1476,ABS($G1476-$I1475),ABS($H1476-$I1475)))</f>
        <v>57</v>
      </c>
      <c r="AB1476" s="48" t="n">
        <f aca="false">IF($U1476&gt;=ATR_PER,AVERAGE(INDEX($AA$1356:$AA1476,122-ATR_PER):$AA1476),"")</f>
        <v>65</v>
      </c>
      <c r="AC1476" s="48" t="n">
        <f aca="false">$O1476-$P1476</f>
        <v>7280673</v>
      </c>
      <c r="AD1476" s="48" t="n">
        <f aca="false">$AC1476*$I1476</f>
        <v>11867496990</v>
      </c>
      <c r="AE1476" s="49" t="n">
        <f aca="false">IF($Q1476&gt;0,$O1476*$I1476/$Q1476/1000000,"")</f>
        <v>55.8134789297945</v>
      </c>
      <c r="AF1476" s="49" t="n">
        <f aca="false">IF($R1476&gt;0,$P1476*$I1476/$R1476/1000000,"")</f>
        <v>49.0548724931003</v>
      </c>
      <c r="AG1476" s="50" t="n">
        <f aca="false">IF(AND(ISNUMBER($AE1476),ISNUMBER($AF1476),$AF1476&gt;0),$AE1476/$AF1476,"")</f>
        <v>1.13777645508394</v>
      </c>
      <c r="AH1476" s="48" t="n">
        <f aca="false">IF($U1476&gt;=5,SUM(INDEX($AD$1446:$AD1476,32-5):$AD1476),"")</f>
        <v>12067040257</v>
      </c>
      <c r="AI1476" s="48" t="n">
        <f aca="false">IF($U1476&gt;=STRUCT_S,MAX(INDEX($G$1326:$G1476,152-STRUCT_S):$G1476),"")</f>
        <v>1893</v>
      </c>
      <c r="AJ1476" s="48" t="n">
        <f aca="false">IF($U1476&gt;=STRUCT_S,MIN(INDEX($H$1326:$H1476,152-STRUCT_S):$H1476),"")</f>
        <v>1582</v>
      </c>
      <c r="AK1476" s="48" t="n">
        <f aca="false">IF($U1476&gt;=STRUCT_L,MAX(INDEX($G$1226:$G1476,252-STRUCT_L):$G1476),"")</f>
        <v>1893</v>
      </c>
      <c r="AL1476" s="48" t="n">
        <f aca="false">IF($U1476&gt;=STRUCT_L,MIN(INDEX($H$1226:$H1476,252-STRUCT_L):$H1476),"")</f>
        <v>1474</v>
      </c>
      <c r="AM1476" s="46" t="n">
        <f aca="false">IF($A1476&lt;&gt;$A1477,1,0)</f>
        <v>0</v>
      </c>
      <c r="AN1476" s="47" t="str">
        <f aca="false">IF($AM1476=1,$A1476,"")</f>
        <v/>
      </c>
    </row>
    <row r="1477" customFormat="false" ht="15" hidden="false" customHeight="false" outlineLevel="0" collapsed="false">
      <c r="A1477" s="43" t="s">
        <v>157</v>
      </c>
      <c r="B1477" s="44" t="s">
        <v>159</v>
      </c>
      <c r="C1477" s="45" t="n">
        <v>46146</v>
      </c>
      <c r="D1477" s="46" t="n">
        <v>20260504</v>
      </c>
      <c r="E1477" s="47" t="s">
        <v>460</v>
      </c>
      <c r="F1477" s="48" t="n">
        <v>1611</v>
      </c>
      <c r="G1477" s="48" t="n">
        <v>1654</v>
      </c>
      <c r="H1477" s="48" t="n">
        <v>1609</v>
      </c>
      <c r="I1477" s="48" t="n">
        <v>1633</v>
      </c>
      <c r="J1477" s="48" t="n">
        <v>1641</v>
      </c>
      <c r="K1477" s="48" t="n">
        <v>1630</v>
      </c>
      <c r="L1477" s="48" t="n">
        <v>68610174</v>
      </c>
      <c r="M1477" s="48" t="n">
        <v>112040414142</v>
      </c>
      <c r="N1477" s="48" t="n">
        <v>2045</v>
      </c>
      <c r="O1477" s="48" t="n">
        <v>34629735</v>
      </c>
      <c r="P1477" s="48" t="n">
        <v>31984753</v>
      </c>
      <c r="Q1477" s="48" t="n">
        <v>890</v>
      </c>
      <c r="R1477" s="48" t="n">
        <v>847</v>
      </c>
      <c r="S1477" s="48" t="n">
        <v>33980439</v>
      </c>
      <c r="T1477" s="48" t="n">
        <v>36625421</v>
      </c>
      <c r="U1477" s="46" t="n">
        <f aca="false">IF($A1477=$A1476,$U1476+1,1)</f>
        <v>173</v>
      </c>
      <c r="V1477" s="48" t="n">
        <f aca="false">IF($U1477&gt;=MA_SHORT,AVERAGE(INDEX($I$1077:$I1477,402-MA_SHORT):$I1477),"")</f>
        <v>1714.85</v>
      </c>
      <c r="W1477" s="48" t="n">
        <f aca="false">IF($U1477&gt;=MA_MED,AVERAGE(INDEX($I$1077:$I1477,402-MA_MED):$I1477),"")</f>
        <v>1740.44</v>
      </c>
      <c r="X1477" s="48" t="n">
        <f aca="false">IF($U1477&gt;=MA_LONG1,AVERAGE(INDEX($I$1077:$I1477,402-MA_LONG1):$I1477),"")</f>
        <v>1611.33</v>
      </c>
      <c r="Y1477" s="48" t="str">
        <f aca="false">IF($U1477&gt;=MA_LONG2,AVERAGE(INDEX($I$1077:$I1477,402-MA_LONG2):$I1477),"")</f>
        <v/>
      </c>
      <c r="Z1477" s="48" t="n">
        <f aca="false">IF($U1477&gt;=MA_SHORT,AVERAGE(INDEX($L$1357:$L1477,122-MA_SHORT):$L1477),"")</f>
        <v>94878853.65</v>
      </c>
      <c r="AA1477" s="48" t="n">
        <f aca="false">IF($U1477=1,$G1477-$H1477,MAX($G1477-$H1477,ABS($G1477-$I1476),ABS($H1477-$I1476)))</f>
        <v>45</v>
      </c>
      <c r="AB1477" s="48" t="n">
        <f aca="false">IF($U1477&gt;=ATR_PER,AVERAGE(INDEX($AA$1357:$AA1477,122-ATR_PER):$AA1477),"")</f>
        <v>63.2857142857143</v>
      </c>
      <c r="AC1477" s="48" t="n">
        <f aca="false">$O1477-$P1477</f>
        <v>2644982</v>
      </c>
      <c r="AD1477" s="48" t="n">
        <f aca="false">$AC1477*$I1477</f>
        <v>4319255606</v>
      </c>
      <c r="AE1477" s="49" t="n">
        <f aca="false">IF($Q1477&gt;0,$O1477*$I1477/$Q1477/1000000,"")</f>
        <v>63.539727252809</v>
      </c>
      <c r="AF1477" s="49" t="n">
        <f aca="false">IF($R1477&gt;0,$P1477*$I1477/$R1477/1000000,"")</f>
        <v>61.6659995855962</v>
      </c>
      <c r="AG1477" s="50" t="n">
        <f aca="false">IF(AND(ISNUMBER($AE1477),ISNUMBER($AF1477),$AF1477&gt;0),$AE1477/$AF1477,"")</f>
        <v>1.0303851016736</v>
      </c>
      <c r="AH1477" s="48" t="n">
        <f aca="false">IF($U1477&gt;=5,SUM(INDEX($AD$1447:$AD1477,32-5):$AD1477),"")</f>
        <v>31487292003</v>
      </c>
      <c r="AI1477" s="48" t="n">
        <f aca="false">IF($U1477&gt;=STRUCT_S,MAX(INDEX($G$1327:$G1477,152-STRUCT_S):$G1477),"")</f>
        <v>1893</v>
      </c>
      <c r="AJ1477" s="48" t="n">
        <f aca="false">IF($U1477&gt;=STRUCT_S,MIN(INDEX($H$1327:$H1477,152-STRUCT_S):$H1477),"")</f>
        <v>1582</v>
      </c>
      <c r="AK1477" s="48" t="n">
        <f aca="false">IF($U1477&gt;=STRUCT_L,MAX(INDEX($G$1227:$G1477,252-STRUCT_L):$G1477),"")</f>
        <v>1893</v>
      </c>
      <c r="AL1477" s="48" t="n">
        <f aca="false">IF($U1477&gt;=STRUCT_L,MIN(INDEX($H$1227:$H1477,252-STRUCT_L):$H1477),"")</f>
        <v>1533</v>
      </c>
      <c r="AM1477" s="46" t="n">
        <f aca="false">IF($A1477&lt;&gt;$A1478,1,0)</f>
        <v>0</v>
      </c>
      <c r="AN1477" s="47" t="str">
        <f aca="false">IF($AM1477=1,$A1477,"")</f>
        <v/>
      </c>
    </row>
    <row r="1478" customFormat="false" ht="15" hidden="false" customHeight="false" outlineLevel="0" collapsed="false">
      <c r="A1478" s="43" t="s">
        <v>157</v>
      </c>
      <c r="B1478" s="44" t="s">
        <v>159</v>
      </c>
      <c r="C1478" s="45" t="n">
        <v>46147</v>
      </c>
      <c r="D1478" s="46" t="n">
        <v>20260505</v>
      </c>
      <c r="E1478" s="47" t="s">
        <v>461</v>
      </c>
      <c r="F1478" s="48" t="n">
        <v>1628</v>
      </c>
      <c r="G1478" s="48" t="n">
        <v>1671</v>
      </c>
      <c r="H1478" s="48" t="n">
        <v>1594</v>
      </c>
      <c r="I1478" s="48" t="n">
        <v>1631</v>
      </c>
      <c r="J1478" s="48" t="n">
        <v>1596</v>
      </c>
      <c r="K1478" s="48" t="n">
        <v>1633</v>
      </c>
      <c r="L1478" s="48" t="n">
        <v>69021646</v>
      </c>
      <c r="M1478" s="48" t="n">
        <v>112574304626</v>
      </c>
      <c r="N1478" s="48" t="n">
        <v>2738</v>
      </c>
      <c r="O1478" s="48" t="n">
        <v>34775108</v>
      </c>
      <c r="P1478" s="48" t="n">
        <v>34552264</v>
      </c>
      <c r="Q1478" s="48" t="n">
        <v>1453</v>
      </c>
      <c r="R1478" s="48" t="n">
        <v>983</v>
      </c>
      <c r="S1478" s="48" t="n">
        <v>34246538</v>
      </c>
      <c r="T1478" s="48" t="n">
        <v>34469382</v>
      </c>
      <c r="U1478" s="46" t="n">
        <f aca="false">IF($A1478=$A1477,$U1477+1,1)</f>
        <v>174</v>
      </c>
      <c r="V1478" s="48" t="n">
        <f aca="false">IF($U1478&gt;=MA_SHORT,AVERAGE(INDEX($I$1078:$I1478,402-MA_SHORT):$I1478),"")</f>
        <v>1710.5</v>
      </c>
      <c r="W1478" s="48" t="n">
        <f aca="false">IF($U1478&gt;=MA_MED,AVERAGE(INDEX($I$1078:$I1478,402-MA_MED):$I1478),"")</f>
        <v>1740.54</v>
      </c>
      <c r="X1478" s="48" t="n">
        <f aca="false">IF($U1478&gt;=MA_LONG1,AVERAGE(INDEX($I$1078:$I1478,402-MA_LONG1):$I1478),"")</f>
        <v>1613.18</v>
      </c>
      <c r="Y1478" s="48" t="str">
        <f aca="false">IF($U1478&gt;=MA_LONG2,AVERAGE(INDEX($I$1078:$I1478,402-MA_LONG2):$I1478),"")</f>
        <v/>
      </c>
      <c r="Z1478" s="48" t="n">
        <f aca="false">IF($U1478&gt;=MA_SHORT,AVERAGE(INDEX($L$1358:$L1478,122-MA_SHORT):$L1478),"")</f>
        <v>93514508.05</v>
      </c>
      <c r="AA1478" s="48" t="n">
        <f aca="false">IF($U1478=1,$G1478-$H1478,MAX($G1478-$H1478,ABS($G1478-$I1477),ABS($H1478-$I1477)))</f>
        <v>77</v>
      </c>
      <c r="AB1478" s="48" t="n">
        <f aca="false">IF($U1478&gt;=ATR_PER,AVERAGE(INDEX($AA$1358:$AA1478,122-ATR_PER):$AA1478),"")</f>
        <v>65.5714285714286</v>
      </c>
      <c r="AC1478" s="48" t="n">
        <f aca="false">$O1478-$P1478</f>
        <v>222844</v>
      </c>
      <c r="AD1478" s="48" t="n">
        <f aca="false">$AC1478*$I1478</f>
        <v>363458564</v>
      </c>
      <c r="AE1478" s="49" t="n">
        <f aca="false">IF($Q1478&gt;0,$O1478*$I1478/$Q1478/1000000,"")</f>
        <v>39.0352382298692</v>
      </c>
      <c r="AF1478" s="49" t="n">
        <f aca="false">IF($R1478&gt;0,$P1478*$I1478/$R1478/1000000,"")</f>
        <v>57.329341387589</v>
      </c>
      <c r="AG1478" s="50" t="n">
        <f aca="false">IF(AND(ISNUMBER($AE1478),ISNUMBER($AF1478),$AF1478&gt;0),$AE1478/$AF1478,"")</f>
        <v>0.680894587048576</v>
      </c>
      <c r="AH1478" s="48" t="n">
        <f aca="false">IF($U1478&gt;=5,SUM(INDEX($AD$1448:$AD1478,32-5):$AD1478),"")</f>
        <v>34826161304</v>
      </c>
      <c r="AI1478" s="48" t="n">
        <f aca="false">IF($U1478&gt;=STRUCT_S,MAX(INDEX($G$1328:$G1478,152-STRUCT_S):$G1478),"")</f>
        <v>1893</v>
      </c>
      <c r="AJ1478" s="48" t="n">
        <f aca="false">IF($U1478&gt;=STRUCT_S,MIN(INDEX($H$1328:$H1478,152-STRUCT_S):$H1478),"")</f>
        <v>1582</v>
      </c>
      <c r="AK1478" s="48" t="n">
        <f aca="false">IF($U1478&gt;=STRUCT_L,MAX(INDEX($G$1228:$G1478,252-STRUCT_L):$G1478),"")</f>
        <v>1893</v>
      </c>
      <c r="AL1478" s="48" t="n">
        <f aca="false">IF($U1478&gt;=STRUCT_L,MIN(INDEX($H$1228:$H1478,252-STRUCT_L):$H1478),"")</f>
        <v>1562</v>
      </c>
      <c r="AM1478" s="46" t="n">
        <f aca="false">IF($A1478&lt;&gt;$A1479,1,0)</f>
        <v>0</v>
      </c>
      <c r="AN1478" s="47" t="str">
        <f aca="false">IF($AM1478=1,$A1478,"")</f>
        <v/>
      </c>
    </row>
    <row r="1479" customFormat="false" ht="15" hidden="false" customHeight="false" outlineLevel="0" collapsed="false">
      <c r="A1479" s="43" t="s">
        <v>157</v>
      </c>
      <c r="B1479" s="44" t="s">
        <v>159</v>
      </c>
      <c r="C1479" s="45" t="n">
        <v>46148</v>
      </c>
      <c r="D1479" s="46" t="n">
        <v>20260506</v>
      </c>
      <c r="E1479" s="47" t="s">
        <v>462</v>
      </c>
      <c r="F1479" s="48" t="n">
        <v>1575</v>
      </c>
      <c r="G1479" s="48" t="n">
        <v>1657</v>
      </c>
      <c r="H1479" s="48" t="n">
        <v>1574</v>
      </c>
      <c r="I1479" s="48" t="n">
        <v>1599</v>
      </c>
      <c r="J1479" s="48" t="n">
        <v>1584</v>
      </c>
      <c r="K1479" s="48" t="n">
        <v>1631</v>
      </c>
      <c r="L1479" s="48" t="n">
        <v>91622836</v>
      </c>
      <c r="M1479" s="48" t="n">
        <v>146504914764</v>
      </c>
      <c r="N1479" s="48" t="n">
        <v>2118</v>
      </c>
      <c r="O1479" s="48" t="n">
        <v>37768639</v>
      </c>
      <c r="P1479" s="48" t="n">
        <v>47803941</v>
      </c>
      <c r="Q1479" s="48" t="n">
        <v>822</v>
      </c>
      <c r="R1479" s="48" t="n">
        <v>812</v>
      </c>
      <c r="S1479" s="48" t="n">
        <v>53854197</v>
      </c>
      <c r="T1479" s="48" t="n">
        <v>43818895</v>
      </c>
      <c r="U1479" s="46" t="n">
        <f aca="false">IF($A1479=$A1478,$U1478+1,1)</f>
        <v>175</v>
      </c>
      <c r="V1479" s="48" t="n">
        <f aca="false">IF($U1479&gt;=MA_SHORT,AVERAGE(INDEX($I$1079:$I1479,402-MA_SHORT):$I1479),"")</f>
        <v>1701.95</v>
      </c>
      <c r="W1479" s="48" t="n">
        <f aca="false">IF($U1479&gt;=MA_MED,AVERAGE(INDEX($I$1079:$I1479,402-MA_MED):$I1479),"")</f>
        <v>1739.26</v>
      </c>
      <c r="X1479" s="48" t="n">
        <f aca="false">IF($U1479&gt;=MA_LONG1,AVERAGE(INDEX($I$1079:$I1479,402-MA_LONG1):$I1479),"")</f>
        <v>1614.98</v>
      </c>
      <c r="Y1479" s="48" t="str">
        <f aca="false">IF($U1479&gt;=MA_LONG2,AVERAGE(INDEX($I$1079:$I1479,402-MA_LONG2):$I1479),"")</f>
        <v/>
      </c>
      <c r="Z1479" s="48" t="n">
        <f aca="false">IF($U1479&gt;=MA_SHORT,AVERAGE(INDEX($L$1359:$L1479,122-MA_SHORT):$L1479),"")</f>
        <v>93130562.45</v>
      </c>
      <c r="AA1479" s="48" t="n">
        <f aca="false">IF($U1479=1,$G1479-$H1479,MAX($G1479-$H1479,ABS($G1479-$I1478),ABS($H1479-$I1478)))</f>
        <v>83</v>
      </c>
      <c r="AB1479" s="48" t="n">
        <f aca="false">IF($U1479&gt;=ATR_PER,AVERAGE(INDEX($AA$1359:$AA1479,122-ATR_PER):$AA1479),"")</f>
        <v>64.3571428571429</v>
      </c>
      <c r="AC1479" s="48" t="n">
        <f aca="false">$O1479-$P1479</f>
        <v>-10035302</v>
      </c>
      <c r="AD1479" s="48" t="n">
        <f aca="false">$AC1479*$I1479</f>
        <v>-16046447898</v>
      </c>
      <c r="AE1479" s="49" t="n">
        <f aca="false">IF($Q1479&gt;0,$O1479*$I1479/$Q1479/1000000,"")</f>
        <v>73.4696517773723</v>
      </c>
      <c r="AF1479" s="49" t="n">
        <f aca="false">IF($R1479&gt;0,$P1479*$I1479/$R1479/1000000,"")</f>
        <v>94.1360857869458</v>
      </c>
      <c r="AG1479" s="50" t="n">
        <f aca="false">IF(AND(ISNUMBER($AE1479),ISNUMBER($AF1479),$AF1479&gt;0),$AE1479/$AF1479,"")</f>
        <v>0.780462148635041</v>
      </c>
      <c r="AH1479" s="48" t="n">
        <f aca="false">IF($U1479&gt;=5,SUM(INDEX($AD$1449:$AD1479,32-5):$AD1479),"")</f>
        <v>28946593262</v>
      </c>
      <c r="AI1479" s="48" t="n">
        <f aca="false">IF($U1479&gt;=STRUCT_S,MAX(INDEX($G$1329:$G1479,152-STRUCT_S):$G1479),"")</f>
        <v>1893</v>
      </c>
      <c r="AJ1479" s="48" t="n">
        <f aca="false">IF($U1479&gt;=STRUCT_S,MIN(INDEX($H$1329:$H1479,152-STRUCT_S):$H1479),"")</f>
        <v>1574</v>
      </c>
      <c r="AK1479" s="48" t="n">
        <f aca="false">IF($U1479&gt;=STRUCT_L,MAX(INDEX($G$1229:$G1479,252-STRUCT_L):$G1479),"")</f>
        <v>1893</v>
      </c>
      <c r="AL1479" s="48" t="n">
        <f aca="false">IF($U1479&gt;=STRUCT_L,MIN(INDEX($H$1229:$H1479,252-STRUCT_L):$H1479),"")</f>
        <v>1574</v>
      </c>
      <c r="AM1479" s="46" t="n">
        <f aca="false">IF($A1479&lt;&gt;$A1480,1,0)</f>
        <v>0</v>
      </c>
      <c r="AN1479" s="47" t="str">
        <f aca="false">IF($AM1479=1,$A1479,"")</f>
        <v/>
      </c>
    </row>
    <row r="1480" customFormat="false" ht="15" hidden="false" customHeight="false" outlineLevel="0" collapsed="false">
      <c r="A1480" s="43" t="s">
        <v>157</v>
      </c>
      <c r="B1480" s="44" t="s">
        <v>159</v>
      </c>
      <c r="C1480" s="45" t="n">
        <v>46151</v>
      </c>
      <c r="D1480" s="46" t="n">
        <v>20260509</v>
      </c>
      <c r="E1480" s="47" t="s">
        <v>463</v>
      </c>
      <c r="F1480" s="48" t="n">
        <v>1606</v>
      </c>
      <c r="G1480" s="48" t="n">
        <v>1617</v>
      </c>
      <c r="H1480" s="48" t="n">
        <v>1593</v>
      </c>
      <c r="I1480" s="48" t="n">
        <v>1611</v>
      </c>
      <c r="J1480" s="48" t="n">
        <v>1594</v>
      </c>
      <c r="K1480" s="48" t="n">
        <v>1599</v>
      </c>
      <c r="L1480" s="48" t="n">
        <v>70916437</v>
      </c>
      <c r="M1480" s="48" t="n">
        <v>114246380007</v>
      </c>
      <c r="N1480" s="48" t="n">
        <v>3388</v>
      </c>
      <c r="O1480" s="48" t="n">
        <v>33320837</v>
      </c>
      <c r="P1480" s="48" t="n">
        <v>41734059</v>
      </c>
      <c r="Q1480" s="48" t="n">
        <v>1620</v>
      </c>
      <c r="R1480" s="48" t="n">
        <v>1753</v>
      </c>
      <c r="S1480" s="48" t="n">
        <v>37595600</v>
      </c>
      <c r="T1480" s="48" t="n">
        <v>29182378</v>
      </c>
      <c r="U1480" s="46" t="n">
        <f aca="false">IF($A1480=$A1479,$U1479+1,1)</f>
        <v>176</v>
      </c>
      <c r="V1480" s="48" t="n">
        <f aca="false">IF($U1480&gt;=MA_SHORT,AVERAGE(INDEX($I$1080:$I1480,402-MA_SHORT):$I1480),"")</f>
        <v>1689.65</v>
      </c>
      <c r="W1480" s="48" t="n">
        <f aca="false">IF($U1480&gt;=MA_MED,AVERAGE(INDEX($I$1080:$I1480,402-MA_MED):$I1480),"")</f>
        <v>1737.1</v>
      </c>
      <c r="X1480" s="48" t="n">
        <f aca="false">IF($U1480&gt;=MA_LONG1,AVERAGE(INDEX($I$1080:$I1480,402-MA_LONG1):$I1480),"")</f>
        <v>1616.92</v>
      </c>
      <c r="Y1480" s="48" t="str">
        <f aca="false">IF($U1480&gt;=MA_LONG2,AVERAGE(INDEX($I$1080:$I1480,402-MA_LONG2):$I1480),"")</f>
        <v/>
      </c>
      <c r="Z1480" s="48" t="n">
        <f aca="false">IF($U1480&gt;=MA_SHORT,AVERAGE(INDEX($L$1360:$L1480,122-MA_SHORT):$L1480),"")</f>
        <v>92282685.6</v>
      </c>
      <c r="AA1480" s="48" t="n">
        <f aca="false">IF($U1480=1,$G1480-$H1480,MAX($G1480-$H1480,ABS($G1480-$I1479),ABS($H1480-$I1479)))</f>
        <v>24</v>
      </c>
      <c r="AB1480" s="48" t="n">
        <f aca="false">IF($U1480&gt;=ATR_PER,AVERAGE(INDEX($AA$1360:$AA1480,122-ATR_PER):$AA1480),"")</f>
        <v>64.8571428571429</v>
      </c>
      <c r="AC1480" s="48" t="n">
        <f aca="false">$O1480-$P1480</f>
        <v>-8413222</v>
      </c>
      <c r="AD1480" s="48" t="n">
        <f aca="false">$AC1480*$I1480</f>
        <v>-13553700642</v>
      </c>
      <c r="AE1480" s="49" t="n">
        <f aca="false">IF($Q1480&gt;0,$O1480*$I1480/$Q1480/1000000,"")</f>
        <v>33.1357212388889</v>
      </c>
      <c r="AF1480" s="49" t="n">
        <f aca="false">IF($R1480&gt;0,$P1480*$I1480/$R1480/1000000,"")</f>
        <v>38.3534335704507</v>
      </c>
      <c r="AG1480" s="50" t="n">
        <f aca="false">IF(AND(ISNUMBER($AE1480),ISNUMBER($AF1480),$AF1480&gt;0),$AE1480/$AF1480,"")</f>
        <v>0.863957099904043</v>
      </c>
      <c r="AH1480" s="48" t="n">
        <f aca="false">IF($U1480&gt;=5,SUM(INDEX($AD$1450:$AD1480,32-5):$AD1480),"")</f>
        <v>-13049937380</v>
      </c>
      <c r="AI1480" s="48" t="n">
        <f aca="false">IF($U1480&gt;=STRUCT_S,MAX(INDEX($G$1330:$G1480,152-STRUCT_S):$G1480),"")</f>
        <v>1884</v>
      </c>
      <c r="AJ1480" s="48" t="n">
        <f aca="false">IF($U1480&gt;=STRUCT_S,MIN(INDEX($H$1330:$H1480,152-STRUCT_S):$H1480),"")</f>
        <v>1574</v>
      </c>
      <c r="AK1480" s="48" t="n">
        <f aca="false">IF($U1480&gt;=STRUCT_L,MAX(INDEX($G$1230:$G1480,252-STRUCT_L):$G1480),"")</f>
        <v>1893</v>
      </c>
      <c r="AL1480" s="48" t="n">
        <f aca="false">IF($U1480&gt;=STRUCT_L,MIN(INDEX($H$1230:$H1480,252-STRUCT_L):$H1480),"")</f>
        <v>1574</v>
      </c>
      <c r="AM1480" s="46" t="n">
        <f aca="false">IF($A1480&lt;&gt;$A1481,1,0)</f>
        <v>0</v>
      </c>
      <c r="AN1480" s="47" t="str">
        <f aca="false">IF($AM1480=1,$A1480,"")</f>
        <v/>
      </c>
    </row>
    <row r="1481" customFormat="false" ht="15" hidden="false" customHeight="false" outlineLevel="0" collapsed="false">
      <c r="A1481" s="43" t="s">
        <v>157</v>
      </c>
      <c r="B1481" s="44" t="s">
        <v>159</v>
      </c>
      <c r="C1481" s="45" t="n">
        <v>46152</v>
      </c>
      <c r="D1481" s="46" t="n">
        <v>20260510</v>
      </c>
      <c r="E1481" s="47" t="s">
        <v>464</v>
      </c>
      <c r="F1481" s="48" t="n">
        <v>1569</v>
      </c>
      <c r="G1481" s="48" t="n">
        <v>1630</v>
      </c>
      <c r="H1481" s="48" t="n">
        <v>1563</v>
      </c>
      <c r="I1481" s="48" t="n">
        <v>1581</v>
      </c>
      <c r="J1481" s="48" t="n">
        <v>1629</v>
      </c>
      <c r="K1481" s="48" t="n">
        <v>1611</v>
      </c>
      <c r="L1481" s="48" t="n">
        <v>90349378</v>
      </c>
      <c r="M1481" s="48" t="n">
        <v>142842366618</v>
      </c>
      <c r="N1481" s="48" t="n">
        <v>4997</v>
      </c>
      <c r="O1481" s="48" t="n">
        <v>38690088</v>
      </c>
      <c r="P1481" s="48" t="n">
        <v>51252125</v>
      </c>
      <c r="Q1481" s="48" t="n">
        <v>2433</v>
      </c>
      <c r="R1481" s="48" t="n">
        <v>1730</v>
      </c>
      <c r="S1481" s="48" t="n">
        <v>51659290</v>
      </c>
      <c r="T1481" s="48" t="n">
        <v>39097253</v>
      </c>
      <c r="U1481" s="46" t="n">
        <f aca="false">IF($A1481=$A1480,$U1480+1,1)</f>
        <v>177</v>
      </c>
      <c r="V1481" s="48" t="n">
        <f aca="false">IF($U1481&gt;=MA_SHORT,AVERAGE(INDEX($I$1081:$I1481,402-MA_SHORT):$I1481),"")</f>
        <v>1676.55</v>
      </c>
      <c r="W1481" s="48" t="n">
        <f aca="false">IF($U1481&gt;=MA_MED,AVERAGE(INDEX($I$1081:$I1481,402-MA_MED):$I1481),"")</f>
        <v>1734.74</v>
      </c>
      <c r="X1481" s="48" t="n">
        <f aca="false">IF($U1481&gt;=MA_LONG1,AVERAGE(INDEX($I$1081:$I1481,402-MA_LONG1):$I1481),"")</f>
        <v>1618.37</v>
      </c>
      <c r="Y1481" s="48" t="str">
        <f aca="false">IF($U1481&gt;=MA_LONG2,AVERAGE(INDEX($I$1081:$I1481,402-MA_LONG2):$I1481),"")</f>
        <v/>
      </c>
      <c r="Z1481" s="48" t="n">
        <f aca="false">IF($U1481&gt;=MA_SHORT,AVERAGE(INDEX($L$1361:$L1481,122-MA_SHORT):$L1481),"")</f>
        <v>93253633.35</v>
      </c>
      <c r="AA1481" s="48" t="n">
        <f aca="false">IF($U1481=1,$G1481-$H1481,MAX($G1481-$H1481,ABS($G1481-$I1480),ABS($H1481-$I1480)))</f>
        <v>67</v>
      </c>
      <c r="AB1481" s="48" t="n">
        <f aca="false">IF($U1481&gt;=ATR_PER,AVERAGE(INDEX($AA$1361:$AA1481,122-ATR_PER):$AA1481),"")</f>
        <v>68.5714285714286</v>
      </c>
      <c r="AC1481" s="48" t="n">
        <f aca="false">$O1481-$P1481</f>
        <v>-12562037</v>
      </c>
      <c r="AD1481" s="48" t="n">
        <f aca="false">$AC1481*$I1481</f>
        <v>-19860580497</v>
      </c>
      <c r="AE1481" s="49" t="n">
        <f aca="false">IF($Q1481&gt;0,$O1481*$I1481/$Q1481/1000000,"")</f>
        <v>25.1414012034525</v>
      </c>
      <c r="AF1481" s="49" t="n">
        <f aca="false">IF($R1481&gt;0,$P1481*$I1481/$R1481/1000000,"")</f>
        <v>46.8379246387283</v>
      </c>
      <c r="AG1481" s="50" t="n">
        <f aca="false">IF(AND(ISNUMBER($AE1481),ISNUMBER($AF1481),$AF1481&gt;0),$AE1481/$AF1481,"")</f>
        <v>0.536774449281729</v>
      </c>
      <c r="AH1481" s="48" t="n">
        <f aca="false">IF($U1481&gt;=5,SUM(INDEX($AD$1451:$AD1481,32-5):$AD1481),"")</f>
        <v>-44778014867</v>
      </c>
      <c r="AI1481" s="48" t="n">
        <f aca="false">IF($U1481&gt;=STRUCT_S,MAX(INDEX($G$1331:$G1481,152-STRUCT_S):$G1481),"")</f>
        <v>1884</v>
      </c>
      <c r="AJ1481" s="48" t="n">
        <f aca="false">IF($U1481&gt;=STRUCT_S,MIN(INDEX($H$1331:$H1481,152-STRUCT_S):$H1481),"")</f>
        <v>1563</v>
      </c>
      <c r="AK1481" s="48" t="n">
        <f aca="false">IF($U1481&gt;=STRUCT_L,MAX(INDEX($G$1231:$G1481,252-STRUCT_L):$G1481),"")</f>
        <v>1893</v>
      </c>
      <c r="AL1481" s="48" t="n">
        <f aca="false">IF($U1481&gt;=STRUCT_L,MIN(INDEX($H$1231:$H1481,252-STRUCT_L):$H1481),"")</f>
        <v>1563</v>
      </c>
      <c r="AM1481" s="46" t="n">
        <f aca="false">IF($A1481&lt;&gt;$A1482,1,0)</f>
        <v>0</v>
      </c>
      <c r="AN1481" s="47" t="str">
        <f aca="false">IF($AM1481=1,$A1481,"")</f>
        <v/>
      </c>
    </row>
    <row r="1482" customFormat="false" ht="15" hidden="false" customHeight="false" outlineLevel="0" collapsed="false">
      <c r="A1482" s="43" t="s">
        <v>157</v>
      </c>
      <c r="B1482" s="44" t="s">
        <v>159</v>
      </c>
      <c r="C1482" s="45" t="n">
        <v>46153</v>
      </c>
      <c r="D1482" s="46" t="n">
        <v>20260511</v>
      </c>
      <c r="E1482" s="47" t="s">
        <v>465</v>
      </c>
      <c r="F1482" s="48" t="n">
        <v>1573</v>
      </c>
      <c r="G1482" s="48" t="n">
        <v>1588</v>
      </c>
      <c r="H1482" s="48" t="n">
        <v>1565</v>
      </c>
      <c r="I1482" s="48" t="n">
        <v>1572</v>
      </c>
      <c r="J1482" s="48" t="n">
        <v>1577</v>
      </c>
      <c r="K1482" s="48" t="n">
        <v>1581</v>
      </c>
      <c r="L1482" s="48" t="n">
        <v>70178617</v>
      </c>
      <c r="M1482" s="48" t="n">
        <v>110320785924</v>
      </c>
      <c r="N1482" s="48" t="n">
        <v>1735</v>
      </c>
      <c r="O1482" s="48" t="n">
        <v>26903099</v>
      </c>
      <c r="P1482" s="48" t="n">
        <v>41269961</v>
      </c>
      <c r="Q1482" s="48" t="n">
        <v>753</v>
      </c>
      <c r="R1482" s="48" t="n">
        <v>772</v>
      </c>
      <c r="S1482" s="48" t="n">
        <v>43275518</v>
      </c>
      <c r="T1482" s="48" t="n">
        <v>28908656</v>
      </c>
      <c r="U1482" s="46" t="n">
        <f aca="false">IF($A1482=$A1481,$U1481+1,1)</f>
        <v>178</v>
      </c>
      <c r="V1482" s="48" t="n">
        <f aca="false">IF($U1482&gt;=MA_SHORT,AVERAGE(INDEX($I$1082:$I1482,402-MA_SHORT):$I1482),"")</f>
        <v>1664.45</v>
      </c>
      <c r="W1482" s="48" t="n">
        <f aca="false">IF($U1482&gt;=MA_MED,AVERAGE(INDEX($I$1082:$I1482,402-MA_MED):$I1482),"")</f>
        <v>1731.72</v>
      </c>
      <c r="X1482" s="48" t="n">
        <f aca="false">IF($U1482&gt;=MA_LONG1,AVERAGE(INDEX($I$1082:$I1482,402-MA_LONG1):$I1482),"")</f>
        <v>1619.21</v>
      </c>
      <c r="Y1482" s="48" t="str">
        <f aca="false">IF($U1482&gt;=MA_LONG2,AVERAGE(INDEX($I$1082:$I1482,402-MA_LONG2):$I1482),"")</f>
        <v/>
      </c>
      <c r="Z1482" s="48" t="n">
        <f aca="false">IF($U1482&gt;=MA_SHORT,AVERAGE(INDEX($L$1362:$L1482,122-MA_SHORT):$L1482),"")</f>
        <v>88682592.4</v>
      </c>
      <c r="AA1482" s="48" t="n">
        <f aca="false">IF($U1482=1,$G1482-$H1482,MAX($G1482-$H1482,ABS($G1482-$I1481),ABS($H1482-$I1481)))</f>
        <v>23</v>
      </c>
      <c r="AB1482" s="48" t="n">
        <f aca="false">IF($U1482&gt;=ATR_PER,AVERAGE(INDEX($AA$1362:$AA1482,122-ATR_PER):$AA1482),"")</f>
        <v>62.3571428571429</v>
      </c>
      <c r="AC1482" s="48" t="n">
        <f aca="false">$O1482-$P1482</f>
        <v>-14366862</v>
      </c>
      <c r="AD1482" s="48" t="n">
        <f aca="false">$AC1482*$I1482</f>
        <v>-22584707064</v>
      </c>
      <c r="AE1482" s="49" t="n">
        <f aca="false">IF($Q1482&gt;0,$O1482*$I1482/$Q1482/1000000,"")</f>
        <v>56.1642385498008</v>
      </c>
      <c r="AF1482" s="49" t="n">
        <f aca="false">IF($R1482&gt;0,$P1482*$I1482/$R1482/1000000,"")</f>
        <v>84.0367599637306</v>
      </c>
      <c r="AG1482" s="50" t="n">
        <f aca="false">IF(AND(ISNUMBER($AE1482),ISNUMBER($AF1482),$AF1482&gt;0),$AE1482/$AF1482,"")</f>
        <v>0.668329414104503</v>
      </c>
      <c r="AH1482" s="48" t="n">
        <f aca="false">IF($U1482&gt;=5,SUM(INDEX($AD$1452:$AD1482,32-5):$AD1482),"")</f>
        <v>-71681977537</v>
      </c>
      <c r="AI1482" s="48" t="n">
        <f aca="false">IF($U1482&gt;=STRUCT_S,MAX(INDEX($G$1332:$G1482,152-STRUCT_S):$G1482),"")</f>
        <v>1832</v>
      </c>
      <c r="AJ1482" s="48" t="n">
        <f aca="false">IF($U1482&gt;=STRUCT_S,MIN(INDEX($H$1332:$H1482,152-STRUCT_S):$H1482),"")</f>
        <v>1563</v>
      </c>
      <c r="AK1482" s="48" t="n">
        <f aca="false">IF($U1482&gt;=STRUCT_L,MAX(INDEX($G$1232:$G1482,252-STRUCT_L):$G1482),"")</f>
        <v>1893</v>
      </c>
      <c r="AL1482" s="48" t="n">
        <f aca="false">IF($U1482&gt;=STRUCT_L,MIN(INDEX($H$1232:$H1482,252-STRUCT_L):$H1482),"")</f>
        <v>1563</v>
      </c>
      <c r="AM1482" s="46" t="n">
        <f aca="false">IF($A1482&lt;&gt;$A1483,1,0)</f>
        <v>0</v>
      </c>
      <c r="AN1482" s="47" t="str">
        <f aca="false">IF($AM1482=1,$A1482,"")</f>
        <v/>
      </c>
    </row>
    <row r="1483" customFormat="false" ht="15" hidden="false" customHeight="false" outlineLevel="0" collapsed="false">
      <c r="A1483" s="43" t="s">
        <v>157</v>
      </c>
      <c r="B1483" s="44" t="s">
        <v>159</v>
      </c>
      <c r="C1483" s="45" t="n">
        <v>46154</v>
      </c>
      <c r="D1483" s="46" t="n">
        <v>20260512</v>
      </c>
      <c r="E1483" s="47" t="s">
        <v>466</v>
      </c>
      <c r="F1483" s="48" t="n">
        <v>1573</v>
      </c>
      <c r="G1483" s="48" t="n">
        <v>1592</v>
      </c>
      <c r="H1483" s="48" t="n">
        <v>1561</v>
      </c>
      <c r="I1483" s="48" t="n">
        <v>1581</v>
      </c>
      <c r="J1483" s="48" t="n">
        <v>1584</v>
      </c>
      <c r="K1483" s="48" t="n">
        <v>1572</v>
      </c>
      <c r="L1483" s="48" t="n">
        <v>70191887</v>
      </c>
      <c r="M1483" s="48" t="n">
        <v>110973373347</v>
      </c>
      <c r="N1483" s="48" t="n">
        <v>2440</v>
      </c>
      <c r="O1483" s="48" t="n">
        <v>30960336</v>
      </c>
      <c r="P1483" s="48" t="n">
        <v>42658422</v>
      </c>
      <c r="Q1483" s="48" t="n">
        <v>1241</v>
      </c>
      <c r="R1483" s="48" t="n">
        <v>1318</v>
      </c>
      <c r="S1483" s="48" t="n">
        <v>39231551</v>
      </c>
      <c r="T1483" s="48" t="n">
        <v>27533465</v>
      </c>
      <c r="U1483" s="46" t="n">
        <f aca="false">IF($A1483=$A1482,$U1482+1,1)</f>
        <v>179</v>
      </c>
      <c r="V1483" s="48" t="n">
        <f aca="false">IF($U1483&gt;=MA_SHORT,AVERAGE(INDEX($I$1083:$I1483,402-MA_SHORT):$I1483),"")</f>
        <v>1654.5</v>
      </c>
      <c r="W1483" s="48" t="n">
        <f aca="false">IF($U1483&gt;=MA_MED,AVERAGE(INDEX($I$1083:$I1483,402-MA_MED):$I1483),"")</f>
        <v>1728.86</v>
      </c>
      <c r="X1483" s="48" t="n">
        <f aca="false">IF($U1483&gt;=MA_LONG1,AVERAGE(INDEX($I$1083:$I1483,402-MA_LONG1):$I1483),"")</f>
        <v>1619.8</v>
      </c>
      <c r="Y1483" s="48" t="str">
        <f aca="false">IF($U1483&gt;=MA_LONG2,AVERAGE(INDEX($I$1083:$I1483,402-MA_LONG2):$I1483),"")</f>
        <v/>
      </c>
      <c r="Z1483" s="48" t="n">
        <f aca="false">IF($U1483&gt;=MA_SHORT,AVERAGE(INDEX($L$1363:$L1483,122-MA_SHORT):$L1483),"")</f>
        <v>88417570.55</v>
      </c>
      <c r="AA1483" s="48" t="n">
        <f aca="false">IF($U1483=1,$G1483-$H1483,MAX($G1483-$H1483,ABS($G1483-$I1482),ABS($H1483-$I1482)))</f>
        <v>31</v>
      </c>
      <c r="AB1483" s="48" t="n">
        <f aca="false">IF($U1483&gt;=ATR_PER,AVERAGE(INDEX($AA$1363:$AA1483,122-ATR_PER):$AA1483),"")</f>
        <v>61.2142857142857</v>
      </c>
      <c r="AC1483" s="48" t="n">
        <f aca="false">$O1483-$P1483</f>
        <v>-11698086</v>
      </c>
      <c r="AD1483" s="48" t="n">
        <f aca="false">$AC1483*$I1483</f>
        <v>-18494673966</v>
      </c>
      <c r="AE1483" s="49" t="n">
        <f aca="false">IF($Q1483&gt;0,$O1483*$I1483/$Q1483/1000000,"")</f>
        <v>39.4426198356164</v>
      </c>
      <c r="AF1483" s="49" t="n">
        <f aca="false">IF($R1483&gt;0,$P1483*$I1483/$R1483/1000000,"")</f>
        <v>51.170686784522</v>
      </c>
      <c r="AG1483" s="50" t="n">
        <f aca="false">IF(AND(ISNUMBER($AE1483),ISNUMBER($AF1483),$AF1483&gt;0),$AE1483/$AF1483,"")</f>
        <v>0.770804972810077</v>
      </c>
      <c r="AH1483" s="48" t="n">
        <f aca="false">IF($U1483&gt;=5,SUM(INDEX($AD$1453:$AD1483,32-5):$AD1483),"")</f>
        <v>-90540110067</v>
      </c>
      <c r="AI1483" s="48" t="n">
        <f aca="false">IF($U1483&gt;=STRUCT_S,MAX(INDEX($G$1333:$G1483,152-STRUCT_S):$G1483),"")</f>
        <v>1817</v>
      </c>
      <c r="AJ1483" s="48" t="n">
        <f aca="false">IF($U1483&gt;=STRUCT_S,MIN(INDEX($H$1333:$H1483,152-STRUCT_S):$H1483),"")</f>
        <v>1561</v>
      </c>
      <c r="AK1483" s="48" t="n">
        <f aca="false">IF($U1483&gt;=STRUCT_L,MAX(INDEX($G$1233:$G1483,252-STRUCT_L):$G1483),"")</f>
        <v>1893</v>
      </c>
      <c r="AL1483" s="48" t="n">
        <f aca="false">IF($U1483&gt;=STRUCT_L,MIN(INDEX($H$1233:$H1483,252-STRUCT_L):$H1483),"")</f>
        <v>1561</v>
      </c>
      <c r="AM1483" s="46" t="n">
        <f aca="false">IF($A1483&lt;&gt;$A1484,1,0)</f>
        <v>0</v>
      </c>
      <c r="AN1483" s="47" t="str">
        <f aca="false">IF($AM1483=1,$A1483,"")</f>
        <v/>
      </c>
    </row>
    <row r="1484" customFormat="false" ht="15" hidden="false" customHeight="false" outlineLevel="0" collapsed="false">
      <c r="A1484" s="43" t="s">
        <v>157</v>
      </c>
      <c r="B1484" s="44" t="s">
        <v>159</v>
      </c>
      <c r="C1484" s="45" t="n">
        <v>46155</v>
      </c>
      <c r="D1484" s="46" t="n">
        <v>20260513</v>
      </c>
      <c r="E1484" s="47" t="s">
        <v>467</v>
      </c>
      <c r="F1484" s="48" t="n">
        <v>1572</v>
      </c>
      <c r="G1484" s="48" t="n">
        <v>1585</v>
      </c>
      <c r="H1484" s="48" t="n">
        <v>1548</v>
      </c>
      <c r="I1484" s="48" t="n">
        <v>1552</v>
      </c>
      <c r="J1484" s="48" t="n">
        <v>1583</v>
      </c>
      <c r="K1484" s="48" t="n">
        <v>1581</v>
      </c>
      <c r="L1484" s="48" t="n">
        <v>75329341</v>
      </c>
      <c r="M1484" s="48" t="n">
        <v>116911137232</v>
      </c>
      <c r="N1484" s="48" t="n">
        <v>6571</v>
      </c>
      <c r="O1484" s="48" t="n">
        <v>31929046</v>
      </c>
      <c r="P1484" s="48" t="n">
        <v>48852416</v>
      </c>
      <c r="Q1484" s="48" t="n">
        <v>2978</v>
      </c>
      <c r="R1484" s="48" t="n">
        <v>1977</v>
      </c>
      <c r="S1484" s="48" t="n">
        <v>43400295</v>
      </c>
      <c r="T1484" s="48" t="n">
        <v>26476925</v>
      </c>
      <c r="U1484" s="46" t="n">
        <f aca="false">IF($A1484=$A1483,$U1483+1,1)</f>
        <v>180</v>
      </c>
      <c r="V1484" s="48" t="n">
        <f aca="false">IF($U1484&gt;=MA_SHORT,AVERAGE(INDEX($I$1084:$I1484,402-MA_SHORT):$I1484),"")</f>
        <v>1642.75</v>
      </c>
      <c r="W1484" s="48" t="n">
        <f aca="false">IF($U1484&gt;=MA_MED,AVERAGE(INDEX($I$1084:$I1484,402-MA_MED):$I1484),"")</f>
        <v>1724.54</v>
      </c>
      <c r="X1484" s="48" t="n">
        <f aca="false">IF($U1484&gt;=MA_LONG1,AVERAGE(INDEX($I$1084:$I1484,402-MA_LONG1):$I1484),"")</f>
        <v>1620.44</v>
      </c>
      <c r="Y1484" s="48" t="str">
        <f aca="false">IF($U1484&gt;=MA_LONG2,AVERAGE(INDEX($I$1084:$I1484,402-MA_LONG2):$I1484),"")</f>
        <v/>
      </c>
      <c r="Z1484" s="48" t="n">
        <f aca="false">IF($U1484&gt;=MA_SHORT,AVERAGE(INDEX($L$1364:$L1484,122-MA_SHORT):$L1484),"")</f>
        <v>86291259.3</v>
      </c>
      <c r="AA1484" s="48" t="n">
        <f aca="false">IF($U1484=1,$G1484-$H1484,MAX($G1484-$H1484,ABS($G1484-$I1483),ABS($H1484-$I1483)))</f>
        <v>37</v>
      </c>
      <c r="AB1484" s="48" t="n">
        <f aca="false">IF($U1484&gt;=ATR_PER,AVERAGE(INDEX($AA$1364:$AA1484,122-ATR_PER):$AA1484),"")</f>
        <v>58.3571428571429</v>
      </c>
      <c r="AC1484" s="48" t="n">
        <f aca="false">$O1484-$P1484</f>
        <v>-16923370</v>
      </c>
      <c r="AD1484" s="48" t="n">
        <f aca="false">$AC1484*$I1484</f>
        <v>-26265070240</v>
      </c>
      <c r="AE1484" s="49" t="n">
        <f aca="false">IF($Q1484&gt;0,$O1484*$I1484/$Q1484/1000000,"")</f>
        <v>16.6399863640027</v>
      </c>
      <c r="AF1484" s="49" t="n">
        <f aca="false">IF($R1484&gt;0,$P1484*$I1484/$R1484/1000000,"")</f>
        <v>38.3505056307537</v>
      </c>
      <c r="AG1484" s="50" t="n">
        <f aca="false">IF(AND(ISNUMBER($AE1484),ISNUMBER($AF1484),$AF1484&gt;0),$AE1484/$AF1484,"")</f>
        <v>0.433892228806989</v>
      </c>
      <c r="AH1484" s="48" t="n">
        <f aca="false">IF($U1484&gt;=5,SUM(INDEX($AD$1454:$AD1484,32-5):$AD1484),"")</f>
        <v>-100758732409</v>
      </c>
      <c r="AI1484" s="48" t="n">
        <f aca="false">IF($U1484&gt;=STRUCT_S,MAX(INDEX($G$1334:$G1484,152-STRUCT_S):$G1484),"")</f>
        <v>1817</v>
      </c>
      <c r="AJ1484" s="48" t="n">
        <f aca="false">IF($U1484&gt;=STRUCT_S,MIN(INDEX($H$1334:$H1484,152-STRUCT_S):$H1484),"")</f>
        <v>1548</v>
      </c>
      <c r="AK1484" s="48" t="n">
        <f aca="false">IF($U1484&gt;=STRUCT_L,MAX(INDEX($G$1234:$G1484,252-STRUCT_L):$G1484),"")</f>
        <v>1893</v>
      </c>
      <c r="AL1484" s="48" t="n">
        <f aca="false">IF($U1484&gt;=STRUCT_L,MIN(INDEX($H$1234:$H1484,252-STRUCT_L):$H1484),"")</f>
        <v>1548</v>
      </c>
      <c r="AM1484" s="46" t="n">
        <f aca="false">IF($A1484&lt;&gt;$A1485,1,0)</f>
        <v>0</v>
      </c>
      <c r="AN1484" s="47" t="str">
        <f aca="false">IF($AM1484=1,$A1484,"")</f>
        <v/>
      </c>
    </row>
    <row r="1485" customFormat="false" ht="15" hidden="false" customHeight="false" outlineLevel="0" collapsed="false">
      <c r="A1485" s="43" t="s">
        <v>157</v>
      </c>
      <c r="B1485" s="44" t="s">
        <v>159</v>
      </c>
      <c r="C1485" s="45" t="n">
        <v>46158</v>
      </c>
      <c r="D1485" s="46" t="n">
        <v>20260516</v>
      </c>
      <c r="E1485" s="47" t="s">
        <v>468</v>
      </c>
      <c r="F1485" s="48" t="n">
        <v>1578</v>
      </c>
      <c r="G1485" s="48" t="n">
        <v>1585</v>
      </c>
      <c r="H1485" s="48" t="n">
        <v>1499</v>
      </c>
      <c r="I1485" s="48" t="n">
        <v>1531</v>
      </c>
      <c r="J1485" s="48" t="n">
        <v>1502</v>
      </c>
      <c r="K1485" s="48" t="n">
        <v>1552</v>
      </c>
      <c r="L1485" s="48" t="n">
        <v>128562547</v>
      </c>
      <c r="M1485" s="48" t="n">
        <v>196829259457</v>
      </c>
      <c r="N1485" s="48" t="n">
        <v>3705</v>
      </c>
      <c r="O1485" s="48" t="n">
        <v>54699897</v>
      </c>
      <c r="P1485" s="48" t="n">
        <v>71456356</v>
      </c>
      <c r="Q1485" s="48" t="n">
        <v>1780</v>
      </c>
      <c r="R1485" s="48" t="n">
        <v>1839</v>
      </c>
      <c r="S1485" s="48" t="n">
        <v>73862650</v>
      </c>
      <c r="T1485" s="48" t="n">
        <v>57106191</v>
      </c>
      <c r="U1485" s="46" t="n">
        <f aca="false">IF($A1485=$A1484,$U1484+1,1)</f>
        <v>181</v>
      </c>
      <c r="V1485" s="48" t="n">
        <f aca="false">IF($U1485&gt;=MA_SHORT,AVERAGE(INDEX($I$1085:$I1485,402-MA_SHORT):$I1485),"")</f>
        <v>1632</v>
      </c>
      <c r="W1485" s="48" t="n">
        <f aca="false">IF($U1485&gt;=MA_MED,AVERAGE(INDEX($I$1085:$I1485,402-MA_MED):$I1485),"")</f>
        <v>1719.92</v>
      </c>
      <c r="X1485" s="48" t="n">
        <f aca="false">IF($U1485&gt;=MA_LONG1,AVERAGE(INDEX($I$1085:$I1485,402-MA_LONG1):$I1485),"")</f>
        <v>1621.09</v>
      </c>
      <c r="Y1485" s="48" t="str">
        <f aca="false">IF($U1485&gt;=MA_LONG2,AVERAGE(INDEX($I$1085:$I1485,402-MA_LONG2):$I1485),"")</f>
        <v/>
      </c>
      <c r="Z1485" s="48" t="n">
        <f aca="false">IF($U1485&gt;=MA_SHORT,AVERAGE(INDEX($L$1365:$L1485,122-MA_SHORT):$L1485),"")</f>
        <v>88859258.25</v>
      </c>
      <c r="AA1485" s="48" t="n">
        <f aca="false">IF($U1485=1,$G1485-$H1485,MAX($G1485-$H1485,ABS($G1485-$I1484),ABS($H1485-$I1484)))</f>
        <v>86</v>
      </c>
      <c r="AB1485" s="48" t="n">
        <f aca="false">IF($U1485&gt;=ATR_PER,AVERAGE(INDEX($AA$1365:$AA1485,122-ATR_PER):$AA1485),"")</f>
        <v>55.5</v>
      </c>
      <c r="AC1485" s="48" t="n">
        <f aca="false">$O1485-$P1485</f>
        <v>-16756459</v>
      </c>
      <c r="AD1485" s="48" t="n">
        <f aca="false">$AC1485*$I1485</f>
        <v>-25654138729</v>
      </c>
      <c r="AE1485" s="49" t="n">
        <f aca="false">IF($Q1485&gt;0,$O1485*$I1485/$Q1485/1000000,"")</f>
        <v>47.0480574758427</v>
      </c>
      <c r="AF1485" s="49" t="n">
        <f aca="false">IF($R1485&gt;0,$P1485*$I1485/$R1485/1000000,"")</f>
        <v>59.4886791930397</v>
      </c>
      <c r="AG1485" s="50" t="n">
        <f aca="false">IF(AND(ISNUMBER($AE1485),ISNUMBER($AF1485),$AF1485&gt;0),$AE1485/$AF1485,"")</f>
        <v>0.790874131247268</v>
      </c>
      <c r="AH1485" s="48" t="n">
        <f aca="false">IF($U1485&gt;=5,SUM(INDEX($AD$1455:$AD1485,32-5):$AD1485),"")</f>
        <v>-112859170496</v>
      </c>
      <c r="AI1485" s="48" t="n">
        <f aca="false">IF($U1485&gt;=STRUCT_S,MAX(INDEX($G$1335:$G1485,152-STRUCT_S):$G1485),"")</f>
        <v>1765</v>
      </c>
      <c r="AJ1485" s="48" t="n">
        <f aca="false">IF($U1485&gt;=STRUCT_S,MIN(INDEX($H$1335:$H1485,152-STRUCT_S):$H1485),"")</f>
        <v>1499</v>
      </c>
      <c r="AK1485" s="48" t="n">
        <f aca="false">IF($U1485&gt;=STRUCT_L,MAX(INDEX($G$1235:$G1485,252-STRUCT_L):$G1485),"")</f>
        <v>1893</v>
      </c>
      <c r="AL1485" s="48" t="n">
        <f aca="false">IF($U1485&gt;=STRUCT_L,MIN(INDEX($H$1235:$H1485,252-STRUCT_L):$H1485),"")</f>
        <v>1499</v>
      </c>
      <c r="AM1485" s="46" t="n">
        <f aca="false">IF($A1485&lt;&gt;$A1486,1,0)</f>
        <v>0</v>
      </c>
      <c r="AN1485" s="47" t="str">
        <f aca="false">IF($AM1485=1,$A1485,"")</f>
        <v/>
      </c>
    </row>
    <row r="1486" customFormat="false" ht="15" hidden="false" customHeight="false" outlineLevel="0" collapsed="false">
      <c r="A1486" s="43" t="s">
        <v>157</v>
      </c>
      <c r="B1486" s="44" t="s">
        <v>159</v>
      </c>
      <c r="C1486" s="45" t="n">
        <v>46159</v>
      </c>
      <c r="D1486" s="46" t="n">
        <v>20260517</v>
      </c>
      <c r="E1486" s="47" t="s">
        <v>469</v>
      </c>
      <c r="F1486" s="48" t="n">
        <v>1572</v>
      </c>
      <c r="G1486" s="48" t="n">
        <v>1605</v>
      </c>
      <c r="H1486" s="48" t="n">
        <v>1489</v>
      </c>
      <c r="I1486" s="48" t="n">
        <v>1562</v>
      </c>
      <c r="J1486" s="48" t="n">
        <v>1522</v>
      </c>
      <c r="K1486" s="48" t="n">
        <v>1531</v>
      </c>
      <c r="L1486" s="48" t="n">
        <v>104155200</v>
      </c>
      <c r="M1486" s="48" t="n">
        <v>162690422400</v>
      </c>
      <c r="N1486" s="48" t="n">
        <v>3173</v>
      </c>
      <c r="O1486" s="48" t="n">
        <v>69312356</v>
      </c>
      <c r="P1486" s="48" t="n">
        <v>41477183</v>
      </c>
      <c r="Q1486" s="48" t="n">
        <v>1579</v>
      </c>
      <c r="R1486" s="48" t="n">
        <v>1262</v>
      </c>
      <c r="S1486" s="48" t="n">
        <v>34842844</v>
      </c>
      <c r="T1486" s="48" t="n">
        <v>62678017</v>
      </c>
      <c r="U1486" s="46" t="n">
        <f aca="false">IF($A1486=$A1485,$U1485+1,1)</f>
        <v>182</v>
      </c>
      <c r="V1486" s="48" t="n">
        <f aca="false">IF($U1486&gt;=MA_SHORT,AVERAGE(INDEX($I$1086:$I1486,402-MA_SHORT):$I1486),"")</f>
        <v>1623.05</v>
      </c>
      <c r="W1486" s="48" t="n">
        <f aca="false">IF($U1486&gt;=MA_MED,AVERAGE(INDEX($I$1086:$I1486,402-MA_MED):$I1486),"")</f>
        <v>1717.16</v>
      </c>
      <c r="X1486" s="48" t="n">
        <f aca="false">IF($U1486&gt;=MA_LONG1,AVERAGE(INDEX($I$1086:$I1486,402-MA_LONG1):$I1486),"")</f>
        <v>1622.21</v>
      </c>
      <c r="Y1486" s="48" t="str">
        <f aca="false">IF($U1486&gt;=MA_LONG2,AVERAGE(INDEX($I$1086:$I1486,402-MA_LONG2):$I1486),"")</f>
        <v/>
      </c>
      <c r="Z1486" s="48" t="n">
        <f aca="false">IF($U1486&gt;=MA_SHORT,AVERAGE(INDEX($L$1366:$L1486,122-MA_SHORT):$L1486),"")</f>
        <v>90615679.05</v>
      </c>
      <c r="AA1486" s="48" t="n">
        <f aca="false">IF($U1486=1,$G1486-$H1486,MAX($G1486-$H1486,ABS($G1486-$I1485),ABS($H1486-$I1485)))</f>
        <v>116</v>
      </c>
      <c r="AB1486" s="48" t="n">
        <f aca="false">IF($U1486&gt;=ATR_PER,AVERAGE(INDEX($AA$1366:$AA1486,122-ATR_PER):$AA1486),"")</f>
        <v>60.5714285714286</v>
      </c>
      <c r="AC1486" s="48" t="n">
        <f aca="false">$O1486-$P1486</f>
        <v>27835173</v>
      </c>
      <c r="AD1486" s="48" t="n">
        <f aca="false">$AC1486*$I1486</f>
        <v>43478540226</v>
      </c>
      <c r="AE1486" s="49" t="n">
        <f aca="false">IF($Q1486&gt;0,$O1486*$I1486/$Q1486/1000000,"")</f>
        <v>68.5661178416719</v>
      </c>
      <c r="AF1486" s="49" t="n">
        <f aca="false">IF($R1486&gt;0,$P1486*$I1486/$R1486/1000000,"")</f>
        <v>51.3370521759113</v>
      </c>
      <c r="AG1486" s="50" t="n">
        <f aca="false">IF(AND(ISNUMBER($AE1486),ISNUMBER($AF1486),$AF1486&gt;0),$AE1486/$AF1486,"")</f>
        <v>1.33560683630068</v>
      </c>
      <c r="AH1486" s="48" t="n">
        <f aca="false">IF($U1486&gt;=5,SUM(INDEX($AD$1456:$AD1486,32-5):$AD1486),"")</f>
        <v>-49520049773</v>
      </c>
      <c r="AI1486" s="48" t="n">
        <f aca="false">IF($U1486&gt;=STRUCT_S,MAX(INDEX($G$1336:$G1486,152-STRUCT_S):$G1486),"")</f>
        <v>1765</v>
      </c>
      <c r="AJ1486" s="48" t="n">
        <f aca="false">IF($U1486&gt;=STRUCT_S,MIN(INDEX($H$1336:$H1486,152-STRUCT_S):$H1486),"")</f>
        <v>1489</v>
      </c>
      <c r="AK1486" s="48" t="n">
        <f aca="false">IF($U1486&gt;=STRUCT_L,MAX(INDEX($G$1236:$G1486,252-STRUCT_L):$G1486),"")</f>
        <v>1893</v>
      </c>
      <c r="AL1486" s="48" t="n">
        <f aca="false">IF($U1486&gt;=STRUCT_L,MIN(INDEX($H$1236:$H1486,252-STRUCT_L):$H1486),"")</f>
        <v>1489</v>
      </c>
      <c r="AM1486" s="46" t="n">
        <f aca="false">IF($A1486&lt;&gt;$A1487,1,0)</f>
        <v>0</v>
      </c>
      <c r="AN1486" s="47" t="str">
        <f aca="false">IF($AM1486=1,$A1486,"")</f>
        <v/>
      </c>
    </row>
    <row r="1487" customFormat="false" ht="15" hidden="false" customHeight="false" outlineLevel="0" collapsed="false">
      <c r="A1487" s="43" t="s">
        <v>157</v>
      </c>
      <c r="B1487" s="44" t="s">
        <v>159</v>
      </c>
      <c r="C1487" s="45" t="n">
        <v>46160</v>
      </c>
      <c r="D1487" s="46" t="n">
        <v>20260518</v>
      </c>
      <c r="E1487" s="47" t="s">
        <v>470</v>
      </c>
      <c r="F1487" s="48" t="n">
        <v>1563</v>
      </c>
      <c r="G1487" s="48" t="n">
        <v>1609</v>
      </c>
      <c r="H1487" s="48" t="n">
        <v>1547</v>
      </c>
      <c r="I1487" s="48" t="n">
        <v>1594</v>
      </c>
      <c r="J1487" s="48" t="n">
        <v>1599</v>
      </c>
      <c r="K1487" s="48" t="n">
        <v>1562</v>
      </c>
      <c r="L1487" s="48" t="n">
        <v>105281640</v>
      </c>
      <c r="M1487" s="48" t="n">
        <v>167818934160</v>
      </c>
      <c r="N1487" s="48" t="n">
        <v>3931</v>
      </c>
      <c r="O1487" s="48" t="n">
        <v>54127408</v>
      </c>
      <c r="P1487" s="48" t="n">
        <v>52805115</v>
      </c>
      <c r="Q1487" s="48" t="n">
        <v>1808</v>
      </c>
      <c r="R1487" s="48" t="n">
        <v>1996</v>
      </c>
      <c r="S1487" s="48" t="n">
        <v>51154232</v>
      </c>
      <c r="T1487" s="48" t="n">
        <v>52476525</v>
      </c>
      <c r="U1487" s="46" t="n">
        <f aca="false">IF($A1487=$A1486,$U1486+1,1)</f>
        <v>183</v>
      </c>
      <c r="V1487" s="48" t="n">
        <f aca="false">IF($U1487&gt;=MA_SHORT,AVERAGE(INDEX($I$1087:$I1487,402-MA_SHORT):$I1487),"")</f>
        <v>1615.45</v>
      </c>
      <c r="W1487" s="48" t="n">
        <f aca="false">IF($U1487&gt;=MA_MED,AVERAGE(INDEX($I$1087:$I1487,402-MA_MED):$I1487),"")</f>
        <v>1714.78</v>
      </c>
      <c r="X1487" s="48" t="n">
        <f aca="false">IF($U1487&gt;=MA_LONG1,AVERAGE(INDEX($I$1087:$I1487,402-MA_LONG1):$I1487),"")</f>
        <v>1623.8</v>
      </c>
      <c r="Y1487" s="48" t="str">
        <f aca="false">IF($U1487&gt;=MA_LONG2,AVERAGE(INDEX($I$1087:$I1487,402-MA_LONG2):$I1487),"")</f>
        <v/>
      </c>
      <c r="Z1487" s="48" t="n">
        <f aca="false">IF($U1487&gt;=MA_SHORT,AVERAGE(INDEX($L$1367:$L1487,122-MA_SHORT):$L1487),"")</f>
        <v>91072622.15</v>
      </c>
      <c r="AA1487" s="48" t="n">
        <f aca="false">IF($U1487=1,$G1487-$H1487,MAX($G1487-$H1487,ABS($G1487-$I1486),ABS($H1487-$I1486)))</f>
        <v>62</v>
      </c>
      <c r="AB1487" s="48" t="n">
        <f aca="false">IF($U1487&gt;=ATR_PER,AVERAGE(INDEX($AA$1367:$AA1487,122-ATR_PER):$AA1487),"")</f>
        <v>60.7142857142857</v>
      </c>
      <c r="AC1487" s="48" t="n">
        <f aca="false">$O1487-$P1487</f>
        <v>1322293</v>
      </c>
      <c r="AD1487" s="48" t="n">
        <f aca="false">$AC1487*$I1487</f>
        <v>2107735042</v>
      </c>
      <c r="AE1487" s="49" t="n">
        <f aca="false">IF($Q1487&gt;0,$O1487*$I1487/$Q1487/1000000,"")</f>
        <v>47.7207347079646</v>
      </c>
      <c r="AF1487" s="49" t="n">
        <f aca="false">IF($R1487&gt;0,$P1487*$I1487/$R1487/1000000,"")</f>
        <v>42.1700166883768</v>
      </c>
      <c r="AG1487" s="50" t="n">
        <f aca="false">IF(AND(ISNUMBER($AE1487),ISNUMBER($AF1487),$AF1487&gt;0),$AE1487/$AF1487,"")</f>
        <v>1.13162712409165</v>
      </c>
      <c r="AH1487" s="48" t="n">
        <f aca="false">IF($U1487&gt;=5,SUM(INDEX($AD$1457:$AD1487,32-5):$AD1487),"")</f>
        <v>-24827607667</v>
      </c>
      <c r="AI1487" s="48" t="n">
        <f aca="false">IF($U1487&gt;=STRUCT_S,MAX(INDEX($G$1337:$G1487,152-STRUCT_S):$G1487),"")</f>
        <v>1765</v>
      </c>
      <c r="AJ1487" s="48" t="n">
        <f aca="false">IF($U1487&gt;=STRUCT_S,MIN(INDEX($H$1337:$H1487,152-STRUCT_S):$H1487),"")</f>
        <v>1489</v>
      </c>
      <c r="AK1487" s="48" t="n">
        <f aca="false">IF($U1487&gt;=STRUCT_L,MAX(INDEX($G$1237:$G1487,252-STRUCT_L):$G1487),"")</f>
        <v>1893</v>
      </c>
      <c r="AL1487" s="48" t="n">
        <f aca="false">IF($U1487&gt;=STRUCT_L,MIN(INDEX($H$1237:$H1487,252-STRUCT_L):$H1487),"")</f>
        <v>1489</v>
      </c>
      <c r="AM1487" s="46" t="n">
        <f aca="false">IF($A1487&lt;&gt;$A1488,1,0)</f>
        <v>0</v>
      </c>
      <c r="AN1487" s="47" t="str">
        <f aca="false">IF($AM1487=1,$A1487,"")</f>
        <v/>
      </c>
    </row>
    <row r="1488" customFormat="false" ht="15" hidden="false" customHeight="false" outlineLevel="0" collapsed="false">
      <c r="A1488" s="43" t="s">
        <v>157</v>
      </c>
      <c r="B1488" s="44" t="s">
        <v>159</v>
      </c>
      <c r="C1488" s="45" t="n">
        <v>46161</v>
      </c>
      <c r="D1488" s="46" t="n">
        <v>20260519</v>
      </c>
      <c r="E1488" s="47" t="s">
        <v>471</v>
      </c>
      <c r="F1488" s="48" t="n">
        <v>1588</v>
      </c>
      <c r="G1488" s="48" t="n">
        <v>1611</v>
      </c>
      <c r="H1488" s="48" t="n">
        <v>1546</v>
      </c>
      <c r="I1488" s="48" t="n">
        <v>1562</v>
      </c>
      <c r="J1488" s="48" t="n">
        <v>1592</v>
      </c>
      <c r="K1488" s="48" t="n">
        <v>1594</v>
      </c>
      <c r="L1488" s="48" t="n">
        <v>76034738</v>
      </c>
      <c r="M1488" s="48" t="n">
        <v>118766260756</v>
      </c>
      <c r="N1488" s="48" t="n">
        <v>2041</v>
      </c>
      <c r="O1488" s="48" t="n">
        <v>30416658</v>
      </c>
      <c r="P1488" s="48" t="n">
        <v>44383058</v>
      </c>
      <c r="Q1488" s="48" t="n">
        <v>750</v>
      </c>
      <c r="R1488" s="48" t="n">
        <v>933</v>
      </c>
      <c r="S1488" s="48" t="n">
        <v>45618080</v>
      </c>
      <c r="T1488" s="48" t="n">
        <v>31651680</v>
      </c>
      <c r="U1488" s="46" t="n">
        <f aca="false">IF($A1488=$A1487,$U1487+1,1)</f>
        <v>184</v>
      </c>
      <c r="V1488" s="48" t="n">
        <f aca="false">IF($U1488&gt;=MA_SHORT,AVERAGE(INDEX($I$1088:$I1488,402-MA_SHORT):$I1488),"")</f>
        <v>1609.9</v>
      </c>
      <c r="W1488" s="48" t="n">
        <f aca="false">IF($U1488&gt;=MA_MED,AVERAGE(INDEX($I$1088:$I1488,402-MA_MED):$I1488),"")</f>
        <v>1712.8</v>
      </c>
      <c r="X1488" s="48" t="n">
        <f aca="false">IF($U1488&gt;=MA_LONG1,AVERAGE(INDEX($I$1088:$I1488,402-MA_LONG1):$I1488),"")</f>
        <v>1624.86</v>
      </c>
      <c r="Y1488" s="48" t="str">
        <f aca="false">IF($U1488&gt;=MA_LONG2,AVERAGE(INDEX($I$1088:$I1488,402-MA_LONG2):$I1488),"")</f>
        <v/>
      </c>
      <c r="Z1488" s="48" t="n">
        <f aca="false">IF($U1488&gt;=MA_SHORT,AVERAGE(INDEX($L$1368:$L1488,122-MA_SHORT):$L1488),"")</f>
        <v>90630144.6</v>
      </c>
      <c r="AA1488" s="48" t="n">
        <f aca="false">IF($U1488=1,$G1488-$H1488,MAX($G1488-$H1488,ABS($G1488-$I1487),ABS($H1488-$I1487)))</f>
        <v>65</v>
      </c>
      <c r="AB1488" s="48" t="n">
        <f aca="false">IF($U1488&gt;=ATR_PER,AVERAGE(INDEX($AA$1368:$AA1488,122-ATR_PER):$AA1488),"")</f>
        <v>58.2857142857143</v>
      </c>
      <c r="AC1488" s="48" t="n">
        <f aca="false">$O1488-$P1488</f>
        <v>-13966400</v>
      </c>
      <c r="AD1488" s="48" t="n">
        <f aca="false">$AC1488*$I1488</f>
        <v>-21815516800</v>
      </c>
      <c r="AE1488" s="49" t="n">
        <f aca="false">IF($Q1488&gt;0,$O1488*$I1488/$Q1488/1000000,"")</f>
        <v>63.347759728</v>
      </c>
      <c r="AF1488" s="49" t="n">
        <f aca="false">IF($R1488&gt;0,$P1488*$I1488/$R1488/1000000,"")</f>
        <v>74.3047551939979</v>
      </c>
      <c r="AG1488" s="50" t="n">
        <f aca="false">IF(AND(ISNUMBER($AE1488),ISNUMBER($AF1488),$AF1488&gt;0),$AE1488/$AF1488,"")</f>
        <v>0.852539781102961</v>
      </c>
      <c r="AH1488" s="48" t="n">
        <f aca="false">IF($U1488&gt;=5,SUM(INDEX($AD$1458:$AD1488,32-5):$AD1488),"")</f>
        <v>-28148450501</v>
      </c>
      <c r="AI1488" s="48" t="n">
        <f aca="false">IF($U1488&gt;=STRUCT_S,MAX(INDEX($G$1338:$G1488,152-STRUCT_S):$G1488),"")</f>
        <v>1708</v>
      </c>
      <c r="AJ1488" s="48" t="n">
        <f aca="false">IF($U1488&gt;=STRUCT_S,MIN(INDEX($H$1338:$H1488,152-STRUCT_S):$H1488),"")</f>
        <v>1489</v>
      </c>
      <c r="AK1488" s="48" t="n">
        <f aca="false">IF($U1488&gt;=STRUCT_L,MAX(INDEX($G$1238:$G1488,252-STRUCT_L):$G1488),"")</f>
        <v>1893</v>
      </c>
      <c r="AL1488" s="48" t="n">
        <f aca="false">IF($U1488&gt;=STRUCT_L,MIN(INDEX($H$1238:$H1488,252-STRUCT_L):$H1488),"")</f>
        <v>1489</v>
      </c>
      <c r="AM1488" s="46" t="n">
        <f aca="false">IF($A1488&lt;&gt;$A1489,1,0)</f>
        <v>0</v>
      </c>
      <c r="AN1488" s="47" t="str">
        <f aca="false">IF($AM1488=1,$A1488,"")</f>
        <v/>
      </c>
    </row>
    <row r="1489" customFormat="false" ht="15" hidden="false" customHeight="false" outlineLevel="0" collapsed="false">
      <c r="A1489" s="43" t="s">
        <v>157</v>
      </c>
      <c r="B1489" s="44" t="s">
        <v>159</v>
      </c>
      <c r="C1489" s="45" t="n">
        <v>46162</v>
      </c>
      <c r="D1489" s="46" t="n">
        <v>20260520</v>
      </c>
      <c r="E1489" s="47" t="s">
        <v>472</v>
      </c>
      <c r="F1489" s="48" t="n">
        <v>1575</v>
      </c>
      <c r="G1489" s="48" t="n">
        <v>1604</v>
      </c>
      <c r="H1489" s="48" t="n">
        <v>1544</v>
      </c>
      <c r="I1489" s="48" t="n">
        <v>1586</v>
      </c>
      <c r="J1489" s="48" t="n">
        <v>1555</v>
      </c>
      <c r="K1489" s="48" t="n">
        <v>1562</v>
      </c>
      <c r="L1489" s="48" t="n">
        <v>74116844</v>
      </c>
      <c r="M1489" s="48" t="n">
        <v>117549314584</v>
      </c>
      <c r="N1489" s="48" t="n">
        <v>3748</v>
      </c>
      <c r="O1489" s="48" t="n">
        <v>39283712</v>
      </c>
      <c r="P1489" s="48" t="n">
        <v>33411798</v>
      </c>
      <c r="Q1489" s="48" t="n">
        <v>1375</v>
      </c>
      <c r="R1489" s="48" t="n">
        <v>1999</v>
      </c>
      <c r="S1489" s="48" t="n">
        <v>34833132</v>
      </c>
      <c r="T1489" s="48" t="n">
        <v>40705046</v>
      </c>
      <c r="U1489" s="46" t="n">
        <f aca="false">IF($A1489=$A1488,$U1488+1,1)</f>
        <v>185</v>
      </c>
      <c r="V1489" s="48" t="n">
        <f aca="false">IF($U1489&gt;=MA_SHORT,AVERAGE(INDEX($I$1089:$I1489,402-MA_SHORT):$I1489),"")</f>
        <v>1605.6</v>
      </c>
      <c r="W1489" s="48" t="n">
        <f aca="false">IF($U1489&gt;=MA_MED,AVERAGE(INDEX($I$1089:$I1489,402-MA_MED):$I1489),"")</f>
        <v>1710.46</v>
      </c>
      <c r="X1489" s="48" t="n">
        <f aca="false">IF($U1489&gt;=MA_LONG1,AVERAGE(INDEX($I$1089:$I1489,402-MA_LONG1):$I1489),"")</f>
        <v>1626.74</v>
      </c>
      <c r="Y1489" s="48" t="str">
        <f aca="false">IF($U1489&gt;=MA_LONG2,AVERAGE(INDEX($I$1089:$I1489,402-MA_LONG2):$I1489),"")</f>
        <v/>
      </c>
      <c r="Z1489" s="48" t="n">
        <f aca="false">IF($U1489&gt;=MA_SHORT,AVERAGE(INDEX($L$1369:$L1489,122-MA_SHORT):$L1489),"")</f>
        <v>90930778.55</v>
      </c>
      <c r="AA1489" s="48" t="n">
        <f aca="false">IF($U1489=1,$G1489-$H1489,MAX($G1489-$H1489,ABS($G1489-$I1488),ABS($H1489-$I1488)))</f>
        <v>60</v>
      </c>
      <c r="AB1489" s="48" t="n">
        <f aca="false">IF($U1489&gt;=ATR_PER,AVERAGE(INDEX($AA$1369:$AA1489,122-ATR_PER):$AA1489),"")</f>
        <v>59.5</v>
      </c>
      <c r="AC1489" s="48" t="n">
        <f aca="false">$O1489-$P1489</f>
        <v>5871914</v>
      </c>
      <c r="AD1489" s="48" t="n">
        <f aca="false">$AC1489*$I1489</f>
        <v>9312855604</v>
      </c>
      <c r="AE1489" s="49" t="n">
        <f aca="false">IF($Q1489&gt;0,$O1489*$I1489/$Q1489/1000000,"")</f>
        <v>45.3119761687273</v>
      </c>
      <c r="AF1489" s="49" t="n">
        <f aca="false">IF($R1489&gt;0,$P1489*$I1489/$R1489/1000000,"")</f>
        <v>26.5088102191096</v>
      </c>
      <c r="AG1489" s="50" t="n">
        <f aca="false">IF(AND(ISNUMBER($AE1489),ISNUMBER($AF1489),$AF1489&gt;0),$AE1489/$AF1489,"")</f>
        <v>1.70931761154874</v>
      </c>
      <c r="AH1489" s="48" t="n">
        <f aca="false">IF($U1489&gt;=5,SUM(INDEX($AD$1459:$AD1489,32-5):$AD1489),"")</f>
        <v>7429475343</v>
      </c>
      <c r="AI1489" s="48" t="n">
        <f aca="false">IF($U1489&gt;=STRUCT_S,MAX(INDEX($G$1339:$G1489,152-STRUCT_S):$G1489),"")</f>
        <v>1708</v>
      </c>
      <c r="AJ1489" s="48" t="n">
        <f aca="false">IF($U1489&gt;=STRUCT_S,MIN(INDEX($H$1339:$H1489,152-STRUCT_S):$H1489),"")</f>
        <v>1489</v>
      </c>
      <c r="AK1489" s="48" t="n">
        <f aca="false">IF($U1489&gt;=STRUCT_L,MAX(INDEX($G$1239:$G1489,252-STRUCT_L):$G1489),"")</f>
        <v>1893</v>
      </c>
      <c r="AL1489" s="48" t="n">
        <f aca="false">IF($U1489&gt;=STRUCT_L,MIN(INDEX($H$1239:$H1489,252-STRUCT_L):$H1489),"")</f>
        <v>1489</v>
      </c>
      <c r="AM1489" s="46" t="n">
        <f aca="false">IF($A1489&lt;&gt;$A1490,1,0)</f>
        <v>0</v>
      </c>
      <c r="AN1489" s="47" t="str">
        <f aca="false">IF($AM1489=1,$A1489,"")</f>
        <v/>
      </c>
    </row>
    <row r="1490" customFormat="false" ht="15" hidden="false" customHeight="false" outlineLevel="0" collapsed="false">
      <c r="A1490" s="43" t="s">
        <v>157</v>
      </c>
      <c r="B1490" s="44" t="s">
        <v>159</v>
      </c>
      <c r="C1490" s="45" t="n">
        <v>46165</v>
      </c>
      <c r="D1490" s="46" t="n">
        <v>20260523</v>
      </c>
      <c r="E1490" s="47" t="s">
        <v>473</v>
      </c>
      <c r="F1490" s="48" t="n">
        <v>1591</v>
      </c>
      <c r="G1490" s="48" t="n">
        <v>1593</v>
      </c>
      <c r="H1490" s="48" t="n">
        <v>1578</v>
      </c>
      <c r="I1490" s="48" t="n">
        <v>1585</v>
      </c>
      <c r="J1490" s="48" t="n">
        <v>1582</v>
      </c>
      <c r="K1490" s="48" t="n">
        <v>1586</v>
      </c>
      <c r="L1490" s="48" t="n">
        <v>93925283</v>
      </c>
      <c r="M1490" s="48" t="n">
        <v>148871573555</v>
      </c>
      <c r="N1490" s="48" t="n">
        <v>2816</v>
      </c>
      <c r="O1490" s="48" t="n">
        <v>50292355</v>
      </c>
      <c r="P1490" s="48" t="n">
        <v>45585666</v>
      </c>
      <c r="Q1490" s="48" t="n">
        <v>1326</v>
      </c>
      <c r="R1490" s="48" t="n">
        <v>1422</v>
      </c>
      <c r="S1490" s="48" t="n">
        <v>43632928</v>
      </c>
      <c r="T1490" s="48" t="n">
        <v>48339617</v>
      </c>
      <c r="U1490" s="46" t="n">
        <f aca="false">IF($A1490=$A1489,$U1489+1,1)</f>
        <v>186</v>
      </c>
      <c r="V1490" s="48" t="n">
        <f aca="false">IF($U1490&gt;=MA_SHORT,AVERAGE(INDEX($I$1090:$I1490,402-MA_SHORT):$I1490),"")</f>
        <v>1604.35</v>
      </c>
      <c r="W1490" s="48" t="n">
        <f aca="false">IF($U1490&gt;=MA_MED,AVERAGE(INDEX($I$1090:$I1490,402-MA_MED):$I1490),"")</f>
        <v>1707.3</v>
      </c>
      <c r="X1490" s="48" t="n">
        <f aca="false">IF($U1490&gt;=MA_LONG1,AVERAGE(INDEX($I$1090:$I1490,402-MA_LONG1):$I1490),"")</f>
        <v>1628.57</v>
      </c>
      <c r="Y1490" s="48" t="str">
        <f aca="false">IF($U1490&gt;=MA_LONG2,AVERAGE(INDEX($I$1090:$I1490,402-MA_LONG2):$I1490),"")</f>
        <v/>
      </c>
      <c r="Z1490" s="48" t="n">
        <f aca="false">IF($U1490&gt;=MA_SHORT,AVERAGE(INDEX($L$1370:$L1490,122-MA_SHORT):$L1490),"")</f>
        <v>91424662.8</v>
      </c>
      <c r="AA1490" s="48" t="n">
        <f aca="false">IF($U1490=1,$G1490-$H1490,MAX($G1490-$H1490,ABS($G1490-$I1489),ABS($H1490-$I1489)))</f>
        <v>15</v>
      </c>
      <c r="AB1490" s="48" t="n">
        <f aca="false">IF($U1490&gt;=ATR_PER,AVERAGE(INDEX($AA$1370:$AA1490,122-ATR_PER):$AA1490),"")</f>
        <v>56.5</v>
      </c>
      <c r="AC1490" s="48" t="n">
        <f aca="false">$O1490-$P1490</f>
        <v>4706689</v>
      </c>
      <c r="AD1490" s="48" t="n">
        <f aca="false">$AC1490*$I1490</f>
        <v>7460102065</v>
      </c>
      <c r="AE1490" s="49" t="n">
        <f aca="false">IF($Q1490&gt;0,$O1490*$I1490/$Q1490/1000000,"")</f>
        <v>60.115673208899</v>
      </c>
      <c r="AF1490" s="49" t="n">
        <f aca="false">IF($R1490&gt;0,$P1490*$I1490/$R1490/1000000,"")</f>
        <v>50.8110271518987</v>
      </c>
      <c r="AG1490" s="50" t="n">
        <f aca="false">IF(AND(ISNUMBER($AE1490),ISNUMBER($AF1490),$AF1490&gt;0),$AE1490/$AF1490,"")</f>
        <v>1.18312257355444</v>
      </c>
      <c r="AH1490" s="48" t="n">
        <f aca="false">IF($U1490&gt;=5,SUM(INDEX($AD$1460:$AD1490,32-5):$AD1490),"")</f>
        <v>40543716137</v>
      </c>
      <c r="AI1490" s="48" t="n">
        <f aca="false">IF($U1490&gt;=STRUCT_S,MAX(INDEX($G$1340:$G1490,152-STRUCT_S):$G1490),"")</f>
        <v>1708</v>
      </c>
      <c r="AJ1490" s="48" t="n">
        <f aca="false">IF($U1490&gt;=STRUCT_S,MIN(INDEX($H$1340:$H1490,152-STRUCT_S):$H1490),"")</f>
        <v>1489</v>
      </c>
      <c r="AK1490" s="48" t="n">
        <f aca="false">IF($U1490&gt;=STRUCT_L,MAX(INDEX($G$1240:$G1490,252-STRUCT_L):$G1490),"")</f>
        <v>1893</v>
      </c>
      <c r="AL1490" s="48" t="n">
        <f aca="false">IF($U1490&gt;=STRUCT_L,MIN(INDEX($H$1240:$H1490,252-STRUCT_L):$H1490),"")</f>
        <v>1489</v>
      </c>
      <c r="AM1490" s="46" t="n">
        <f aca="false">IF($A1490&lt;&gt;$A1491,1,0)</f>
        <v>0</v>
      </c>
      <c r="AN1490" s="47" t="str">
        <f aca="false">IF($AM1490=1,$A1490,"")</f>
        <v/>
      </c>
    </row>
    <row r="1491" customFormat="false" ht="15" hidden="false" customHeight="false" outlineLevel="0" collapsed="false">
      <c r="A1491" s="43" t="s">
        <v>157</v>
      </c>
      <c r="B1491" s="44" t="s">
        <v>159</v>
      </c>
      <c r="C1491" s="45" t="n">
        <v>46166</v>
      </c>
      <c r="D1491" s="46" t="n">
        <v>20260524</v>
      </c>
      <c r="E1491" s="47" t="s">
        <v>474</v>
      </c>
      <c r="F1491" s="48" t="n">
        <v>1569</v>
      </c>
      <c r="G1491" s="48" t="n">
        <v>1607</v>
      </c>
      <c r="H1491" s="48" t="n">
        <v>1561</v>
      </c>
      <c r="I1491" s="48" t="n">
        <v>1583</v>
      </c>
      <c r="J1491" s="48" t="n">
        <v>1563</v>
      </c>
      <c r="K1491" s="48" t="n">
        <v>1585</v>
      </c>
      <c r="L1491" s="48" t="n">
        <v>68374564</v>
      </c>
      <c r="M1491" s="48" t="n">
        <v>108236934812</v>
      </c>
      <c r="N1491" s="48" t="n">
        <v>1931</v>
      </c>
      <c r="O1491" s="48" t="n">
        <v>35630819</v>
      </c>
      <c r="P1491" s="48" t="n">
        <v>30978357</v>
      </c>
      <c r="Q1491" s="48" t="n">
        <v>633</v>
      </c>
      <c r="R1491" s="48" t="n">
        <v>1022</v>
      </c>
      <c r="S1491" s="48" t="n">
        <v>32743745</v>
      </c>
      <c r="T1491" s="48" t="n">
        <v>37396207</v>
      </c>
      <c r="U1491" s="46" t="n">
        <f aca="false">IF($A1491=$A1490,$U1490+1,1)</f>
        <v>187</v>
      </c>
      <c r="V1491" s="48" t="n">
        <f aca="false">IF($U1491&gt;=MA_SHORT,AVERAGE(INDEX($I$1091:$I1491,402-MA_SHORT):$I1491),"")</f>
        <v>1599.55</v>
      </c>
      <c r="W1491" s="48" t="n">
        <f aca="false">IF($U1491&gt;=MA_MED,AVERAGE(INDEX($I$1091:$I1491,402-MA_MED):$I1491),"")</f>
        <v>1704.86</v>
      </c>
      <c r="X1491" s="48" t="n">
        <f aca="false">IF($U1491&gt;=MA_LONG1,AVERAGE(INDEX($I$1091:$I1491,402-MA_LONG1):$I1491),"")</f>
        <v>1630.15</v>
      </c>
      <c r="Y1491" s="48" t="str">
        <f aca="false">IF($U1491&gt;=MA_LONG2,AVERAGE(INDEX($I$1091:$I1491,402-MA_LONG2):$I1491),"")</f>
        <v/>
      </c>
      <c r="Z1491" s="48" t="n">
        <f aca="false">IF($U1491&gt;=MA_SHORT,AVERAGE(INDEX($L$1371:$L1491,122-MA_SHORT):$L1491),"")</f>
        <v>90219385.4</v>
      </c>
      <c r="AA1491" s="48" t="n">
        <f aca="false">IF($U1491=1,$G1491-$H1491,MAX($G1491-$H1491,ABS($G1491-$I1490),ABS($H1491-$I1490)))</f>
        <v>46</v>
      </c>
      <c r="AB1491" s="48" t="n">
        <f aca="false">IF($U1491&gt;=ATR_PER,AVERAGE(INDEX($AA$1371:$AA1491,122-ATR_PER):$AA1491),"")</f>
        <v>56.5714285714286</v>
      </c>
      <c r="AC1491" s="48" t="n">
        <f aca="false">$O1491-$P1491</f>
        <v>4652462</v>
      </c>
      <c r="AD1491" s="48" t="n">
        <f aca="false">$AC1491*$I1491</f>
        <v>7364847346</v>
      </c>
      <c r="AE1491" s="49" t="n">
        <f aca="false">IF($Q1491&gt;0,$O1491*$I1491/$Q1491/1000000,"")</f>
        <v>89.105191906793</v>
      </c>
      <c r="AF1491" s="49" t="n">
        <f aca="false">IF($R1491&gt;0,$P1491*$I1491/$R1491/1000000,"")</f>
        <v>47.9831106956947</v>
      </c>
      <c r="AG1491" s="50" t="n">
        <f aca="false">IF(AND(ISNUMBER($AE1491),ISNUMBER($AF1491),$AF1491&gt;0),$AE1491/$AF1491,"")</f>
        <v>1.85701157375751</v>
      </c>
      <c r="AH1491" s="48" t="n">
        <f aca="false">IF($U1491&gt;=5,SUM(INDEX($AD$1461:$AD1491,32-5):$AD1491),"")</f>
        <v>4430023257</v>
      </c>
      <c r="AI1491" s="48" t="n">
        <f aca="false">IF($U1491&gt;=STRUCT_S,MAX(INDEX($G$1341:$G1491,152-STRUCT_S):$G1491),"")</f>
        <v>1696</v>
      </c>
      <c r="AJ1491" s="48" t="n">
        <f aca="false">IF($U1491&gt;=STRUCT_S,MIN(INDEX($H$1341:$H1491,152-STRUCT_S):$H1491),"")</f>
        <v>1489</v>
      </c>
      <c r="AK1491" s="48" t="n">
        <f aca="false">IF($U1491&gt;=STRUCT_L,MAX(INDEX($G$1241:$G1491,252-STRUCT_L):$G1491),"")</f>
        <v>1893</v>
      </c>
      <c r="AL1491" s="48" t="n">
        <f aca="false">IF($U1491&gt;=STRUCT_L,MIN(INDEX($H$1241:$H1491,252-STRUCT_L):$H1491),"")</f>
        <v>1489</v>
      </c>
      <c r="AM1491" s="46" t="n">
        <f aca="false">IF($A1491&lt;&gt;$A1492,1,0)</f>
        <v>0</v>
      </c>
      <c r="AN1491" s="47" t="str">
        <f aca="false">IF($AM1491=1,$A1491,"")</f>
        <v/>
      </c>
    </row>
    <row r="1492" customFormat="false" ht="15" hidden="false" customHeight="false" outlineLevel="0" collapsed="false">
      <c r="A1492" s="43" t="s">
        <v>157</v>
      </c>
      <c r="B1492" s="44" t="s">
        <v>159</v>
      </c>
      <c r="C1492" s="45" t="n">
        <v>46167</v>
      </c>
      <c r="D1492" s="46" t="n">
        <v>20260525</v>
      </c>
      <c r="E1492" s="47" t="s">
        <v>475</v>
      </c>
      <c r="F1492" s="48" t="n">
        <v>1610</v>
      </c>
      <c r="G1492" s="48" t="n">
        <v>1610</v>
      </c>
      <c r="H1492" s="48" t="n">
        <v>1573</v>
      </c>
      <c r="I1492" s="48" t="n">
        <v>1600</v>
      </c>
      <c r="J1492" s="48" t="n">
        <v>1577</v>
      </c>
      <c r="K1492" s="48" t="n">
        <v>1583</v>
      </c>
      <c r="L1492" s="48" t="n">
        <v>72233375</v>
      </c>
      <c r="M1492" s="48" t="n">
        <v>115573400000</v>
      </c>
      <c r="N1492" s="48" t="n">
        <v>6625</v>
      </c>
      <c r="O1492" s="48" t="n">
        <v>38945096</v>
      </c>
      <c r="P1492" s="48" t="n">
        <v>38122357</v>
      </c>
      <c r="Q1492" s="48" t="n">
        <v>2873</v>
      </c>
      <c r="R1492" s="48" t="n">
        <v>2188</v>
      </c>
      <c r="S1492" s="48" t="n">
        <v>33288279</v>
      </c>
      <c r="T1492" s="48" t="n">
        <v>34111018</v>
      </c>
      <c r="U1492" s="46" t="n">
        <f aca="false">IF($A1492=$A1491,$U1491+1,1)</f>
        <v>188</v>
      </c>
      <c r="V1492" s="48" t="n">
        <f aca="false">IF($U1492&gt;=MA_SHORT,AVERAGE(INDEX($I$1092:$I1492,402-MA_SHORT):$I1492),"")</f>
        <v>1596.15</v>
      </c>
      <c r="W1492" s="48" t="n">
        <f aca="false">IF($U1492&gt;=MA_MED,AVERAGE(INDEX($I$1092:$I1492,402-MA_MED):$I1492),"")</f>
        <v>1702.64</v>
      </c>
      <c r="X1492" s="48" t="n">
        <f aca="false">IF($U1492&gt;=MA_LONG1,AVERAGE(INDEX($I$1092:$I1492,402-MA_LONG1):$I1492),"")</f>
        <v>1632.28</v>
      </c>
      <c r="Y1492" s="48" t="str">
        <f aca="false">IF($U1492&gt;=MA_LONG2,AVERAGE(INDEX($I$1092:$I1492,402-MA_LONG2):$I1492),"")</f>
        <v/>
      </c>
      <c r="Z1492" s="48" t="n">
        <f aca="false">IF($U1492&gt;=MA_SHORT,AVERAGE(INDEX($L$1372:$L1492,122-MA_SHORT):$L1492),"")</f>
        <v>90304637.2</v>
      </c>
      <c r="AA1492" s="48" t="n">
        <f aca="false">IF($U1492=1,$G1492-$H1492,MAX($G1492-$H1492,ABS($G1492-$I1491),ABS($H1492-$I1491)))</f>
        <v>37</v>
      </c>
      <c r="AB1492" s="48" t="n">
        <f aca="false">IF($U1492&gt;=ATR_PER,AVERAGE(INDEX($AA$1372:$AA1492,122-ATR_PER):$AA1492),"")</f>
        <v>53.7142857142857</v>
      </c>
      <c r="AC1492" s="48" t="n">
        <f aca="false">$O1492-$P1492</f>
        <v>822739</v>
      </c>
      <c r="AD1492" s="48" t="n">
        <f aca="false">$AC1492*$I1492</f>
        <v>1316382400</v>
      </c>
      <c r="AE1492" s="49" t="n">
        <f aca="false">IF($Q1492&gt;0,$O1492*$I1492/$Q1492/1000000,"")</f>
        <v>21.6888804733728</v>
      </c>
      <c r="AF1492" s="49" t="n">
        <f aca="false">IF($R1492&gt;0,$P1492*$I1492/$R1492/1000000,"")</f>
        <v>27.8774091407678</v>
      </c>
      <c r="AG1492" s="50" t="n">
        <f aca="false">IF(AND(ISNUMBER($AE1492),ISNUMBER($AF1492),$AF1492&gt;0),$AE1492/$AF1492,"")</f>
        <v>0.778009188868812</v>
      </c>
      <c r="AH1492" s="48" t="n">
        <f aca="false">IF($U1492&gt;=5,SUM(INDEX($AD$1462:$AD1492,32-5):$AD1492),"")</f>
        <v>3638670615</v>
      </c>
      <c r="AI1492" s="48" t="n">
        <f aca="false">IF($U1492&gt;=STRUCT_S,MAX(INDEX($G$1342:$G1492,152-STRUCT_S):$G1492),"")</f>
        <v>1690</v>
      </c>
      <c r="AJ1492" s="48" t="n">
        <f aca="false">IF($U1492&gt;=STRUCT_S,MIN(INDEX($H$1342:$H1492,152-STRUCT_S):$H1492),"")</f>
        <v>1489</v>
      </c>
      <c r="AK1492" s="48" t="n">
        <f aca="false">IF($U1492&gt;=STRUCT_L,MAX(INDEX($G$1242:$G1492,252-STRUCT_L):$G1492),"")</f>
        <v>1893</v>
      </c>
      <c r="AL1492" s="48" t="n">
        <f aca="false">IF($U1492&gt;=STRUCT_L,MIN(INDEX($H$1242:$H1492,252-STRUCT_L):$H1492),"")</f>
        <v>1489</v>
      </c>
      <c r="AM1492" s="46" t="n">
        <f aca="false">IF($A1492&lt;&gt;$A1493,1,0)</f>
        <v>0</v>
      </c>
      <c r="AN1492" s="47" t="str">
        <f aca="false">IF($AM1492=1,$A1492,"")</f>
        <v/>
      </c>
    </row>
    <row r="1493" customFormat="false" ht="15" hidden="false" customHeight="false" outlineLevel="0" collapsed="false">
      <c r="A1493" s="43" t="s">
        <v>157</v>
      </c>
      <c r="B1493" s="44" t="s">
        <v>159</v>
      </c>
      <c r="C1493" s="45" t="n">
        <v>46168</v>
      </c>
      <c r="D1493" s="46" t="n">
        <v>20260526</v>
      </c>
      <c r="E1493" s="47" t="s">
        <v>476</v>
      </c>
      <c r="F1493" s="48" t="n">
        <v>1653</v>
      </c>
      <c r="G1493" s="48" t="n">
        <v>1666</v>
      </c>
      <c r="H1493" s="48" t="n">
        <v>1581</v>
      </c>
      <c r="I1493" s="48" t="n">
        <v>1646</v>
      </c>
      <c r="J1493" s="48" t="n">
        <v>1610</v>
      </c>
      <c r="K1493" s="48" t="n">
        <v>1600</v>
      </c>
      <c r="L1493" s="48" t="n">
        <v>79566778</v>
      </c>
      <c r="M1493" s="48" t="n">
        <v>130966916588</v>
      </c>
      <c r="N1493" s="48" t="n">
        <v>3528</v>
      </c>
      <c r="O1493" s="48" t="n">
        <v>48742152</v>
      </c>
      <c r="P1493" s="48" t="n">
        <v>33812945</v>
      </c>
      <c r="Q1493" s="48" t="n">
        <v>1418</v>
      </c>
      <c r="R1493" s="48" t="n">
        <v>1228</v>
      </c>
      <c r="S1493" s="48" t="n">
        <v>30824626</v>
      </c>
      <c r="T1493" s="48" t="n">
        <v>45753833</v>
      </c>
      <c r="U1493" s="46" t="n">
        <f aca="false">IF($A1493=$A1492,$U1492+1,1)</f>
        <v>189</v>
      </c>
      <c r="V1493" s="48" t="n">
        <f aca="false">IF($U1493&gt;=MA_SHORT,AVERAGE(INDEX($I$1093:$I1493,402-MA_SHORT):$I1493),"")</f>
        <v>1595.9</v>
      </c>
      <c r="W1493" s="48" t="n">
        <f aca="false">IF($U1493&gt;=MA_MED,AVERAGE(INDEX($I$1093:$I1493,402-MA_MED):$I1493),"")</f>
        <v>1699.72</v>
      </c>
      <c r="X1493" s="48" t="n">
        <f aca="false">IF($U1493&gt;=MA_LONG1,AVERAGE(INDEX($I$1093:$I1493,402-MA_LONG1):$I1493),"")</f>
        <v>1635.44</v>
      </c>
      <c r="Y1493" s="48" t="str">
        <f aca="false">IF($U1493&gt;=MA_LONG2,AVERAGE(INDEX($I$1093:$I1493,402-MA_LONG2):$I1493),"")</f>
        <v/>
      </c>
      <c r="Z1493" s="48" t="n">
        <f aca="false">IF($U1493&gt;=MA_SHORT,AVERAGE(INDEX($L$1373:$L1493,122-MA_SHORT):$L1493),"")</f>
        <v>89411717.7</v>
      </c>
      <c r="AA1493" s="48" t="n">
        <f aca="false">IF($U1493=1,$G1493-$H1493,MAX($G1493-$H1493,ABS($G1493-$I1492),ABS($H1493-$I1492)))</f>
        <v>85</v>
      </c>
      <c r="AB1493" s="48" t="n">
        <f aca="false">IF($U1493&gt;=ATR_PER,AVERAGE(INDEX($AA$1373:$AA1493,122-ATR_PER):$AA1493),"")</f>
        <v>53.8571428571429</v>
      </c>
      <c r="AC1493" s="48" t="n">
        <f aca="false">$O1493-$P1493</f>
        <v>14929207</v>
      </c>
      <c r="AD1493" s="48" t="n">
        <f aca="false">$AC1493*$I1493</f>
        <v>24573474722</v>
      </c>
      <c r="AE1493" s="49" t="n">
        <f aca="false">IF($Q1493&gt;0,$O1493*$I1493/$Q1493/1000000,"")</f>
        <v>56.5793950578279</v>
      </c>
      <c r="AF1493" s="49" t="n">
        <f aca="false">IF($R1493&gt;0,$P1493*$I1493/$R1493/1000000,"")</f>
        <v>45.3225630863192</v>
      </c>
      <c r="AG1493" s="50" t="n">
        <f aca="false">IF(AND(ISNUMBER($AE1493),ISNUMBER($AF1493),$AF1493&gt;0),$AE1493/$AF1493,"")</f>
        <v>1.24837147780167</v>
      </c>
      <c r="AH1493" s="48" t="n">
        <f aca="false">IF($U1493&gt;=5,SUM(INDEX($AD$1463:$AD1493,32-5):$AD1493),"")</f>
        <v>50027662137</v>
      </c>
      <c r="AI1493" s="48" t="n">
        <f aca="false">IF($U1493&gt;=STRUCT_S,MAX(INDEX($G$1343:$G1493,152-STRUCT_S):$G1493),"")</f>
        <v>1687</v>
      </c>
      <c r="AJ1493" s="48" t="n">
        <f aca="false">IF($U1493&gt;=STRUCT_S,MIN(INDEX($H$1343:$H1493,152-STRUCT_S):$H1493),"")</f>
        <v>1489</v>
      </c>
      <c r="AK1493" s="48" t="n">
        <f aca="false">IF($U1493&gt;=STRUCT_L,MAX(INDEX($G$1243:$G1493,252-STRUCT_L):$G1493),"")</f>
        <v>1893</v>
      </c>
      <c r="AL1493" s="48" t="n">
        <f aca="false">IF($U1493&gt;=STRUCT_L,MIN(INDEX($H$1243:$H1493,252-STRUCT_L):$H1493),"")</f>
        <v>1489</v>
      </c>
      <c r="AM1493" s="46" t="n">
        <f aca="false">IF($A1493&lt;&gt;$A1494,1,0)</f>
        <v>0</v>
      </c>
      <c r="AN1493" s="47" t="str">
        <f aca="false">IF($AM1493=1,$A1493,"")</f>
        <v/>
      </c>
    </row>
    <row r="1494" customFormat="false" ht="15" hidden="false" customHeight="false" outlineLevel="0" collapsed="false">
      <c r="A1494" s="43" t="s">
        <v>157</v>
      </c>
      <c r="B1494" s="44" t="s">
        <v>159</v>
      </c>
      <c r="C1494" s="45" t="n">
        <v>46169</v>
      </c>
      <c r="D1494" s="46" t="n">
        <v>20260527</v>
      </c>
      <c r="E1494" s="47" t="s">
        <v>477</v>
      </c>
      <c r="F1494" s="48" t="n">
        <v>1675</v>
      </c>
      <c r="G1494" s="48" t="n">
        <v>1681</v>
      </c>
      <c r="H1494" s="48" t="n">
        <v>1620</v>
      </c>
      <c r="I1494" s="48" t="n">
        <v>1655</v>
      </c>
      <c r="J1494" s="48" t="n">
        <v>1676</v>
      </c>
      <c r="K1494" s="48" t="n">
        <v>1646</v>
      </c>
      <c r="L1494" s="48" t="n">
        <v>70087087</v>
      </c>
      <c r="M1494" s="48" t="n">
        <v>115994128985</v>
      </c>
      <c r="N1494" s="48" t="n">
        <v>4479</v>
      </c>
      <c r="O1494" s="48" t="n">
        <v>34715102</v>
      </c>
      <c r="P1494" s="48" t="n">
        <v>32370787</v>
      </c>
      <c r="Q1494" s="48" t="n">
        <v>2369</v>
      </c>
      <c r="R1494" s="48" t="n">
        <v>2198</v>
      </c>
      <c r="S1494" s="48" t="n">
        <v>35371985</v>
      </c>
      <c r="T1494" s="48" t="n">
        <v>37716300</v>
      </c>
      <c r="U1494" s="46" t="n">
        <f aca="false">IF($A1494=$A1493,$U1493+1,1)</f>
        <v>190</v>
      </c>
      <c r="V1494" s="48" t="n">
        <f aca="false">IF($U1494&gt;=MA_SHORT,AVERAGE(INDEX($I$1094:$I1494,402-MA_SHORT):$I1494),"")</f>
        <v>1597.45</v>
      </c>
      <c r="W1494" s="48" t="n">
        <f aca="false">IF($U1494&gt;=MA_MED,AVERAGE(INDEX($I$1094:$I1494,402-MA_MED):$I1494),"")</f>
        <v>1696.4</v>
      </c>
      <c r="X1494" s="48" t="n">
        <f aca="false">IF($U1494&gt;=MA_LONG1,AVERAGE(INDEX($I$1094:$I1494,402-MA_LONG1):$I1494),"")</f>
        <v>1638.49</v>
      </c>
      <c r="Y1494" s="48" t="str">
        <f aca="false">IF($U1494&gt;=MA_LONG2,AVERAGE(INDEX($I$1094:$I1494,402-MA_LONG2):$I1494),"")</f>
        <v/>
      </c>
      <c r="Z1494" s="48" t="n">
        <f aca="false">IF($U1494&gt;=MA_SHORT,AVERAGE(INDEX($L$1374:$L1494,122-MA_SHORT):$L1494),"")</f>
        <v>89190099.5</v>
      </c>
      <c r="AA1494" s="48" t="n">
        <f aca="false">IF($U1494=1,$G1494-$H1494,MAX($G1494-$H1494,ABS($G1494-$I1493),ABS($H1494-$I1493)))</f>
        <v>61</v>
      </c>
      <c r="AB1494" s="48" t="n">
        <f aca="false">IF($U1494&gt;=ATR_PER,AVERAGE(INDEX($AA$1374:$AA1494,122-ATR_PER):$AA1494),"")</f>
        <v>56.5</v>
      </c>
      <c r="AC1494" s="48" t="n">
        <f aca="false">$O1494-$P1494</f>
        <v>2344315</v>
      </c>
      <c r="AD1494" s="48" t="n">
        <f aca="false">$AC1494*$I1494</f>
        <v>3879841325</v>
      </c>
      <c r="AE1494" s="49" t="n">
        <f aca="false">IF($Q1494&gt;0,$O1494*$I1494/$Q1494/1000000,"")</f>
        <v>24.2522135120304</v>
      </c>
      <c r="AF1494" s="49" t="n">
        <f aca="false">IF($R1494&gt;0,$P1494*$I1494/$R1494/1000000,"")</f>
        <v>24.3738182370337</v>
      </c>
      <c r="AG1494" s="50" t="n">
        <f aca="false">IF(AND(ISNUMBER($AE1494),ISNUMBER($AF1494),$AF1494&gt;0),$AE1494/$AF1494,"")</f>
        <v>0.995010846317936</v>
      </c>
      <c r="AH1494" s="48" t="n">
        <f aca="false">IF($U1494&gt;=5,SUM(INDEX($AD$1464:$AD1494,32-5):$AD1494),"")</f>
        <v>44594647858</v>
      </c>
      <c r="AI1494" s="48" t="n">
        <f aca="false">IF($U1494&gt;=STRUCT_S,MAX(INDEX($G$1344:$G1494,152-STRUCT_S):$G1494),"")</f>
        <v>1681</v>
      </c>
      <c r="AJ1494" s="48" t="n">
        <f aca="false">IF($U1494&gt;=STRUCT_S,MIN(INDEX($H$1344:$H1494,152-STRUCT_S):$H1494),"")</f>
        <v>1489</v>
      </c>
      <c r="AK1494" s="48" t="n">
        <f aca="false">IF($U1494&gt;=STRUCT_L,MAX(INDEX($G$1244:$G1494,252-STRUCT_L):$G1494),"")</f>
        <v>1893</v>
      </c>
      <c r="AL1494" s="48" t="n">
        <f aca="false">IF($U1494&gt;=STRUCT_L,MIN(INDEX($H$1244:$H1494,252-STRUCT_L):$H1494),"")</f>
        <v>1489</v>
      </c>
      <c r="AM1494" s="46" t="n">
        <f aca="false">IF($A1494&lt;&gt;$A1495,1,0)</f>
        <v>0</v>
      </c>
      <c r="AN1494" s="47" t="str">
        <f aca="false">IF($AM1494=1,$A1494,"")</f>
        <v/>
      </c>
    </row>
    <row r="1495" customFormat="false" ht="15" hidden="false" customHeight="false" outlineLevel="0" collapsed="false">
      <c r="A1495" s="43" t="s">
        <v>157</v>
      </c>
      <c r="B1495" s="44" t="s">
        <v>159</v>
      </c>
      <c r="C1495" s="45" t="n">
        <v>46172</v>
      </c>
      <c r="D1495" s="46" t="n">
        <v>20260530</v>
      </c>
      <c r="E1495" s="47" t="s">
        <v>478</v>
      </c>
      <c r="F1495" s="48" t="n">
        <v>1625</v>
      </c>
      <c r="G1495" s="48" t="n">
        <v>1659</v>
      </c>
      <c r="H1495" s="48" t="n">
        <v>1595</v>
      </c>
      <c r="I1495" s="48" t="n">
        <v>1599</v>
      </c>
      <c r="J1495" s="48" t="n">
        <v>1647</v>
      </c>
      <c r="K1495" s="48" t="n">
        <v>1655</v>
      </c>
      <c r="L1495" s="48" t="n">
        <v>81637967</v>
      </c>
      <c r="M1495" s="48" t="n">
        <v>130539109233</v>
      </c>
      <c r="N1495" s="48" t="n">
        <v>2466</v>
      </c>
      <c r="O1495" s="48" t="n">
        <v>25103320</v>
      </c>
      <c r="P1495" s="48" t="n">
        <v>55204185</v>
      </c>
      <c r="Q1495" s="48" t="n">
        <v>1260</v>
      </c>
      <c r="R1495" s="48" t="n">
        <v>1276</v>
      </c>
      <c r="S1495" s="48" t="n">
        <v>56534647</v>
      </c>
      <c r="T1495" s="48" t="n">
        <v>26433782</v>
      </c>
      <c r="U1495" s="46" t="n">
        <f aca="false">IF($A1495=$A1494,$U1494+1,1)</f>
        <v>191</v>
      </c>
      <c r="V1495" s="48" t="n">
        <f aca="false">IF($U1495&gt;=MA_SHORT,AVERAGE(INDEX($I$1095:$I1495,402-MA_SHORT):$I1495),"")</f>
        <v>1594.65</v>
      </c>
      <c r="W1495" s="48" t="n">
        <f aca="false">IF($U1495&gt;=MA_MED,AVERAGE(INDEX($I$1095:$I1495,402-MA_MED):$I1495),"")</f>
        <v>1691.82</v>
      </c>
      <c r="X1495" s="48" t="n">
        <f aca="false">IF($U1495&gt;=MA_LONG1,AVERAGE(INDEX($I$1095:$I1495,402-MA_LONG1):$I1495),"")</f>
        <v>1641.03</v>
      </c>
      <c r="Y1495" s="48" t="str">
        <f aca="false">IF($U1495&gt;=MA_LONG2,AVERAGE(INDEX($I$1095:$I1495,402-MA_LONG2):$I1495),"")</f>
        <v/>
      </c>
      <c r="Z1495" s="48" t="n">
        <f aca="false">IF($U1495&gt;=MA_SHORT,AVERAGE(INDEX($L$1375:$L1495,122-MA_SHORT):$L1495),"")</f>
        <v>81710382.75</v>
      </c>
      <c r="AA1495" s="48" t="n">
        <f aca="false">IF($U1495=1,$G1495-$H1495,MAX($G1495-$H1495,ABS($G1495-$I1494),ABS($H1495-$I1494)))</f>
        <v>64</v>
      </c>
      <c r="AB1495" s="48" t="n">
        <f aca="false">IF($U1495&gt;=ATR_PER,AVERAGE(INDEX($AA$1375:$AA1495,122-ATR_PER):$AA1495),"")</f>
        <v>56.2857142857143</v>
      </c>
      <c r="AC1495" s="48" t="n">
        <f aca="false">$O1495-$P1495</f>
        <v>-30100865</v>
      </c>
      <c r="AD1495" s="48" t="n">
        <f aca="false">$AC1495*$I1495</f>
        <v>-48131283135</v>
      </c>
      <c r="AE1495" s="49" t="n">
        <f aca="false">IF($Q1495&gt;0,$O1495*$I1495/$Q1495/1000000,"")</f>
        <v>31.8573084761905</v>
      </c>
      <c r="AF1495" s="49" t="n">
        <f aca="false">IF($R1495&gt;0,$P1495*$I1495/$R1495/1000000,"")</f>
        <v>69.1782851214734</v>
      </c>
      <c r="AG1495" s="50" t="n">
        <f aca="false">IF(AND(ISNUMBER($AE1495),ISNUMBER($AF1495),$AF1495&gt;0),$AE1495/$AF1495,"")</f>
        <v>0.4605102369949</v>
      </c>
      <c r="AH1495" s="48" t="n">
        <f aca="false">IF($U1495&gt;=5,SUM(INDEX($AD$1465:$AD1495,32-5):$AD1495),"")</f>
        <v>-10996737342</v>
      </c>
      <c r="AI1495" s="48" t="n">
        <f aca="false">IF($U1495&gt;=STRUCT_S,MAX(INDEX($G$1345:$G1495,152-STRUCT_S):$G1495),"")</f>
        <v>1681</v>
      </c>
      <c r="AJ1495" s="48" t="n">
        <f aca="false">IF($U1495&gt;=STRUCT_S,MIN(INDEX($H$1345:$H1495,152-STRUCT_S):$H1495),"")</f>
        <v>1489</v>
      </c>
      <c r="AK1495" s="48" t="n">
        <f aca="false">IF($U1495&gt;=STRUCT_L,MAX(INDEX($G$1245:$G1495,252-STRUCT_L):$G1495),"")</f>
        <v>1893</v>
      </c>
      <c r="AL1495" s="48" t="n">
        <f aca="false">IF($U1495&gt;=STRUCT_L,MIN(INDEX($H$1245:$H1495,252-STRUCT_L):$H1495),"")</f>
        <v>1489</v>
      </c>
      <c r="AM1495" s="46" t="n">
        <f aca="false">IF($A1495&lt;&gt;$A1496,1,0)</f>
        <v>0</v>
      </c>
      <c r="AN1495" s="47" t="str">
        <f aca="false">IF($AM1495=1,$A1495,"")</f>
        <v/>
      </c>
    </row>
    <row r="1496" customFormat="false" ht="15" hidden="false" customHeight="false" outlineLevel="0" collapsed="false">
      <c r="A1496" s="43" t="s">
        <v>157</v>
      </c>
      <c r="B1496" s="44" t="s">
        <v>159</v>
      </c>
      <c r="C1496" s="45" t="n">
        <v>46173</v>
      </c>
      <c r="D1496" s="46" t="n">
        <v>20260531</v>
      </c>
      <c r="E1496" s="47" t="s">
        <v>479</v>
      </c>
      <c r="F1496" s="48" t="n">
        <v>1568</v>
      </c>
      <c r="G1496" s="48" t="n">
        <v>1629</v>
      </c>
      <c r="H1496" s="48" t="n">
        <v>1546</v>
      </c>
      <c r="I1496" s="48" t="n">
        <v>1576</v>
      </c>
      <c r="J1496" s="48" t="n">
        <v>1580</v>
      </c>
      <c r="K1496" s="48" t="n">
        <v>1599</v>
      </c>
      <c r="L1496" s="48" t="n">
        <v>73717445</v>
      </c>
      <c r="M1496" s="48" t="n">
        <v>116178693320</v>
      </c>
      <c r="N1496" s="48" t="n">
        <v>5599</v>
      </c>
      <c r="O1496" s="48" t="n">
        <v>31012478</v>
      </c>
      <c r="P1496" s="48" t="n">
        <v>43680983</v>
      </c>
      <c r="Q1496" s="48" t="n">
        <v>2915</v>
      </c>
      <c r="R1496" s="48" t="n">
        <v>2890</v>
      </c>
      <c r="S1496" s="48" t="n">
        <v>42704967</v>
      </c>
      <c r="T1496" s="48" t="n">
        <v>30036462</v>
      </c>
      <c r="U1496" s="46" t="n">
        <f aca="false">IF($A1496=$A1495,$U1495+1,1)</f>
        <v>192</v>
      </c>
      <c r="V1496" s="48" t="n">
        <f aca="false">IF($U1496&gt;=MA_SHORT,AVERAGE(INDEX($I$1096:$I1496,402-MA_SHORT):$I1496),"")</f>
        <v>1591.95</v>
      </c>
      <c r="W1496" s="48" t="n">
        <f aca="false">IF($U1496&gt;=MA_MED,AVERAGE(INDEX($I$1096:$I1496,402-MA_MED):$I1496),"")</f>
        <v>1686.26</v>
      </c>
      <c r="X1496" s="48" t="n">
        <f aca="false">IF($U1496&gt;=MA_LONG1,AVERAGE(INDEX($I$1096:$I1496,402-MA_LONG1):$I1496),"")</f>
        <v>1642.94</v>
      </c>
      <c r="Y1496" s="48" t="str">
        <f aca="false">IF($U1496&gt;=MA_LONG2,AVERAGE(INDEX($I$1096:$I1496,402-MA_LONG2):$I1496),"")</f>
        <v/>
      </c>
      <c r="Z1496" s="48" t="n">
        <f aca="false">IF($U1496&gt;=MA_SHORT,AVERAGE(INDEX($L$1376:$L1496,122-MA_SHORT):$L1496),"")</f>
        <v>81695689.2</v>
      </c>
      <c r="AA1496" s="48" t="n">
        <f aca="false">IF($U1496=1,$G1496-$H1496,MAX($G1496-$H1496,ABS($G1496-$I1495),ABS($H1496-$I1495)))</f>
        <v>83</v>
      </c>
      <c r="AB1496" s="48" t="n">
        <f aca="false">IF($U1496&gt;=ATR_PER,AVERAGE(INDEX($AA$1376:$AA1496,122-ATR_PER):$AA1496),"")</f>
        <v>60.5714285714286</v>
      </c>
      <c r="AC1496" s="48" t="n">
        <f aca="false">$O1496-$P1496</f>
        <v>-12668505</v>
      </c>
      <c r="AD1496" s="48" t="n">
        <f aca="false">$AC1496*$I1496</f>
        <v>-19965563880</v>
      </c>
      <c r="AE1496" s="49" t="n">
        <f aca="false">IF($Q1496&gt;0,$O1496*$I1496/$Q1496/1000000,"")</f>
        <v>16.7669520850772</v>
      </c>
      <c r="AF1496" s="49" t="n">
        <f aca="false">IF($R1496&gt;0,$P1496*$I1496/$R1496/1000000,"")</f>
        <v>23.8204945356401</v>
      </c>
      <c r="AG1496" s="50" t="n">
        <f aca="false">IF(AND(ISNUMBER($AE1496),ISNUMBER($AF1496),$AF1496&gt;0),$AE1496/$AF1496,"")</f>
        <v>0.703887656907817</v>
      </c>
      <c r="AH1496" s="48" t="n">
        <f aca="false">IF($U1496&gt;=5,SUM(INDEX($AD$1466:$AD1496,32-5):$AD1496),"")</f>
        <v>-38327148568</v>
      </c>
      <c r="AI1496" s="48" t="n">
        <f aca="false">IF($U1496&gt;=STRUCT_S,MAX(INDEX($G$1346:$G1496,152-STRUCT_S):$G1496),"")</f>
        <v>1681</v>
      </c>
      <c r="AJ1496" s="48" t="n">
        <f aca="false">IF($U1496&gt;=STRUCT_S,MIN(INDEX($H$1346:$H1496,152-STRUCT_S):$H1496),"")</f>
        <v>1489</v>
      </c>
      <c r="AK1496" s="48" t="n">
        <f aca="false">IF($U1496&gt;=STRUCT_L,MAX(INDEX($G$1246:$G1496,252-STRUCT_L):$G1496),"")</f>
        <v>1893</v>
      </c>
      <c r="AL1496" s="48" t="n">
        <f aca="false">IF($U1496&gt;=STRUCT_L,MIN(INDEX($H$1246:$H1496,252-STRUCT_L):$H1496),"")</f>
        <v>1489</v>
      </c>
      <c r="AM1496" s="46" t="n">
        <f aca="false">IF($A1496&lt;&gt;$A1497,1,0)</f>
        <v>0</v>
      </c>
      <c r="AN1496" s="47" t="str">
        <f aca="false">IF($AM1496=1,$A1496,"")</f>
        <v/>
      </c>
    </row>
    <row r="1497" customFormat="false" ht="15" hidden="false" customHeight="false" outlineLevel="0" collapsed="false">
      <c r="A1497" s="43" t="s">
        <v>157</v>
      </c>
      <c r="B1497" s="44" t="s">
        <v>159</v>
      </c>
      <c r="C1497" s="45" t="n">
        <v>46174</v>
      </c>
      <c r="D1497" s="46" t="n">
        <v>20260601</v>
      </c>
      <c r="E1497" s="47" t="s">
        <v>480</v>
      </c>
      <c r="F1497" s="48" t="n">
        <v>1574</v>
      </c>
      <c r="G1497" s="48" t="n">
        <v>1600</v>
      </c>
      <c r="H1497" s="48" t="n">
        <v>1548</v>
      </c>
      <c r="I1497" s="48" t="n">
        <v>1572</v>
      </c>
      <c r="J1497" s="48" t="n">
        <v>1578</v>
      </c>
      <c r="K1497" s="48" t="n">
        <v>1576</v>
      </c>
      <c r="L1497" s="48" t="n">
        <v>77410700</v>
      </c>
      <c r="M1497" s="48" t="n">
        <v>121689620400</v>
      </c>
      <c r="N1497" s="48" t="n">
        <v>2472</v>
      </c>
      <c r="O1497" s="48" t="n">
        <v>35567861</v>
      </c>
      <c r="P1497" s="48" t="n">
        <v>42142385</v>
      </c>
      <c r="Q1497" s="48" t="n">
        <v>1219</v>
      </c>
      <c r="R1497" s="48" t="n">
        <v>907</v>
      </c>
      <c r="S1497" s="48" t="n">
        <v>41842839</v>
      </c>
      <c r="T1497" s="48" t="n">
        <v>35268315</v>
      </c>
      <c r="U1497" s="46" t="n">
        <f aca="false">IF($A1497=$A1496,$U1496+1,1)</f>
        <v>193</v>
      </c>
      <c r="V1497" s="48" t="n">
        <f aca="false">IF($U1497&gt;=MA_SHORT,AVERAGE(INDEX($I$1097:$I1497,402-MA_SHORT):$I1497),"")</f>
        <v>1588.9</v>
      </c>
      <c r="W1497" s="48" t="n">
        <f aca="false">IF($U1497&gt;=MA_MED,AVERAGE(INDEX($I$1097:$I1497,402-MA_MED):$I1497),"")</f>
        <v>1680.24</v>
      </c>
      <c r="X1497" s="48" t="n">
        <f aca="false">IF($U1497&gt;=MA_LONG1,AVERAGE(INDEX($I$1097:$I1497,402-MA_LONG1):$I1497),"")</f>
        <v>1644.89</v>
      </c>
      <c r="Y1497" s="48" t="str">
        <f aca="false">IF($U1497&gt;=MA_LONG2,AVERAGE(INDEX($I$1097:$I1497,402-MA_LONG2):$I1497),"")</f>
        <v/>
      </c>
      <c r="Z1497" s="48" t="n">
        <f aca="false">IF($U1497&gt;=MA_SHORT,AVERAGE(INDEX($L$1377:$L1497,122-MA_SHORT):$L1497),"")</f>
        <v>82135715.5</v>
      </c>
      <c r="AA1497" s="48" t="n">
        <f aca="false">IF($U1497=1,$G1497-$H1497,MAX($G1497-$H1497,ABS($G1497-$I1496),ABS($H1497-$I1496)))</f>
        <v>52</v>
      </c>
      <c r="AB1497" s="48" t="n">
        <f aca="false">IF($U1497&gt;=ATR_PER,AVERAGE(INDEX($AA$1377:$AA1497,122-ATR_PER):$AA1497),"")</f>
        <v>62.0714285714286</v>
      </c>
      <c r="AC1497" s="48" t="n">
        <f aca="false">$O1497-$P1497</f>
        <v>-6574524</v>
      </c>
      <c r="AD1497" s="48" t="n">
        <f aca="false">$AC1497*$I1497</f>
        <v>-10335151728</v>
      </c>
      <c r="AE1497" s="49" t="n">
        <f aca="false">IF($Q1497&gt;0,$O1497*$I1497/$Q1497/1000000,"")</f>
        <v>45.8676599606235</v>
      </c>
      <c r="AF1497" s="49" t="n">
        <f aca="false">IF($R1497&gt;0,$P1497*$I1497/$R1497/1000000,"")</f>
        <v>73.0406055347299</v>
      </c>
      <c r="AG1497" s="50" t="n">
        <f aca="false">IF(AND(ISNUMBER($AE1497),ISNUMBER($AF1497),$AF1497&gt;0),$AE1497/$AF1497,"")</f>
        <v>0.627974804217826</v>
      </c>
      <c r="AH1497" s="48" t="n">
        <f aca="false">IF($U1497&gt;=5,SUM(INDEX($AD$1467:$AD1497,32-5):$AD1497),"")</f>
        <v>-49978682696</v>
      </c>
      <c r="AI1497" s="48" t="n">
        <f aca="false">IF($U1497&gt;=STRUCT_S,MAX(INDEX($G$1347:$G1497,152-STRUCT_S):$G1497),"")</f>
        <v>1681</v>
      </c>
      <c r="AJ1497" s="48" t="n">
        <f aca="false">IF($U1497&gt;=STRUCT_S,MIN(INDEX($H$1347:$H1497,152-STRUCT_S):$H1497),"")</f>
        <v>1489</v>
      </c>
      <c r="AK1497" s="48" t="n">
        <f aca="false">IF($U1497&gt;=STRUCT_L,MAX(INDEX($G$1247:$G1497,252-STRUCT_L):$G1497),"")</f>
        <v>1893</v>
      </c>
      <c r="AL1497" s="48" t="n">
        <f aca="false">IF($U1497&gt;=STRUCT_L,MIN(INDEX($H$1247:$H1497,252-STRUCT_L):$H1497),"")</f>
        <v>1489</v>
      </c>
      <c r="AM1497" s="46" t="n">
        <f aca="false">IF($A1497&lt;&gt;$A1498,1,0)</f>
        <v>0</v>
      </c>
      <c r="AN1497" s="47" t="str">
        <f aca="false">IF($AM1497=1,$A1497,"")</f>
        <v/>
      </c>
    </row>
    <row r="1498" customFormat="false" ht="15" hidden="false" customHeight="false" outlineLevel="0" collapsed="false">
      <c r="A1498" s="43" t="s">
        <v>157</v>
      </c>
      <c r="B1498" s="44" t="s">
        <v>159</v>
      </c>
      <c r="C1498" s="45" t="n">
        <v>46175</v>
      </c>
      <c r="D1498" s="46" t="n">
        <v>20260602</v>
      </c>
      <c r="E1498" s="47" t="s">
        <v>481</v>
      </c>
      <c r="F1498" s="48" t="n">
        <v>1513</v>
      </c>
      <c r="G1498" s="48" t="n">
        <v>1616</v>
      </c>
      <c r="H1498" s="48" t="n">
        <v>1472</v>
      </c>
      <c r="I1498" s="48" t="n">
        <v>1514</v>
      </c>
      <c r="J1498" s="48" t="n">
        <v>1473</v>
      </c>
      <c r="K1498" s="48" t="n">
        <v>1572</v>
      </c>
      <c r="L1498" s="48" t="n">
        <v>82883409</v>
      </c>
      <c r="M1498" s="48" t="n">
        <v>125485481226</v>
      </c>
      <c r="N1498" s="48" t="n">
        <v>2107</v>
      </c>
      <c r="O1498" s="48" t="n">
        <v>34399976</v>
      </c>
      <c r="P1498" s="48" t="n">
        <v>47148686</v>
      </c>
      <c r="Q1498" s="48" t="n">
        <v>964</v>
      </c>
      <c r="R1498" s="48" t="n">
        <v>679</v>
      </c>
      <c r="S1498" s="48" t="n">
        <v>48483433</v>
      </c>
      <c r="T1498" s="48" t="n">
        <v>35734723</v>
      </c>
      <c r="U1498" s="46" t="n">
        <f aca="false">IF($A1498=$A1497,$U1497+1,1)</f>
        <v>194</v>
      </c>
      <c r="V1498" s="48" t="n">
        <f aca="false">IF($U1498&gt;=MA_SHORT,AVERAGE(INDEX($I$1098:$I1498,402-MA_SHORT):$I1498),"")</f>
        <v>1583.05</v>
      </c>
      <c r="W1498" s="48" t="n">
        <f aca="false">IF($U1498&gt;=MA_MED,AVERAGE(INDEX($I$1098:$I1498,402-MA_MED):$I1498),"")</f>
        <v>1673.74</v>
      </c>
      <c r="X1498" s="48" t="n">
        <f aca="false">IF($U1498&gt;=MA_LONG1,AVERAGE(INDEX($I$1098:$I1498,402-MA_LONG1):$I1498),"")</f>
        <v>1646.33</v>
      </c>
      <c r="Y1498" s="48" t="str">
        <f aca="false">IF($U1498&gt;=MA_LONG2,AVERAGE(INDEX($I$1098:$I1498,402-MA_LONG2):$I1498),"")</f>
        <v/>
      </c>
      <c r="Z1498" s="48" t="n">
        <f aca="false">IF($U1498&gt;=MA_SHORT,AVERAGE(INDEX($L$1378:$L1498,122-MA_SHORT):$L1498),"")</f>
        <v>82828803.65</v>
      </c>
      <c r="AA1498" s="48" t="n">
        <f aca="false">IF($U1498=1,$G1498-$H1498,MAX($G1498-$H1498,ABS($G1498-$I1497),ABS($H1498-$I1497)))</f>
        <v>144</v>
      </c>
      <c r="AB1498" s="48" t="n">
        <f aca="false">IF($U1498&gt;=ATR_PER,AVERAGE(INDEX($AA$1378:$AA1498,122-ATR_PER):$AA1498),"")</f>
        <v>69.7142857142857</v>
      </c>
      <c r="AC1498" s="48" t="n">
        <f aca="false">$O1498-$P1498</f>
        <v>-12748710</v>
      </c>
      <c r="AD1498" s="48" t="n">
        <f aca="false">$AC1498*$I1498</f>
        <v>-19301546940</v>
      </c>
      <c r="AE1498" s="49" t="n">
        <f aca="false">IF($Q1498&gt;0,$O1498*$I1498/$Q1498/1000000,"")</f>
        <v>54.0265183236515</v>
      </c>
      <c r="AF1498" s="49" t="n">
        <f aca="false">IF($R1498&gt;0,$P1498*$I1498/$R1498/1000000,"")</f>
        <v>105.129765248895</v>
      </c>
      <c r="AG1498" s="50" t="n">
        <f aca="false">IF(AND(ISNUMBER($AE1498),ISNUMBER($AF1498),$AF1498&gt;0),$AE1498/$AF1498,"")</f>
        <v>0.513903157642779</v>
      </c>
      <c r="AH1498" s="48" t="n">
        <f aca="false">IF($U1498&gt;=5,SUM(INDEX($AD$1468:$AD1498,32-5):$AD1498),"")</f>
        <v>-93853704358</v>
      </c>
      <c r="AI1498" s="48" t="n">
        <f aca="false">IF($U1498&gt;=STRUCT_S,MAX(INDEX($G$1348:$G1498,152-STRUCT_S):$G1498),"")</f>
        <v>1681</v>
      </c>
      <c r="AJ1498" s="48" t="n">
        <f aca="false">IF($U1498&gt;=STRUCT_S,MIN(INDEX($H$1348:$H1498,152-STRUCT_S):$H1498),"")</f>
        <v>1472</v>
      </c>
      <c r="AK1498" s="48" t="n">
        <f aca="false">IF($U1498&gt;=STRUCT_L,MAX(INDEX($G$1248:$G1498,252-STRUCT_L):$G1498),"")</f>
        <v>1893</v>
      </c>
      <c r="AL1498" s="48" t="n">
        <f aca="false">IF($U1498&gt;=STRUCT_L,MIN(INDEX($H$1248:$H1498,252-STRUCT_L):$H1498),"")</f>
        <v>1472</v>
      </c>
      <c r="AM1498" s="46" t="n">
        <f aca="false">IF($A1498&lt;&gt;$A1499,1,0)</f>
        <v>0</v>
      </c>
      <c r="AN1498" s="47" t="str">
        <f aca="false">IF($AM1498=1,$A1498,"")</f>
        <v/>
      </c>
    </row>
    <row r="1499" customFormat="false" ht="15" hidden="false" customHeight="false" outlineLevel="0" collapsed="false">
      <c r="A1499" s="43" t="s">
        <v>157</v>
      </c>
      <c r="B1499" s="44" t="s">
        <v>159</v>
      </c>
      <c r="C1499" s="45" t="n">
        <v>46176</v>
      </c>
      <c r="D1499" s="46" t="n">
        <v>20260603</v>
      </c>
      <c r="E1499" s="47" t="s">
        <v>482</v>
      </c>
      <c r="F1499" s="48" t="n">
        <v>1521</v>
      </c>
      <c r="G1499" s="48" t="n">
        <v>1533</v>
      </c>
      <c r="H1499" s="48" t="n">
        <v>1498</v>
      </c>
      <c r="I1499" s="48" t="n">
        <v>1517</v>
      </c>
      <c r="J1499" s="48" t="n">
        <v>1521</v>
      </c>
      <c r="K1499" s="48" t="n">
        <v>1514</v>
      </c>
      <c r="L1499" s="48" t="n">
        <v>87612068</v>
      </c>
      <c r="M1499" s="48" t="n">
        <v>132907507156</v>
      </c>
      <c r="N1499" s="48" t="n">
        <v>3451</v>
      </c>
      <c r="O1499" s="48" t="n">
        <v>46154290</v>
      </c>
      <c r="P1499" s="48" t="n">
        <v>45379013</v>
      </c>
      <c r="Q1499" s="48" t="n">
        <v>1845</v>
      </c>
      <c r="R1499" s="48" t="n">
        <v>1263</v>
      </c>
      <c r="S1499" s="48" t="n">
        <v>41457778</v>
      </c>
      <c r="T1499" s="48" t="n">
        <v>42233055</v>
      </c>
      <c r="U1499" s="46" t="n">
        <f aca="false">IF($A1499=$A1498,$U1498+1,1)</f>
        <v>195</v>
      </c>
      <c r="V1499" s="48" t="n">
        <f aca="false">IF($U1499&gt;=MA_SHORT,AVERAGE(INDEX($I$1099:$I1499,402-MA_SHORT):$I1499),"")</f>
        <v>1578.95</v>
      </c>
      <c r="W1499" s="48" t="n">
        <f aca="false">IF($U1499&gt;=MA_MED,AVERAGE(INDEX($I$1099:$I1499,402-MA_MED):$I1499),"")</f>
        <v>1668.1</v>
      </c>
      <c r="X1499" s="48" t="n">
        <f aca="false">IF($U1499&gt;=MA_LONG1,AVERAGE(INDEX($I$1099:$I1499,402-MA_LONG1):$I1499),"")</f>
        <v>1647.76</v>
      </c>
      <c r="Y1499" s="48" t="str">
        <f aca="false">IF($U1499&gt;=MA_LONG2,AVERAGE(INDEX($I$1099:$I1499,402-MA_LONG2):$I1499),"")</f>
        <v/>
      </c>
      <c r="Z1499" s="48" t="n">
        <f aca="false">IF($U1499&gt;=MA_SHORT,AVERAGE(INDEX($L$1379:$L1499,122-MA_SHORT):$L1499),"")</f>
        <v>82628265.25</v>
      </c>
      <c r="AA1499" s="48" t="n">
        <f aca="false">IF($U1499=1,$G1499-$H1499,MAX($G1499-$H1499,ABS($G1499-$I1498),ABS($H1499-$I1498)))</f>
        <v>35</v>
      </c>
      <c r="AB1499" s="48" t="n">
        <f aca="false">IF($U1499&gt;=ATR_PER,AVERAGE(INDEX($AA$1379:$AA1499,122-ATR_PER):$AA1499),"")</f>
        <v>66.0714285714286</v>
      </c>
      <c r="AC1499" s="48" t="n">
        <f aca="false">$O1499-$P1499</f>
        <v>775277</v>
      </c>
      <c r="AD1499" s="48" t="n">
        <f aca="false">$AC1499*$I1499</f>
        <v>1176095209</v>
      </c>
      <c r="AE1499" s="49" t="n">
        <f aca="false">IF($Q1499&gt;0,$O1499*$I1499/$Q1499/1000000,"")</f>
        <v>37.9490828888889</v>
      </c>
      <c r="AF1499" s="49" t="n">
        <f aca="false">IF($R1499&gt;0,$P1499*$I1499/$R1499/1000000,"")</f>
        <v>54.5051169604117</v>
      </c>
      <c r="AG1499" s="50" t="n">
        <f aca="false">IF(AND(ISNUMBER($AE1499),ISNUMBER($AF1499),$AF1499&gt;0),$AE1499/$AF1499,"")</f>
        <v>0.696248077340191</v>
      </c>
      <c r="AH1499" s="48" t="n">
        <f aca="false">IF($U1499&gt;=5,SUM(INDEX($AD$1469:$AD1499,32-5):$AD1499),"")</f>
        <v>-96557450474</v>
      </c>
      <c r="AI1499" s="48" t="n">
        <f aca="false">IF($U1499&gt;=STRUCT_S,MAX(INDEX($G$1349:$G1499,152-STRUCT_S):$G1499),"")</f>
        <v>1681</v>
      </c>
      <c r="AJ1499" s="48" t="n">
        <f aca="false">IF($U1499&gt;=STRUCT_S,MIN(INDEX($H$1349:$H1499,152-STRUCT_S):$H1499),"")</f>
        <v>1472</v>
      </c>
      <c r="AK1499" s="48" t="n">
        <f aca="false">IF($U1499&gt;=STRUCT_L,MAX(INDEX($G$1249:$G1499,252-STRUCT_L):$G1499),"")</f>
        <v>1893</v>
      </c>
      <c r="AL1499" s="48" t="n">
        <f aca="false">IF($U1499&gt;=STRUCT_L,MIN(INDEX($H$1249:$H1499,252-STRUCT_L):$H1499),"")</f>
        <v>1472</v>
      </c>
      <c r="AM1499" s="46" t="n">
        <f aca="false">IF($A1499&lt;&gt;$A1500,1,0)</f>
        <v>0</v>
      </c>
      <c r="AN1499" s="47" t="str">
        <f aca="false">IF($AM1499=1,$A1499,"")</f>
        <v/>
      </c>
    </row>
    <row r="1500" customFormat="false" ht="15" hidden="false" customHeight="false" outlineLevel="0" collapsed="false">
      <c r="A1500" s="43" t="s">
        <v>157</v>
      </c>
      <c r="B1500" s="44" t="s">
        <v>159</v>
      </c>
      <c r="C1500" s="45" t="n">
        <v>46179</v>
      </c>
      <c r="D1500" s="46" t="n">
        <v>20260606</v>
      </c>
      <c r="E1500" s="47" t="s">
        <v>483</v>
      </c>
      <c r="F1500" s="48" t="n">
        <v>1521</v>
      </c>
      <c r="G1500" s="48" t="n">
        <v>1564</v>
      </c>
      <c r="H1500" s="48" t="n">
        <v>1500</v>
      </c>
      <c r="I1500" s="48" t="n">
        <v>1547</v>
      </c>
      <c r="J1500" s="48" t="n">
        <v>1552</v>
      </c>
      <c r="K1500" s="48" t="n">
        <v>1517</v>
      </c>
      <c r="L1500" s="48" t="n">
        <v>75912830</v>
      </c>
      <c r="M1500" s="48" t="n">
        <v>117437148010</v>
      </c>
      <c r="N1500" s="48" t="n">
        <v>4221</v>
      </c>
      <c r="O1500" s="48" t="n">
        <v>46439839</v>
      </c>
      <c r="P1500" s="48" t="n">
        <v>35192333</v>
      </c>
      <c r="Q1500" s="48" t="n">
        <v>1418</v>
      </c>
      <c r="R1500" s="48" t="n">
        <v>1690</v>
      </c>
      <c r="S1500" s="48" t="n">
        <v>29472991</v>
      </c>
      <c r="T1500" s="48" t="n">
        <v>40720497</v>
      </c>
      <c r="U1500" s="46" t="n">
        <f aca="false">IF($A1500=$A1499,$U1499+1,1)</f>
        <v>196</v>
      </c>
      <c r="V1500" s="48" t="n">
        <f aca="false">IF($U1500&gt;=MA_SHORT,AVERAGE(INDEX($I$1100:$I1500,402-MA_SHORT):$I1500),"")</f>
        <v>1575.75</v>
      </c>
      <c r="W1500" s="48" t="n">
        <f aca="false">IF($U1500&gt;=MA_MED,AVERAGE(INDEX($I$1100:$I1500,402-MA_MED):$I1500),"")</f>
        <v>1663.86</v>
      </c>
      <c r="X1500" s="48" t="n">
        <f aca="false">IF($U1500&gt;=MA_LONG1,AVERAGE(INDEX($I$1100:$I1500,402-MA_LONG1):$I1500),"")</f>
        <v>1649.88</v>
      </c>
      <c r="Y1500" s="48" t="str">
        <f aca="false">IF($U1500&gt;=MA_LONG2,AVERAGE(INDEX($I$1100:$I1500,402-MA_LONG2):$I1500),"")</f>
        <v/>
      </c>
      <c r="Z1500" s="48" t="n">
        <f aca="false">IF($U1500&gt;=MA_SHORT,AVERAGE(INDEX($L$1380:$L1500,122-MA_SHORT):$L1500),"")</f>
        <v>82878084.9</v>
      </c>
      <c r="AA1500" s="48" t="n">
        <f aca="false">IF($U1500=1,$G1500-$H1500,MAX($G1500-$H1500,ABS($G1500-$I1499),ABS($H1500-$I1499)))</f>
        <v>64</v>
      </c>
      <c r="AB1500" s="48" t="n">
        <f aca="false">IF($U1500&gt;=ATR_PER,AVERAGE(INDEX($AA$1380:$AA1500,122-ATR_PER):$AA1500),"")</f>
        <v>62.3571428571429</v>
      </c>
      <c r="AC1500" s="48" t="n">
        <f aca="false">$O1500-$P1500</f>
        <v>11247506</v>
      </c>
      <c r="AD1500" s="48" t="n">
        <f aca="false">$AC1500*$I1500</f>
        <v>17399891782</v>
      </c>
      <c r="AE1500" s="49" t="n">
        <f aca="false">IF($Q1500&gt;0,$O1500*$I1500/$Q1500/1000000,"")</f>
        <v>50.6646198399154</v>
      </c>
      <c r="AF1500" s="49" t="n">
        <f aca="false">IF($R1500&gt;0,$P1500*$I1500/$R1500/1000000,"")</f>
        <v>32.2145202076923</v>
      </c>
      <c r="AG1500" s="50" t="n">
        <f aca="false">IF(AND(ISNUMBER($AE1500),ISNUMBER($AF1500),$AF1500&gt;0),$AE1500/$AF1500,"")</f>
        <v>1.57272619654964</v>
      </c>
      <c r="AH1500" s="48" t="n">
        <f aca="false">IF($U1500&gt;=5,SUM(INDEX($AD$1470:$AD1500,32-5):$AD1500),"")</f>
        <v>-31026275557</v>
      </c>
      <c r="AI1500" s="48" t="n">
        <f aca="false">IF($U1500&gt;=STRUCT_S,MAX(INDEX($G$1350:$G1500,152-STRUCT_S):$G1500),"")</f>
        <v>1681</v>
      </c>
      <c r="AJ1500" s="48" t="n">
        <f aca="false">IF($U1500&gt;=STRUCT_S,MIN(INDEX($H$1350:$H1500,152-STRUCT_S):$H1500),"")</f>
        <v>1472</v>
      </c>
      <c r="AK1500" s="48" t="n">
        <f aca="false">IF($U1500&gt;=STRUCT_L,MAX(INDEX($G$1250:$G1500,252-STRUCT_L):$G1500),"")</f>
        <v>1893</v>
      </c>
      <c r="AL1500" s="48" t="n">
        <f aca="false">IF($U1500&gt;=STRUCT_L,MIN(INDEX($H$1250:$H1500,252-STRUCT_L):$H1500),"")</f>
        <v>1472</v>
      </c>
      <c r="AM1500" s="46" t="n">
        <f aca="false">IF($A1500&lt;&gt;$A1501,1,0)</f>
        <v>0</v>
      </c>
      <c r="AN1500" s="47" t="str">
        <f aca="false">IF($AM1500=1,$A1500,"")</f>
        <v/>
      </c>
    </row>
    <row r="1501" customFormat="false" ht="15" hidden="false" customHeight="false" outlineLevel="0" collapsed="false">
      <c r="A1501" s="43" t="s">
        <v>157</v>
      </c>
      <c r="B1501" s="44" t="s">
        <v>159</v>
      </c>
      <c r="C1501" s="45" t="n">
        <v>46180</v>
      </c>
      <c r="D1501" s="46" t="n">
        <v>20260607</v>
      </c>
      <c r="E1501" s="47" t="s">
        <v>484</v>
      </c>
      <c r="F1501" s="48" t="n">
        <v>1530</v>
      </c>
      <c r="G1501" s="48" t="n">
        <v>1585</v>
      </c>
      <c r="H1501" s="48" t="n">
        <v>1530</v>
      </c>
      <c r="I1501" s="48" t="n">
        <v>1568</v>
      </c>
      <c r="J1501" s="48" t="n">
        <v>1568</v>
      </c>
      <c r="K1501" s="48" t="n">
        <v>1547</v>
      </c>
      <c r="L1501" s="48" t="n">
        <v>208737015</v>
      </c>
      <c r="M1501" s="48" t="n">
        <v>327299639520</v>
      </c>
      <c r="N1501" s="48" t="n">
        <v>12837</v>
      </c>
      <c r="O1501" s="48" t="n">
        <v>121801353</v>
      </c>
      <c r="P1501" s="48" t="n">
        <v>87937853</v>
      </c>
      <c r="Q1501" s="48" t="n">
        <v>6136</v>
      </c>
      <c r="R1501" s="48" t="n">
        <v>5921</v>
      </c>
      <c r="S1501" s="48" t="n">
        <v>86935662</v>
      </c>
      <c r="T1501" s="48" t="n">
        <v>120799162</v>
      </c>
      <c r="U1501" s="46" t="n">
        <f aca="false">IF($A1501=$A1500,$U1500+1,1)</f>
        <v>197</v>
      </c>
      <c r="V1501" s="48" t="n">
        <f aca="false">IF($U1501&gt;=MA_SHORT,AVERAGE(INDEX($I$1101:$I1501,402-MA_SHORT):$I1501),"")</f>
        <v>1575.1</v>
      </c>
      <c r="W1501" s="48" t="n">
        <f aca="false">IF($U1501&gt;=MA_MED,AVERAGE(INDEX($I$1101:$I1501,402-MA_MED):$I1501),"")</f>
        <v>1659.48</v>
      </c>
      <c r="X1501" s="48" t="n">
        <f aca="false">IF($U1501&gt;=MA_LONG1,AVERAGE(INDEX($I$1101:$I1501,402-MA_LONG1):$I1501),"")</f>
        <v>1651.95</v>
      </c>
      <c r="Y1501" s="48" t="str">
        <f aca="false">IF($U1501&gt;=MA_LONG2,AVERAGE(INDEX($I$1101:$I1501,402-MA_LONG2):$I1501),"")</f>
        <v/>
      </c>
      <c r="Z1501" s="48" t="n">
        <f aca="false">IF($U1501&gt;=MA_SHORT,AVERAGE(INDEX($L$1381:$L1501,122-MA_SHORT):$L1501),"")</f>
        <v>88797466.75</v>
      </c>
      <c r="AA1501" s="48" t="n">
        <f aca="false">IF($U1501=1,$G1501-$H1501,MAX($G1501-$H1501,ABS($G1501-$I1500),ABS($H1501-$I1500)))</f>
        <v>55</v>
      </c>
      <c r="AB1501" s="48" t="n">
        <f aca="false">IF($U1501&gt;=ATR_PER,AVERAGE(INDEX($AA$1381:$AA1501,122-ATR_PER):$AA1501),"")</f>
        <v>61.8571428571429</v>
      </c>
      <c r="AC1501" s="48" t="n">
        <f aca="false">$O1501-$P1501</f>
        <v>33863500</v>
      </c>
      <c r="AD1501" s="48" t="n">
        <f aca="false">$AC1501*$I1501</f>
        <v>53097968000</v>
      </c>
      <c r="AE1501" s="49" t="n">
        <f aca="false">IF($Q1501&gt;0,$O1501*$I1501/$Q1501/1000000,"")</f>
        <v>31.1252479634941</v>
      </c>
      <c r="AF1501" s="49" t="n">
        <f aca="false">IF($R1501&gt;0,$P1501*$I1501/$R1501/1000000,"")</f>
        <v>23.2877138159095</v>
      </c>
      <c r="AG1501" s="50" t="n">
        <f aca="false">IF(AND(ISNUMBER($AE1501),ISNUMBER($AF1501),$AF1501&gt;0),$AE1501/$AF1501,"")</f>
        <v>1.33655232151772</v>
      </c>
      <c r="AH1501" s="48" t="n">
        <f aca="false">IF($U1501&gt;=5,SUM(INDEX($AD$1471:$AD1501,32-5):$AD1501),"")</f>
        <v>42037256323</v>
      </c>
      <c r="AI1501" s="48" t="n">
        <f aca="false">IF($U1501&gt;=STRUCT_S,MAX(INDEX($G$1351:$G1501,152-STRUCT_S):$G1501),"")</f>
        <v>1681</v>
      </c>
      <c r="AJ1501" s="48" t="n">
        <f aca="false">IF($U1501&gt;=STRUCT_S,MIN(INDEX($H$1351:$H1501,152-STRUCT_S):$H1501),"")</f>
        <v>1472</v>
      </c>
      <c r="AK1501" s="48" t="n">
        <f aca="false">IF($U1501&gt;=STRUCT_L,MAX(INDEX($G$1251:$G1501,252-STRUCT_L):$G1501),"")</f>
        <v>1893</v>
      </c>
      <c r="AL1501" s="48" t="n">
        <f aca="false">IF($U1501&gt;=STRUCT_L,MIN(INDEX($H$1251:$H1501,252-STRUCT_L):$H1501),"")</f>
        <v>1472</v>
      </c>
      <c r="AM1501" s="46" t="n">
        <f aca="false">IF($A1501&lt;&gt;$A1502,1,0)</f>
        <v>0</v>
      </c>
      <c r="AN1501" s="47" t="str">
        <f aca="false">IF($AM1501=1,$A1501,"")</f>
        <v/>
      </c>
    </row>
    <row r="1502" customFormat="false" ht="15" hidden="false" customHeight="false" outlineLevel="0" collapsed="false">
      <c r="A1502" s="43" t="s">
        <v>157</v>
      </c>
      <c r="B1502" s="44" t="s">
        <v>159</v>
      </c>
      <c r="C1502" s="45" t="n">
        <v>46181</v>
      </c>
      <c r="D1502" s="46" t="n">
        <v>20260608</v>
      </c>
      <c r="E1502" s="47" t="s">
        <v>485</v>
      </c>
      <c r="F1502" s="48" t="n">
        <v>1623</v>
      </c>
      <c r="G1502" s="48" t="n">
        <v>1629</v>
      </c>
      <c r="H1502" s="48" t="n">
        <v>1533</v>
      </c>
      <c r="I1502" s="48" t="n">
        <v>1594</v>
      </c>
      <c r="J1502" s="48" t="n">
        <v>1552</v>
      </c>
      <c r="K1502" s="48" t="n">
        <v>1568</v>
      </c>
      <c r="L1502" s="48" t="n">
        <v>75707413</v>
      </c>
      <c r="M1502" s="48" t="n">
        <v>120677616322</v>
      </c>
      <c r="N1502" s="48" t="n">
        <v>4682</v>
      </c>
      <c r="O1502" s="48" t="n">
        <v>44432421</v>
      </c>
      <c r="P1502" s="48" t="n">
        <v>35139837</v>
      </c>
      <c r="Q1502" s="48" t="n">
        <v>1416</v>
      </c>
      <c r="R1502" s="48" t="n">
        <v>2581</v>
      </c>
      <c r="S1502" s="48" t="n">
        <v>31274992</v>
      </c>
      <c r="T1502" s="48" t="n">
        <v>40567576</v>
      </c>
      <c r="U1502" s="46" t="n">
        <f aca="false">IF($A1502=$A1501,$U1501+1,1)</f>
        <v>198</v>
      </c>
      <c r="V1502" s="48" t="n">
        <f aca="false">IF($U1502&gt;=MA_SHORT,AVERAGE(INDEX($I$1102:$I1502,402-MA_SHORT):$I1502),"")</f>
        <v>1576.2</v>
      </c>
      <c r="W1502" s="48" t="n">
        <f aca="false">IF($U1502&gt;=MA_MED,AVERAGE(INDEX($I$1102:$I1502,402-MA_MED):$I1502),"")</f>
        <v>1655.86</v>
      </c>
      <c r="X1502" s="48" t="n">
        <f aca="false">IF($U1502&gt;=MA_LONG1,AVERAGE(INDEX($I$1102:$I1502,402-MA_LONG1):$I1502),"")</f>
        <v>1654.15</v>
      </c>
      <c r="Y1502" s="48" t="str">
        <f aca="false">IF($U1502&gt;=MA_LONG2,AVERAGE(INDEX($I$1102:$I1502,402-MA_LONG2):$I1502),"")</f>
        <v/>
      </c>
      <c r="Z1502" s="48" t="n">
        <f aca="false">IF($U1502&gt;=MA_SHORT,AVERAGE(INDEX($L$1382:$L1502,122-MA_SHORT):$L1502),"")</f>
        <v>89073906.55</v>
      </c>
      <c r="AA1502" s="48" t="n">
        <f aca="false">IF($U1502=1,$G1502-$H1502,MAX($G1502-$H1502,ABS($G1502-$I1501),ABS($H1502-$I1501)))</f>
        <v>96</v>
      </c>
      <c r="AB1502" s="48" t="n">
        <f aca="false">IF($U1502&gt;=ATR_PER,AVERAGE(INDEX($AA$1382:$AA1502,122-ATR_PER):$AA1502),"")</f>
        <v>64.0714285714286</v>
      </c>
      <c r="AC1502" s="48" t="n">
        <f aca="false">$O1502-$P1502</f>
        <v>9292584</v>
      </c>
      <c r="AD1502" s="48" t="n">
        <f aca="false">$AC1502*$I1502</f>
        <v>14812378896</v>
      </c>
      <c r="AE1502" s="49" t="n">
        <f aca="false">IF($Q1502&gt;0,$O1502*$I1502/$Q1502/1000000,"")</f>
        <v>50.0178524533898</v>
      </c>
      <c r="AF1502" s="49" t="n">
        <f aca="false">IF($R1502&gt;0,$P1502*$I1502/$R1502/1000000,"")</f>
        <v>21.7020147919411</v>
      </c>
      <c r="AG1502" s="50" t="n">
        <f aca="false">IF(AND(ISNUMBER($AE1502),ISNUMBER($AF1502),$AF1502&gt;0),$AE1502/$AF1502,"")</f>
        <v>2.30475616816756</v>
      </c>
      <c r="AH1502" s="48" t="n">
        <f aca="false">IF($U1502&gt;=5,SUM(INDEX($AD$1472:$AD1502,32-5):$AD1502),"")</f>
        <v>67184786947</v>
      </c>
      <c r="AI1502" s="48" t="n">
        <f aca="false">IF($U1502&gt;=STRUCT_S,MAX(INDEX($G$1352:$G1502,152-STRUCT_S):$G1502),"")</f>
        <v>1681</v>
      </c>
      <c r="AJ1502" s="48" t="n">
        <f aca="false">IF($U1502&gt;=STRUCT_S,MIN(INDEX($H$1352:$H1502,152-STRUCT_S):$H1502),"")</f>
        <v>1472</v>
      </c>
      <c r="AK1502" s="48" t="n">
        <f aca="false">IF($U1502&gt;=STRUCT_L,MAX(INDEX($G$1252:$G1502,252-STRUCT_L):$G1502),"")</f>
        <v>1893</v>
      </c>
      <c r="AL1502" s="48" t="n">
        <f aca="false">IF($U1502&gt;=STRUCT_L,MIN(INDEX($H$1252:$H1502,252-STRUCT_L):$H1502),"")</f>
        <v>1472</v>
      </c>
      <c r="AM1502" s="46" t="n">
        <f aca="false">IF($A1502&lt;&gt;$A1503,1,0)</f>
        <v>0</v>
      </c>
      <c r="AN1502" s="47" t="str">
        <f aca="false">IF($AM1502=1,$A1502,"")</f>
        <v/>
      </c>
    </row>
    <row r="1503" customFormat="false" ht="15" hidden="false" customHeight="false" outlineLevel="0" collapsed="false">
      <c r="A1503" s="43" t="s">
        <v>157</v>
      </c>
      <c r="B1503" s="44" t="s">
        <v>159</v>
      </c>
      <c r="C1503" s="45" t="n">
        <v>46182</v>
      </c>
      <c r="D1503" s="46" t="n">
        <v>20260609</v>
      </c>
      <c r="E1503" s="47" t="s">
        <v>486</v>
      </c>
      <c r="F1503" s="48" t="n">
        <v>1603</v>
      </c>
      <c r="G1503" s="48" t="n">
        <v>1643</v>
      </c>
      <c r="H1503" s="48" t="n">
        <v>1587</v>
      </c>
      <c r="I1503" s="48" t="n">
        <v>1636</v>
      </c>
      <c r="J1503" s="48" t="n">
        <v>1634</v>
      </c>
      <c r="K1503" s="48" t="n">
        <v>1594</v>
      </c>
      <c r="L1503" s="48" t="n">
        <v>78589097</v>
      </c>
      <c r="M1503" s="48" t="n">
        <v>128571762692</v>
      </c>
      <c r="N1503" s="48" t="n">
        <v>1886</v>
      </c>
      <c r="O1503" s="48" t="n">
        <v>42092850</v>
      </c>
      <c r="P1503" s="48" t="n">
        <v>36062312</v>
      </c>
      <c r="Q1503" s="48" t="n">
        <v>847</v>
      </c>
      <c r="R1503" s="48" t="n">
        <v>998</v>
      </c>
      <c r="S1503" s="48" t="n">
        <v>36496247</v>
      </c>
      <c r="T1503" s="48" t="n">
        <v>42526785</v>
      </c>
      <c r="U1503" s="46" t="n">
        <f aca="false">IF($A1503=$A1502,$U1502+1,1)</f>
        <v>199</v>
      </c>
      <c r="V1503" s="48" t="n">
        <f aca="false">IF($U1503&gt;=MA_SHORT,AVERAGE(INDEX($I$1103:$I1503,402-MA_SHORT):$I1503),"")</f>
        <v>1578.95</v>
      </c>
      <c r="W1503" s="48" t="n">
        <f aca="false">IF($U1503&gt;=MA_MED,AVERAGE(INDEX($I$1103:$I1503,402-MA_MED):$I1503),"")</f>
        <v>1652.12</v>
      </c>
      <c r="X1503" s="48" t="n">
        <f aca="false">IF($U1503&gt;=MA_LONG1,AVERAGE(INDEX($I$1103:$I1503,402-MA_LONG1):$I1503),"")</f>
        <v>1656.63</v>
      </c>
      <c r="Y1503" s="48" t="str">
        <f aca="false">IF($U1503&gt;=MA_LONG2,AVERAGE(INDEX($I$1103:$I1503,402-MA_LONG2):$I1503),"")</f>
        <v/>
      </c>
      <c r="Z1503" s="48" t="n">
        <f aca="false">IF($U1503&gt;=MA_SHORT,AVERAGE(INDEX($L$1383:$L1503,122-MA_SHORT):$L1503),"")</f>
        <v>89493767.05</v>
      </c>
      <c r="AA1503" s="48" t="n">
        <f aca="false">IF($U1503=1,$G1503-$H1503,MAX($G1503-$H1503,ABS($G1503-$I1502),ABS($H1503-$I1502)))</f>
        <v>56</v>
      </c>
      <c r="AB1503" s="48" t="n">
        <f aca="false">IF($U1503&gt;=ATR_PER,AVERAGE(INDEX($AA$1383:$AA1503,122-ATR_PER):$AA1503),"")</f>
        <v>63.7857142857143</v>
      </c>
      <c r="AC1503" s="48" t="n">
        <f aca="false">$O1503-$P1503</f>
        <v>6030538</v>
      </c>
      <c r="AD1503" s="48" t="n">
        <f aca="false">$AC1503*$I1503</f>
        <v>9865960168</v>
      </c>
      <c r="AE1503" s="49" t="n">
        <f aca="false">IF($Q1503&gt;0,$O1503*$I1503/$Q1503/1000000,"")</f>
        <v>81.3033088547816</v>
      </c>
      <c r="AF1503" s="49" t="n">
        <f aca="false">IF($R1503&gt;0,$P1503*$I1503/$R1503/1000000,"")</f>
        <v>59.1161747815631</v>
      </c>
      <c r="AG1503" s="50" t="n">
        <f aca="false">IF(AND(ISNUMBER($AE1503),ISNUMBER($AF1503),$AF1503&gt;0),$AE1503/$AF1503,"")</f>
        <v>1.37531410236202</v>
      </c>
      <c r="AH1503" s="48" t="n">
        <f aca="false">IF($U1503&gt;=5,SUM(INDEX($AD$1473:$AD1503,32-5):$AD1503),"")</f>
        <v>96352294055</v>
      </c>
      <c r="AI1503" s="48" t="n">
        <f aca="false">IF($U1503&gt;=STRUCT_S,MAX(INDEX($G$1353:$G1503,152-STRUCT_S):$G1503),"")</f>
        <v>1681</v>
      </c>
      <c r="AJ1503" s="48" t="n">
        <f aca="false">IF($U1503&gt;=STRUCT_S,MIN(INDEX($H$1353:$H1503,152-STRUCT_S):$H1503),"")</f>
        <v>1472</v>
      </c>
      <c r="AK1503" s="48" t="n">
        <f aca="false">IF($U1503&gt;=STRUCT_L,MAX(INDEX($G$1253:$G1503,252-STRUCT_L):$G1503),"")</f>
        <v>1893</v>
      </c>
      <c r="AL1503" s="48" t="n">
        <f aca="false">IF($U1503&gt;=STRUCT_L,MIN(INDEX($H$1253:$H1503,252-STRUCT_L):$H1503),"")</f>
        <v>1472</v>
      </c>
      <c r="AM1503" s="46" t="n">
        <f aca="false">IF($A1503&lt;&gt;$A1504,1,0)</f>
        <v>0</v>
      </c>
      <c r="AN1503" s="47" t="str">
        <f aca="false">IF($AM1503=1,$A1503,"")</f>
        <v/>
      </c>
    </row>
    <row r="1504" customFormat="false" ht="15" hidden="false" customHeight="false" outlineLevel="0" collapsed="false">
      <c r="A1504" s="43" t="s">
        <v>157</v>
      </c>
      <c r="B1504" s="44" t="s">
        <v>159</v>
      </c>
      <c r="C1504" s="45" t="n">
        <v>46183</v>
      </c>
      <c r="D1504" s="46" t="n">
        <v>20260610</v>
      </c>
      <c r="E1504" s="47" t="s">
        <v>487</v>
      </c>
      <c r="F1504" s="48" t="n">
        <v>1612</v>
      </c>
      <c r="G1504" s="48" t="n">
        <v>1688</v>
      </c>
      <c r="H1504" s="48" t="n">
        <v>1591</v>
      </c>
      <c r="I1504" s="48" t="n">
        <v>1643</v>
      </c>
      <c r="J1504" s="48" t="n">
        <v>1623</v>
      </c>
      <c r="K1504" s="48" t="n">
        <v>1636</v>
      </c>
      <c r="L1504" s="48" t="n">
        <v>69602939</v>
      </c>
      <c r="M1504" s="48" t="n">
        <v>114357628777</v>
      </c>
      <c r="N1504" s="48" t="n">
        <v>1550</v>
      </c>
      <c r="O1504" s="48" t="n">
        <v>38780547</v>
      </c>
      <c r="P1504" s="48" t="n">
        <v>29043197</v>
      </c>
      <c r="Q1504" s="48" t="n">
        <v>805</v>
      </c>
      <c r="R1504" s="48" t="n">
        <v>830</v>
      </c>
      <c r="S1504" s="48" t="n">
        <v>30822392</v>
      </c>
      <c r="T1504" s="48" t="n">
        <v>40559742</v>
      </c>
      <c r="U1504" s="46" t="n">
        <f aca="false">IF($A1504=$A1503,$U1503+1,1)</f>
        <v>200</v>
      </c>
      <c r="V1504" s="48" t="n">
        <f aca="false">IF($U1504&gt;=MA_SHORT,AVERAGE(INDEX($I$1104:$I1504,402-MA_SHORT):$I1504),"")</f>
        <v>1583.5</v>
      </c>
      <c r="W1504" s="48" t="n">
        <f aca="false">IF($U1504&gt;=MA_MED,AVERAGE(INDEX($I$1104:$I1504,402-MA_MED):$I1504),"")</f>
        <v>1648.62</v>
      </c>
      <c r="X1504" s="48" t="n">
        <f aca="false">IF($U1504&gt;=MA_LONG1,AVERAGE(INDEX($I$1104:$I1504,402-MA_LONG1):$I1504),"")</f>
        <v>1658.74</v>
      </c>
      <c r="Y1504" s="48" t="n">
        <f aca="false">IF($U1504&gt;=MA_LONG2,AVERAGE(INDEX($I$1104:$I1504,402-MA_LONG2):$I1504),"")</f>
        <v>1564.67</v>
      </c>
      <c r="Z1504" s="48" t="n">
        <f aca="false">IF($U1504&gt;=MA_SHORT,AVERAGE(INDEX($L$1384:$L1504,122-MA_SHORT):$L1504),"")</f>
        <v>89207446.95</v>
      </c>
      <c r="AA1504" s="48" t="n">
        <f aca="false">IF($U1504=1,$G1504-$H1504,MAX($G1504-$H1504,ABS($G1504-$I1503),ABS($H1504-$I1503)))</f>
        <v>97</v>
      </c>
      <c r="AB1504" s="48" t="n">
        <f aca="false">IF($U1504&gt;=ATR_PER,AVERAGE(INDEX($AA$1384:$AA1504,122-ATR_PER):$AA1504),"")</f>
        <v>69.6428571428571</v>
      </c>
      <c r="AC1504" s="48" t="n">
        <f aca="false">$O1504-$P1504</f>
        <v>9737350</v>
      </c>
      <c r="AD1504" s="48" t="n">
        <f aca="false">$AC1504*$I1504</f>
        <v>15998466050</v>
      </c>
      <c r="AE1504" s="49" t="n">
        <f aca="false">IF($Q1504&gt;0,$O1504*$I1504/$Q1504/1000000,"")</f>
        <v>79.1508555540373</v>
      </c>
      <c r="AF1504" s="49" t="n">
        <f aca="false">IF($R1504&gt;0,$P1504*$I1504/$R1504/1000000,"")</f>
        <v>57.4915333385542</v>
      </c>
      <c r="AG1504" s="50" t="n">
        <f aca="false">IF(AND(ISNUMBER($AE1504),ISNUMBER($AF1504),$AF1504&gt;0),$AE1504/$AF1504,"")</f>
        <v>1.37673933808543</v>
      </c>
      <c r="AH1504" s="48" t="n">
        <f aca="false">IF($U1504&gt;=5,SUM(INDEX($AD$1474:$AD1504,32-5):$AD1504),"")</f>
        <v>111174664896</v>
      </c>
      <c r="AI1504" s="48" t="n">
        <f aca="false">IF($U1504&gt;=STRUCT_S,MAX(INDEX($G$1354:$G1504,152-STRUCT_S):$G1504),"")</f>
        <v>1688</v>
      </c>
      <c r="AJ1504" s="48" t="n">
        <f aca="false">IF($U1504&gt;=STRUCT_S,MIN(INDEX($H$1354:$H1504,152-STRUCT_S):$H1504),"")</f>
        <v>1472</v>
      </c>
      <c r="AK1504" s="48" t="n">
        <f aca="false">IF($U1504&gt;=STRUCT_L,MAX(INDEX($G$1254:$G1504,252-STRUCT_L):$G1504),"")</f>
        <v>1893</v>
      </c>
      <c r="AL1504" s="48" t="n">
        <f aca="false">IF($U1504&gt;=STRUCT_L,MIN(INDEX($H$1254:$H1504,252-STRUCT_L):$H1504),"")</f>
        <v>1472</v>
      </c>
      <c r="AM1504" s="46" t="n">
        <f aca="false">IF($A1504&lt;&gt;$A1505,1,0)</f>
        <v>0</v>
      </c>
      <c r="AN1504" s="47" t="str">
        <f aca="false">IF($AM1504=1,$A1504,"")</f>
        <v/>
      </c>
    </row>
    <row r="1505" customFormat="false" ht="15" hidden="false" customHeight="false" outlineLevel="0" collapsed="false">
      <c r="A1505" s="43" t="s">
        <v>157</v>
      </c>
      <c r="B1505" s="44" t="s">
        <v>159</v>
      </c>
      <c r="C1505" s="45" t="n">
        <v>46186</v>
      </c>
      <c r="D1505" s="46" t="n">
        <v>20260613</v>
      </c>
      <c r="E1505" s="47" t="s">
        <v>488</v>
      </c>
      <c r="F1505" s="48" t="n">
        <v>1642</v>
      </c>
      <c r="G1505" s="48" t="n">
        <v>1677</v>
      </c>
      <c r="H1505" s="48" t="n">
        <v>1614</v>
      </c>
      <c r="I1505" s="48" t="n">
        <v>1648</v>
      </c>
      <c r="J1505" s="48" t="n">
        <v>1659</v>
      </c>
      <c r="K1505" s="48" t="n">
        <v>1643</v>
      </c>
      <c r="L1505" s="48" t="n">
        <v>78688227</v>
      </c>
      <c r="M1505" s="48" t="n">
        <v>129678198096</v>
      </c>
      <c r="N1505" s="48" t="n">
        <v>2179</v>
      </c>
      <c r="O1505" s="48" t="n">
        <v>38022641</v>
      </c>
      <c r="P1505" s="48" t="n">
        <v>43685948</v>
      </c>
      <c r="Q1505" s="48" t="n">
        <v>1144</v>
      </c>
      <c r="R1505" s="48" t="n">
        <v>1027</v>
      </c>
      <c r="S1505" s="48" t="n">
        <v>40665586</v>
      </c>
      <c r="T1505" s="48" t="n">
        <v>35002279</v>
      </c>
      <c r="U1505" s="46" t="n">
        <f aca="false">IF($A1505=$A1504,$U1504+1,1)</f>
        <v>201</v>
      </c>
      <c r="V1505" s="48" t="n">
        <f aca="false">IF($U1505&gt;=MA_SHORT,AVERAGE(INDEX($I$1105:$I1505,402-MA_SHORT):$I1505),"")</f>
        <v>1589.35</v>
      </c>
      <c r="W1505" s="48" t="n">
        <f aca="false">IF($U1505&gt;=MA_MED,AVERAGE(INDEX($I$1105:$I1505,402-MA_MED):$I1505),"")</f>
        <v>1645.08</v>
      </c>
      <c r="X1505" s="48" t="n">
        <f aca="false">IF($U1505&gt;=MA_LONG1,AVERAGE(INDEX($I$1105:$I1505,402-MA_LONG1):$I1505),"")</f>
        <v>1660.75</v>
      </c>
      <c r="Y1505" s="48" t="n">
        <f aca="false">IF($U1505&gt;=MA_LONG2,AVERAGE(INDEX($I$1105:$I1505,402-MA_LONG2):$I1505),"")</f>
        <v>1565.7</v>
      </c>
      <c r="Z1505" s="48" t="n">
        <f aca="false">IF($U1505&gt;=MA_SHORT,AVERAGE(INDEX($L$1385:$L1505,122-MA_SHORT):$L1505),"")</f>
        <v>86713730.95</v>
      </c>
      <c r="AA1505" s="48" t="n">
        <f aca="false">IF($U1505=1,$G1505-$H1505,MAX($G1505-$H1505,ABS($G1505-$I1504),ABS($H1505-$I1504)))</f>
        <v>63</v>
      </c>
      <c r="AB1505" s="48" t="n">
        <f aca="false">IF($U1505&gt;=ATR_PER,AVERAGE(INDEX($AA$1385:$AA1505,122-ATR_PER):$AA1505),"")</f>
        <v>70.8571428571429</v>
      </c>
      <c r="AC1505" s="48" t="n">
        <f aca="false">$O1505-$P1505</f>
        <v>-5663307</v>
      </c>
      <c r="AD1505" s="48" t="n">
        <f aca="false">$AC1505*$I1505</f>
        <v>-9333129936</v>
      </c>
      <c r="AE1505" s="49" t="n">
        <f aca="false">IF($Q1505&gt;0,$O1505*$I1505/$Q1505/1000000,"")</f>
        <v>54.7738744475525</v>
      </c>
      <c r="AF1505" s="49" t="n">
        <f aca="false">IF($R1505&gt;0,$P1505*$I1505/$R1505/1000000,"")</f>
        <v>70.1016964985394</v>
      </c>
      <c r="AG1505" s="50" t="n">
        <f aca="false">IF(AND(ISNUMBER($AE1505),ISNUMBER($AF1505),$AF1505&gt;0),$AE1505/$AF1505,"")</f>
        <v>0.781348771619153</v>
      </c>
      <c r="AH1505" s="48" t="n">
        <f aca="false">IF($U1505&gt;=5,SUM(INDEX($AD$1475:$AD1505,32-5):$AD1505),"")</f>
        <v>84441643178</v>
      </c>
      <c r="AI1505" s="48" t="n">
        <f aca="false">IF($U1505&gt;=STRUCT_S,MAX(INDEX($G$1355:$G1505,152-STRUCT_S):$G1505),"")</f>
        <v>1688</v>
      </c>
      <c r="AJ1505" s="48" t="n">
        <f aca="false">IF($U1505&gt;=STRUCT_S,MIN(INDEX($H$1355:$H1505,152-STRUCT_S):$H1505),"")</f>
        <v>1472</v>
      </c>
      <c r="AK1505" s="48" t="n">
        <f aca="false">IF($U1505&gt;=STRUCT_L,MAX(INDEX($G$1255:$G1505,252-STRUCT_L):$G1505),"")</f>
        <v>1893</v>
      </c>
      <c r="AL1505" s="48" t="n">
        <f aca="false">IF($U1505&gt;=STRUCT_L,MIN(INDEX($H$1255:$H1505,252-STRUCT_L):$H1505),"")</f>
        <v>1472</v>
      </c>
      <c r="AM1505" s="46" t="n">
        <f aca="false">IF($A1505&lt;&gt;$A1506,1,0)</f>
        <v>0</v>
      </c>
      <c r="AN1505" s="47" t="str">
        <f aca="false">IF($AM1505=1,$A1505,"")</f>
        <v/>
      </c>
    </row>
    <row r="1506" customFormat="false" ht="15" hidden="false" customHeight="false" outlineLevel="0" collapsed="false">
      <c r="A1506" s="43" t="s">
        <v>157</v>
      </c>
      <c r="B1506" s="44" t="s">
        <v>159</v>
      </c>
      <c r="C1506" s="45" t="n">
        <v>46187</v>
      </c>
      <c r="D1506" s="46" t="n">
        <v>20260614</v>
      </c>
      <c r="E1506" s="47" t="s">
        <v>489</v>
      </c>
      <c r="F1506" s="48" t="n">
        <v>1652</v>
      </c>
      <c r="G1506" s="48" t="n">
        <v>1655</v>
      </c>
      <c r="H1506" s="48" t="n">
        <v>1561</v>
      </c>
      <c r="I1506" s="48" t="n">
        <v>1567</v>
      </c>
      <c r="J1506" s="48" t="n">
        <v>1595</v>
      </c>
      <c r="K1506" s="48" t="n">
        <v>1648</v>
      </c>
      <c r="L1506" s="48" t="n">
        <v>87873136</v>
      </c>
      <c r="M1506" s="48" t="n">
        <v>137697204112</v>
      </c>
      <c r="N1506" s="48" t="n">
        <v>2078</v>
      </c>
      <c r="O1506" s="48" t="n">
        <v>31647133</v>
      </c>
      <c r="P1506" s="48" t="n">
        <v>53213654</v>
      </c>
      <c r="Q1506" s="48" t="n">
        <v>845</v>
      </c>
      <c r="R1506" s="48" t="n">
        <v>972</v>
      </c>
      <c r="S1506" s="48" t="n">
        <v>56226003</v>
      </c>
      <c r="T1506" s="48" t="n">
        <v>34659482</v>
      </c>
      <c r="U1506" s="46" t="n">
        <f aca="false">IF($A1506=$A1505,$U1505+1,1)</f>
        <v>202</v>
      </c>
      <c r="V1506" s="48" t="n">
        <f aca="false">IF($U1506&gt;=MA_SHORT,AVERAGE(INDEX($I$1106:$I1506,402-MA_SHORT):$I1506),"")</f>
        <v>1589.6</v>
      </c>
      <c r="W1506" s="48" t="n">
        <f aca="false">IF($U1506&gt;=MA_MED,AVERAGE(INDEX($I$1106:$I1506,402-MA_MED):$I1506),"")</f>
        <v>1640.8</v>
      </c>
      <c r="X1506" s="48" t="n">
        <f aca="false">IF($U1506&gt;=MA_LONG1,AVERAGE(INDEX($I$1106:$I1506,402-MA_LONG1):$I1506),"")</f>
        <v>1661.53</v>
      </c>
      <c r="Y1506" s="48" t="n">
        <f aca="false">IF($U1506&gt;=MA_LONG2,AVERAGE(INDEX($I$1106:$I1506,402-MA_LONG2):$I1506),"")</f>
        <v>1566.035</v>
      </c>
      <c r="Z1506" s="48" t="n">
        <f aca="false">IF($U1506&gt;=MA_SHORT,AVERAGE(INDEX($L$1386:$L1506,122-MA_SHORT):$L1506),"")</f>
        <v>85899627.75</v>
      </c>
      <c r="AA1506" s="48" t="n">
        <f aca="false">IF($U1506=1,$G1506-$H1506,MAX($G1506-$H1506,ABS($G1506-$I1505),ABS($H1506-$I1505)))</f>
        <v>94</v>
      </c>
      <c r="AB1506" s="48" t="n">
        <f aca="false">IF($U1506&gt;=ATR_PER,AVERAGE(INDEX($AA$1386:$AA1506,122-ATR_PER):$AA1506),"")</f>
        <v>74.9285714285714</v>
      </c>
      <c r="AC1506" s="48" t="n">
        <f aca="false">$O1506-$P1506</f>
        <v>-21566521</v>
      </c>
      <c r="AD1506" s="48" t="n">
        <f aca="false">$AC1506*$I1506</f>
        <v>-33794738407</v>
      </c>
      <c r="AE1506" s="49" t="n">
        <f aca="false">IF($Q1506&gt;0,$O1506*$I1506/$Q1506/1000000,"")</f>
        <v>58.6876419065089</v>
      </c>
      <c r="AF1506" s="49" t="n">
        <f aca="false">IF($R1506&gt;0,$P1506*$I1506/$R1506/1000000,"")</f>
        <v>85.7878557798354</v>
      </c>
      <c r="AG1506" s="50" t="n">
        <f aca="false">IF(AND(ISNUMBER($AE1506),ISNUMBER($AF1506),$AF1506&gt;0),$AE1506/$AF1506,"")</f>
        <v>0.684101978922564</v>
      </c>
      <c r="AH1506" s="48" t="n">
        <f aca="false">IF($U1506&gt;=5,SUM(INDEX($AD$1476:$AD1506,32-5):$AD1506),"")</f>
        <v>-2451063229</v>
      </c>
      <c r="AI1506" s="48" t="n">
        <f aca="false">IF($U1506&gt;=STRUCT_S,MAX(INDEX($G$1356:$G1506,152-STRUCT_S):$G1506),"")</f>
        <v>1688</v>
      </c>
      <c r="AJ1506" s="48" t="n">
        <f aca="false">IF($U1506&gt;=STRUCT_S,MIN(INDEX($H$1356:$H1506,152-STRUCT_S):$H1506),"")</f>
        <v>1472</v>
      </c>
      <c r="AK1506" s="48" t="n">
        <f aca="false">IF($U1506&gt;=STRUCT_L,MAX(INDEX($G$1256:$G1506,252-STRUCT_L):$G1506),"")</f>
        <v>1893</v>
      </c>
      <c r="AL1506" s="48" t="n">
        <f aca="false">IF($U1506&gt;=STRUCT_L,MIN(INDEX($H$1256:$H1506,252-STRUCT_L):$H1506),"")</f>
        <v>1472</v>
      </c>
      <c r="AM1506" s="46" t="n">
        <f aca="false">IF($A1506&lt;&gt;$A1507,1,0)</f>
        <v>0</v>
      </c>
      <c r="AN1506" s="47" t="str">
        <f aca="false">IF($AM1506=1,$A1506,"")</f>
        <v/>
      </c>
    </row>
    <row r="1507" customFormat="false" ht="15" hidden="false" customHeight="false" outlineLevel="0" collapsed="false">
      <c r="A1507" s="43" t="s">
        <v>157</v>
      </c>
      <c r="B1507" s="44" t="s">
        <v>159</v>
      </c>
      <c r="C1507" s="45" t="n">
        <v>46188</v>
      </c>
      <c r="D1507" s="46" t="n">
        <v>20260615</v>
      </c>
      <c r="E1507" s="47" t="s">
        <v>490</v>
      </c>
      <c r="F1507" s="48" t="n">
        <v>1578</v>
      </c>
      <c r="G1507" s="48" t="n">
        <v>1597</v>
      </c>
      <c r="H1507" s="48" t="n">
        <v>1529</v>
      </c>
      <c r="I1507" s="48" t="n">
        <v>1559</v>
      </c>
      <c r="J1507" s="48" t="n">
        <v>1595</v>
      </c>
      <c r="K1507" s="48" t="n">
        <v>1567</v>
      </c>
      <c r="L1507" s="48" t="n">
        <v>99849627</v>
      </c>
      <c r="M1507" s="48" t="n">
        <v>155665568493</v>
      </c>
      <c r="N1507" s="48" t="n">
        <v>2970</v>
      </c>
      <c r="O1507" s="48" t="n">
        <v>48964652</v>
      </c>
      <c r="P1507" s="48" t="n">
        <v>47875751</v>
      </c>
      <c r="Q1507" s="48" t="n">
        <v>1495</v>
      </c>
      <c r="R1507" s="48" t="n">
        <v>1208</v>
      </c>
      <c r="S1507" s="48" t="n">
        <v>50884975</v>
      </c>
      <c r="T1507" s="48" t="n">
        <v>51973876</v>
      </c>
      <c r="U1507" s="46" t="n">
        <f aca="false">IF($A1507=$A1506,$U1506+1,1)</f>
        <v>203</v>
      </c>
      <c r="V1507" s="48" t="n">
        <f aca="false">IF($U1507&gt;=MA_SHORT,AVERAGE(INDEX($I$1107:$I1507,402-MA_SHORT):$I1507),"")</f>
        <v>1587.85</v>
      </c>
      <c r="W1507" s="48" t="n">
        <f aca="false">IF($U1507&gt;=MA_MED,AVERAGE(INDEX($I$1107:$I1507,402-MA_MED):$I1507),"")</f>
        <v>1637.36</v>
      </c>
      <c r="X1507" s="48" t="n">
        <f aca="false">IF($U1507&gt;=MA_LONG1,AVERAGE(INDEX($I$1107:$I1507,402-MA_LONG1):$I1507),"")</f>
        <v>1662.49</v>
      </c>
      <c r="Y1507" s="48" t="n">
        <f aca="false">IF($U1507&gt;=MA_LONG2,AVERAGE(INDEX($I$1107:$I1507,402-MA_LONG2):$I1507),"")</f>
        <v>1566.255</v>
      </c>
      <c r="Z1507" s="48" t="n">
        <f aca="false">IF($U1507&gt;=MA_SHORT,AVERAGE(INDEX($L$1387:$L1507,122-MA_SHORT):$L1507),"")</f>
        <v>85628027.1</v>
      </c>
      <c r="AA1507" s="48" t="n">
        <f aca="false">IF($U1507=1,$G1507-$H1507,MAX($G1507-$H1507,ABS($G1507-$I1506),ABS($H1507-$I1506)))</f>
        <v>68</v>
      </c>
      <c r="AB1507" s="48" t="n">
        <f aca="false">IF($U1507&gt;=ATR_PER,AVERAGE(INDEX($AA$1387:$AA1507,122-ATR_PER):$AA1507),"")</f>
        <v>73.7142857142857</v>
      </c>
      <c r="AC1507" s="48" t="n">
        <f aca="false">$O1507-$P1507</f>
        <v>1088901</v>
      </c>
      <c r="AD1507" s="48" t="n">
        <f aca="false">$AC1507*$I1507</f>
        <v>1697596659</v>
      </c>
      <c r="AE1507" s="49" t="n">
        <f aca="false">IF($Q1507&gt;0,$O1507*$I1507/$Q1507/1000000,"")</f>
        <v>51.0607976374582</v>
      </c>
      <c r="AF1507" s="49" t="n">
        <f aca="false">IF($R1507&gt;0,$P1507*$I1507/$R1507/1000000,"")</f>
        <v>61.7866687160596</v>
      </c>
      <c r="AG1507" s="50" t="n">
        <f aca="false">IF(AND(ISNUMBER($AE1507),ISNUMBER($AF1507),$AF1507&gt;0),$AE1507/$AF1507,"")</f>
        <v>0.826404768188877</v>
      </c>
      <c r="AH1507" s="48" t="n">
        <f aca="false">IF($U1507&gt;=5,SUM(INDEX($AD$1477:$AD1507,32-5):$AD1507),"")</f>
        <v>-15565845466</v>
      </c>
      <c r="AI1507" s="48" t="n">
        <f aca="false">IF($U1507&gt;=STRUCT_S,MAX(INDEX($G$1357:$G1507,152-STRUCT_S):$G1507),"")</f>
        <v>1688</v>
      </c>
      <c r="AJ1507" s="48" t="n">
        <f aca="false">IF($U1507&gt;=STRUCT_S,MIN(INDEX($H$1357:$H1507,152-STRUCT_S):$H1507),"")</f>
        <v>1472</v>
      </c>
      <c r="AK1507" s="48" t="n">
        <f aca="false">IF($U1507&gt;=STRUCT_L,MAX(INDEX($G$1257:$G1507,252-STRUCT_L):$G1507),"")</f>
        <v>1893</v>
      </c>
      <c r="AL1507" s="48" t="n">
        <f aca="false">IF($U1507&gt;=STRUCT_L,MIN(INDEX($H$1257:$H1507,252-STRUCT_L):$H1507),"")</f>
        <v>1472</v>
      </c>
      <c r="AM1507" s="46" t="n">
        <f aca="false">IF($A1507&lt;&gt;$A1508,1,0)</f>
        <v>0</v>
      </c>
      <c r="AN1507" s="47" t="str">
        <f aca="false">IF($AM1507=1,$A1507,"")</f>
        <v/>
      </c>
    </row>
    <row r="1508" customFormat="false" ht="15" hidden="false" customHeight="false" outlineLevel="0" collapsed="false">
      <c r="A1508" s="43" t="s">
        <v>157</v>
      </c>
      <c r="B1508" s="44" t="s">
        <v>159</v>
      </c>
      <c r="C1508" s="45" t="n">
        <v>46189</v>
      </c>
      <c r="D1508" s="46" t="n">
        <v>20260616</v>
      </c>
      <c r="E1508" s="47" t="s">
        <v>491</v>
      </c>
      <c r="F1508" s="48" t="n">
        <v>1529</v>
      </c>
      <c r="G1508" s="48" t="n">
        <v>1593</v>
      </c>
      <c r="H1508" s="48" t="n">
        <v>1489</v>
      </c>
      <c r="I1508" s="48" t="n">
        <v>1522</v>
      </c>
      <c r="J1508" s="48" t="n">
        <v>1492</v>
      </c>
      <c r="K1508" s="48" t="n">
        <v>1559</v>
      </c>
      <c r="L1508" s="48" t="n">
        <v>77524098</v>
      </c>
      <c r="M1508" s="48" t="n">
        <v>117991677156</v>
      </c>
      <c r="N1508" s="48" t="n">
        <v>2435</v>
      </c>
      <c r="O1508" s="48" t="n">
        <v>24988210</v>
      </c>
      <c r="P1508" s="48" t="n">
        <v>49368487</v>
      </c>
      <c r="Q1508" s="48" t="n">
        <v>895</v>
      </c>
      <c r="R1508" s="48" t="n">
        <v>795</v>
      </c>
      <c r="S1508" s="48" t="n">
        <v>52535888</v>
      </c>
      <c r="T1508" s="48" t="n">
        <v>28155611</v>
      </c>
      <c r="U1508" s="46" t="n">
        <f aca="false">IF($A1508=$A1507,$U1507+1,1)</f>
        <v>204</v>
      </c>
      <c r="V1508" s="48" t="n">
        <f aca="false">IF($U1508&gt;=MA_SHORT,AVERAGE(INDEX($I$1108:$I1508,402-MA_SHORT):$I1508),"")</f>
        <v>1585.85</v>
      </c>
      <c r="W1508" s="48" t="n">
        <f aca="false">IF($U1508&gt;=MA_MED,AVERAGE(INDEX($I$1108:$I1508,402-MA_MED):$I1508),"")</f>
        <v>1633.44</v>
      </c>
      <c r="X1508" s="48" t="n">
        <f aca="false">IF($U1508&gt;=MA_LONG1,AVERAGE(INDEX($I$1108:$I1508,402-MA_LONG1):$I1508),"")</f>
        <v>1662.66</v>
      </c>
      <c r="Y1508" s="48" t="n">
        <f aca="false">IF($U1508&gt;=MA_LONG2,AVERAGE(INDEX($I$1108:$I1508,402-MA_LONG2):$I1508),"")</f>
        <v>1566.245</v>
      </c>
      <c r="Z1508" s="48" t="n">
        <f aca="false">IF($U1508&gt;=MA_SHORT,AVERAGE(INDEX($L$1388:$L1508,122-MA_SHORT):$L1508),"")</f>
        <v>85702495.1</v>
      </c>
      <c r="AA1508" s="48" t="n">
        <f aca="false">IF($U1508=1,$G1508-$H1508,MAX($G1508-$H1508,ABS($G1508-$I1507),ABS($H1508-$I1507)))</f>
        <v>104</v>
      </c>
      <c r="AB1508" s="48" t="n">
        <f aca="false">IF($U1508&gt;=ATR_PER,AVERAGE(INDEX($AA$1388:$AA1508,122-ATR_PER):$AA1508),"")</f>
        <v>76.7857142857143</v>
      </c>
      <c r="AC1508" s="48" t="n">
        <f aca="false">$O1508-$P1508</f>
        <v>-24380277</v>
      </c>
      <c r="AD1508" s="48" t="n">
        <f aca="false">$AC1508*$I1508</f>
        <v>-37106781594</v>
      </c>
      <c r="AE1508" s="49" t="n">
        <f aca="false">IF($Q1508&gt;0,$O1508*$I1508/$Q1508/1000000,"")</f>
        <v>42.4939168938548</v>
      </c>
      <c r="AF1508" s="49" t="n">
        <f aca="false">IF($R1508&gt;0,$P1508*$I1508/$R1508/1000000,"")</f>
        <v>94.5142606465409</v>
      </c>
      <c r="AG1508" s="50" t="n">
        <f aca="false">IF(AND(ISNUMBER($AE1508),ISNUMBER($AF1508),$AF1508&gt;0),$AE1508/$AF1508,"")</f>
        <v>0.449603230276234</v>
      </c>
      <c r="AH1508" s="48" t="n">
        <f aca="false">IF($U1508&gt;=5,SUM(INDEX($AD$1478:$AD1508,32-5):$AD1508),"")</f>
        <v>-62538587228</v>
      </c>
      <c r="AI1508" s="48" t="n">
        <f aca="false">IF($U1508&gt;=STRUCT_S,MAX(INDEX($G$1358:$G1508,152-STRUCT_S):$G1508),"")</f>
        <v>1688</v>
      </c>
      <c r="AJ1508" s="48" t="n">
        <f aca="false">IF($U1508&gt;=STRUCT_S,MIN(INDEX($H$1358:$H1508,152-STRUCT_S):$H1508),"")</f>
        <v>1472</v>
      </c>
      <c r="AK1508" s="48" t="n">
        <f aca="false">IF($U1508&gt;=STRUCT_L,MAX(INDEX($G$1258:$G1508,252-STRUCT_L):$G1508),"")</f>
        <v>1893</v>
      </c>
      <c r="AL1508" s="48" t="n">
        <f aca="false">IF($U1508&gt;=STRUCT_L,MIN(INDEX($H$1258:$H1508,252-STRUCT_L):$H1508),"")</f>
        <v>1472</v>
      </c>
      <c r="AM1508" s="46" t="n">
        <f aca="false">IF($A1508&lt;&gt;$A1509,1,0)</f>
        <v>0</v>
      </c>
      <c r="AN1508" s="47" t="str">
        <f aca="false">IF($AM1508=1,$A1508,"")</f>
        <v/>
      </c>
    </row>
    <row r="1509" customFormat="false" ht="15" hidden="false" customHeight="false" outlineLevel="0" collapsed="false">
      <c r="A1509" s="43" t="s">
        <v>157</v>
      </c>
      <c r="B1509" s="44" t="s">
        <v>159</v>
      </c>
      <c r="C1509" s="45" t="n">
        <v>46190</v>
      </c>
      <c r="D1509" s="46" t="n">
        <v>20260617</v>
      </c>
      <c r="E1509" s="47" t="s">
        <v>492</v>
      </c>
      <c r="F1509" s="48" t="n">
        <v>1520</v>
      </c>
      <c r="G1509" s="48" t="n">
        <v>1564</v>
      </c>
      <c r="H1509" s="48" t="n">
        <v>1509</v>
      </c>
      <c r="I1509" s="48" t="n">
        <v>1551</v>
      </c>
      <c r="J1509" s="48" t="n">
        <v>1545</v>
      </c>
      <c r="K1509" s="48" t="n">
        <v>1522</v>
      </c>
      <c r="L1509" s="48" t="n">
        <v>75618858</v>
      </c>
      <c r="M1509" s="48" t="n">
        <v>117284848758</v>
      </c>
      <c r="N1509" s="48" t="n">
        <v>2499</v>
      </c>
      <c r="O1509" s="48" t="n">
        <v>46359000</v>
      </c>
      <c r="P1509" s="48" t="n">
        <v>28944872</v>
      </c>
      <c r="Q1509" s="48" t="n">
        <v>846</v>
      </c>
      <c r="R1509" s="48" t="n">
        <v>1232</v>
      </c>
      <c r="S1509" s="48" t="n">
        <v>29259858</v>
      </c>
      <c r="T1509" s="48" t="n">
        <v>46673986</v>
      </c>
      <c r="U1509" s="46" t="n">
        <f aca="false">IF($A1509=$A1508,$U1508+1,1)</f>
        <v>205</v>
      </c>
      <c r="V1509" s="48" t="n">
        <f aca="false">IF($U1509&gt;=MA_SHORT,AVERAGE(INDEX($I$1109:$I1509,402-MA_SHORT):$I1509),"")</f>
        <v>1584.1</v>
      </c>
      <c r="W1509" s="48" t="n">
        <f aca="false">IF($U1509&gt;=MA_MED,AVERAGE(INDEX($I$1109:$I1509,402-MA_MED):$I1509),"")</f>
        <v>1629.06</v>
      </c>
      <c r="X1509" s="48" t="n">
        <f aca="false">IF($U1509&gt;=MA_LONG1,AVERAGE(INDEX($I$1109:$I1509,402-MA_LONG1):$I1509),"")</f>
        <v>1663.27</v>
      </c>
      <c r="Y1509" s="48" t="n">
        <f aca="false">IF($U1509&gt;=MA_LONG2,AVERAGE(INDEX($I$1109:$I1509,402-MA_LONG2):$I1509),"")</f>
        <v>1566.535</v>
      </c>
      <c r="Z1509" s="48" t="n">
        <f aca="false">IF($U1509&gt;=MA_SHORT,AVERAGE(INDEX($L$1389:$L1509,122-MA_SHORT):$L1509),"")</f>
        <v>85777595.8</v>
      </c>
      <c r="AA1509" s="48" t="n">
        <f aca="false">IF($U1509=1,$G1509-$H1509,MAX($G1509-$H1509,ABS($G1509-$I1508),ABS($H1509-$I1508)))</f>
        <v>55</v>
      </c>
      <c r="AB1509" s="48" t="n">
        <f aca="false">IF($U1509&gt;=ATR_PER,AVERAGE(INDEX($AA$1389:$AA1509,122-ATR_PER):$AA1509),"")</f>
        <v>76.1428571428571</v>
      </c>
      <c r="AC1509" s="48" t="n">
        <f aca="false">$O1509-$P1509</f>
        <v>17414128</v>
      </c>
      <c r="AD1509" s="48" t="n">
        <f aca="false">$AC1509*$I1509</f>
        <v>27009312528</v>
      </c>
      <c r="AE1509" s="49" t="n">
        <f aca="false">IF($Q1509&gt;0,$O1509*$I1509/$Q1509/1000000,"")</f>
        <v>84.9915</v>
      </c>
      <c r="AF1509" s="49" t="n">
        <f aca="false">IF($R1509&gt;0,$P1509*$I1509/$R1509/1000000,"")</f>
        <v>36.4395263571429</v>
      </c>
      <c r="AG1509" s="50" t="n">
        <f aca="false">IF(AND(ISNUMBER($AE1509),ISNUMBER($AF1509),$AF1509&gt;0),$AE1509/$AF1509,"")</f>
        <v>2.33239859286316</v>
      </c>
      <c r="AH1509" s="48" t="n">
        <f aca="false">IF($U1509&gt;=5,SUM(INDEX($AD$1479:$AD1509,32-5):$AD1509),"")</f>
        <v>-51527740750</v>
      </c>
      <c r="AI1509" s="48" t="n">
        <f aca="false">IF($U1509&gt;=STRUCT_S,MAX(INDEX($G$1359:$G1509,152-STRUCT_S):$G1509),"")</f>
        <v>1688</v>
      </c>
      <c r="AJ1509" s="48" t="n">
        <f aca="false">IF($U1509&gt;=STRUCT_S,MIN(INDEX($H$1359:$H1509,152-STRUCT_S):$H1509),"")</f>
        <v>1472</v>
      </c>
      <c r="AK1509" s="48" t="n">
        <f aca="false">IF($U1509&gt;=STRUCT_L,MAX(INDEX($G$1259:$G1509,252-STRUCT_L):$G1509),"")</f>
        <v>1893</v>
      </c>
      <c r="AL1509" s="48" t="n">
        <f aca="false">IF($U1509&gt;=STRUCT_L,MIN(INDEX($H$1259:$H1509,252-STRUCT_L):$H1509),"")</f>
        <v>1472</v>
      </c>
      <c r="AM1509" s="46" t="n">
        <f aca="false">IF($A1509&lt;&gt;$A1510,1,0)</f>
        <v>0</v>
      </c>
      <c r="AN1509" s="47" t="str">
        <f aca="false">IF($AM1509=1,$A1509,"")</f>
        <v/>
      </c>
    </row>
    <row r="1510" customFormat="false" ht="15" hidden="false" customHeight="false" outlineLevel="0" collapsed="false">
      <c r="A1510" s="43" t="s">
        <v>157</v>
      </c>
      <c r="B1510" s="44" t="s">
        <v>159</v>
      </c>
      <c r="C1510" s="45" t="n">
        <v>46193</v>
      </c>
      <c r="D1510" s="46" t="n">
        <v>20260620</v>
      </c>
      <c r="E1510" s="47" t="s">
        <v>493</v>
      </c>
      <c r="F1510" s="48" t="n">
        <v>1558</v>
      </c>
      <c r="G1510" s="48" t="n">
        <v>1565</v>
      </c>
      <c r="H1510" s="48" t="n">
        <v>1519</v>
      </c>
      <c r="I1510" s="48" t="n">
        <v>1533</v>
      </c>
      <c r="J1510" s="48" t="n">
        <v>1551</v>
      </c>
      <c r="K1510" s="48" t="n">
        <v>1551</v>
      </c>
      <c r="L1510" s="48" t="n">
        <v>72586107</v>
      </c>
      <c r="M1510" s="48" t="n">
        <v>111274502031</v>
      </c>
      <c r="N1510" s="48" t="n">
        <v>2841</v>
      </c>
      <c r="O1510" s="48" t="n">
        <v>31400063</v>
      </c>
      <c r="P1510" s="48" t="n">
        <v>34461629</v>
      </c>
      <c r="Q1510" s="48" t="n">
        <v>1187</v>
      </c>
      <c r="R1510" s="48" t="n">
        <v>1220</v>
      </c>
      <c r="S1510" s="48" t="n">
        <v>41186044</v>
      </c>
      <c r="T1510" s="48" t="n">
        <v>38124478</v>
      </c>
      <c r="U1510" s="46" t="n">
        <f aca="false">IF($A1510=$A1509,$U1509+1,1)</f>
        <v>206</v>
      </c>
      <c r="V1510" s="48" t="n">
        <f aca="false">IF($U1510&gt;=MA_SHORT,AVERAGE(INDEX($I$1110:$I1510,402-MA_SHORT):$I1510),"")</f>
        <v>1581.5</v>
      </c>
      <c r="W1510" s="48" t="n">
        <f aca="false">IF($U1510&gt;=MA_MED,AVERAGE(INDEX($I$1110:$I1510,402-MA_MED):$I1510),"")</f>
        <v>1622.58</v>
      </c>
      <c r="X1510" s="48" t="n">
        <f aca="false">IF($U1510&gt;=MA_LONG1,AVERAGE(INDEX($I$1110:$I1510,402-MA_LONG1):$I1510),"")</f>
        <v>1663.3</v>
      </c>
      <c r="Y1510" s="48" t="n">
        <f aca="false">IF($U1510&gt;=MA_LONG2,AVERAGE(INDEX($I$1110:$I1510,402-MA_LONG2):$I1510),"")</f>
        <v>1566.905</v>
      </c>
      <c r="Z1510" s="48" t="n">
        <f aca="false">IF($U1510&gt;=MA_SHORT,AVERAGE(INDEX($L$1390:$L1510,122-MA_SHORT):$L1510),"")</f>
        <v>84710637</v>
      </c>
      <c r="AA1510" s="48" t="n">
        <f aca="false">IF($U1510=1,$G1510-$H1510,MAX($G1510-$H1510,ABS($G1510-$I1509),ABS($H1510-$I1509)))</f>
        <v>46</v>
      </c>
      <c r="AB1510" s="48" t="n">
        <f aca="false">IF($U1510&gt;=ATR_PER,AVERAGE(INDEX($AA$1390:$AA1510,122-ATR_PER):$AA1510),"")</f>
        <v>73.5</v>
      </c>
      <c r="AC1510" s="48" t="n">
        <f aca="false">$O1510-$P1510</f>
        <v>-3061566</v>
      </c>
      <c r="AD1510" s="48" t="n">
        <f aca="false">$AC1510*$I1510</f>
        <v>-4693380678</v>
      </c>
      <c r="AE1510" s="49" t="n">
        <f aca="false">IF($Q1510&gt;0,$O1510*$I1510/$Q1510/1000000,"")</f>
        <v>40.5529036048863</v>
      </c>
      <c r="AF1510" s="49" t="n">
        <f aca="false">IF($R1510&gt;0,$P1510*$I1510/$R1510/1000000,"")</f>
        <v>43.303014145082</v>
      </c>
      <c r="AG1510" s="50" t="n">
        <f aca="false">IF(AND(ISNUMBER($AE1510),ISNUMBER($AF1510),$AF1510&gt;0),$AE1510/$AF1510,"")</f>
        <v>0.936491475374399</v>
      </c>
      <c r="AH1510" s="48" t="n">
        <f aca="false">IF($U1510&gt;=5,SUM(INDEX($AD$1480:$AD1510,32-5):$AD1510),"")</f>
        <v>-46887991492</v>
      </c>
      <c r="AI1510" s="48" t="n">
        <f aca="false">IF($U1510&gt;=STRUCT_S,MAX(INDEX($G$1360:$G1510,152-STRUCT_S):$G1510),"")</f>
        <v>1688</v>
      </c>
      <c r="AJ1510" s="48" t="n">
        <f aca="false">IF($U1510&gt;=STRUCT_S,MIN(INDEX($H$1360:$H1510,152-STRUCT_S):$H1510),"")</f>
        <v>1472</v>
      </c>
      <c r="AK1510" s="48" t="n">
        <f aca="false">IF($U1510&gt;=STRUCT_L,MAX(INDEX($G$1260:$G1510,252-STRUCT_L):$G1510),"")</f>
        <v>1893</v>
      </c>
      <c r="AL1510" s="48" t="n">
        <f aca="false">IF($U1510&gt;=STRUCT_L,MIN(INDEX($H$1260:$H1510,252-STRUCT_L):$H1510),"")</f>
        <v>1472</v>
      </c>
      <c r="AM1510" s="46" t="n">
        <f aca="false">IF($A1510&lt;&gt;$A1511,1,0)</f>
        <v>0</v>
      </c>
      <c r="AN1510" s="47" t="str">
        <f aca="false">IF($AM1510=1,$A1510,"")</f>
        <v/>
      </c>
    </row>
    <row r="1511" customFormat="false" ht="15" hidden="false" customHeight="false" outlineLevel="0" collapsed="false">
      <c r="A1511" s="43" t="s">
        <v>157</v>
      </c>
      <c r="B1511" s="44" t="s">
        <v>159</v>
      </c>
      <c r="C1511" s="45" t="n">
        <v>46194</v>
      </c>
      <c r="D1511" s="46" t="n">
        <v>20260621</v>
      </c>
      <c r="E1511" s="47" t="s">
        <v>494</v>
      </c>
      <c r="F1511" s="48" t="n">
        <v>1544</v>
      </c>
      <c r="G1511" s="48" t="n">
        <v>1566</v>
      </c>
      <c r="H1511" s="48" t="n">
        <v>1517</v>
      </c>
      <c r="I1511" s="48" t="n">
        <v>1550</v>
      </c>
      <c r="J1511" s="48" t="n">
        <v>1550</v>
      </c>
      <c r="K1511" s="48" t="n">
        <v>1533</v>
      </c>
      <c r="L1511" s="48" t="n">
        <v>196462640</v>
      </c>
      <c r="M1511" s="48" t="n">
        <v>304517092000</v>
      </c>
      <c r="N1511" s="48" t="n">
        <v>13813</v>
      </c>
      <c r="O1511" s="48" t="n">
        <v>113944505</v>
      </c>
      <c r="P1511" s="48" t="n">
        <v>65833194</v>
      </c>
      <c r="Q1511" s="48" t="n">
        <v>4105</v>
      </c>
      <c r="R1511" s="48" t="n">
        <v>4354</v>
      </c>
      <c r="S1511" s="48" t="n">
        <v>82518135</v>
      </c>
      <c r="T1511" s="48" t="n">
        <v>130629446</v>
      </c>
      <c r="U1511" s="46" t="n">
        <f aca="false">IF($A1511=$A1510,$U1510+1,1)</f>
        <v>207</v>
      </c>
      <c r="V1511" s="48" t="n">
        <f aca="false">IF($U1511&gt;=MA_SHORT,AVERAGE(INDEX($I$1111:$I1511,402-MA_SHORT):$I1511),"")</f>
        <v>1579.85</v>
      </c>
      <c r="W1511" s="48" t="n">
        <f aca="false">IF($U1511&gt;=MA_MED,AVERAGE(INDEX($I$1111:$I1511,402-MA_MED):$I1511),"")</f>
        <v>1616.72</v>
      </c>
      <c r="X1511" s="48" t="n">
        <f aca="false">IF($U1511&gt;=MA_LONG1,AVERAGE(INDEX($I$1111:$I1511,402-MA_LONG1):$I1511),"")</f>
        <v>1663.75</v>
      </c>
      <c r="Y1511" s="48" t="n">
        <f aca="false">IF($U1511&gt;=MA_LONG2,AVERAGE(INDEX($I$1111:$I1511,402-MA_LONG2):$I1511),"")</f>
        <v>1567.215</v>
      </c>
      <c r="Z1511" s="48" t="n">
        <f aca="false">IF($U1511&gt;=MA_SHORT,AVERAGE(INDEX($L$1391:$L1511,122-MA_SHORT):$L1511),"")</f>
        <v>91115040.8</v>
      </c>
      <c r="AA1511" s="48" t="n">
        <f aca="false">IF($U1511=1,$G1511-$H1511,MAX($G1511-$H1511,ABS($G1511-$I1510),ABS($H1511-$I1510)))</f>
        <v>49</v>
      </c>
      <c r="AB1511" s="48" t="n">
        <f aca="false">IF($U1511&gt;=ATR_PER,AVERAGE(INDEX($AA$1391:$AA1511,122-ATR_PER):$AA1511),"")</f>
        <v>73.2857142857143</v>
      </c>
      <c r="AC1511" s="48" t="n">
        <f aca="false">$O1511-$P1511</f>
        <v>48111311</v>
      </c>
      <c r="AD1511" s="48" t="n">
        <f aca="false">$AC1511*$I1511</f>
        <v>74572532050</v>
      </c>
      <c r="AE1511" s="49" t="n">
        <f aca="false">IF($Q1511&gt;0,$O1511*$I1511/$Q1511/1000000,"")</f>
        <v>43.02411272838</v>
      </c>
      <c r="AF1511" s="49" t="n">
        <f aca="false">IF($R1511&gt;0,$P1511*$I1511/$R1511/1000000,"")</f>
        <v>23.4362541800643</v>
      </c>
      <c r="AG1511" s="50" t="n">
        <f aca="false">IF(AND(ISNUMBER($AE1511),ISNUMBER($AF1511),$AF1511&gt;0),$AE1511/$AF1511,"")</f>
        <v>1.83579305796136</v>
      </c>
      <c r="AH1511" s="48" t="n">
        <f aca="false">IF($U1511&gt;=5,SUM(INDEX($AD$1481:$AD1511,32-5):$AD1511),"")</f>
        <v>61479278965</v>
      </c>
      <c r="AI1511" s="48" t="n">
        <f aca="false">IF($U1511&gt;=STRUCT_S,MAX(INDEX($G$1361:$G1511,152-STRUCT_S):$G1511),"")</f>
        <v>1688</v>
      </c>
      <c r="AJ1511" s="48" t="n">
        <f aca="false">IF($U1511&gt;=STRUCT_S,MIN(INDEX($H$1361:$H1511,152-STRUCT_S):$H1511),"")</f>
        <v>1472</v>
      </c>
      <c r="AK1511" s="48" t="n">
        <f aca="false">IF($U1511&gt;=STRUCT_L,MAX(INDEX($G$1261:$G1511,252-STRUCT_L):$G1511),"")</f>
        <v>1893</v>
      </c>
      <c r="AL1511" s="48" t="n">
        <f aca="false">IF($U1511&gt;=STRUCT_L,MIN(INDEX($H$1261:$H1511,252-STRUCT_L):$H1511),"")</f>
        <v>1472</v>
      </c>
      <c r="AM1511" s="46" t="n">
        <f aca="false">IF($A1511&lt;&gt;$A1512,1,0)</f>
        <v>0</v>
      </c>
      <c r="AN1511" s="47" t="str">
        <f aca="false">IF($AM1511=1,$A1511,"")</f>
        <v/>
      </c>
    </row>
    <row r="1512" customFormat="false" ht="15" hidden="false" customHeight="false" outlineLevel="0" collapsed="false">
      <c r="A1512" s="43" t="s">
        <v>157</v>
      </c>
      <c r="B1512" s="44" t="s">
        <v>159</v>
      </c>
      <c r="C1512" s="45" t="n">
        <v>46195</v>
      </c>
      <c r="D1512" s="46" t="n">
        <v>20260622</v>
      </c>
      <c r="E1512" s="47" t="s">
        <v>495</v>
      </c>
      <c r="F1512" s="48" t="n">
        <v>1496</v>
      </c>
      <c r="G1512" s="48" t="n">
        <v>1559</v>
      </c>
      <c r="H1512" s="48" t="n">
        <v>1466</v>
      </c>
      <c r="I1512" s="48" t="n">
        <v>1474</v>
      </c>
      <c r="J1512" s="48" t="n">
        <v>1514</v>
      </c>
      <c r="K1512" s="48" t="n">
        <v>1550</v>
      </c>
      <c r="L1512" s="48" t="n">
        <v>87824998</v>
      </c>
      <c r="M1512" s="48" t="n">
        <v>129454047052</v>
      </c>
      <c r="N1512" s="48" t="n">
        <v>2006</v>
      </c>
      <c r="O1512" s="48" t="n">
        <v>27001353</v>
      </c>
      <c r="P1512" s="48" t="n">
        <v>69605496</v>
      </c>
      <c r="Q1512" s="48" t="n">
        <v>935</v>
      </c>
      <c r="R1512" s="48" t="n">
        <v>652</v>
      </c>
      <c r="S1512" s="48" t="n">
        <v>60823645</v>
      </c>
      <c r="T1512" s="48" t="n">
        <v>18219502</v>
      </c>
      <c r="U1512" s="46" t="n">
        <f aca="false">IF($A1512=$A1511,$U1511+1,1)</f>
        <v>208</v>
      </c>
      <c r="V1512" s="48" t="n">
        <f aca="false">IF($U1512&gt;=MA_SHORT,AVERAGE(INDEX($I$1112:$I1512,402-MA_SHORT):$I1512),"")</f>
        <v>1573.55</v>
      </c>
      <c r="W1512" s="48" t="n">
        <f aca="false">IF($U1512&gt;=MA_MED,AVERAGE(INDEX($I$1112:$I1512,402-MA_MED):$I1512),"")</f>
        <v>1609.92</v>
      </c>
      <c r="X1512" s="48" t="n">
        <f aca="false">IF($U1512&gt;=MA_LONG1,AVERAGE(INDEX($I$1112:$I1512,402-MA_LONG1):$I1512),"")</f>
        <v>1663.52</v>
      </c>
      <c r="Y1512" s="48" t="n">
        <f aca="false">IF($U1512&gt;=MA_LONG2,AVERAGE(INDEX($I$1112:$I1512,402-MA_LONG2):$I1512),"")</f>
        <v>1567.405</v>
      </c>
      <c r="Z1512" s="48" t="n">
        <f aca="false">IF($U1512&gt;=MA_SHORT,AVERAGE(INDEX($L$1392:$L1512,122-MA_SHORT):$L1512),"")</f>
        <v>91894621.95</v>
      </c>
      <c r="AA1512" s="48" t="n">
        <f aca="false">IF($U1512=1,$G1512-$H1512,MAX($G1512-$H1512,ABS($G1512-$I1511),ABS($H1512-$I1511)))</f>
        <v>93</v>
      </c>
      <c r="AB1512" s="48" t="n">
        <f aca="false">IF($U1512&gt;=ATR_PER,AVERAGE(INDEX($AA$1392:$AA1512,122-ATR_PER):$AA1512),"")</f>
        <v>69.6428571428571</v>
      </c>
      <c r="AC1512" s="48" t="n">
        <f aca="false">$O1512-$P1512</f>
        <v>-42604143</v>
      </c>
      <c r="AD1512" s="48" t="n">
        <f aca="false">$AC1512*$I1512</f>
        <v>-62798506782</v>
      </c>
      <c r="AE1512" s="49" t="n">
        <f aca="false">IF($Q1512&gt;0,$O1512*$I1512/$Q1512/1000000,"")</f>
        <v>42.5668388470588</v>
      </c>
      <c r="AF1512" s="49" t="n">
        <f aca="false">IF($R1512&gt;0,$P1512*$I1512/$R1512/1000000,"")</f>
        <v>157.359664269939</v>
      </c>
      <c r="AG1512" s="50" t="n">
        <f aca="false">IF(AND(ISNUMBER($AE1512),ISNUMBER($AF1512),$AF1512&gt;0),$AE1512/$AF1512,"")</f>
        <v>0.270506670464412</v>
      </c>
      <c r="AH1512" s="48" t="n">
        <f aca="false">IF($U1512&gt;=5,SUM(INDEX($AD$1482:$AD1512,32-5):$AD1512),"")</f>
        <v>-3016824476</v>
      </c>
      <c r="AI1512" s="48" t="n">
        <f aca="false">IF($U1512&gt;=STRUCT_S,MAX(INDEX($G$1362:$G1512,152-STRUCT_S):$G1512),"")</f>
        <v>1688</v>
      </c>
      <c r="AJ1512" s="48" t="n">
        <f aca="false">IF($U1512&gt;=STRUCT_S,MIN(INDEX($H$1362:$H1512,152-STRUCT_S):$H1512),"")</f>
        <v>1466</v>
      </c>
      <c r="AK1512" s="48" t="n">
        <f aca="false">IF($U1512&gt;=STRUCT_L,MAX(INDEX($G$1262:$G1512,252-STRUCT_L):$G1512),"")</f>
        <v>1893</v>
      </c>
      <c r="AL1512" s="48" t="n">
        <f aca="false">IF($U1512&gt;=STRUCT_L,MIN(INDEX($H$1262:$H1512,252-STRUCT_L):$H1512),"")</f>
        <v>1466</v>
      </c>
      <c r="AM1512" s="46" t="n">
        <f aca="false">IF($A1512&lt;&gt;$A1513,1,0)</f>
        <v>0</v>
      </c>
      <c r="AN1512" s="47" t="str">
        <f aca="false">IF($AM1512=1,$A1512,"")</f>
        <v/>
      </c>
    </row>
    <row r="1513" customFormat="false" ht="15" hidden="false" customHeight="false" outlineLevel="0" collapsed="false">
      <c r="A1513" s="43" t="s">
        <v>157</v>
      </c>
      <c r="B1513" s="44" t="s">
        <v>159</v>
      </c>
      <c r="C1513" s="45" t="n">
        <v>46196</v>
      </c>
      <c r="D1513" s="46" t="n">
        <v>20260623</v>
      </c>
      <c r="E1513" s="47" t="s">
        <v>496</v>
      </c>
      <c r="F1513" s="48" t="n">
        <v>1490</v>
      </c>
      <c r="G1513" s="48" t="n">
        <v>1493</v>
      </c>
      <c r="H1513" s="48" t="n">
        <v>1469</v>
      </c>
      <c r="I1513" s="48" t="n">
        <v>1488</v>
      </c>
      <c r="J1513" s="48" t="n">
        <v>1476</v>
      </c>
      <c r="K1513" s="48" t="n">
        <v>1474</v>
      </c>
      <c r="L1513" s="48" t="n">
        <v>71938035</v>
      </c>
      <c r="M1513" s="48" t="n">
        <v>107043796080</v>
      </c>
      <c r="N1513" s="48" t="n">
        <v>1908</v>
      </c>
      <c r="O1513" s="48" t="n">
        <v>35261881</v>
      </c>
      <c r="P1513" s="48" t="n">
        <v>36127830</v>
      </c>
      <c r="Q1513" s="48" t="n">
        <v>910</v>
      </c>
      <c r="R1513" s="48" t="n">
        <v>1000</v>
      </c>
      <c r="S1513" s="48" t="n">
        <v>36676154</v>
      </c>
      <c r="T1513" s="48" t="n">
        <v>35810205</v>
      </c>
      <c r="U1513" s="46" t="n">
        <f aca="false">IF($A1513=$A1512,$U1512+1,1)</f>
        <v>209</v>
      </c>
      <c r="V1513" s="48" t="n">
        <f aca="false">IF($U1513&gt;=MA_SHORT,AVERAGE(INDEX($I$1113:$I1513,402-MA_SHORT):$I1513),"")</f>
        <v>1565.65</v>
      </c>
      <c r="W1513" s="48" t="n">
        <f aca="false">IF($U1513&gt;=MA_MED,AVERAGE(INDEX($I$1113:$I1513,402-MA_MED):$I1513),"")</f>
        <v>1604.08</v>
      </c>
      <c r="X1513" s="48" t="n">
        <f aca="false">IF($U1513&gt;=MA_LONG1,AVERAGE(INDEX($I$1113:$I1513,402-MA_LONG1):$I1513),"")</f>
        <v>1663.59</v>
      </c>
      <c r="Y1513" s="48" t="n">
        <f aca="false">IF($U1513&gt;=MA_LONG2,AVERAGE(INDEX($I$1113:$I1513,402-MA_LONG2):$I1513),"")</f>
        <v>1567.73</v>
      </c>
      <c r="Z1513" s="48" t="n">
        <f aca="false">IF($U1513&gt;=MA_SHORT,AVERAGE(INDEX($L$1393:$L1513,122-MA_SHORT):$L1513),"")</f>
        <v>91513184.8</v>
      </c>
      <c r="AA1513" s="48" t="n">
        <f aca="false">IF($U1513=1,$G1513-$H1513,MAX($G1513-$H1513,ABS($G1513-$I1512),ABS($H1513-$I1512)))</f>
        <v>24</v>
      </c>
      <c r="AB1513" s="48" t="n">
        <f aca="false">IF($U1513&gt;=ATR_PER,AVERAGE(INDEX($AA$1393:$AA1513,122-ATR_PER):$AA1513),"")</f>
        <v>68.8571428571429</v>
      </c>
      <c r="AC1513" s="48" t="n">
        <f aca="false">$O1513-$P1513</f>
        <v>-865949</v>
      </c>
      <c r="AD1513" s="48" t="n">
        <f aca="false">$AC1513*$I1513</f>
        <v>-1288532112</v>
      </c>
      <c r="AE1513" s="49" t="n">
        <f aca="false">IF($Q1513&gt;0,$O1513*$I1513/$Q1513/1000000,"")</f>
        <v>57.658987832967</v>
      </c>
      <c r="AF1513" s="49" t="n">
        <f aca="false">IF($R1513&gt;0,$P1513*$I1513/$R1513/1000000,"")</f>
        <v>53.75821104</v>
      </c>
      <c r="AG1513" s="50" t="n">
        <f aca="false">IF(AND(ISNUMBER($AE1513),ISNUMBER($AF1513),$AF1513&gt;0),$AE1513/$AF1513,"")</f>
        <v>1.07256150674479</v>
      </c>
      <c r="AH1513" s="48" t="n">
        <f aca="false">IF($U1513&gt;=5,SUM(INDEX($AD$1483:$AD1513,32-5):$AD1513),"")</f>
        <v>32801425006</v>
      </c>
      <c r="AI1513" s="48" t="n">
        <f aca="false">IF($U1513&gt;=STRUCT_S,MAX(INDEX($G$1363:$G1513,152-STRUCT_S):$G1513),"")</f>
        <v>1688</v>
      </c>
      <c r="AJ1513" s="48" t="n">
        <f aca="false">IF($U1513&gt;=STRUCT_S,MIN(INDEX($H$1363:$H1513,152-STRUCT_S):$H1513),"")</f>
        <v>1466</v>
      </c>
      <c r="AK1513" s="48" t="n">
        <f aca="false">IF($U1513&gt;=STRUCT_L,MAX(INDEX($G$1263:$G1513,252-STRUCT_L):$G1513),"")</f>
        <v>1893</v>
      </c>
      <c r="AL1513" s="48" t="n">
        <f aca="false">IF($U1513&gt;=STRUCT_L,MIN(INDEX($H$1263:$H1513,252-STRUCT_L):$H1513),"")</f>
        <v>1466</v>
      </c>
      <c r="AM1513" s="46" t="n">
        <f aca="false">IF($A1513&lt;&gt;$A1514,1,0)</f>
        <v>0</v>
      </c>
      <c r="AN1513" s="47" t="str">
        <f aca="false">IF($AM1513=1,$A1513,"")</f>
        <v/>
      </c>
    </row>
    <row r="1514" customFormat="false" ht="15" hidden="false" customHeight="false" outlineLevel="0" collapsed="false">
      <c r="A1514" s="43" t="s">
        <v>157</v>
      </c>
      <c r="B1514" s="44" t="s">
        <v>159</v>
      </c>
      <c r="C1514" s="45" t="n">
        <v>46197</v>
      </c>
      <c r="D1514" s="46" t="n">
        <v>20260624</v>
      </c>
      <c r="E1514" s="47" t="s">
        <v>497</v>
      </c>
      <c r="F1514" s="48" t="n">
        <v>1526</v>
      </c>
      <c r="G1514" s="48" t="n">
        <v>1580</v>
      </c>
      <c r="H1514" s="48" t="n">
        <v>1447</v>
      </c>
      <c r="I1514" s="48" t="n">
        <v>1538</v>
      </c>
      <c r="J1514" s="48" t="n">
        <v>1453</v>
      </c>
      <c r="K1514" s="48" t="n">
        <v>1488</v>
      </c>
      <c r="L1514" s="48" t="n">
        <v>82473165</v>
      </c>
      <c r="M1514" s="48" t="n">
        <v>126843727770</v>
      </c>
      <c r="N1514" s="48" t="n">
        <v>1950</v>
      </c>
      <c r="O1514" s="48" t="n">
        <v>50736416</v>
      </c>
      <c r="P1514" s="48" t="n">
        <v>41075741</v>
      </c>
      <c r="Q1514" s="48" t="n">
        <v>1047</v>
      </c>
      <c r="R1514" s="48" t="n">
        <v>944</v>
      </c>
      <c r="S1514" s="48" t="n">
        <v>31736749</v>
      </c>
      <c r="T1514" s="48" t="n">
        <v>41397424</v>
      </c>
      <c r="U1514" s="46" t="n">
        <f aca="false">IF($A1514=$A1513,$U1513+1,1)</f>
        <v>210</v>
      </c>
      <c r="V1514" s="48" t="n">
        <f aca="false">IF($U1514&gt;=MA_SHORT,AVERAGE(INDEX($I$1114:$I1514,402-MA_SHORT):$I1514),"")</f>
        <v>1559.8</v>
      </c>
      <c r="W1514" s="48" t="n">
        <f aca="false">IF($U1514&gt;=MA_MED,AVERAGE(INDEX($I$1114:$I1514,402-MA_MED):$I1514),"")</f>
        <v>1599.1</v>
      </c>
      <c r="X1514" s="48" t="n">
        <f aca="false">IF($U1514&gt;=MA_LONG1,AVERAGE(INDEX($I$1114:$I1514,402-MA_LONG1):$I1514),"")</f>
        <v>1664.18</v>
      </c>
      <c r="Y1514" s="48" t="n">
        <f aca="false">IF($U1514&gt;=MA_LONG2,AVERAGE(INDEX($I$1114:$I1514,402-MA_LONG2):$I1514),"")</f>
        <v>1568.565</v>
      </c>
      <c r="Z1514" s="48" t="n">
        <f aca="false">IF($U1514&gt;=MA_SHORT,AVERAGE(INDEX($L$1394:$L1514,122-MA_SHORT):$L1514),"")</f>
        <v>92132488.7</v>
      </c>
      <c r="AA1514" s="48" t="n">
        <f aca="false">IF($U1514=1,$G1514-$H1514,MAX($G1514-$H1514,ABS($G1514-$I1513),ABS($H1514-$I1513)))</f>
        <v>133</v>
      </c>
      <c r="AB1514" s="48" t="n">
        <f aca="false">IF($U1514&gt;=ATR_PER,AVERAGE(INDEX($AA$1394:$AA1514,122-ATR_PER):$AA1514),"")</f>
        <v>73.7857142857143</v>
      </c>
      <c r="AC1514" s="48" t="n">
        <f aca="false">$O1514-$P1514</f>
        <v>9660675</v>
      </c>
      <c r="AD1514" s="48" t="n">
        <f aca="false">$AC1514*$I1514</f>
        <v>14858118150</v>
      </c>
      <c r="AE1514" s="49" t="n">
        <f aca="false">IF($Q1514&gt;0,$O1514*$I1514/$Q1514/1000000,"")</f>
        <v>74.5297113734479</v>
      </c>
      <c r="AF1514" s="49" t="n">
        <f aca="false">IF($R1514&gt;0,$P1514*$I1514/$R1514/1000000,"")</f>
        <v>66.922128875</v>
      </c>
      <c r="AG1514" s="50" t="n">
        <f aca="false">IF(AND(ISNUMBER($AE1514),ISNUMBER($AF1514),$AF1514&gt;0),$AE1514/$AF1514,"")</f>
        <v>1.11367813048293</v>
      </c>
      <c r="AH1514" s="48" t="n">
        <f aca="false">IF($U1514&gt;=5,SUM(INDEX($AD$1484:$AD1514,32-5):$AD1514),"")</f>
        <v>20650230628</v>
      </c>
      <c r="AI1514" s="48" t="n">
        <f aca="false">IF($U1514&gt;=STRUCT_S,MAX(INDEX($G$1364:$G1514,152-STRUCT_S):$G1514),"")</f>
        <v>1688</v>
      </c>
      <c r="AJ1514" s="48" t="n">
        <f aca="false">IF($U1514&gt;=STRUCT_S,MIN(INDEX($H$1364:$H1514,152-STRUCT_S):$H1514),"")</f>
        <v>1447</v>
      </c>
      <c r="AK1514" s="48" t="n">
        <f aca="false">IF($U1514&gt;=STRUCT_L,MAX(INDEX($G$1264:$G1514,252-STRUCT_L):$G1514),"")</f>
        <v>1893</v>
      </c>
      <c r="AL1514" s="48" t="n">
        <f aca="false">IF($U1514&gt;=STRUCT_L,MIN(INDEX($H$1264:$H1514,252-STRUCT_L):$H1514),"")</f>
        <v>1447</v>
      </c>
      <c r="AM1514" s="46" t="n">
        <f aca="false">IF($A1514&lt;&gt;$A1515,1,0)</f>
        <v>0</v>
      </c>
      <c r="AN1514" s="47" t="str">
        <f aca="false">IF($AM1514=1,$A1514,"")</f>
        <v/>
      </c>
    </row>
    <row r="1515" customFormat="false" ht="15" hidden="false" customHeight="false" outlineLevel="0" collapsed="false">
      <c r="A1515" s="43" t="s">
        <v>157</v>
      </c>
      <c r="B1515" s="44" t="s">
        <v>159</v>
      </c>
      <c r="C1515" s="45" t="n">
        <v>46200</v>
      </c>
      <c r="D1515" s="46" t="n">
        <v>20260627</v>
      </c>
      <c r="E1515" s="47" t="s">
        <v>498</v>
      </c>
      <c r="F1515" s="48" t="n">
        <v>1472</v>
      </c>
      <c r="G1515" s="48" t="n">
        <v>1583</v>
      </c>
      <c r="H1515" s="48" t="n">
        <v>1457</v>
      </c>
      <c r="I1515" s="48" t="n">
        <v>1501</v>
      </c>
      <c r="J1515" s="48" t="n">
        <v>1528</v>
      </c>
      <c r="K1515" s="48" t="n">
        <v>1538</v>
      </c>
      <c r="L1515" s="48" t="n">
        <v>79805606</v>
      </c>
      <c r="M1515" s="48" t="n">
        <v>119788214606</v>
      </c>
      <c r="N1515" s="48" t="n">
        <v>2444</v>
      </c>
      <c r="O1515" s="48" t="n">
        <v>34652700</v>
      </c>
      <c r="P1515" s="48" t="n">
        <v>41351502</v>
      </c>
      <c r="Q1515" s="48" t="n">
        <v>755</v>
      </c>
      <c r="R1515" s="48" t="n">
        <v>1184</v>
      </c>
      <c r="S1515" s="48" t="n">
        <v>45152906</v>
      </c>
      <c r="T1515" s="48" t="n">
        <v>38454104</v>
      </c>
      <c r="U1515" s="46" t="n">
        <f aca="false">IF($A1515=$A1514,$U1514+1,1)</f>
        <v>211</v>
      </c>
      <c r="V1515" s="48" t="n">
        <f aca="false">IF($U1515&gt;=MA_SHORT,AVERAGE(INDEX($I$1115:$I1515,402-MA_SHORT):$I1515),"")</f>
        <v>1554.9</v>
      </c>
      <c r="W1515" s="48" t="n">
        <f aca="false">IF($U1515&gt;=MA_MED,AVERAGE(INDEX($I$1115:$I1515,402-MA_MED):$I1515),"")</f>
        <v>1594.2</v>
      </c>
      <c r="X1515" s="48" t="n">
        <f aca="false">IF($U1515&gt;=MA_LONG1,AVERAGE(INDEX($I$1115:$I1515,402-MA_LONG1):$I1515),"")</f>
        <v>1664.47</v>
      </c>
      <c r="Y1515" s="48" t="n">
        <f aca="false">IF($U1515&gt;=MA_LONG2,AVERAGE(INDEX($I$1115:$I1515,402-MA_LONG2):$I1515),"")</f>
        <v>1569.185</v>
      </c>
      <c r="Z1515" s="48" t="n">
        <f aca="false">IF($U1515&gt;=MA_SHORT,AVERAGE(INDEX($L$1395:$L1515,122-MA_SHORT):$L1515),"")</f>
        <v>92040870.65</v>
      </c>
      <c r="AA1515" s="48" t="n">
        <f aca="false">IF($U1515=1,$G1515-$H1515,MAX($G1515-$H1515,ABS($G1515-$I1514),ABS($H1515-$I1514)))</f>
        <v>126</v>
      </c>
      <c r="AB1515" s="48" t="n">
        <f aca="false">IF($U1515&gt;=ATR_PER,AVERAGE(INDEX($AA$1395:$AA1515,122-ATR_PER):$AA1515),"")</f>
        <v>78.8571428571429</v>
      </c>
      <c r="AC1515" s="48" t="n">
        <f aca="false">$O1515-$P1515</f>
        <v>-6698802</v>
      </c>
      <c r="AD1515" s="48" t="n">
        <f aca="false">$AC1515*$I1515</f>
        <v>-10054901802</v>
      </c>
      <c r="AE1515" s="49" t="n">
        <f aca="false">IF($Q1515&gt;0,$O1515*$I1515/$Q1515/1000000,"")</f>
        <v>68.8923214569536</v>
      </c>
      <c r="AF1515" s="49" t="n">
        <f aca="false">IF($R1515&gt;0,$P1515*$I1515/$R1515/1000000,"")</f>
        <v>52.4228078564189</v>
      </c>
      <c r="AG1515" s="50" t="n">
        <f aca="false">IF(AND(ISNUMBER($AE1515),ISNUMBER($AF1515),$AF1515&gt;0),$AE1515/$AF1515,"")</f>
        <v>1.31416694896701</v>
      </c>
      <c r="AH1515" s="48" t="n">
        <f aca="false">IF($U1515&gt;=5,SUM(INDEX($AD$1485:$AD1515,32-5):$AD1515),"")</f>
        <v>15288709504</v>
      </c>
      <c r="AI1515" s="48" t="n">
        <f aca="false">IF($U1515&gt;=STRUCT_S,MAX(INDEX($G$1365:$G1515,152-STRUCT_S):$G1515),"")</f>
        <v>1688</v>
      </c>
      <c r="AJ1515" s="48" t="n">
        <f aca="false">IF($U1515&gt;=STRUCT_S,MIN(INDEX($H$1365:$H1515,152-STRUCT_S):$H1515),"")</f>
        <v>1447</v>
      </c>
      <c r="AK1515" s="48" t="n">
        <f aca="false">IF($U1515&gt;=STRUCT_L,MAX(INDEX($G$1265:$G1515,252-STRUCT_L):$G1515),"")</f>
        <v>1893</v>
      </c>
      <c r="AL1515" s="48" t="n">
        <f aca="false">IF($U1515&gt;=STRUCT_L,MIN(INDEX($H$1265:$H1515,252-STRUCT_L):$H1515),"")</f>
        <v>1447</v>
      </c>
      <c r="AM1515" s="46" t="n">
        <f aca="false">IF($A1515&lt;&gt;$A1516,1,0)</f>
        <v>0</v>
      </c>
      <c r="AN1515" s="47" t="str">
        <f aca="false">IF($AM1515=1,$A1515,"")</f>
        <v/>
      </c>
    </row>
    <row r="1516" customFormat="false" ht="15" hidden="false" customHeight="false" outlineLevel="0" collapsed="false">
      <c r="A1516" s="43" t="s">
        <v>157</v>
      </c>
      <c r="B1516" s="44" t="s">
        <v>159</v>
      </c>
      <c r="C1516" s="45" t="n">
        <v>46201</v>
      </c>
      <c r="D1516" s="46" t="n">
        <v>20260628</v>
      </c>
      <c r="E1516" s="47" t="s">
        <v>499</v>
      </c>
      <c r="F1516" s="48" t="n">
        <v>1495</v>
      </c>
      <c r="G1516" s="48" t="n">
        <v>1509</v>
      </c>
      <c r="H1516" s="48" t="n">
        <v>1467</v>
      </c>
      <c r="I1516" s="48" t="n">
        <v>1474</v>
      </c>
      <c r="J1516" s="48" t="n">
        <v>1495</v>
      </c>
      <c r="K1516" s="48" t="n">
        <v>1501</v>
      </c>
      <c r="L1516" s="48" t="n">
        <v>75184874</v>
      </c>
      <c r="M1516" s="48" t="n">
        <v>110822504276</v>
      </c>
      <c r="N1516" s="48" t="n">
        <v>2589</v>
      </c>
      <c r="O1516" s="48" t="n">
        <v>30230642</v>
      </c>
      <c r="P1516" s="48" t="n">
        <v>44857874</v>
      </c>
      <c r="Q1516" s="48" t="n">
        <v>1190</v>
      </c>
      <c r="R1516" s="48" t="n">
        <v>1004</v>
      </c>
      <c r="S1516" s="48" t="n">
        <v>44954232</v>
      </c>
      <c r="T1516" s="48" t="n">
        <v>30327000</v>
      </c>
      <c r="U1516" s="46" t="n">
        <f aca="false">IF($A1516=$A1515,$U1515+1,1)</f>
        <v>212</v>
      </c>
      <c r="V1516" s="48" t="n">
        <f aca="false">IF($U1516&gt;=MA_SHORT,AVERAGE(INDEX($I$1116:$I1516,402-MA_SHORT):$I1516),"")</f>
        <v>1549.8</v>
      </c>
      <c r="W1516" s="48" t="n">
        <f aca="false">IF($U1516&gt;=MA_MED,AVERAGE(INDEX($I$1116:$I1516,402-MA_MED):$I1516),"")</f>
        <v>1588.86</v>
      </c>
      <c r="X1516" s="48" t="n">
        <f aca="false">IF($U1516&gt;=MA_LONG1,AVERAGE(INDEX($I$1116:$I1516,402-MA_LONG1):$I1516),"")</f>
        <v>1664.18</v>
      </c>
      <c r="Y1516" s="48" t="n">
        <f aca="false">IF($U1516&gt;=MA_LONG2,AVERAGE(INDEX($I$1116:$I1516,402-MA_LONG2):$I1516),"")</f>
        <v>1569.59</v>
      </c>
      <c r="Z1516" s="48" t="n">
        <f aca="false">IF($U1516&gt;=MA_SHORT,AVERAGE(INDEX($L$1396:$L1516,122-MA_SHORT):$L1516),"")</f>
        <v>92114242.1</v>
      </c>
      <c r="AA1516" s="48" t="n">
        <f aca="false">IF($U1516=1,$G1516-$H1516,MAX($G1516-$H1516,ABS($G1516-$I1515),ABS($H1516-$I1515)))</f>
        <v>42</v>
      </c>
      <c r="AB1516" s="48" t="n">
        <f aca="false">IF($U1516&gt;=ATR_PER,AVERAGE(INDEX($AA$1396:$AA1516,122-ATR_PER):$AA1516),"")</f>
        <v>75</v>
      </c>
      <c r="AC1516" s="48" t="n">
        <f aca="false">$O1516-$P1516</f>
        <v>-14627232</v>
      </c>
      <c r="AD1516" s="48" t="n">
        <f aca="false">$AC1516*$I1516</f>
        <v>-21560539968</v>
      </c>
      <c r="AE1516" s="49" t="n">
        <f aca="false">IF($Q1516&gt;0,$O1516*$I1516/$Q1516/1000000,"")</f>
        <v>37.4453498386555</v>
      </c>
      <c r="AF1516" s="49" t="n">
        <f aca="false">IF($R1516&gt;0,$P1516*$I1516/$R1516/1000000,"")</f>
        <v>65.8570779641434</v>
      </c>
      <c r="AG1516" s="50" t="n">
        <f aca="false">IF(AND(ISNUMBER($AE1516),ISNUMBER($AF1516),$AF1516&gt;0),$AE1516/$AF1516,"")</f>
        <v>0.568585048049702</v>
      </c>
      <c r="AH1516" s="48" t="n">
        <f aca="false">IF($U1516&gt;=5,SUM(INDEX($AD$1486:$AD1516,32-5):$AD1516),"")</f>
        <v>-80844362514</v>
      </c>
      <c r="AI1516" s="48" t="n">
        <f aca="false">IF($U1516&gt;=STRUCT_S,MAX(INDEX($G$1366:$G1516,152-STRUCT_S):$G1516),"")</f>
        <v>1688</v>
      </c>
      <c r="AJ1516" s="48" t="n">
        <f aca="false">IF($U1516&gt;=STRUCT_S,MIN(INDEX($H$1366:$H1516,152-STRUCT_S):$H1516),"")</f>
        <v>1447</v>
      </c>
      <c r="AK1516" s="48" t="n">
        <f aca="false">IF($U1516&gt;=STRUCT_L,MAX(INDEX($G$1266:$G1516,252-STRUCT_L):$G1516),"")</f>
        <v>1893</v>
      </c>
      <c r="AL1516" s="48" t="n">
        <f aca="false">IF($U1516&gt;=STRUCT_L,MIN(INDEX($H$1266:$H1516,252-STRUCT_L):$H1516),"")</f>
        <v>1447</v>
      </c>
      <c r="AM1516" s="46" t="n">
        <f aca="false">IF($A1516&lt;&gt;$A1517,1,0)</f>
        <v>0</v>
      </c>
      <c r="AN1516" s="47" t="str">
        <f aca="false">IF($AM1516=1,$A1516,"")</f>
        <v/>
      </c>
    </row>
    <row r="1517" customFormat="false" ht="15" hidden="false" customHeight="false" outlineLevel="0" collapsed="false">
      <c r="A1517" s="43" t="s">
        <v>157</v>
      </c>
      <c r="B1517" s="44" t="s">
        <v>159</v>
      </c>
      <c r="C1517" s="45" t="n">
        <v>46202</v>
      </c>
      <c r="D1517" s="46" t="n">
        <v>20260629</v>
      </c>
      <c r="E1517" s="47" t="s">
        <v>500</v>
      </c>
      <c r="F1517" s="48" t="n">
        <v>1514</v>
      </c>
      <c r="G1517" s="48" t="n">
        <v>1527</v>
      </c>
      <c r="H1517" s="48" t="n">
        <v>1464</v>
      </c>
      <c r="I1517" s="48" t="n">
        <v>1516</v>
      </c>
      <c r="J1517" s="48" t="n">
        <v>1472</v>
      </c>
      <c r="K1517" s="48" t="n">
        <v>1474</v>
      </c>
      <c r="L1517" s="48" t="n">
        <v>104924631</v>
      </c>
      <c r="M1517" s="48" t="n">
        <v>159065740596</v>
      </c>
      <c r="N1517" s="48" t="n">
        <v>3543</v>
      </c>
      <c r="O1517" s="48" t="n">
        <v>71112612</v>
      </c>
      <c r="P1517" s="48" t="n">
        <v>36659935</v>
      </c>
      <c r="Q1517" s="48" t="n">
        <v>1272</v>
      </c>
      <c r="R1517" s="48" t="n">
        <v>1713</v>
      </c>
      <c r="S1517" s="48" t="n">
        <v>33812019</v>
      </c>
      <c r="T1517" s="48" t="n">
        <v>68264696</v>
      </c>
      <c r="U1517" s="46" t="n">
        <f aca="false">IF($A1517=$A1516,$U1516+1,1)</f>
        <v>213</v>
      </c>
      <c r="V1517" s="48" t="n">
        <f aca="false">IF($U1517&gt;=MA_SHORT,AVERAGE(INDEX($I$1117:$I1517,402-MA_SHORT):$I1517),"")</f>
        <v>1547</v>
      </c>
      <c r="W1517" s="48" t="n">
        <f aca="false">IF($U1517&gt;=MA_MED,AVERAGE(INDEX($I$1117:$I1517,402-MA_MED):$I1517),"")</f>
        <v>1584.26</v>
      </c>
      <c r="X1517" s="48" t="n">
        <f aca="false">IF($U1517&gt;=MA_LONG1,AVERAGE(INDEX($I$1117:$I1517,402-MA_LONG1):$I1517),"")</f>
        <v>1663.93</v>
      </c>
      <c r="Y1517" s="48" t="n">
        <f aca="false">IF($U1517&gt;=MA_LONG2,AVERAGE(INDEX($I$1117:$I1517,402-MA_LONG2):$I1517),"")</f>
        <v>1570.275</v>
      </c>
      <c r="Z1517" s="48" t="n">
        <f aca="false">IF($U1517&gt;=MA_SHORT,AVERAGE(INDEX($L$1397:$L1517,122-MA_SHORT):$L1517),"")</f>
        <v>93489938.65</v>
      </c>
      <c r="AA1517" s="48" t="n">
        <f aca="false">IF($U1517=1,$G1517-$H1517,MAX($G1517-$H1517,ABS($G1517-$I1516),ABS($H1517-$I1516)))</f>
        <v>63</v>
      </c>
      <c r="AB1517" s="48" t="n">
        <f aca="false">IF($U1517&gt;=ATR_PER,AVERAGE(INDEX($AA$1397:$AA1517,122-ATR_PER):$AA1517),"")</f>
        <v>75.5</v>
      </c>
      <c r="AC1517" s="48" t="n">
        <f aca="false">$O1517-$P1517</f>
        <v>34452677</v>
      </c>
      <c r="AD1517" s="48" t="n">
        <f aca="false">$AC1517*$I1517</f>
        <v>52230258332</v>
      </c>
      <c r="AE1517" s="49" t="n">
        <f aca="false">IF($Q1517&gt;0,$O1517*$I1517/$Q1517/1000000,"")</f>
        <v>84.7537105283019</v>
      </c>
      <c r="AF1517" s="49" t="n">
        <f aca="false">IF($R1517&gt;0,$P1517*$I1517/$R1517/1000000,"")</f>
        <v>32.4439354699358</v>
      </c>
      <c r="AG1517" s="50" t="n">
        <f aca="false">IF(AND(ISNUMBER($AE1517),ISNUMBER($AF1517),$AF1517&gt;0),$AE1517/$AF1517,"")</f>
        <v>2.61231288068733</v>
      </c>
      <c r="AH1517" s="48" t="n">
        <f aca="false">IF($U1517&gt;=5,SUM(INDEX($AD$1487:$AD1517,32-5):$AD1517),"")</f>
        <v>34184402600</v>
      </c>
      <c r="AI1517" s="48" t="n">
        <f aca="false">IF($U1517&gt;=STRUCT_S,MAX(INDEX($G$1367:$G1517,152-STRUCT_S):$G1517),"")</f>
        <v>1688</v>
      </c>
      <c r="AJ1517" s="48" t="n">
        <f aca="false">IF($U1517&gt;=STRUCT_S,MIN(INDEX($H$1367:$H1517,152-STRUCT_S):$H1517),"")</f>
        <v>1447</v>
      </c>
      <c r="AK1517" s="48" t="n">
        <f aca="false">IF($U1517&gt;=STRUCT_L,MAX(INDEX($G$1267:$G1517,252-STRUCT_L):$G1517),"")</f>
        <v>1893</v>
      </c>
      <c r="AL1517" s="48" t="n">
        <f aca="false">IF($U1517&gt;=STRUCT_L,MIN(INDEX($H$1267:$H1517,252-STRUCT_L):$H1517),"")</f>
        <v>1447</v>
      </c>
      <c r="AM1517" s="46" t="n">
        <f aca="false">IF($A1517&lt;&gt;$A1518,1,0)</f>
        <v>0</v>
      </c>
      <c r="AN1517" s="47" t="str">
        <f aca="false">IF($AM1517=1,$A1517,"")</f>
        <v/>
      </c>
    </row>
    <row r="1518" customFormat="false" ht="15" hidden="false" customHeight="false" outlineLevel="0" collapsed="false">
      <c r="A1518" s="43" t="s">
        <v>157</v>
      </c>
      <c r="B1518" s="44" t="s">
        <v>159</v>
      </c>
      <c r="C1518" s="45" t="n">
        <v>46203</v>
      </c>
      <c r="D1518" s="46" t="n">
        <v>20260630</v>
      </c>
      <c r="E1518" s="47" t="s">
        <v>501</v>
      </c>
      <c r="F1518" s="48" t="n">
        <v>1517</v>
      </c>
      <c r="G1518" s="48" t="n">
        <v>1569</v>
      </c>
      <c r="H1518" s="48" t="n">
        <v>1496</v>
      </c>
      <c r="I1518" s="48" t="n">
        <v>1549</v>
      </c>
      <c r="J1518" s="48" t="n">
        <v>1542</v>
      </c>
      <c r="K1518" s="48" t="n">
        <v>1516</v>
      </c>
      <c r="L1518" s="48" t="n">
        <v>76723876</v>
      </c>
      <c r="M1518" s="48" t="n">
        <v>118845283924</v>
      </c>
      <c r="N1518" s="48" t="n">
        <v>2546</v>
      </c>
      <c r="O1518" s="48" t="n">
        <v>42498809</v>
      </c>
      <c r="P1518" s="48" t="n">
        <v>37209720</v>
      </c>
      <c r="Q1518" s="48" t="n">
        <v>1287</v>
      </c>
      <c r="R1518" s="48" t="n">
        <v>1029</v>
      </c>
      <c r="S1518" s="48" t="n">
        <v>34225067</v>
      </c>
      <c r="T1518" s="48" t="n">
        <v>39514156</v>
      </c>
      <c r="U1518" s="46" t="n">
        <f aca="false">IF($A1518=$A1517,$U1517+1,1)</f>
        <v>214</v>
      </c>
      <c r="V1518" s="48" t="n">
        <f aca="false">IF($U1518&gt;=MA_SHORT,AVERAGE(INDEX($I$1118:$I1518,402-MA_SHORT):$I1518),"")</f>
        <v>1548.75</v>
      </c>
      <c r="W1518" s="48" t="n">
        <f aca="false">IF($U1518&gt;=MA_MED,AVERAGE(INDEX($I$1118:$I1518,402-MA_MED):$I1518),"")</f>
        <v>1581.78</v>
      </c>
      <c r="X1518" s="48" t="n">
        <f aca="false">IF($U1518&gt;=MA_LONG1,AVERAGE(INDEX($I$1118:$I1518,402-MA_LONG1):$I1518),"")</f>
        <v>1663.76</v>
      </c>
      <c r="Y1518" s="48" t="n">
        <f aca="false">IF($U1518&gt;=MA_LONG2,AVERAGE(INDEX($I$1118:$I1518,402-MA_LONG2):$I1518),"")</f>
        <v>1570.92</v>
      </c>
      <c r="Z1518" s="48" t="n">
        <f aca="false">IF($U1518&gt;=MA_SHORT,AVERAGE(INDEX($L$1398:$L1518,122-MA_SHORT):$L1518),"")</f>
        <v>93181962</v>
      </c>
      <c r="AA1518" s="48" t="n">
        <f aca="false">IF($U1518=1,$G1518-$H1518,MAX($G1518-$H1518,ABS($G1518-$I1517),ABS($H1518-$I1517)))</f>
        <v>73</v>
      </c>
      <c r="AB1518" s="48" t="n">
        <f aca="false">IF($U1518&gt;=ATR_PER,AVERAGE(INDEX($AA$1398:$AA1518,122-ATR_PER):$AA1518),"")</f>
        <v>73.7857142857143</v>
      </c>
      <c r="AC1518" s="48" t="n">
        <f aca="false">$O1518-$P1518</f>
        <v>5289089</v>
      </c>
      <c r="AD1518" s="48" t="n">
        <f aca="false">$AC1518*$I1518</f>
        <v>8192798861</v>
      </c>
      <c r="AE1518" s="49" t="n">
        <f aca="false">IF($Q1518&gt;0,$O1518*$I1518/$Q1518/1000000,"")</f>
        <v>51.1504701950272</v>
      </c>
      <c r="AF1518" s="49" t="n">
        <f aca="false">IF($R1518&gt;0,$P1518*$I1518/$R1518/1000000,"")</f>
        <v>56.0134657725948</v>
      </c>
      <c r="AG1518" s="50" t="n">
        <f aca="false">IF(AND(ISNUMBER($AE1518),ISNUMBER($AF1518),$AF1518&gt;0),$AE1518/$AF1518,"")</f>
        <v>0.913181669612973</v>
      </c>
      <c r="AH1518" s="48" t="n">
        <f aca="false">IF($U1518&gt;=5,SUM(INDEX($AD$1488:$AD1518,32-5):$AD1518),"")</f>
        <v>43665733573</v>
      </c>
      <c r="AI1518" s="48" t="n">
        <f aca="false">IF($U1518&gt;=STRUCT_S,MAX(INDEX($G$1368:$G1518,152-STRUCT_S):$G1518),"")</f>
        <v>1688</v>
      </c>
      <c r="AJ1518" s="48" t="n">
        <f aca="false">IF($U1518&gt;=STRUCT_S,MIN(INDEX($H$1368:$H1518,152-STRUCT_S):$H1518),"")</f>
        <v>1447</v>
      </c>
      <c r="AK1518" s="48" t="n">
        <f aca="false">IF($U1518&gt;=STRUCT_L,MAX(INDEX($G$1268:$G1518,252-STRUCT_L):$G1518),"")</f>
        <v>1893</v>
      </c>
      <c r="AL1518" s="48" t="n">
        <f aca="false">IF($U1518&gt;=STRUCT_L,MIN(INDEX($H$1268:$H1518,252-STRUCT_L):$H1518),"")</f>
        <v>1447</v>
      </c>
      <c r="AM1518" s="46" t="n">
        <f aca="false">IF($A1518&lt;&gt;$A1519,1,0)</f>
        <v>0</v>
      </c>
      <c r="AN1518" s="47" t="str">
        <f aca="false">IF($AM1518=1,$A1518,"")</f>
        <v/>
      </c>
    </row>
    <row r="1519" customFormat="false" ht="15" hidden="false" customHeight="false" outlineLevel="0" collapsed="false">
      <c r="A1519" s="43" t="s">
        <v>157</v>
      </c>
      <c r="B1519" s="44" t="s">
        <v>159</v>
      </c>
      <c r="C1519" s="45" t="n">
        <v>46204</v>
      </c>
      <c r="D1519" s="46" t="n">
        <v>20260701</v>
      </c>
      <c r="E1519" s="47" t="s">
        <v>502</v>
      </c>
      <c r="F1519" s="48" t="n">
        <v>1541</v>
      </c>
      <c r="G1519" s="48" t="n">
        <v>1594</v>
      </c>
      <c r="H1519" s="48" t="n">
        <v>1521</v>
      </c>
      <c r="I1519" s="48" t="n">
        <v>1565</v>
      </c>
      <c r="J1519" s="48" t="n">
        <v>1557</v>
      </c>
      <c r="K1519" s="48" t="n">
        <v>1549</v>
      </c>
      <c r="L1519" s="48" t="n">
        <v>72066495</v>
      </c>
      <c r="M1519" s="48" t="n">
        <v>112784064675</v>
      </c>
      <c r="N1519" s="48" t="n">
        <v>1658</v>
      </c>
      <c r="O1519" s="48" t="n">
        <v>41939534</v>
      </c>
      <c r="P1519" s="48" t="n">
        <v>28370881</v>
      </c>
      <c r="Q1519" s="48" t="n">
        <v>584</v>
      </c>
      <c r="R1519" s="48" t="n">
        <v>833</v>
      </c>
      <c r="S1519" s="48" t="n">
        <v>30126961</v>
      </c>
      <c r="T1519" s="48" t="n">
        <v>43695614</v>
      </c>
      <c r="U1519" s="46" t="n">
        <f aca="false">IF($A1519=$A1518,$U1518+1,1)</f>
        <v>215</v>
      </c>
      <c r="V1519" s="48" t="n">
        <f aca="false">IF($U1519&gt;=MA_SHORT,AVERAGE(INDEX($I$1119:$I1519,402-MA_SHORT):$I1519),"")</f>
        <v>1551.15</v>
      </c>
      <c r="W1519" s="48" t="n">
        <f aca="false">IF($U1519&gt;=MA_MED,AVERAGE(INDEX($I$1119:$I1519,402-MA_MED):$I1519),"")</f>
        <v>1579.64</v>
      </c>
      <c r="X1519" s="48" t="n">
        <f aca="false">IF($U1519&gt;=MA_LONG1,AVERAGE(INDEX($I$1119:$I1519,402-MA_LONG1):$I1519),"")</f>
        <v>1663.3</v>
      </c>
      <c r="Y1519" s="48" t="n">
        <f aca="false">IF($U1519&gt;=MA_LONG2,AVERAGE(INDEX($I$1119:$I1519,402-MA_LONG2):$I1519),"")</f>
        <v>1571.555</v>
      </c>
      <c r="Z1519" s="48" t="n">
        <f aca="false">IF($U1519&gt;=MA_SHORT,AVERAGE(INDEX($L$1399:$L1519,122-MA_SHORT):$L1519),"")</f>
        <v>92404683.35</v>
      </c>
      <c r="AA1519" s="48" t="n">
        <f aca="false">IF($U1519=1,$G1519-$H1519,MAX($G1519-$H1519,ABS($G1519-$I1518),ABS($H1519-$I1518)))</f>
        <v>73</v>
      </c>
      <c r="AB1519" s="48" t="n">
        <f aca="false">IF($U1519&gt;=ATR_PER,AVERAGE(INDEX($AA$1399:$AA1519,122-ATR_PER):$AA1519),"")</f>
        <v>74.5</v>
      </c>
      <c r="AC1519" s="48" t="n">
        <f aca="false">$O1519-$P1519</f>
        <v>13568653</v>
      </c>
      <c r="AD1519" s="48" t="n">
        <f aca="false">$AC1519*$I1519</f>
        <v>21234941945</v>
      </c>
      <c r="AE1519" s="49" t="n">
        <f aca="false">IF($Q1519&gt;0,$O1519*$I1519/$Q1519/1000000,"")</f>
        <v>112.389333407534</v>
      </c>
      <c r="AF1519" s="49" t="n">
        <f aca="false">IF($R1519&gt;0,$P1519*$I1519/$R1519/1000000,"")</f>
        <v>53.3018352521008</v>
      </c>
      <c r="AG1519" s="50" t="n">
        <f aca="false">IF(AND(ISNUMBER($AE1519),ISNUMBER($AF1519),$AF1519&gt;0),$AE1519/$AF1519,"")</f>
        <v>2.10854528509137</v>
      </c>
      <c r="AH1519" s="48" t="n">
        <f aca="false">IF($U1519&gt;=5,SUM(INDEX($AD$1489:$AD1519,32-5):$AD1519),"")</f>
        <v>50042557368</v>
      </c>
      <c r="AI1519" s="48" t="n">
        <f aca="false">IF($U1519&gt;=STRUCT_S,MAX(INDEX($G$1369:$G1519,152-STRUCT_S):$G1519),"")</f>
        <v>1688</v>
      </c>
      <c r="AJ1519" s="48" t="n">
        <f aca="false">IF($U1519&gt;=STRUCT_S,MIN(INDEX($H$1369:$H1519,152-STRUCT_S):$H1519),"")</f>
        <v>1447</v>
      </c>
      <c r="AK1519" s="48" t="n">
        <f aca="false">IF($U1519&gt;=STRUCT_L,MAX(INDEX($G$1269:$G1519,252-STRUCT_L):$G1519),"")</f>
        <v>1893</v>
      </c>
      <c r="AL1519" s="48" t="n">
        <f aca="false">IF($U1519&gt;=STRUCT_L,MIN(INDEX($H$1269:$H1519,252-STRUCT_L):$H1519),"")</f>
        <v>1447</v>
      </c>
      <c r="AM1519" s="46" t="n">
        <f aca="false">IF($A1519&lt;&gt;$A1520,1,0)</f>
        <v>0</v>
      </c>
      <c r="AN1519" s="47" t="str">
        <f aca="false">IF($AM1519=1,$A1519,"")</f>
        <v/>
      </c>
    </row>
    <row r="1520" customFormat="false" ht="15" hidden="false" customHeight="false" outlineLevel="0" collapsed="false">
      <c r="A1520" s="43" t="s">
        <v>157</v>
      </c>
      <c r="B1520" s="44" t="s">
        <v>159</v>
      </c>
      <c r="C1520" s="45" t="n">
        <v>46207</v>
      </c>
      <c r="D1520" s="46" t="n">
        <v>20260704</v>
      </c>
      <c r="E1520" s="47" t="s">
        <v>503</v>
      </c>
      <c r="F1520" s="48" t="n">
        <v>1521</v>
      </c>
      <c r="G1520" s="48" t="n">
        <v>1649</v>
      </c>
      <c r="H1520" s="48" t="n">
        <v>1511</v>
      </c>
      <c r="I1520" s="48" t="n">
        <v>1594</v>
      </c>
      <c r="J1520" s="48" t="n">
        <v>1566</v>
      </c>
      <c r="K1520" s="48" t="n">
        <v>1565</v>
      </c>
      <c r="L1520" s="48" t="n">
        <v>75405697</v>
      </c>
      <c r="M1520" s="48" t="n">
        <v>120196681018</v>
      </c>
      <c r="N1520" s="48" t="n">
        <v>6824</v>
      </c>
      <c r="O1520" s="48" t="n">
        <v>42414705</v>
      </c>
      <c r="P1520" s="48" t="n">
        <v>30245314</v>
      </c>
      <c r="Q1520" s="48" t="n">
        <v>3540</v>
      </c>
      <c r="R1520" s="48" t="n">
        <v>2237</v>
      </c>
      <c r="S1520" s="48" t="n">
        <v>32990992</v>
      </c>
      <c r="T1520" s="48" t="n">
        <v>45160383</v>
      </c>
      <c r="U1520" s="46" t="n">
        <f aca="false">IF($A1520=$A1519,$U1519+1,1)</f>
        <v>216</v>
      </c>
      <c r="V1520" s="48" t="n">
        <f aca="false">IF($U1520&gt;=MA_SHORT,AVERAGE(INDEX($I$1120:$I1520,402-MA_SHORT):$I1520),"")</f>
        <v>1553.5</v>
      </c>
      <c r="W1520" s="48" t="n">
        <f aca="false">IF($U1520&gt;=MA_MED,AVERAGE(INDEX($I$1120:$I1520,402-MA_MED):$I1520),"")</f>
        <v>1579.32</v>
      </c>
      <c r="X1520" s="48" t="n">
        <f aca="false">IF($U1520&gt;=MA_LONG1,AVERAGE(INDEX($I$1120:$I1520,402-MA_LONG1):$I1520),"")</f>
        <v>1663.11</v>
      </c>
      <c r="Y1520" s="48" t="n">
        <f aca="false">IF($U1520&gt;=MA_LONG2,AVERAGE(INDEX($I$1120:$I1520,402-MA_LONG2):$I1520),"")</f>
        <v>1572.51</v>
      </c>
      <c r="Z1520" s="48" t="n">
        <f aca="false">IF($U1520&gt;=MA_SHORT,AVERAGE(INDEX($L$1400:$L1520,122-MA_SHORT):$L1520),"")</f>
        <v>92379326.7</v>
      </c>
      <c r="AA1520" s="48" t="n">
        <f aca="false">IF($U1520=1,$G1520-$H1520,MAX($G1520-$H1520,ABS($G1520-$I1519),ABS($H1520-$I1519)))</f>
        <v>138</v>
      </c>
      <c r="AB1520" s="48" t="n">
        <f aca="false">IF($U1520&gt;=ATR_PER,AVERAGE(INDEX($AA$1400:$AA1520,122-ATR_PER):$AA1520),"")</f>
        <v>77.6428571428571</v>
      </c>
      <c r="AC1520" s="48" t="n">
        <f aca="false">$O1520-$P1520</f>
        <v>12169391</v>
      </c>
      <c r="AD1520" s="48" t="n">
        <f aca="false">$AC1520*$I1520</f>
        <v>19398009254</v>
      </c>
      <c r="AE1520" s="49" t="n">
        <f aca="false">IF($Q1520&gt;0,$O1520*$I1520/$Q1520/1000000,"")</f>
        <v>19.0985988050847</v>
      </c>
      <c r="AF1520" s="49" t="n">
        <f aca="false">IF($R1520&gt;0,$P1520*$I1520/$R1520/1000000,"")</f>
        <v>21.5516452910148</v>
      </c>
      <c r="AG1520" s="50" t="n">
        <f aca="false">IF(AND(ISNUMBER($AE1520),ISNUMBER($AF1520),$AF1520&gt;0),$AE1520/$AF1520,"")</f>
        <v>0.886178226636241</v>
      </c>
      <c r="AH1520" s="48" t="n">
        <f aca="false">IF($U1520&gt;=5,SUM(INDEX($AD$1490:$AD1520,32-5):$AD1520),"")</f>
        <v>79495468424</v>
      </c>
      <c r="AI1520" s="48" t="n">
        <f aca="false">IF($U1520&gt;=STRUCT_S,MAX(INDEX($G$1370:$G1520,152-STRUCT_S):$G1520),"")</f>
        <v>1688</v>
      </c>
      <c r="AJ1520" s="48" t="n">
        <f aca="false">IF($U1520&gt;=STRUCT_S,MIN(INDEX($H$1370:$H1520,152-STRUCT_S):$H1520),"")</f>
        <v>1447</v>
      </c>
      <c r="AK1520" s="48" t="n">
        <f aca="false">IF($U1520&gt;=STRUCT_L,MAX(INDEX($G$1270:$G1520,252-STRUCT_L):$G1520),"")</f>
        <v>1884</v>
      </c>
      <c r="AL1520" s="48" t="n">
        <f aca="false">IF($U1520&gt;=STRUCT_L,MIN(INDEX($H$1270:$H1520,252-STRUCT_L):$H1520),"")</f>
        <v>1447</v>
      </c>
      <c r="AM1520" s="46" t="n">
        <f aca="false">IF($A1520&lt;&gt;$A1521,1,0)</f>
        <v>0</v>
      </c>
      <c r="AN1520" s="47" t="str">
        <f aca="false">IF($AM1520=1,$A1520,"")</f>
        <v/>
      </c>
    </row>
    <row r="1521" customFormat="false" ht="15" hidden="false" customHeight="false" outlineLevel="0" collapsed="false">
      <c r="A1521" s="43" t="s">
        <v>157</v>
      </c>
      <c r="B1521" s="44" t="s">
        <v>159</v>
      </c>
      <c r="C1521" s="45" t="n">
        <v>46208</v>
      </c>
      <c r="D1521" s="46" t="n">
        <v>20260705</v>
      </c>
      <c r="E1521" s="47" t="s">
        <v>504</v>
      </c>
      <c r="F1521" s="48" t="n">
        <v>1614</v>
      </c>
      <c r="G1521" s="48" t="n">
        <v>1629</v>
      </c>
      <c r="H1521" s="48" t="n">
        <v>1545</v>
      </c>
      <c r="I1521" s="48" t="n">
        <v>1579</v>
      </c>
      <c r="J1521" s="48" t="n">
        <v>1595</v>
      </c>
      <c r="K1521" s="48" t="n">
        <v>1594</v>
      </c>
      <c r="L1521" s="48" t="n">
        <v>97750204</v>
      </c>
      <c r="M1521" s="48" t="n">
        <v>154347572116</v>
      </c>
      <c r="N1521" s="48" t="n">
        <v>7352</v>
      </c>
      <c r="O1521" s="48" t="n">
        <v>40728739</v>
      </c>
      <c r="P1521" s="48" t="n">
        <v>53154122</v>
      </c>
      <c r="Q1521" s="48" t="n">
        <v>2389</v>
      </c>
      <c r="R1521" s="48" t="n">
        <v>3771</v>
      </c>
      <c r="S1521" s="48" t="n">
        <v>57021465</v>
      </c>
      <c r="T1521" s="48" t="n">
        <v>44596082</v>
      </c>
      <c r="U1521" s="46" t="n">
        <f aca="false">IF($A1521=$A1520,$U1520+1,1)</f>
        <v>217</v>
      </c>
      <c r="V1521" s="48" t="n">
        <f aca="false">IF($U1521&gt;=MA_SHORT,AVERAGE(INDEX($I$1121:$I1521,402-MA_SHORT):$I1521),"")</f>
        <v>1554.05</v>
      </c>
      <c r="W1521" s="48" t="n">
        <f aca="false">IF($U1521&gt;=MA_MED,AVERAGE(INDEX($I$1121:$I1521,402-MA_MED):$I1521),"")</f>
        <v>1577.32</v>
      </c>
      <c r="X1521" s="48" t="n">
        <f aca="false">IF($U1521&gt;=MA_LONG1,AVERAGE(INDEX($I$1121:$I1521,402-MA_LONG1):$I1521),"")</f>
        <v>1662.4</v>
      </c>
      <c r="Y1521" s="48" t="n">
        <f aca="false">IF($U1521&gt;=MA_LONG2,AVERAGE(INDEX($I$1121:$I1521,402-MA_LONG2):$I1521),"")</f>
        <v>1573.33</v>
      </c>
      <c r="Z1521" s="48" t="n">
        <f aca="false">IF($U1521&gt;=MA_SHORT,AVERAGE(INDEX($L$1401:$L1521,122-MA_SHORT):$L1521),"")</f>
        <v>86829986.15</v>
      </c>
      <c r="AA1521" s="48" t="n">
        <f aca="false">IF($U1521=1,$G1521-$H1521,MAX($G1521-$H1521,ABS($G1521-$I1520),ABS($H1521-$I1520)))</f>
        <v>84</v>
      </c>
      <c r="AB1521" s="48" t="n">
        <f aca="false">IF($U1521&gt;=ATR_PER,AVERAGE(INDEX($AA$1401:$AA1521,122-ATR_PER):$AA1521),"")</f>
        <v>78.7857142857143</v>
      </c>
      <c r="AC1521" s="48" t="n">
        <f aca="false">$O1521-$P1521</f>
        <v>-12425383</v>
      </c>
      <c r="AD1521" s="48" t="n">
        <f aca="false">$AC1521*$I1521</f>
        <v>-19619679757</v>
      </c>
      <c r="AE1521" s="49" t="n">
        <f aca="false">IF($Q1521&gt;0,$O1521*$I1521/$Q1521/1000000,"")</f>
        <v>26.9194972293847</v>
      </c>
      <c r="AF1521" s="49" t="n">
        <f aca="false">IF($R1521&gt;0,$P1521*$I1521/$R1521/1000000,"")</f>
        <v>22.2567909408645</v>
      </c>
      <c r="AG1521" s="50" t="n">
        <f aca="false">IF(AND(ISNUMBER($AE1521),ISNUMBER($AF1521),$AF1521&gt;0),$AE1521/$AF1521,"")</f>
        <v>1.20949589277757</v>
      </c>
      <c r="AH1521" s="48" t="n">
        <f aca="false">IF($U1521&gt;=5,SUM(INDEX($AD$1491:$AD1521,32-5):$AD1521),"")</f>
        <v>81436328635</v>
      </c>
      <c r="AI1521" s="48" t="n">
        <f aca="false">IF($U1521&gt;=STRUCT_S,MAX(INDEX($G$1371:$G1521,152-STRUCT_S):$G1521),"")</f>
        <v>1688</v>
      </c>
      <c r="AJ1521" s="48" t="n">
        <f aca="false">IF($U1521&gt;=STRUCT_S,MIN(INDEX($H$1371:$H1521,152-STRUCT_S):$H1521),"")</f>
        <v>1447</v>
      </c>
      <c r="AK1521" s="48" t="n">
        <f aca="false">IF($U1521&gt;=STRUCT_L,MAX(INDEX($G$1271:$G1521,252-STRUCT_L):$G1521),"")</f>
        <v>1884</v>
      </c>
      <c r="AL1521" s="48" t="n">
        <f aca="false">IF($U1521&gt;=STRUCT_L,MIN(INDEX($H$1271:$H1521,252-STRUCT_L):$H1521),"")</f>
        <v>1447</v>
      </c>
      <c r="AM1521" s="46" t="n">
        <f aca="false">IF($A1521&lt;&gt;$A1522,1,0)</f>
        <v>0</v>
      </c>
      <c r="AN1521" s="47" t="str">
        <f aca="false">IF($AM1521=1,$A1521,"")</f>
        <v/>
      </c>
    </row>
    <row r="1522" customFormat="false" ht="15" hidden="false" customHeight="false" outlineLevel="0" collapsed="false">
      <c r="A1522" s="43" t="s">
        <v>157</v>
      </c>
      <c r="B1522" s="44" t="s">
        <v>159</v>
      </c>
      <c r="C1522" s="45" t="n">
        <v>46209</v>
      </c>
      <c r="D1522" s="46" t="n">
        <v>20260706</v>
      </c>
      <c r="E1522" s="47" t="s">
        <v>505</v>
      </c>
      <c r="F1522" s="48" t="n">
        <v>1641</v>
      </c>
      <c r="G1522" s="48" t="n">
        <v>1666</v>
      </c>
      <c r="H1522" s="48" t="n">
        <v>1569</v>
      </c>
      <c r="I1522" s="48" t="n">
        <v>1656</v>
      </c>
      <c r="J1522" s="48" t="n">
        <v>1570</v>
      </c>
      <c r="K1522" s="48" t="n">
        <v>1579</v>
      </c>
      <c r="L1522" s="48" t="n">
        <v>87716197</v>
      </c>
      <c r="M1522" s="48" t="n">
        <v>145258022232</v>
      </c>
      <c r="N1522" s="48" t="n">
        <v>3586</v>
      </c>
      <c r="O1522" s="48" t="n">
        <v>59968778</v>
      </c>
      <c r="P1522" s="48" t="n">
        <v>34371032</v>
      </c>
      <c r="Q1522" s="48" t="n">
        <v>1620</v>
      </c>
      <c r="R1522" s="48" t="n">
        <v>1841</v>
      </c>
      <c r="S1522" s="48" t="n">
        <v>27747419</v>
      </c>
      <c r="T1522" s="48" t="n">
        <v>53345165</v>
      </c>
      <c r="U1522" s="46" t="n">
        <f aca="false">IF($A1522=$A1521,$U1521+1,1)</f>
        <v>218</v>
      </c>
      <c r="V1522" s="48" t="n">
        <f aca="false">IF($U1522&gt;=MA_SHORT,AVERAGE(INDEX($I$1122:$I1522,402-MA_SHORT):$I1522),"")</f>
        <v>1557.15</v>
      </c>
      <c r="W1522" s="48" t="n">
        <f aca="false">IF($U1522&gt;=MA_MED,AVERAGE(INDEX($I$1122:$I1522,402-MA_MED):$I1522),"")</f>
        <v>1577.08</v>
      </c>
      <c r="X1522" s="48" t="n">
        <f aca="false">IF($U1522&gt;=MA_LONG1,AVERAGE(INDEX($I$1122:$I1522,402-MA_LONG1):$I1522),"")</f>
        <v>1662.05</v>
      </c>
      <c r="Y1522" s="48" t="n">
        <f aca="false">IF($U1522&gt;=MA_LONG2,AVERAGE(INDEX($I$1122:$I1522,402-MA_LONG2):$I1522),"")</f>
        <v>1574.38</v>
      </c>
      <c r="Z1522" s="48" t="n">
        <f aca="false">IF($U1522&gt;=MA_SHORT,AVERAGE(INDEX($L$1402:$L1522,122-MA_SHORT):$L1522),"")</f>
        <v>87430425.35</v>
      </c>
      <c r="AA1522" s="48" t="n">
        <f aca="false">IF($U1522=1,$G1522-$H1522,MAX($G1522-$H1522,ABS($G1522-$I1521),ABS($H1522-$I1521)))</f>
        <v>97</v>
      </c>
      <c r="AB1522" s="48" t="n">
        <f aca="false">IF($U1522&gt;=ATR_PER,AVERAGE(INDEX($AA$1402:$AA1522,122-ATR_PER):$AA1522),"")</f>
        <v>78.2857142857143</v>
      </c>
      <c r="AC1522" s="48" t="n">
        <f aca="false">$O1522-$P1522</f>
        <v>25597746</v>
      </c>
      <c r="AD1522" s="48" t="n">
        <f aca="false">$AC1522*$I1522</f>
        <v>42389867376</v>
      </c>
      <c r="AE1522" s="49" t="n">
        <f aca="false">IF($Q1522&gt;0,$O1522*$I1522/$Q1522/1000000,"")</f>
        <v>61.3014175111111</v>
      </c>
      <c r="AF1522" s="49" t="n">
        <f aca="false">IF($R1522&gt;0,$P1522*$I1522/$R1522/1000000,"")</f>
        <v>30.9171260141228</v>
      </c>
      <c r="AG1522" s="50" t="n">
        <f aca="false">IF(AND(ISNUMBER($AE1522),ISNUMBER($AF1522),$AF1522&gt;0),$AE1522/$AF1522,"")</f>
        <v>1.98276571642232</v>
      </c>
      <c r="AH1522" s="48" t="n">
        <f aca="false">IF($U1522&gt;=5,SUM(INDEX($AD$1492:$AD1522,32-5):$AD1522),"")</f>
        <v>71595937679</v>
      </c>
      <c r="AI1522" s="48" t="n">
        <f aca="false">IF($U1522&gt;=STRUCT_S,MAX(INDEX($G$1372:$G1522,152-STRUCT_S):$G1522),"")</f>
        <v>1688</v>
      </c>
      <c r="AJ1522" s="48" t="n">
        <f aca="false">IF($U1522&gt;=STRUCT_S,MIN(INDEX($H$1372:$H1522,152-STRUCT_S):$H1522),"")</f>
        <v>1447</v>
      </c>
      <c r="AK1522" s="48" t="n">
        <f aca="false">IF($U1522&gt;=STRUCT_L,MAX(INDEX($G$1272:$G1522,252-STRUCT_L):$G1522),"")</f>
        <v>1832</v>
      </c>
      <c r="AL1522" s="48" t="n">
        <f aca="false">IF($U1522&gt;=STRUCT_L,MIN(INDEX($H$1272:$H1522,252-STRUCT_L):$H1522),"")</f>
        <v>1447</v>
      </c>
      <c r="AM1522" s="46" t="n">
        <f aca="false">IF($A1522&lt;&gt;$A1523,1,0)</f>
        <v>0</v>
      </c>
      <c r="AN1522" s="47" t="str">
        <f aca="false">IF($AM1522=1,$A1522,"")</f>
        <v/>
      </c>
    </row>
    <row r="1523" customFormat="false" ht="15" hidden="false" customHeight="false" outlineLevel="0" collapsed="false">
      <c r="A1523" s="43" t="s">
        <v>157</v>
      </c>
      <c r="B1523" s="44" t="s">
        <v>159</v>
      </c>
      <c r="C1523" s="45" t="n">
        <v>46210</v>
      </c>
      <c r="D1523" s="46" t="n">
        <v>20260707</v>
      </c>
      <c r="E1523" s="47" t="s">
        <v>506</v>
      </c>
      <c r="F1523" s="48" t="n">
        <v>1658</v>
      </c>
      <c r="G1523" s="48" t="n">
        <v>1736</v>
      </c>
      <c r="H1523" s="48" t="n">
        <v>1650</v>
      </c>
      <c r="I1523" s="48" t="n">
        <v>1730</v>
      </c>
      <c r="J1523" s="48" t="n">
        <v>1710</v>
      </c>
      <c r="K1523" s="48" t="n">
        <v>1656</v>
      </c>
      <c r="L1523" s="48" t="n">
        <v>93793937</v>
      </c>
      <c r="M1523" s="48" t="n">
        <v>162263511010</v>
      </c>
      <c r="N1523" s="48" t="n">
        <v>3435</v>
      </c>
      <c r="O1523" s="48" t="n">
        <v>53188809</v>
      </c>
      <c r="P1523" s="48" t="n">
        <v>36383091</v>
      </c>
      <c r="Q1523" s="48" t="n">
        <v>1853</v>
      </c>
      <c r="R1523" s="48" t="n">
        <v>1597</v>
      </c>
      <c r="S1523" s="48" t="n">
        <v>40605128</v>
      </c>
      <c r="T1523" s="48" t="n">
        <v>57410846</v>
      </c>
      <c r="U1523" s="46" t="n">
        <f aca="false">IF($A1523=$A1522,$U1522+1,1)</f>
        <v>219</v>
      </c>
      <c r="V1523" s="48" t="n">
        <f aca="false">IF($U1523&gt;=MA_SHORT,AVERAGE(INDEX($I$1123:$I1523,402-MA_SHORT):$I1523),"")</f>
        <v>1561.85</v>
      </c>
      <c r="W1523" s="48" t="n">
        <f aca="false">IF($U1523&gt;=MA_MED,AVERAGE(INDEX($I$1123:$I1523,402-MA_MED):$I1523),"")</f>
        <v>1578.66</v>
      </c>
      <c r="X1523" s="48" t="n">
        <f aca="false">IF($U1523&gt;=MA_LONG1,AVERAGE(INDEX($I$1123:$I1523,402-MA_LONG1):$I1523),"")</f>
        <v>1662.31</v>
      </c>
      <c r="Y1523" s="48" t="n">
        <f aca="false">IF($U1523&gt;=MA_LONG2,AVERAGE(INDEX($I$1123:$I1523,402-MA_LONG2):$I1523),"")</f>
        <v>1575.78</v>
      </c>
      <c r="Z1523" s="48" t="n">
        <f aca="false">IF($U1523&gt;=MA_SHORT,AVERAGE(INDEX($L$1403:$L1523,122-MA_SHORT):$L1523),"")</f>
        <v>88190667.35</v>
      </c>
      <c r="AA1523" s="48" t="n">
        <f aca="false">IF($U1523=1,$G1523-$H1523,MAX($G1523-$H1523,ABS($G1523-$I1522),ABS($H1523-$I1522)))</f>
        <v>86</v>
      </c>
      <c r="AB1523" s="48" t="n">
        <f aca="false">IF($U1523&gt;=ATR_PER,AVERAGE(INDEX($AA$1403:$AA1523,122-ATR_PER):$AA1523),"")</f>
        <v>80.5</v>
      </c>
      <c r="AC1523" s="48" t="n">
        <f aca="false">$O1523-$P1523</f>
        <v>16805718</v>
      </c>
      <c r="AD1523" s="48" t="n">
        <f aca="false">$AC1523*$I1523</f>
        <v>29073892140</v>
      </c>
      <c r="AE1523" s="49" t="n">
        <f aca="false">IF($Q1523&gt;0,$O1523*$I1523/$Q1523/1000000,"")</f>
        <v>49.658197285483</v>
      </c>
      <c r="AF1523" s="49" t="n">
        <f aca="false">IF($R1523&gt;0,$P1523*$I1523/$R1523/1000000,"")</f>
        <v>39.4131167376331</v>
      </c>
      <c r="AG1523" s="50" t="n">
        <f aca="false">IF(AND(ISNUMBER($AE1523),ISNUMBER($AF1523),$AF1523&gt;0),$AE1523/$AF1523,"")</f>
        <v>1.25994088759968</v>
      </c>
      <c r="AH1523" s="48" t="n">
        <f aca="false">IF($U1523&gt;=5,SUM(INDEX($AD$1493:$AD1523,32-5):$AD1523),"")</f>
        <v>92477030958</v>
      </c>
      <c r="AI1523" s="48" t="n">
        <f aca="false">IF($U1523&gt;=STRUCT_S,MAX(INDEX($G$1373:$G1523,152-STRUCT_S):$G1523),"")</f>
        <v>1736</v>
      </c>
      <c r="AJ1523" s="48" t="n">
        <f aca="false">IF($U1523&gt;=STRUCT_S,MIN(INDEX($H$1373:$H1523,152-STRUCT_S):$H1523),"")</f>
        <v>1447</v>
      </c>
      <c r="AK1523" s="48" t="n">
        <f aca="false">IF($U1523&gt;=STRUCT_L,MAX(INDEX($G$1273:$G1523,252-STRUCT_L):$G1523),"")</f>
        <v>1817</v>
      </c>
      <c r="AL1523" s="48" t="n">
        <f aca="false">IF($U1523&gt;=STRUCT_L,MIN(INDEX($H$1273:$H1523,252-STRUCT_L):$H1523),"")</f>
        <v>1447</v>
      </c>
      <c r="AM1523" s="46" t="n">
        <f aca="false">IF($A1523&lt;&gt;$A1524,1,0)</f>
        <v>0</v>
      </c>
      <c r="AN1523" s="47" t="str">
        <f aca="false">IF($AM1523=1,$A1523,"")</f>
        <v/>
      </c>
    </row>
    <row r="1524" customFormat="false" ht="15" hidden="false" customHeight="false" outlineLevel="0" collapsed="false">
      <c r="A1524" s="43" t="s">
        <v>157</v>
      </c>
      <c r="B1524" s="44" t="s">
        <v>159</v>
      </c>
      <c r="C1524" s="45" t="n">
        <v>46211</v>
      </c>
      <c r="D1524" s="46" t="n">
        <v>20260708</v>
      </c>
      <c r="E1524" s="47" t="s">
        <v>507</v>
      </c>
      <c r="F1524" s="48" t="n">
        <v>1725</v>
      </c>
      <c r="G1524" s="48" t="n">
        <v>1765</v>
      </c>
      <c r="H1524" s="48" t="n">
        <v>1713</v>
      </c>
      <c r="I1524" s="48" t="n">
        <v>1748</v>
      </c>
      <c r="J1524" s="48" t="n">
        <v>1718</v>
      </c>
      <c r="K1524" s="48" t="n">
        <v>1730</v>
      </c>
      <c r="L1524" s="48" t="n">
        <v>72097187</v>
      </c>
      <c r="M1524" s="48" t="n">
        <v>126025882876</v>
      </c>
      <c r="N1524" s="48" t="n">
        <v>3262</v>
      </c>
      <c r="O1524" s="48" t="n">
        <v>36639817</v>
      </c>
      <c r="P1524" s="48" t="n">
        <v>37743315</v>
      </c>
      <c r="Q1524" s="48" t="n">
        <v>1419</v>
      </c>
      <c r="R1524" s="48" t="n">
        <v>1174</v>
      </c>
      <c r="S1524" s="48" t="n">
        <v>35457370</v>
      </c>
      <c r="T1524" s="48" t="n">
        <v>34353872</v>
      </c>
      <c r="U1524" s="46" t="n">
        <f aca="false">IF($A1524=$A1523,$U1523+1,1)</f>
        <v>220</v>
      </c>
      <c r="V1524" s="48" t="n">
        <f aca="false">IF($U1524&gt;=MA_SHORT,AVERAGE(INDEX($I$1124:$I1524,402-MA_SHORT):$I1524),"")</f>
        <v>1567.1</v>
      </c>
      <c r="W1524" s="48" t="n">
        <f aca="false">IF($U1524&gt;=MA_MED,AVERAGE(INDEX($I$1124:$I1524,402-MA_MED):$I1524),"")</f>
        <v>1581.14</v>
      </c>
      <c r="X1524" s="48" t="n">
        <f aca="false">IF($U1524&gt;=MA_LONG1,AVERAGE(INDEX($I$1124:$I1524,402-MA_LONG1):$I1524),"")</f>
        <v>1662.42</v>
      </c>
      <c r="Y1524" s="48" t="n">
        <f aca="false">IF($U1524&gt;=MA_LONG2,AVERAGE(INDEX($I$1124:$I1524,402-MA_LONG2):$I1524),"")</f>
        <v>1577.275</v>
      </c>
      <c r="Z1524" s="48" t="n">
        <f aca="false">IF($U1524&gt;=MA_SHORT,AVERAGE(INDEX($L$1404:$L1524,122-MA_SHORT):$L1524),"")</f>
        <v>88315379.75</v>
      </c>
      <c r="AA1524" s="48" t="n">
        <f aca="false">IF($U1524=1,$G1524-$H1524,MAX($G1524-$H1524,ABS($G1524-$I1523),ABS($H1524-$I1523)))</f>
        <v>52</v>
      </c>
      <c r="AB1524" s="48" t="n">
        <f aca="false">IF($U1524&gt;=ATR_PER,AVERAGE(INDEX($AA$1404:$AA1524,122-ATR_PER):$AA1524),"")</f>
        <v>80.9285714285714</v>
      </c>
      <c r="AC1524" s="48" t="n">
        <f aca="false">$O1524-$P1524</f>
        <v>-1103498</v>
      </c>
      <c r="AD1524" s="48" t="n">
        <f aca="false">$AC1524*$I1524</f>
        <v>-1928914504</v>
      </c>
      <c r="AE1524" s="49" t="n">
        <f aca="false">IF($Q1524&gt;0,$O1524*$I1524/$Q1524/1000000,"")</f>
        <v>45.134883802678</v>
      </c>
      <c r="AF1524" s="49" t="n">
        <f aca="false">IF($R1524&gt;0,$P1524*$I1524/$R1524/1000000,"")</f>
        <v>56.1970311925043</v>
      </c>
      <c r="AG1524" s="50" t="n">
        <f aca="false">IF(AND(ISNUMBER($AE1524),ISNUMBER($AF1524),$AF1524&gt;0),$AE1524/$AF1524,"")</f>
        <v>0.803154238665515</v>
      </c>
      <c r="AH1524" s="48" t="n">
        <f aca="false">IF($U1524&gt;=5,SUM(INDEX($AD$1494:$AD1524,32-5):$AD1524),"")</f>
        <v>69313174509</v>
      </c>
      <c r="AI1524" s="48" t="n">
        <f aca="false">IF($U1524&gt;=STRUCT_S,MAX(INDEX($G$1374:$G1524,152-STRUCT_S):$G1524),"")</f>
        <v>1765</v>
      </c>
      <c r="AJ1524" s="48" t="n">
        <f aca="false">IF($U1524&gt;=STRUCT_S,MIN(INDEX($H$1374:$H1524,152-STRUCT_S):$H1524),"")</f>
        <v>1447</v>
      </c>
      <c r="AK1524" s="48" t="n">
        <f aca="false">IF($U1524&gt;=STRUCT_L,MAX(INDEX($G$1274:$G1524,252-STRUCT_L):$G1524),"")</f>
        <v>1817</v>
      </c>
      <c r="AL1524" s="48" t="n">
        <f aca="false">IF($U1524&gt;=STRUCT_L,MIN(INDEX($H$1274:$H1524,252-STRUCT_L):$H1524),"")</f>
        <v>1447</v>
      </c>
      <c r="AM1524" s="46" t="n">
        <f aca="false">IF($A1524&lt;&gt;$A1525,1,0)</f>
        <v>0</v>
      </c>
      <c r="AN1524" s="47" t="str">
        <f aca="false">IF($AM1524=1,$A1524,"")</f>
        <v/>
      </c>
    </row>
    <row r="1525" customFormat="false" ht="15" hidden="false" customHeight="false" outlineLevel="0" collapsed="false">
      <c r="A1525" s="43" t="s">
        <v>157</v>
      </c>
      <c r="B1525" s="44" t="s">
        <v>159</v>
      </c>
      <c r="C1525" s="45" t="n">
        <v>46214</v>
      </c>
      <c r="D1525" s="46" t="n">
        <v>20260711</v>
      </c>
      <c r="E1525" s="47" t="s">
        <v>508</v>
      </c>
      <c r="F1525" s="48" t="n">
        <v>1742</v>
      </c>
      <c r="G1525" s="48" t="n">
        <v>1770</v>
      </c>
      <c r="H1525" s="48" t="n">
        <v>1718</v>
      </c>
      <c r="I1525" s="48" t="n">
        <v>1740</v>
      </c>
      <c r="J1525" s="48" t="n">
        <v>1760</v>
      </c>
      <c r="K1525" s="48" t="n">
        <v>1748</v>
      </c>
      <c r="L1525" s="48" t="n">
        <v>78545985</v>
      </c>
      <c r="M1525" s="48" t="n">
        <v>136670013900</v>
      </c>
      <c r="N1525" s="48" t="n">
        <v>1867</v>
      </c>
      <c r="O1525" s="48" t="n">
        <v>39005131</v>
      </c>
      <c r="P1525" s="48" t="n">
        <v>40266220</v>
      </c>
      <c r="Q1525" s="48" t="n">
        <v>968</v>
      </c>
      <c r="R1525" s="48" t="n">
        <v>819</v>
      </c>
      <c r="S1525" s="48" t="n">
        <v>39540854</v>
      </c>
      <c r="T1525" s="48" t="n">
        <v>38279765</v>
      </c>
      <c r="U1525" s="46" t="n">
        <f aca="false">IF($A1525=$A1524,$U1524+1,1)</f>
        <v>221</v>
      </c>
      <c r="V1525" s="48" t="n">
        <f aca="false">IF($U1525&gt;=MA_SHORT,AVERAGE(INDEX($I$1125:$I1525,402-MA_SHORT):$I1525),"")</f>
        <v>1571.7</v>
      </c>
      <c r="W1525" s="48" t="n">
        <f aca="false">IF($U1525&gt;=MA_MED,AVERAGE(INDEX($I$1125:$I1525,402-MA_MED):$I1525),"")</f>
        <v>1582.84</v>
      </c>
      <c r="X1525" s="48" t="n">
        <f aca="false">IF($U1525&gt;=MA_LONG1,AVERAGE(INDEX($I$1125:$I1525,402-MA_LONG1):$I1525),"")</f>
        <v>1662.3</v>
      </c>
      <c r="Y1525" s="48" t="n">
        <f aca="false">IF($U1525&gt;=MA_LONG2,AVERAGE(INDEX($I$1125:$I1525,402-MA_LONG2):$I1525),"")</f>
        <v>1578.725</v>
      </c>
      <c r="Z1525" s="48" t="n">
        <f aca="false">IF($U1525&gt;=MA_SHORT,AVERAGE(INDEX($L$1405:$L1525,122-MA_SHORT):$L1525),"")</f>
        <v>88308267.65</v>
      </c>
      <c r="AA1525" s="48" t="n">
        <f aca="false">IF($U1525=1,$G1525-$H1525,MAX($G1525-$H1525,ABS($G1525-$I1524),ABS($H1525-$I1524)))</f>
        <v>52</v>
      </c>
      <c r="AB1525" s="48" t="n">
        <f aca="false">IF($U1525&gt;=ATR_PER,AVERAGE(INDEX($AA$1405:$AA1525,122-ATR_PER):$AA1525),"")</f>
        <v>81.1428571428571</v>
      </c>
      <c r="AC1525" s="48" t="n">
        <f aca="false">$O1525-$P1525</f>
        <v>-1261089</v>
      </c>
      <c r="AD1525" s="48" t="n">
        <f aca="false">$AC1525*$I1525</f>
        <v>-2194294860</v>
      </c>
      <c r="AE1525" s="49" t="n">
        <f aca="false">IF($Q1525&gt;0,$O1525*$I1525/$Q1525/1000000,"")</f>
        <v>70.1125288636364</v>
      </c>
      <c r="AF1525" s="49" t="n">
        <f aca="false">IF($R1525&gt;0,$P1525*$I1525/$R1525/1000000,"")</f>
        <v>85.5472805860806</v>
      </c>
      <c r="AG1525" s="50" t="n">
        <f aca="false">IF(AND(ISNUMBER($AE1525),ISNUMBER($AF1525),$AF1525&gt;0),$AE1525/$AF1525,"")</f>
        <v>0.819576360385726</v>
      </c>
      <c r="AH1525" s="48" t="n">
        <f aca="false">IF($U1525&gt;=5,SUM(INDEX($AD$1495:$AD1525,32-5):$AD1525),"")</f>
        <v>47720870395</v>
      </c>
      <c r="AI1525" s="48" t="n">
        <f aca="false">IF($U1525&gt;=STRUCT_S,MAX(INDEX($G$1375:$G1525,152-STRUCT_S):$G1525),"")</f>
        <v>1770</v>
      </c>
      <c r="AJ1525" s="48" t="n">
        <f aca="false">IF($U1525&gt;=STRUCT_S,MIN(INDEX($H$1375:$H1525,152-STRUCT_S):$H1525),"")</f>
        <v>1447</v>
      </c>
      <c r="AK1525" s="48" t="n">
        <f aca="false">IF($U1525&gt;=STRUCT_L,MAX(INDEX($G$1275:$G1525,252-STRUCT_L):$G1525),"")</f>
        <v>1770</v>
      </c>
      <c r="AL1525" s="48" t="n">
        <f aca="false">IF($U1525&gt;=STRUCT_L,MIN(INDEX($H$1275:$H1525,252-STRUCT_L):$H1525),"")</f>
        <v>1447</v>
      </c>
      <c r="AM1525" s="46" t="n">
        <f aca="false">IF($A1525&lt;&gt;$A1526,1,0)</f>
        <v>0</v>
      </c>
      <c r="AN1525" s="47" t="str">
        <f aca="false">IF($AM1525=1,$A1525,"")</f>
        <v/>
      </c>
    </row>
    <row r="1526" customFormat="false" ht="15" hidden="false" customHeight="false" outlineLevel="0" collapsed="false">
      <c r="A1526" s="43" t="s">
        <v>157</v>
      </c>
      <c r="B1526" s="44" t="s">
        <v>159</v>
      </c>
      <c r="C1526" s="45" t="n">
        <v>46215</v>
      </c>
      <c r="D1526" s="46" t="n">
        <v>20260712</v>
      </c>
      <c r="E1526" s="47" t="s">
        <v>509</v>
      </c>
      <c r="F1526" s="48" t="n">
        <v>1730</v>
      </c>
      <c r="G1526" s="48" t="n">
        <v>1751</v>
      </c>
      <c r="H1526" s="48" t="n">
        <v>1721</v>
      </c>
      <c r="I1526" s="48" t="n">
        <v>1732</v>
      </c>
      <c r="J1526" s="48" t="n">
        <v>1728</v>
      </c>
      <c r="K1526" s="48" t="n">
        <v>1740</v>
      </c>
      <c r="L1526" s="48" t="n">
        <v>75724168</v>
      </c>
      <c r="M1526" s="48" t="n">
        <v>131154258976</v>
      </c>
      <c r="N1526" s="48" t="n">
        <v>4175</v>
      </c>
      <c r="O1526" s="48" t="n">
        <v>35958239</v>
      </c>
      <c r="P1526" s="48" t="n">
        <v>38758225</v>
      </c>
      <c r="Q1526" s="48" t="n">
        <v>2335</v>
      </c>
      <c r="R1526" s="48" t="n">
        <v>1728</v>
      </c>
      <c r="S1526" s="48" t="n">
        <v>39765929</v>
      </c>
      <c r="T1526" s="48" t="n">
        <v>36965943</v>
      </c>
      <c r="U1526" s="46" t="n">
        <f aca="false">IF($A1526=$A1525,$U1525+1,1)</f>
        <v>222</v>
      </c>
      <c r="V1526" s="48" t="n">
        <f aca="false">IF($U1526&gt;=MA_SHORT,AVERAGE(INDEX($I$1126:$I1526,402-MA_SHORT):$I1526),"")</f>
        <v>1579.95</v>
      </c>
      <c r="W1526" s="48" t="n">
        <f aca="false">IF($U1526&gt;=MA_MED,AVERAGE(INDEX($I$1126:$I1526,402-MA_MED):$I1526),"")</f>
        <v>1584.88</v>
      </c>
      <c r="X1526" s="48" t="n">
        <f aca="false">IF($U1526&gt;=MA_LONG1,AVERAGE(INDEX($I$1126:$I1526,402-MA_LONG1):$I1526),"")</f>
        <v>1662.96</v>
      </c>
      <c r="Y1526" s="48" t="n">
        <f aca="false">IF($U1526&gt;=MA_LONG2,AVERAGE(INDEX($I$1126:$I1526,402-MA_LONG2):$I1526),"")</f>
        <v>1580.105</v>
      </c>
      <c r="Z1526" s="48" t="n">
        <f aca="false">IF($U1526&gt;=MA_SHORT,AVERAGE(INDEX($L$1406:$L1526,122-MA_SHORT):$L1526),"")</f>
        <v>87700819.25</v>
      </c>
      <c r="AA1526" s="48" t="n">
        <f aca="false">IF($U1526=1,$G1526-$H1526,MAX($G1526-$H1526,ABS($G1526-$I1525),ABS($H1526-$I1525)))</f>
        <v>30</v>
      </c>
      <c r="AB1526" s="48" t="n">
        <f aca="false">IF($U1526&gt;=ATR_PER,AVERAGE(INDEX($AA$1406:$AA1526,122-ATR_PER):$AA1526),"")</f>
        <v>76.6428571428571</v>
      </c>
      <c r="AC1526" s="48" t="n">
        <f aca="false">$O1526-$P1526</f>
        <v>-2799986</v>
      </c>
      <c r="AD1526" s="48" t="n">
        <f aca="false">$AC1526*$I1526</f>
        <v>-4849575752</v>
      </c>
      <c r="AE1526" s="49" t="n">
        <f aca="false">IF($Q1526&gt;0,$O1526*$I1526/$Q1526/1000000,"")</f>
        <v>26.6722355237687</v>
      </c>
      <c r="AF1526" s="49" t="n">
        <f aca="false">IF($R1526&gt;0,$P1526*$I1526/$R1526/1000000,"")</f>
        <v>38.8479431134259</v>
      </c>
      <c r="AG1526" s="50" t="n">
        <f aca="false">IF(AND(ISNUMBER($AE1526),ISNUMBER($AF1526),$AF1526&gt;0),$AE1526/$AF1526,"")</f>
        <v>0.686580379452593</v>
      </c>
      <c r="AH1526" s="48" t="n">
        <f aca="false">IF($U1526&gt;=5,SUM(INDEX($AD$1496:$AD1526,32-5):$AD1526),"")</f>
        <v>62490974400</v>
      </c>
      <c r="AI1526" s="48" t="n">
        <f aca="false">IF($U1526&gt;=STRUCT_S,MAX(INDEX($G$1376:$G1526,152-STRUCT_S):$G1526),"")</f>
        <v>1770</v>
      </c>
      <c r="AJ1526" s="48" t="n">
        <f aca="false">IF($U1526&gt;=STRUCT_S,MIN(INDEX($H$1376:$H1526,152-STRUCT_S):$H1526),"")</f>
        <v>1447</v>
      </c>
      <c r="AK1526" s="48" t="n">
        <f aca="false">IF($U1526&gt;=STRUCT_L,MAX(INDEX($G$1276:$G1526,252-STRUCT_L):$G1526),"")</f>
        <v>1770</v>
      </c>
      <c r="AL1526" s="48" t="n">
        <f aca="false">IF($U1526&gt;=STRUCT_L,MIN(INDEX($H$1276:$H1526,252-STRUCT_L):$H1526),"")</f>
        <v>1447</v>
      </c>
      <c r="AM1526" s="46" t="n">
        <f aca="false">IF($A1526&lt;&gt;$A1527,1,0)</f>
        <v>0</v>
      </c>
      <c r="AN1526" s="47" t="str">
        <f aca="false">IF($AM1526=1,$A1526,"")</f>
        <v/>
      </c>
    </row>
    <row r="1527" customFormat="false" ht="15" hidden="false" customHeight="false" outlineLevel="0" collapsed="false">
      <c r="A1527" s="43" t="s">
        <v>157</v>
      </c>
      <c r="B1527" s="44" t="s">
        <v>159</v>
      </c>
      <c r="C1527" s="45" t="n">
        <v>46216</v>
      </c>
      <c r="D1527" s="46" t="n">
        <v>20260713</v>
      </c>
      <c r="E1527" s="47" t="s">
        <v>510</v>
      </c>
      <c r="F1527" s="48" t="n">
        <v>1747</v>
      </c>
      <c r="G1527" s="48" t="n">
        <v>1749</v>
      </c>
      <c r="H1527" s="48" t="n">
        <v>1726</v>
      </c>
      <c r="I1527" s="48" t="n">
        <v>1743</v>
      </c>
      <c r="J1527" s="48" t="n">
        <v>1743</v>
      </c>
      <c r="K1527" s="48" t="n">
        <v>1732</v>
      </c>
      <c r="L1527" s="48" t="n">
        <v>70446710</v>
      </c>
      <c r="M1527" s="48" t="n">
        <v>122788615530</v>
      </c>
      <c r="N1527" s="48" t="n">
        <v>2962</v>
      </c>
      <c r="O1527" s="48" t="n">
        <v>33151817</v>
      </c>
      <c r="P1527" s="48" t="n">
        <v>38054338</v>
      </c>
      <c r="Q1527" s="48" t="n">
        <v>1025</v>
      </c>
      <c r="R1527" s="48" t="n">
        <v>1391</v>
      </c>
      <c r="S1527" s="48" t="n">
        <v>37294893</v>
      </c>
      <c r="T1527" s="48" t="n">
        <v>32392372</v>
      </c>
      <c r="U1527" s="46" t="n">
        <f aca="false">IF($A1527=$A1526,$U1526+1,1)</f>
        <v>223</v>
      </c>
      <c r="V1527" s="48" t="n">
        <f aca="false">IF($U1527&gt;=MA_SHORT,AVERAGE(INDEX($I$1127:$I1527,402-MA_SHORT):$I1527),"")</f>
        <v>1589.15</v>
      </c>
      <c r="W1527" s="48" t="n">
        <f aca="false">IF($U1527&gt;=MA_MED,AVERAGE(INDEX($I$1127:$I1527,402-MA_MED):$I1527),"")</f>
        <v>1587.08</v>
      </c>
      <c r="X1527" s="48" t="n">
        <f aca="false">IF($U1527&gt;=MA_LONG1,AVERAGE(INDEX($I$1127:$I1527,402-MA_LONG1):$I1527),"")</f>
        <v>1663.76</v>
      </c>
      <c r="Y1527" s="48" t="n">
        <f aca="false">IF($U1527&gt;=MA_LONG2,AVERAGE(INDEX($I$1127:$I1527,402-MA_LONG2):$I1527),"")</f>
        <v>1581.515</v>
      </c>
      <c r="Z1527" s="48" t="n">
        <f aca="false">IF($U1527&gt;=MA_SHORT,AVERAGE(INDEX($L$1407:$L1527,122-MA_SHORT):$L1527),"")</f>
        <v>86230673.4</v>
      </c>
      <c r="AA1527" s="48" t="n">
        <f aca="false">IF($U1527=1,$G1527-$H1527,MAX($G1527-$H1527,ABS($G1527-$I1526),ABS($H1527-$I1526)))</f>
        <v>23</v>
      </c>
      <c r="AB1527" s="48" t="n">
        <f aca="false">IF($U1527&gt;=ATR_PER,AVERAGE(INDEX($AA$1407:$AA1527,122-ATR_PER):$AA1527),"")</f>
        <v>76.5714285714286</v>
      </c>
      <c r="AC1527" s="48" t="n">
        <f aca="false">$O1527-$P1527</f>
        <v>-4902521</v>
      </c>
      <c r="AD1527" s="48" t="n">
        <f aca="false">$AC1527*$I1527</f>
        <v>-8545094103</v>
      </c>
      <c r="AE1527" s="49" t="n">
        <f aca="false">IF($Q1527&gt;0,$O1527*$I1527/$Q1527/1000000,"")</f>
        <v>56.3742605180488</v>
      </c>
      <c r="AF1527" s="49" t="n">
        <f aca="false">IF($R1527&gt;0,$P1527*$I1527/$R1527/1000000,"")</f>
        <v>47.6841920445723</v>
      </c>
      <c r="AG1527" s="50" t="n">
        <f aca="false">IF(AND(ISNUMBER($AE1527),ISNUMBER($AF1527),$AF1527&gt;0),$AE1527/$AF1527,"")</f>
        <v>1.18224212471407</v>
      </c>
      <c r="AH1527" s="48" t="n">
        <f aca="false">IF($U1527&gt;=5,SUM(INDEX($AD$1497:$AD1527,32-5):$AD1527),"")</f>
        <v>11556012921</v>
      </c>
      <c r="AI1527" s="48" t="n">
        <f aca="false">IF($U1527&gt;=STRUCT_S,MAX(INDEX($G$1377:$G1527,152-STRUCT_S):$G1527),"")</f>
        <v>1770</v>
      </c>
      <c r="AJ1527" s="48" t="n">
        <f aca="false">IF($U1527&gt;=STRUCT_S,MIN(INDEX($H$1377:$H1527,152-STRUCT_S):$H1527),"")</f>
        <v>1447</v>
      </c>
      <c r="AK1527" s="48" t="n">
        <f aca="false">IF($U1527&gt;=STRUCT_L,MAX(INDEX($G$1277:$G1527,252-STRUCT_L):$G1527),"")</f>
        <v>1770</v>
      </c>
      <c r="AL1527" s="48" t="n">
        <f aca="false">IF($U1527&gt;=STRUCT_L,MIN(INDEX($H$1277:$H1527,252-STRUCT_L):$H1527),"")</f>
        <v>1447</v>
      </c>
      <c r="AM1527" s="46" t="n">
        <f aca="false">IF($A1527&lt;&gt;$A1528,1,0)</f>
        <v>0</v>
      </c>
      <c r="AN1527" s="47" t="str">
        <f aca="false">IF($AM1527=1,$A1527,"")</f>
        <v/>
      </c>
    </row>
    <row r="1528" customFormat="false" ht="15" hidden="false" customHeight="false" outlineLevel="0" collapsed="false">
      <c r="A1528" s="43" t="s">
        <v>157</v>
      </c>
      <c r="B1528" s="44" t="s">
        <v>159</v>
      </c>
      <c r="C1528" s="45" t="n">
        <v>46217</v>
      </c>
      <c r="D1528" s="46" t="n">
        <v>20260714</v>
      </c>
      <c r="E1528" s="47" t="s">
        <v>511</v>
      </c>
      <c r="F1528" s="48" t="n">
        <v>1752</v>
      </c>
      <c r="G1528" s="48" t="n">
        <v>1782</v>
      </c>
      <c r="H1528" s="48" t="n">
        <v>1690</v>
      </c>
      <c r="I1528" s="48" t="n">
        <v>1729</v>
      </c>
      <c r="J1528" s="48" t="n">
        <v>1766</v>
      </c>
      <c r="K1528" s="48" t="n">
        <v>1743</v>
      </c>
      <c r="L1528" s="48" t="n">
        <v>101142738</v>
      </c>
      <c r="M1528" s="48" t="n">
        <v>174875794002</v>
      </c>
      <c r="N1528" s="48" t="n">
        <v>4637</v>
      </c>
      <c r="O1528" s="48" t="n">
        <v>46714273</v>
      </c>
      <c r="P1528" s="48" t="n">
        <v>54154202</v>
      </c>
      <c r="Q1528" s="48" t="n">
        <v>2476</v>
      </c>
      <c r="R1528" s="48" t="n">
        <v>2379</v>
      </c>
      <c r="S1528" s="48" t="n">
        <v>54428465</v>
      </c>
      <c r="T1528" s="48" t="n">
        <v>46988536</v>
      </c>
      <c r="U1528" s="46" t="n">
        <f aca="false">IF($A1528=$A1527,$U1527+1,1)</f>
        <v>224</v>
      </c>
      <c r="V1528" s="48" t="n">
        <f aca="false">IF($U1528&gt;=MA_SHORT,AVERAGE(INDEX($I$1128:$I1528,402-MA_SHORT):$I1528),"")</f>
        <v>1599.5</v>
      </c>
      <c r="W1528" s="48" t="n">
        <f aca="false">IF($U1528&gt;=MA_MED,AVERAGE(INDEX($I$1128:$I1528,402-MA_MED):$I1528),"")</f>
        <v>1589.04</v>
      </c>
      <c r="X1528" s="48" t="n">
        <f aca="false">IF($U1528&gt;=MA_LONG1,AVERAGE(INDEX($I$1128:$I1528,402-MA_LONG1):$I1528),"")</f>
        <v>1664.79</v>
      </c>
      <c r="Y1528" s="48" t="n">
        <f aca="false">IF($U1528&gt;=MA_LONG2,AVERAGE(INDEX($I$1128:$I1528,402-MA_LONG2):$I1528),"")</f>
        <v>1582.71</v>
      </c>
      <c r="Z1528" s="48" t="n">
        <f aca="false">IF($U1528&gt;=MA_SHORT,AVERAGE(INDEX($L$1408:$L1528,122-MA_SHORT):$L1528),"")</f>
        <v>87411605.4</v>
      </c>
      <c r="AA1528" s="48" t="n">
        <f aca="false">IF($U1528=1,$G1528-$H1528,MAX($G1528-$H1528,ABS($G1528-$I1527),ABS($H1528-$I1527)))</f>
        <v>92</v>
      </c>
      <c r="AB1528" s="48" t="n">
        <f aca="false">IF($U1528&gt;=ATR_PER,AVERAGE(INDEX($AA$1408:$AA1528,122-ATR_PER):$AA1528),"")</f>
        <v>73.6428571428571</v>
      </c>
      <c r="AC1528" s="48" t="n">
        <f aca="false">$O1528-$P1528</f>
        <v>-7439929</v>
      </c>
      <c r="AD1528" s="48" t="n">
        <f aca="false">$AC1528*$I1528</f>
        <v>-12863637241</v>
      </c>
      <c r="AE1528" s="49" t="n">
        <f aca="false">IF($Q1528&gt;0,$O1528*$I1528/$Q1528/1000000,"")</f>
        <v>32.6207504107431</v>
      </c>
      <c r="AF1528" s="49" t="n">
        <f aca="false">IF($R1528&gt;0,$P1528*$I1528/$R1528/1000000,"")</f>
        <v>39.3579719453552</v>
      </c>
      <c r="AG1528" s="50" t="n">
        <f aca="false">IF(AND(ISNUMBER($AE1528),ISNUMBER($AF1528),$AF1528&gt;0),$AE1528/$AF1528,"")</f>
        <v>0.828821933610653</v>
      </c>
      <c r="AH1528" s="48" t="n">
        <f aca="false">IF($U1528&gt;=5,SUM(INDEX($AD$1498:$AD1528,32-5):$AD1528),"")</f>
        <v>-30381516460</v>
      </c>
      <c r="AI1528" s="48" t="n">
        <f aca="false">IF($U1528&gt;=STRUCT_S,MAX(INDEX($G$1378:$G1528,152-STRUCT_S):$G1528),"")</f>
        <v>1782</v>
      </c>
      <c r="AJ1528" s="48" t="n">
        <f aca="false">IF($U1528&gt;=STRUCT_S,MIN(INDEX($H$1378:$H1528,152-STRUCT_S):$H1528),"")</f>
        <v>1447</v>
      </c>
      <c r="AK1528" s="48" t="n">
        <f aca="false">IF($U1528&gt;=STRUCT_L,MAX(INDEX($G$1278:$G1528,252-STRUCT_L):$G1528),"")</f>
        <v>1782</v>
      </c>
      <c r="AL1528" s="48" t="n">
        <f aca="false">IF($U1528&gt;=STRUCT_L,MIN(INDEX($H$1278:$H1528,252-STRUCT_L):$H1528),"")</f>
        <v>1447</v>
      </c>
      <c r="AM1528" s="46" t="n">
        <f aca="false">IF($A1528&lt;&gt;$A1529,1,0)</f>
        <v>0</v>
      </c>
      <c r="AN1528" s="47" t="str">
        <f aca="false">IF($AM1528=1,$A1528,"")</f>
        <v/>
      </c>
    </row>
    <row r="1529" customFormat="false" ht="15" hidden="false" customHeight="false" outlineLevel="0" collapsed="false">
      <c r="A1529" s="43" t="s">
        <v>157</v>
      </c>
      <c r="B1529" s="44" t="s">
        <v>159</v>
      </c>
      <c r="C1529" s="45" t="n">
        <v>46218</v>
      </c>
      <c r="D1529" s="46" t="n">
        <v>20260715</v>
      </c>
      <c r="E1529" s="47" t="s">
        <v>512</v>
      </c>
      <c r="F1529" s="48" t="n">
        <v>1693</v>
      </c>
      <c r="G1529" s="48" t="n">
        <v>1837</v>
      </c>
      <c r="H1529" s="48" t="n">
        <v>1692</v>
      </c>
      <c r="I1529" s="48" t="n">
        <v>1798</v>
      </c>
      <c r="J1529" s="48" t="n">
        <v>1732</v>
      </c>
      <c r="K1529" s="48" t="n">
        <v>1729</v>
      </c>
      <c r="L1529" s="48" t="n">
        <v>84109702</v>
      </c>
      <c r="M1529" s="48" t="n">
        <v>151229244196</v>
      </c>
      <c r="N1529" s="48" t="n">
        <v>2480</v>
      </c>
      <c r="O1529" s="48" t="n">
        <v>58484907</v>
      </c>
      <c r="P1529" s="48" t="n">
        <v>23317913</v>
      </c>
      <c r="Q1529" s="48" t="n">
        <v>980</v>
      </c>
      <c r="R1529" s="48" t="n">
        <v>1305</v>
      </c>
      <c r="S1529" s="48" t="n">
        <v>25624795</v>
      </c>
      <c r="T1529" s="48" t="n">
        <v>60791789</v>
      </c>
      <c r="U1529" s="46" t="n">
        <f aca="false">IF($A1529=$A1528,$U1528+1,1)</f>
        <v>225</v>
      </c>
      <c r="V1529" s="48" t="n">
        <f aca="false">IF($U1529&gt;=MA_SHORT,AVERAGE(INDEX($I$1129:$I1529,402-MA_SHORT):$I1529),"")</f>
        <v>1611.85</v>
      </c>
      <c r="W1529" s="48" t="n">
        <f aca="false">IF($U1529&gt;=MA_MED,AVERAGE(INDEX($I$1129:$I1529,402-MA_MED):$I1529),"")</f>
        <v>1593.02</v>
      </c>
      <c r="X1529" s="48" t="n">
        <f aca="false">IF($U1529&gt;=MA_LONG1,AVERAGE(INDEX($I$1129:$I1529,402-MA_LONG1):$I1529),"")</f>
        <v>1666.14</v>
      </c>
      <c r="Y1529" s="48" t="n">
        <f aca="false">IF($U1529&gt;=MA_LONG2,AVERAGE(INDEX($I$1129:$I1529,402-MA_LONG2):$I1529),"")</f>
        <v>1584.39</v>
      </c>
      <c r="Z1529" s="48" t="n">
        <f aca="false">IF($U1529&gt;=MA_SHORT,AVERAGE(INDEX($L$1409:$L1529,122-MA_SHORT):$L1529),"")</f>
        <v>87836147.6</v>
      </c>
      <c r="AA1529" s="48" t="n">
        <f aca="false">IF($U1529=1,$G1529-$H1529,MAX($G1529-$H1529,ABS($G1529-$I1528),ABS($H1529-$I1528)))</f>
        <v>145</v>
      </c>
      <c r="AB1529" s="48" t="n">
        <f aca="false">IF($U1529&gt;=ATR_PER,AVERAGE(INDEX($AA$1409:$AA1529,122-ATR_PER):$AA1529),"")</f>
        <v>75</v>
      </c>
      <c r="AC1529" s="48" t="n">
        <f aca="false">$O1529-$P1529</f>
        <v>35166994</v>
      </c>
      <c r="AD1529" s="48" t="n">
        <f aca="false">$AC1529*$I1529</f>
        <v>63230255212</v>
      </c>
      <c r="AE1529" s="49" t="n">
        <f aca="false">IF($Q1529&gt;0,$O1529*$I1529/$Q1529/1000000,"")</f>
        <v>107.301900802041</v>
      </c>
      <c r="AF1529" s="49" t="n">
        <f aca="false">IF($R1529&gt;0,$P1529*$I1529/$R1529/1000000,"")</f>
        <v>32.1269023555556</v>
      </c>
      <c r="AG1529" s="50" t="n">
        <f aca="false">IF(AND(ISNUMBER($AE1529),ISNUMBER($AF1529),$AF1529&gt;0),$AE1529/$AF1529,"")</f>
        <v>3.33993920778626</v>
      </c>
      <c r="AH1529" s="48" t="n">
        <f aca="false">IF($U1529&gt;=5,SUM(INDEX($AD$1499:$AD1529,32-5):$AD1529),"")</f>
        <v>34777653256</v>
      </c>
      <c r="AI1529" s="48" t="n">
        <f aca="false">IF($U1529&gt;=STRUCT_S,MAX(INDEX($G$1379:$G1529,152-STRUCT_S):$G1529),"")</f>
        <v>1837</v>
      </c>
      <c r="AJ1529" s="48" t="n">
        <f aca="false">IF($U1529&gt;=STRUCT_S,MIN(INDEX($H$1379:$H1529,152-STRUCT_S):$H1529),"")</f>
        <v>1447</v>
      </c>
      <c r="AK1529" s="48" t="n">
        <f aca="false">IF($U1529&gt;=STRUCT_L,MAX(INDEX($G$1279:$G1529,252-STRUCT_L):$G1529),"")</f>
        <v>1837</v>
      </c>
      <c r="AL1529" s="48" t="n">
        <f aca="false">IF($U1529&gt;=STRUCT_L,MIN(INDEX($H$1279:$H1529,252-STRUCT_L):$H1529),"")</f>
        <v>1447</v>
      </c>
      <c r="AM1529" s="46" t="n">
        <f aca="false">IF($A1529&lt;&gt;$A1530,1,0)</f>
        <v>0</v>
      </c>
      <c r="AN1529" s="47" t="str">
        <f aca="false">IF($AM1529=1,$A1529,"")</f>
        <v/>
      </c>
    </row>
    <row r="1530" customFormat="false" ht="15" hidden="false" customHeight="false" outlineLevel="0" collapsed="false">
      <c r="A1530" s="43" t="s">
        <v>157</v>
      </c>
      <c r="B1530" s="44" t="s">
        <v>159</v>
      </c>
      <c r="C1530" s="45" t="n">
        <v>46221</v>
      </c>
      <c r="D1530" s="46" t="n">
        <v>20260718</v>
      </c>
      <c r="E1530" s="47" t="s">
        <v>513</v>
      </c>
      <c r="F1530" s="48" t="n">
        <v>1830</v>
      </c>
      <c r="G1530" s="48" t="n">
        <v>1860</v>
      </c>
      <c r="H1530" s="48" t="n">
        <v>1785</v>
      </c>
      <c r="I1530" s="48" t="n">
        <v>1847</v>
      </c>
      <c r="J1530" s="48" t="n">
        <v>1839</v>
      </c>
      <c r="K1530" s="48" t="n">
        <v>1798</v>
      </c>
      <c r="L1530" s="48" t="n">
        <v>78957050</v>
      </c>
      <c r="M1530" s="48" t="n">
        <v>145833671350</v>
      </c>
      <c r="N1530" s="48" t="n">
        <v>4078</v>
      </c>
      <c r="O1530" s="48" t="n">
        <v>53926076</v>
      </c>
      <c r="P1530" s="48" t="n">
        <v>27828189</v>
      </c>
      <c r="Q1530" s="48" t="n">
        <v>1950</v>
      </c>
      <c r="R1530" s="48" t="n">
        <v>1627</v>
      </c>
      <c r="S1530" s="48" t="n">
        <v>25030974</v>
      </c>
      <c r="T1530" s="48" t="n">
        <v>51128861</v>
      </c>
      <c r="U1530" s="46" t="n">
        <f aca="false">IF($A1530=$A1529,$U1529+1,1)</f>
        <v>226</v>
      </c>
      <c r="V1530" s="48" t="n">
        <f aca="false">IF($U1530&gt;=MA_SHORT,AVERAGE(INDEX($I$1130:$I1530,402-MA_SHORT):$I1530),"")</f>
        <v>1627.55</v>
      </c>
      <c r="W1530" s="48" t="n">
        <f aca="false">IF($U1530&gt;=MA_MED,AVERAGE(INDEX($I$1130:$I1530,402-MA_MED):$I1530),"")</f>
        <v>1597.74</v>
      </c>
      <c r="X1530" s="48" t="n">
        <f aca="false">IF($U1530&gt;=MA_LONG1,AVERAGE(INDEX($I$1130:$I1530,402-MA_LONG1):$I1530),"")</f>
        <v>1667.42</v>
      </c>
      <c r="Y1530" s="48" t="n">
        <f aca="false">IF($U1530&gt;=MA_LONG2,AVERAGE(INDEX($I$1130:$I1530,402-MA_LONG2):$I1530),"")</f>
        <v>1586.56</v>
      </c>
      <c r="Z1530" s="48" t="n">
        <f aca="false">IF($U1530&gt;=MA_SHORT,AVERAGE(INDEX($L$1410:$L1530,122-MA_SHORT):$L1530),"")</f>
        <v>88154694.75</v>
      </c>
      <c r="AA1530" s="48" t="n">
        <f aca="false">IF($U1530=1,$G1530-$H1530,MAX($G1530-$H1530,ABS($G1530-$I1529),ABS($H1530-$I1529)))</f>
        <v>75</v>
      </c>
      <c r="AB1530" s="48" t="n">
        <f aca="false">IF($U1530&gt;=ATR_PER,AVERAGE(INDEX($AA$1410:$AA1530,122-ATR_PER):$AA1530),"")</f>
        <v>77.3571428571429</v>
      </c>
      <c r="AC1530" s="48" t="n">
        <f aca="false">$O1530-$P1530</f>
        <v>26097887</v>
      </c>
      <c r="AD1530" s="48" t="n">
        <f aca="false">$AC1530*$I1530</f>
        <v>48202797289</v>
      </c>
      <c r="AE1530" s="49" t="n">
        <f aca="false">IF($Q1530&gt;0,$O1530*$I1530/$Q1530/1000000,"")</f>
        <v>51.0776730112821</v>
      </c>
      <c r="AF1530" s="49" t="n">
        <f aca="false">IF($R1530&gt;0,$P1530*$I1530/$R1530/1000000,"")</f>
        <v>31.5910664308543</v>
      </c>
      <c r="AG1530" s="50" t="n">
        <f aca="false">IF(AND(ISNUMBER($AE1530),ISNUMBER($AF1530),$AF1530&gt;0),$AE1530/$AF1530,"")</f>
        <v>1.61683915049463</v>
      </c>
      <c r="AH1530" s="48" t="n">
        <f aca="false">IF($U1530&gt;=5,SUM(INDEX($AD$1500:$AD1530,32-5):$AD1530),"")</f>
        <v>85174745405</v>
      </c>
      <c r="AI1530" s="48" t="n">
        <f aca="false">IF($U1530&gt;=STRUCT_S,MAX(INDEX($G$1380:$G1530,152-STRUCT_S):$G1530),"")</f>
        <v>1860</v>
      </c>
      <c r="AJ1530" s="48" t="n">
        <f aca="false">IF($U1530&gt;=STRUCT_S,MIN(INDEX($H$1380:$H1530,152-STRUCT_S):$H1530),"")</f>
        <v>1447</v>
      </c>
      <c r="AK1530" s="48" t="n">
        <f aca="false">IF($U1530&gt;=STRUCT_L,MAX(INDEX($G$1280:$G1530,252-STRUCT_L):$G1530),"")</f>
        <v>1860</v>
      </c>
      <c r="AL1530" s="48" t="n">
        <f aca="false">IF($U1530&gt;=STRUCT_L,MIN(INDEX($H$1280:$H1530,252-STRUCT_L):$H1530),"")</f>
        <v>1447</v>
      </c>
      <c r="AM1530" s="46" t="n">
        <f aca="false">IF($A1530&lt;&gt;$A1531,1,0)</f>
        <v>0</v>
      </c>
      <c r="AN1530" s="47" t="str">
        <f aca="false">IF($AM1530=1,$A1530,"")</f>
        <v/>
      </c>
    </row>
    <row r="1531" customFormat="false" ht="15" hidden="false" customHeight="false" outlineLevel="0" collapsed="false">
      <c r="A1531" s="43" t="s">
        <v>157</v>
      </c>
      <c r="B1531" s="44" t="s">
        <v>159</v>
      </c>
      <c r="C1531" s="45" t="n">
        <v>46222</v>
      </c>
      <c r="D1531" s="46" t="n">
        <v>20260719</v>
      </c>
      <c r="E1531" s="47" t="s">
        <v>514</v>
      </c>
      <c r="F1531" s="48" t="n">
        <v>1884</v>
      </c>
      <c r="G1531" s="48" t="n">
        <v>1921</v>
      </c>
      <c r="H1531" s="48" t="n">
        <v>1804</v>
      </c>
      <c r="I1531" s="48" t="n">
        <v>1878</v>
      </c>
      <c r="J1531" s="48" t="n">
        <v>1812</v>
      </c>
      <c r="K1531" s="48" t="n">
        <v>1847</v>
      </c>
      <c r="L1531" s="48" t="n">
        <v>95554213</v>
      </c>
      <c r="M1531" s="48" t="n">
        <v>179450812014</v>
      </c>
      <c r="N1531" s="48" t="n">
        <v>2641</v>
      </c>
      <c r="O1531" s="48" t="n">
        <v>51741420</v>
      </c>
      <c r="P1531" s="48" t="n">
        <v>45452534</v>
      </c>
      <c r="Q1531" s="48" t="n">
        <v>1055</v>
      </c>
      <c r="R1531" s="48" t="n">
        <v>1454</v>
      </c>
      <c r="S1531" s="48" t="n">
        <v>43812793</v>
      </c>
      <c r="T1531" s="48" t="n">
        <v>50101679</v>
      </c>
      <c r="U1531" s="46" t="n">
        <f aca="false">IF($A1531=$A1530,$U1530+1,1)</f>
        <v>227</v>
      </c>
      <c r="V1531" s="48" t="n">
        <f aca="false">IF($U1531&gt;=MA_SHORT,AVERAGE(INDEX($I$1131:$I1531,402-MA_SHORT):$I1531),"")</f>
        <v>1643.95</v>
      </c>
      <c r="W1531" s="48" t="n">
        <f aca="false">IF($U1531&gt;=MA_MED,AVERAGE(INDEX($I$1131:$I1531,402-MA_MED):$I1531),"")</f>
        <v>1603.68</v>
      </c>
      <c r="X1531" s="48" t="n">
        <f aca="false">IF($U1531&gt;=MA_LONG1,AVERAGE(INDEX($I$1131:$I1531,402-MA_LONG1):$I1531),"")</f>
        <v>1669.21</v>
      </c>
      <c r="Y1531" s="48" t="n">
        <f aca="false">IF($U1531&gt;=MA_LONG2,AVERAGE(INDEX($I$1131:$I1531,402-MA_LONG2):$I1531),"")</f>
        <v>1588.765</v>
      </c>
      <c r="Z1531" s="48" t="n">
        <f aca="false">IF($U1531&gt;=MA_SHORT,AVERAGE(INDEX($L$1411:$L1531,122-MA_SHORT):$L1531),"")</f>
        <v>83109273.4</v>
      </c>
      <c r="AA1531" s="48" t="n">
        <f aca="false">IF($U1531=1,$G1531-$H1531,MAX($G1531-$H1531,ABS($G1531-$I1530),ABS($H1531-$I1530)))</f>
        <v>117</v>
      </c>
      <c r="AB1531" s="48" t="n">
        <f aca="false">IF($U1531&gt;=ATR_PER,AVERAGE(INDEX($AA$1411:$AA1531,122-ATR_PER):$AA1531),"")</f>
        <v>81.2142857142857</v>
      </c>
      <c r="AC1531" s="48" t="n">
        <f aca="false">$O1531-$P1531</f>
        <v>6288886</v>
      </c>
      <c r="AD1531" s="48" t="n">
        <f aca="false">$AC1531*$I1531</f>
        <v>11810527908</v>
      </c>
      <c r="AE1531" s="49" t="n">
        <f aca="false">IF($Q1531&gt;0,$O1531*$I1531/$Q1531/1000000,"")</f>
        <v>92.104632</v>
      </c>
      <c r="AF1531" s="49" t="n">
        <f aca="false">IF($R1531&gt;0,$P1531*$I1531/$R1531/1000000,"")</f>
        <v>58.7069180550206</v>
      </c>
      <c r="AG1531" s="50" t="n">
        <f aca="false">IF(AND(ISNUMBER($AE1531),ISNUMBER($AF1531),$AF1531&gt;0),$AE1531/$AF1531,"")</f>
        <v>1.56888889847154</v>
      </c>
      <c r="AH1531" s="48" t="n">
        <f aca="false">IF($U1531&gt;=5,SUM(INDEX($AD$1501:$AD1531,32-5):$AD1531),"")</f>
        <v>101834849065</v>
      </c>
      <c r="AI1531" s="48" t="n">
        <f aca="false">IF($U1531&gt;=STRUCT_S,MAX(INDEX($G$1381:$G1531,152-STRUCT_S):$G1531),"")</f>
        <v>1921</v>
      </c>
      <c r="AJ1531" s="48" t="n">
        <f aca="false">IF($U1531&gt;=STRUCT_S,MIN(INDEX($H$1381:$H1531,152-STRUCT_S):$H1531),"")</f>
        <v>1447</v>
      </c>
      <c r="AK1531" s="48" t="n">
        <f aca="false">IF($U1531&gt;=STRUCT_L,MAX(INDEX($G$1281:$G1531,252-STRUCT_L):$G1531),"")</f>
        <v>1921</v>
      </c>
      <c r="AL1531" s="48" t="n">
        <f aca="false">IF($U1531&gt;=STRUCT_L,MIN(INDEX($H$1281:$H1531,252-STRUCT_L):$H1531),"")</f>
        <v>1447</v>
      </c>
      <c r="AM1531" s="46" t="n">
        <f aca="false">IF($A1531&lt;&gt;$A1532,1,0)</f>
        <v>0</v>
      </c>
      <c r="AN1531" s="47" t="str">
        <f aca="false">IF($AM1531=1,$A1531,"")</f>
        <v/>
      </c>
    </row>
    <row r="1532" customFormat="false" ht="15" hidden="false" customHeight="false" outlineLevel="0" collapsed="false">
      <c r="A1532" s="43" t="s">
        <v>157</v>
      </c>
      <c r="B1532" s="44" t="s">
        <v>159</v>
      </c>
      <c r="C1532" s="45" t="n">
        <v>46223</v>
      </c>
      <c r="D1532" s="46" t="n">
        <v>20260720</v>
      </c>
      <c r="E1532" s="47" t="s">
        <v>515</v>
      </c>
      <c r="F1532" s="48" t="n">
        <v>1898</v>
      </c>
      <c r="G1532" s="48" t="n">
        <v>1901</v>
      </c>
      <c r="H1532" s="48" t="n">
        <v>1871</v>
      </c>
      <c r="I1532" s="48" t="n">
        <v>1894</v>
      </c>
      <c r="J1532" s="48" t="n">
        <v>1872</v>
      </c>
      <c r="K1532" s="48" t="n">
        <v>1878</v>
      </c>
      <c r="L1532" s="48" t="n">
        <v>71329713</v>
      </c>
      <c r="M1532" s="48" t="n">
        <v>135098476422</v>
      </c>
      <c r="N1532" s="48" t="n">
        <v>2082</v>
      </c>
      <c r="O1532" s="48" t="n">
        <v>35469827</v>
      </c>
      <c r="P1532" s="48" t="n">
        <v>33137126</v>
      </c>
      <c r="Q1532" s="48" t="n">
        <v>663</v>
      </c>
      <c r="R1532" s="48" t="n">
        <v>848</v>
      </c>
      <c r="S1532" s="48" t="n">
        <v>35859886</v>
      </c>
      <c r="T1532" s="48" t="n">
        <v>38192587</v>
      </c>
      <c r="U1532" s="46" t="n">
        <f aca="false">IF($A1532=$A1531,$U1531+1,1)</f>
        <v>228</v>
      </c>
      <c r="V1532" s="48" t="n">
        <f aca="false">IF($U1532&gt;=MA_SHORT,AVERAGE(INDEX($I$1132:$I1532,402-MA_SHORT):$I1532),"")</f>
        <v>1664.95</v>
      </c>
      <c r="W1532" s="48" t="n">
        <f aca="false">IF($U1532&gt;=MA_MED,AVERAGE(INDEX($I$1132:$I1532,402-MA_MED):$I1532),"")</f>
        <v>1610.12</v>
      </c>
      <c r="X1532" s="48" t="n">
        <f aca="false">IF($U1532&gt;=MA_LONG1,AVERAGE(INDEX($I$1132:$I1532,402-MA_LONG1):$I1532),"")</f>
        <v>1670.92</v>
      </c>
      <c r="Y1532" s="48" t="n">
        <f aca="false">IF($U1532&gt;=MA_LONG2,AVERAGE(INDEX($I$1132:$I1532,402-MA_LONG2):$I1532),"")</f>
        <v>1591.01</v>
      </c>
      <c r="Z1532" s="48" t="n">
        <f aca="false">IF($U1532&gt;=MA_SHORT,AVERAGE(INDEX($L$1412:$L1532,122-MA_SHORT):$L1532),"")</f>
        <v>82284509.15</v>
      </c>
      <c r="AA1532" s="48" t="n">
        <f aca="false">IF($U1532=1,$G1532-$H1532,MAX($G1532-$H1532,ABS($G1532-$I1531),ABS($H1532-$I1531)))</f>
        <v>30</v>
      </c>
      <c r="AB1532" s="48" t="n">
        <f aca="false">IF($U1532&gt;=ATR_PER,AVERAGE(INDEX($AA$1412:$AA1532,122-ATR_PER):$AA1532),"")</f>
        <v>78.1428571428571</v>
      </c>
      <c r="AC1532" s="48" t="n">
        <f aca="false">$O1532-$P1532</f>
        <v>2332701</v>
      </c>
      <c r="AD1532" s="48" t="n">
        <f aca="false">$AC1532*$I1532</f>
        <v>4418135694</v>
      </c>
      <c r="AE1532" s="49" t="n">
        <f aca="false">IF($Q1532&gt;0,$O1532*$I1532/$Q1532/1000000,"")</f>
        <v>101.327077432881</v>
      </c>
      <c r="AF1532" s="49" t="n">
        <f aca="false">IF($R1532&gt;0,$P1532*$I1532/$R1532/1000000,"")</f>
        <v>74.0114583066038</v>
      </c>
      <c r="AG1532" s="50" t="n">
        <f aca="false">IF(AND(ISNUMBER($AE1532),ISNUMBER($AF1532),$AF1532&gt;0),$AE1532/$AF1532,"")</f>
        <v>1.36907284022317</v>
      </c>
      <c r="AH1532" s="48" t="n">
        <f aca="false">IF($U1532&gt;=5,SUM(INDEX($AD$1502:$AD1532,32-5):$AD1532),"")</f>
        <v>114798078862</v>
      </c>
      <c r="AI1532" s="48" t="n">
        <f aca="false">IF($U1532&gt;=STRUCT_S,MAX(INDEX($G$1382:$G1532,152-STRUCT_S):$G1532),"")</f>
        <v>1921</v>
      </c>
      <c r="AJ1532" s="48" t="n">
        <f aca="false">IF($U1532&gt;=STRUCT_S,MIN(INDEX($H$1382:$H1532,152-STRUCT_S):$H1532),"")</f>
        <v>1447</v>
      </c>
      <c r="AK1532" s="48" t="n">
        <f aca="false">IF($U1532&gt;=STRUCT_L,MAX(INDEX($G$1282:$G1532,252-STRUCT_L):$G1532),"")</f>
        <v>1921</v>
      </c>
      <c r="AL1532" s="48" t="n">
        <f aca="false">IF($U1532&gt;=STRUCT_L,MIN(INDEX($H$1282:$H1532,252-STRUCT_L):$H1532),"")</f>
        <v>1447</v>
      </c>
      <c r="AM1532" s="46" t="n">
        <f aca="false">IF($A1532&lt;&gt;$A1533,1,0)</f>
        <v>0</v>
      </c>
      <c r="AN1532" s="47" t="str">
        <f aca="false">IF($AM1532=1,$A1532,"")</f>
        <v/>
      </c>
    </row>
    <row r="1533" customFormat="false" ht="15" hidden="false" customHeight="false" outlineLevel="0" collapsed="false">
      <c r="A1533" s="43" t="s">
        <v>157</v>
      </c>
      <c r="B1533" s="44" t="s">
        <v>159</v>
      </c>
      <c r="C1533" s="45" t="n">
        <v>46224</v>
      </c>
      <c r="D1533" s="46" t="n">
        <v>20260721</v>
      </c>
      <c r="E1533" s="47" t="s">
        <v>516</v>
      </c>
      <c r="F1533" s="48" t="n">
        <v>1896</v>
      </c>
      <c r="G1533" s="48" t="n">
        <v>1904</v>
      </c>
      <c r="H1533" s="48" t="n">
        <v>1872</v>
      </c>
      <c r="I1533" s="48" t="n">
        <v>1882</v>
      </c>
      <c r="J1533" s="48" t="n">
        <v>1897</v>
      </c>
      <c r="K1533" s="48" t="n">
        <v>1894</v>
      </c>
      <c r="L1533" s="48" t="n">
        <v>83767200</v>
      </c>
      <c r="M1533" s="48" t="n">
        <v>157649870400</v>
      </c>
      <c r="N1533" s="48" t="n">
        <v>3397</v>
      </c>
      <c r="O1533" s="48" t="n">
        <v>41113967</v>
      </c>
      <c r="P1533" s="48" t="n">
        <v>38698016</v>
      </c>
      <c r="Q1533" s="48" t="n">
        <v>1880</v>
      </c>
      <c r="R1533" s="48" t="n">
        <v>1729</v>
      </c>
      <c r="S1533" s="48" t="n">
        <v>42653233</v>
      </c>
      <c r="T1533" s="48" t="n">
        <v>45069184</v>
      </c>
      <c r="U1533" s="46" t="n">
        <f aca="false">IF($A1533=$A1532,$U1532+1,1)</f>
        <v>229</v>
      </c>
      <c r="V1533" s="48" t="n">
        <f aca="false">IF($U1533&gt;=MA_SHORT,AVERAGE(INDEX($I$1133:$I1533,402-MA_SHORT):$I1533),"")</f>
        <v>1684.65</v>
      </c>
      <c r="W1533" s="48" t="n">
        <f aca="false">IF($U1533&gt;=MA_MED,AVERAGE(INDEX($I$1133:$I1533,402-MA_MED):$I1533),"")</f>
        <v>1616.14</v>
      </c>
      <c r="X1533" s="48" t="n">
        <f aca="false">IF($U1533&gt;=MA_LONG1,AVERAGE(INDEX($I$1133:$I1533,402-MA_LONG1):$I1533),"")</f>
        <v>1672.5</v>
      </c>
      <c r="Y1533" s="48" t="n">
        <f aca="false">IF($U1533&gt;=MA_LONG2,AVERAGE(INDEX($I$1133:$I1533,402-MA_LONG2):$I1533),"")</f>
        <v>1593.065</v>
      </c>
      <c r="Z1533" s="48" t="n">
        <f aca="false">IF($U1533&gt;=MA_SHORT,AVERAGE(INDEX($L$1413:$L1533,122-MA_SHORT):$L1533),"")</f>
        <v>82875967.4</v>
      </c>
      <c r="AA1533" s="48" t="n">
        <f aca="false">IF($U1533=1,$G1533-$H1533,MAX($G1533-$H1533,ABS($G1533-$I1532),ABS($H1533-$I1532)))</f>
        <v>32</v>
      </c>
      <c r="AB1533" s="48" t="n">
        <f aca="false">IF($U1533&gt;=ATR_PER,AVERAGE(INDEX($AA$1413:$AA1533,122-ATR_PER):$AA1533),"")</f>
        <v>75.2142857142857</v>
      </c>
      <c r="AC1533" s="48" t="n">
        <f aca="false">$O1533-$P1533</f>
        <v>2415951</v>
      </c>
      <c r="AD1533" s="48" t="n">
        <f aca="false">$AC1533*$I1533</f>
        <v>4546819782</v>
      </c>
      <c r="AE1533" s="49" t="n">
        <f aca="false">IF($Q1533&gt;0,$O1533*$I1533/$Q1533/1000000,"")</f>
        <v>41.157705262766</v>
      </c>
      <c r="AF1533" s="49" t="n">
        <f aca="false">IF($R1533&gt;0,$P1533*$I1533/$R1533/1000000,"")</f>
        <v>42.1224211174089</v>
      </c>
      <c r="AG1533" s="50" t="n">
        <f aca="false">IF(AND(ISNUMBER($AE1533),ISNUMBER($AF1533),$AF1533&gt;0),$AE1533/$AF1533,"")</f>
        <v>0.97709733132495</v>
      </c>
      <c r="AH1533" s="48" t="n">
        <f aca="false">IF($U1533&gt;=5,SUM(INDEX($AD$1503:$AD1533,32-5):$AD1533),"")</f>
        <v>132208535885</v>
      </c>
      <c r="AI1533" s="48" t="n">
        <f aca="false">IF($U1533&gt;=STRUCT_S,MAX(INDEX($G$1383:$G1533,152-STRUCT_S):$G1533),"")</f>
        <v>1921</v>
      </c>
      <c r="AJ1533" s="48" t="n">
        <f aca="false">IF($U1533&gt;=STRUCT_S,MIN(INDEX($H$1383:$H1533,152-STRUCT_S):$H1533),"")</f>
        <v>1447</v>
      </c>
      <c r="AK1533" s="48" t="n">
        <f aca="false">IF($U1533&gt;=STRUCT_L,MAX(INDEX($G$1283:$G1533,252-STRUCT_L):$G1533),"")</f>
        <v>1921</v>
      </c>
      <c r="AL1533" s="48" t="n">
        <f aca="false">IF($U1533&gt;=STRUCT_L,MIN(INDEX($H$1283:$H1533,252-STRUCT_L):$H1533),"")</f>
        <v>1447</v>
      </c>
      <c r="AM1533" s="46" t="n">
        <f aca="false">IF($A1533&lt;&gt;$A1534,1,0)</f>
        <v>0</v>
      </c>
      <c r="AN1533" s="47" t="str">
        <f aca="false">IF($AM1533=1,$A1533,"")</f>
        <v/>
      </c>
    </row>
    <row r="1534" customFormat="false" ht="15" hidden="false" customHeight="false" outlineLevel="0" collapsed="false">
      <c r="A1534" s="43" t="s">
        <v>157</v>
      </c>
      <c r="B1534" s="44" t="s">
        <v>159</v>
      </c>
      <c r="C1534" s="45" t="n">
        <v>46225</v>
      </c>
      <c r="D1534" s="46" t="n">
        <v>20260722</v>
      </c>
      <c r="E1534" s="47" t="s">
        <v>517</v>
      </c>
      <c r="F1534" s="48" t="n">
        <v>1901</v>
      </c>
      <c r="G1534" s="48" t="n">
        <v>1914</v>
      </c>
      <c r="H1534" s="48" t="n">
        <v>1862</v>
      </c>
      <c r="I1534" s="48" t="n">
        <v>1894</v>
      </c>
      <c r="J1534" s="48" t="n">
        <v>1893</v>
      </c>
      <c r="K1534" s="48" t="n">
        <v>1882</v>
      </c>
      <c r="L1534" s="48" t="n">
        <v>70456953</v>
      </c>
      <c r="M1534" s="48" t="n">
        <v>133445468982</v>
      </c>
      <c r="N1534" s="48" t="n">
        <v>1615</v>
      </c>
      <c r="O1534" s="48" t="n">
        <v>31600845</v>
      </c>
      <c r="P1534" s="48" t="n">
        <v>40615308</v>
      </c>
      <c r="Q1534" s="48" t="n">
        <v>745</v>
      </c>
      <c r="R1534" s="48" t="n">
        <v>754</v>
      </c>
      <c r="S1534" s="48" t="n">
        <v>38856108</v>
      </c>
      <c r="T1534" s="48" t="n">
        <v>29841645</v>
      </c>
      <c r="U1534" s="46" t="n">
        <f aca="false">IF($A1534=$A1533,$U1533+1,1)</f>
        <v>230</v>
      </c>
      <c r="V1534" s="48" t="n">
        <f aca="false">IF($U1534&gt;=MA_SHORT,AVERAGE(INDEX($I$1134:$I1534,402-MA_SHORT):$I1534),"")</f>
        <v>1702.45</v>
      </c>
      <c r="W1534" s="48" t="n">
        <f aca="false">IF($U1534&gt;=MA_MED,AVERAGE(INDEX($I$1134:$I1534,402-MA_MED):$I1534),"")</f>
        <v>1622.98</v>
      </c>
      <c r="X1534" s="48" t="n">
        <f aca="false">IF($U1534&gt;=MA_LONG1,AVERAGE(INDEX($I$1134:$I1534,402-MA_LONG1):$I1534),"")</f>
        <v>1673.76</v>
      </c>
      <c r="Y1534" s="48" t="n">
        <f aca="false">IF($U1534&gt;=MA_LONG2,AVERAGE(INDEX($I$1134:$I1534,402-MA_LONG2):$I1534),"")</f>
        <v>1595.355</v>
      </c>
      <c r="Z1534" s="48" t="n">
        <f aca="false">IF($U1534&gt;=MA_SHORT,AVERAGE(INDEX($L$1414:$L1534,122-MA_SHORT):$L1534),"")</f>
        <v>82275156.8</v>
      </c>
      <c r="AA1534" s="48" t="n">
        <f aca="false">IF($U1534=1,$G1534-$H1534,MAX($G1534-$H1534,ABS($G1534-$I1533),ABS($H1534-$I1533)))</f>
        <v>52</v>
      </c>
      <c r="AB1534" s="48" t="n">
        <f aca="false">IF($U1534&gt;=ATR_PER,AVERAGE(INDEX($AA$1414:$AA1534,122-ATR_PER):$AA1534),"")</f>
        <v>69.0714285714286</v>
      </c>
      <c r="AC1534" s="48" t="n">
        <f aca="false">$O1534-$P1534</f>
        <v>-9014463</v>
      </c>
      <c r="AD1534" s="48" t="n">
        <f aca="false">$AC1534*$I1534</f>
        <v>-17073392922</v>
      </c>
      <c r="AE1534" s="49" t="n">
        <f aca="false">IF($Q1534&gt;0,$O1534*$I1534/$Q1534/1000000,"")</f>
        <v>80.3382556107382</v>
      </c>
      <c r="AF1534" s="49" t="n">
        <f aca="false">IF($R1534&gt;0,$P1534*$I1534/$R1534/1000000,"")</f>
        <v>102.023068106101</v>
      </c>
      <c r="AG1534" s="50" t="n">
        <f aca="false">IF(AND(ISNUMBER($AE1534),ISNUMBER($AF1534),$AF1534&gt;0),$AE1534/$AF1534,"")</f>
        <v>0.787451868504768</v>
      </c>
      <c r="AH1534" s="48" t="n">
        <f aca="false">IF($U1534&gt;=5,SUM(INDEX($AD$1504:$AD1534,32-5):$AD1534),"")</f>
        <v>51904887751</v>
      </c>
      <c r="AI1534" s="48" t="n">
        <f aca="false">IF($U1534&gt;=STRUCT_S,MAX(INDEX($G$1384:$G1534,152-STRUCT_S):$G1534),"")</f>
        <v>1921</v>
      </c>
      <c r="AJ1534" s="48" t="n">
        <f aca="false">IF($U1534&gt;=STRUCT_S,MIN(INDEX($H$1384:$H1534,152-STRUCT_S):$H1534),"")</f>
        <v>1457</v>
      </c>
      <c r="AK1534" s="48" t="n">
        <f aca="false">IF($U1534&gt;=STRUCT_L,MAX(INDEX($G$1284:$G1534,252-STRUCT_L):$G1534),"")</f>
        <v>1921</v>
      </c>
      <c r="AL1534" s="48" t="n">
        <f aca="false">IF($U1534&gt;=STRUCT_L,MIN(INDEX($H$1284:$H1534,252-STRUCT_L):$H1534),"")</f>
        <v>1447</v>
      </c>
      <c r="AM1534" s="46" t="n">
        <f aca="false">IF($A1534&lt;&gt;$A1535,1,0)</f>
        <v>0</v>
      </c>
      <c r="AN1534" s="47" t="str">
        <f aca="false">IF($AM1534=1,$A1534,"")</f>
        <v/>
      </c>
    </row>
    <row r="1535" customFormat="false" ht="15" hidden="false" customHeight="false" outlineLevel="0" collapsed="false">
      <c r="A1535" s="43" t="s">
        <v>157</v>
      </c>
      <c r="B1535" s="44" t="s">
        <v>159</v>
      </c>
      <c r="C1535" s="45" t="n">
        <v>46228</v>
      </c>
      <c r="D1535" s="46" t="n">
        <v>20260725</v>
      </c>
      <c r="E1535" s="47" t="s">
        <v>518</v>
      </c>
      <c r="F1535" s="48" t="n">
        <v>1883</v>
      </c>
      <c r="G1535" s="48" t="n">
        <v>1932</v>
      </c>
      <c r="H1535" s="48" t="n">
        <v>1880</v>
      </c>
      <c r="I1535" s="48" t="n">
        <v>1918</v>
      </c>
      <c r="J1535" s="48" t="n">
        <v>1918</v>
      </c>
      <c r="K1535" s="48" t="n">
        <v>1894</v>
      </c>
      <c r="L1535" s="48" t="n">
        <v>73020218</v>
      </c>
      <c r="M1535" s="48" t="n">
        <v>140052778124</v>
      </c>
      <c r="N1535" s="48" t="n">
        <v>3081</v>
      </c>
      <c r="O1535" s="48" t="n">
        <v>40896018</v>
      </c>
      <c r="P1535" s="48" t="n">
        <v>33697270</v>
      </c>
      <c r="Q1535" s="48" t="n">
        <v>1536</v>
      </c>
      <c r="R1535" s="48" t="n">
        <v>1415</v>
      </c>
      <c r="S1535" s="48" t="n">
        <v>32124200</v>
      </c>
      <c r="T1535" s="48" t="n">
        <v>39322948</v>
      </c>
      <c r="U1535" s="46" t="n">
        <f aca="false">IF($A1535=$A1534,$U1534+1,1)</f>
        <v>231</v>
      </c>
      <c r="V1535" s="48" t="n">
        <f aca="false">IF($U1535&gt;=MA_SHORT,AVERAGE(INDEX($I$1135:$I1535,402-MA_SHORT):$I1535),"")</f>
        <v>1723.3</v>
      </c>
      <c r="W1535" s="48" t="n">
        <f aca="false">IF($U1535&gt;=MA_MED,AVERAGE(INDEX($I$1135:$I1535,402-MA_MED):$I1535),"")</f>
        <v>1630.72</v>
      </c>
      <c r="X1535" s="48" t="n">
        <f aca="false">IF($U1535&gt;=MA_LONG1,AVERAGE(INDEX($I$1135:$I1535,402-MA_LONG1):$I1535),"")</f>
        <v>1675.32</v>
      </c>
      <c r="Y1535" s="48" t="n">
        <f aca="false">IF($U1535&gt;=MA_LONG2,AVERAGE(INDEX($I$1135:$I1535,402-MA_LONG2):$I1535),"")</f>
        <v>1597.54</v>
      </c>
      <c r="Z1535" s="48" t="n">
        <f aca="false">IF($U1535&gt;=MA_SHORT,AVERAGE(INDEX($L$1415:$L1535,122-MA_SHORT):$L1535),"")</f>
        <v>81935887.4</v>
      </c>
      <c r="AA1535" s="48" t="n">
        <f aca="false">IF($U1535=1,$G1535-$H1535,MAX($G1535-$H1535,ABS($G1535-$I1534),ABS($H1535-$I1534)))</f>
        <v>52</v>
      </c>
      <c r="AB1535" s="48" t="n">
        <f aca="false">IF($U1535&gt;=ATR_PER,AVERAGE(INDEX($AA$1415:$AA1535,122-ATR_PER):$AA1535),"")</f>
        <v>66.7857142857143</v>
      </c>
      <c r="AC1535" s="48" t="n">
        <f aca="false">$O1535-$P1535</f>
        <v>7198748</v>
      </c>
      <c r="AD1535" s="48" t="n">
        <f aca="false">$AC1535*$I1535</f>
        <v>13807198664</v>
      </c>
      <c r="AE1535" s="49" t="n">
        <f aca="false">IF($Q1535&gt;0,$O1535*$I1535/$Q1535/1000000,"")</f>
        <v>51.0667724765625</v>
      </c>
      <c r="AF1535" s="49" t="n">
        <f aca="false">IF($R1535&gt;0,$P1535*$I1535/$R1535/1000000,"")</f>
        <v>45.6758755194346</v>
      </c>
      <c r="AG1535" s="50" t="n">
        <f aca="false">IF(AND(ISNUMBER($AE1535),ISNUMBER($AF1535),$AF1535&gt;0),$AE1535/$AF1535,"")</f>
        <v>1.11802503829038</v>
      </c>
      <c r="AH1535" s="48" t="n">
        <f aca="false">IF($U1535&gt;=5,SUM(INDEX($AD$1505:$AD1535,32-5):$AD1535),"")</f>
        <v>17509289126</v>
      </c>
      <c r="AI1535" s="48" t="n">
        <f aca="false">IF($U1535&gt;=STRUCT_S,MAX(INDEX($G$1385:$G1535,152-STRUCT_S):$G1535),"")</f>
        <v>1932</v>
      </c>
      <c r="AJ1535" s="48" t="n">
        <f aca="false">IF($U1535&gt;=STRUCT_S,MIN(INDEX($H$1385:$H1535,152-STRUCT_S):$H1535),"")</f>
        <v>1464</v>
      </c>
      <c r="AK1535" s="48" t="n">
        <f aca="false">IF($U1535&gt;=STRUCT_L,MAX(INDEX($G$1285:$G1535,252-STRUCT_L):$G1535),"")</f>
        <v>1932</v>
      </c>
      <c r="AL1535" s="48" t="n">
        <f aca="false">IF($U1535&gt;=STRUCT_L,MIN(INDEX($H$1285:$H1535,252-STRUCT_L):$H1535),"")</f>
        <v>1447</v>
      </c>
      <c r="AM1535" s="46" t="n">
        <f aca="false">IF($A1535&lt;&gt;$A1536,1,0)</f>
        <v>0</v>
      </c>
      <c r="AN1535" s="47" t="str">
        <f aca="false">IF($AM1535=1,$A1535,"")</f>
        <v/>
      </c>
    </row>
    <row r="1536" customFormat="false" ht="15" hidden="false" customHeight="false" outlineLevel="0" collapsed="false">
      <c r="A1536" s="43" t="s">
        <v>157</v>
      </c>
      <c r="B1536" s="44" t="s">
        <v>159</v>
      </c>
      <c r="C1536" s="45" t="n">
        <v>46229</v>
      </c>
      <c r="D1536" s="46" t="n">
        <v>20260726</v>
      </c>
      <c r="E1536" s="47" t="s">
        <v>519</v>
      </c>
      <c r="F1536" s="48" t="n">
        <v>1915</v>
      </c>
      <c r="G1536" s="48" t="n">
        <v>1940</v>
      </c>
      <c r="H1536" s="48" t="n">
        <v>1869</v>
      </c>
      <c r="I1536" s="48" t="n">
        <v>1891</v>
      </c>
      <c r="J1536" s="48" t="n">
        <v>1875</v>
      </c>
      <c r="K1536" s="48" t="n">
        <v>1918</v>
      </c>
      <c r="L1536" s="48" t="n">
        <v>82439780</v>
      </c>
      <c r="M1536" s="48" t="n">
        <v>155893623980</v>
      </c>
      <c r="N1536" s="48" t="n">
        <v>2827</v>
      </c>
      <c r="O1536" s="48" t="n">
        <v>38327271</v>
      </c>
      <c r="P1536" s="48" t="n">
        <v>35659718</v>
      </c>
      <c r="Q1536" s="48" t="n">
        <v>1368</v>
      </c>
      <c r="R1536" s="48" t="n">
        <v>1069</v>
      </c>
      <c r="S1536" s="48" t="n">
        <v>44112509</v>
      </c>
      <c r="T1536" s="48" t="n">
        <v>46780062</v>
      </c>
      <c r="U1536" s="46" t="n">
        <f aca="false">IF($A1536=$A1535,$U1535+1,1)</f>
        <v>232</v>
      </c>
      <c r="V1536" s="48" t="n">
        <f aca="false">IF($U1536&gt;=MA_SHORT,AVERAGE(INDEX($I$1136:$I1536,402-MA_SHORT):$I1536),"")</f>
        <v>1744.15</v>
      </c>
      <c r="W1536" s="48" t="n">
        <f aca="false">IF($U1536&gt;=MA_MED,AVERAGE(INDEX($I$1136:$I1536,402-MA_MED):$I1536),"")</f>
        <v>1637.3</v>
      </c>
      <c r="X1536" s="48" t="n">
        <f aca="false">IF($U1536&gt;=MA_LONG1,AVERAGE(INDEX($I$1136:$I1536,402-MA_LONG1):$I1536),"")</f>
        <v>1677.23</v>
      </c>
      <c r="Y1536" s="48" t="n">
        <f aca="false">IF($U1536&gt;=MA_LONG2,AVERAGE(INDEX($I$1136:$I1536,402-MA_LONG2):$I1536),"")</f>
        <v>1599.56</v>
      </c>
      <c r="Z1536" s="48" t="n">
        <f aca="false">IF($U1536&gt;=MA_SHORT,AVERAGE(INDEX($L$1416:$L1536,122-MA_SHORT):$L1536),"")</f>
        <v>82298632.7</v>
      </c>
      <c r="AA1536" s="48" t="n">
        <f aca="false">IF($U1536=1,$G1536-$H1536,MAX($G1536-$H1536,ABS($G1536-$I1535),ABS($H1536-$I1535)))</f>
        <v>71</v>
      </c>
      <c r="AB1536" s="48" t="n">
        <f aca="false">IF($U1536&gt;=ATR_PER,AVERAGE(INDEX($AA$1416:$AA1536,122-ATR_PER):$AA1536),"")</f>
        <v>64.9285714285714</v>
      </c>
      <c r="AC1536" s="48" t="n">
        <f aca="false">$O1536-$P1536</f>
        <v>2667553</v>
      </c>
      <c r="AD1536" s="48" t="n">
        <f aca="false">$AC1536*$I1536</f>
        <v>5044342723</v>
      </c>
      <c r="AE1536" s="49" t="n">
        <f aca="false">IF($Q1536&gt;0,$O1536*$I1536/$Q1536/1000000,"")</f>
        <v>52.9801677346491</v>
      </c>
      <c r="AF1536" s="49" t="n">
        <f aca="false">IF($R1536&gt;0,$P1536*$I1536/$R1536/1000000,"")</f>
        <v>63.080006303087</v>
      </c>
      <c r="AG1536" s="50" t="n">
        <f aca="false">IF(AND(ISNUMBER($AE1536),ISNUMBER($AF1536),$AF1536&gt;0),$AE1536/$AF1536,"")</f>
        <v>0.839888434381092</v>
      </c>
      <c r="AH1536" s="48" t="n">
        <f aca="false">IF($U1536&gt;=5,SUM(INDEX($AD$1506:$AD1536,32-5):$AD1536),"")</f>
        <v>10743103941</v>
      </c>
      <c r="AI1536" s="48" t="n">
        <f aca="false">IF($U1536&gt;=STRUCT_S,MAX(INDEX($G$1386:$G1536,152-STRUCT_S):$G1536),"")</f>
        <v>1940</v>
      </c>
      <c r="AJ1536" s="48" t="n">
        <f aca="false">IF($U1536&gt;=STRUCT_S,MIN(INDEX($H$1386:$H1536,152-STRUCT_S):$H1536),"")</f>
        <v>1464</v>
      </c>
      <c r="AK1536" s="48" t="n">
        <f aca="false">IF($U1536&gt;=STRUCT_L,MAX(INDEX($G$1286:$G1536,252-STRUCT_L):$G1536),"")</f>
        <v>1940</v>
      </c>
      <c r="AL1536" s="48" t="n">
        <f aca="false">IF($U1536&gt;=STRUCT_L,MIN(INDEX($H$1286:$H1536,252-STRUCT_L):$H1536),"")</f>
        <v>1447</v>
      </c>
      <c r="AM1536" s="46" t="n">
        <f aca="false">IF($A1536&lt;&gt;$A1537,1,0)</f>
        <v>0</v>
      </c>
      <c r="AN1536" s="47" t="str">
        <f aca="false">IF($AM1536=1,$A1536,"")</f>
        <v/>
      </c>
    </row>
    <row r="1537" customFormat="false" ht="15" hidden="false" customHeight="false" outlineLevel="0" collapsed="false">
      <c r="A1537" s="43" t="s">
        <v>157</v>
      </c>
      <c r="B1537" s="44" t="s">
        <v>159</v>
      </c>
      <c r="C1537" s="45" t="n">
        <v>46230</v>
      </c>
      <c r="D1537" s="46" t="n">
        <v>20260727</v>
      </c>
      <c r="E1537" s="47" t="s">
        <v>520</v>
      </c>
      <c r="F1537" s="48" t="n">
        <v>1869</v>
      </c>
      <c r="G1537" s="48" t="n">
        <v>1896</v>
      </c>
      <c r="H1537" s="48" t="n">
        <v>1853</v>
      </c>
      <c r="I1537" s="48" t="n">
        <v>1858</v>
      </c>
      <c r="J1537" s="48" t="n">
        <v>1877</v>
      </c>
      <c r="K1537" s="48" t="n">
        <v>1891</v>
      </c>
      <c r="L1537" s="48" t="n">
        <v>74966257</v>
      </c>
      <c r="M1537" s="48" t="n">
        <v>139287305506</v>
      </c>
      <c r="N1537" s="48" t="n">
        <v>1736</v>
      </c>
      <c r="O1537" s="48" t="n">
        <v>29662623</v>
      </c>
      <c r="P1537" s="48" t="n">
        <v>40777156</v>
      </c>
      <c r="Q1537" s="48" t="n">
        <v>886</v>
      </c>
      <c r="R1537" s="48" t="n">
        <v>624</v>
      </c>
      <c r="S1537" s="48" t="n">
        <v>45303634</v>
      </c>
      <c r="T1537" s="48" t="n">
        <v>34189101</v>
      </c>
      <c r="U1537" s="46" t="n">
        <f aca="false">IF($A1537=$A1536,$U1536+1,1)</f>
        <v>233</v>
      </c>
      <c r="V1537" s="48" t="n">
        <f aca="false">IF($U1537&gt;=MA_SHORT,AVERAGE(INDEX($I$1137:$I1537,402-MA_SHORT):$I1537),"")</f>
        <v>1761.25</v>
      </c>
      <c r="W1537" s="48" t="n">
        <f aca="false">IF($U1537&gt;=MA_MED,AVERAGE(INDEX($I$1137:$I1537,402-MA_MED):$I1537),"")</f>
        <v>1642.58</v>
      </c>
      <c r="X1537" s="48" t="n">
        <f aca="false">IF($U1537&gt;=MA_LONG1,AVERAGE(INDEX($I$1137:$I1537,402-MA_LONG1):$I1537),"")</f>
        <v>1678.68</v>
      </c>
      <c r="Y1537" s="48" t="n">
        <f aca="false">IF($U1537&gt;=MA_LONG2,AVERAGE(INDEX($I$1137:$I1537,402-MA_LONG2):$I1537),"")</f>
        <v>1601.555</v>
      </c>
      <c r="Z1537" s="48" t="n">
        <f aca="false">IF($U1537&gt;=MA_SHORT,AVERAGE(INDEX($L$1417:$L1537,122-MA_SHORT):$L1537),"")</f>
        <v>80800714</v>
      </c>
      <c r="AA1537" s="48" t="n">
        <f aca="false">IF($U1537=1,$G1537-$H1537,MAX($G1537-$H1537,ABS($G1537-$I1536),ABS($H1537-$I1536)))</f>
        <v>43</v>
      </c>
      <c r="AB1537" s="48" t="n">
        <f aca="false">IF($U1537&gt;=ATR_PER,AVERAGE(INDEX($AA$1417:$AA1537,122-ATR_PER):$AA1537),"")</f>
        <v>61.8571428571429</v>
      </c>
      <c r="AC1537" s="48" t="n">
        <f aca="false">$O1537-$P1537</f>
        <v>-11114533</v>
      </c>
      <c r="AD1537" s="48" t="n">
        <f aca="false">$AC1537*$I1537</f>
        <v>-20650802314</v>
      </c>
      <c r="AE1537" s="49" t="n">
        <f aca="false">IF($Q1537&gt;0,$O1537*$I1537/$Q1537/1000000,"")</f>
        <v>62.204462227991</v>
      </c>
      <c r="AF1537" s="49" t="n">
        <f aca="false">IF($R1537&gt;0,$P1537*$I1537/$R1537/1000000,"")</f>
        <v>121.416595910256</v>
      </c>
      <c r="AG1537" s="50" t="n">
        <f aca="false">IF(AND(ISNUMBER($AE1537),ISNUMBER($AF1537),$AF1537&gt;0),$AE1537/$AF1537,"")</f>
        <v>0.512322568110612</v>
      </c>
      <c r="AH1537" s="48" t="n">
        <f aca="false">IF($U1537&gt;=5,SUM(INDEX($AD$1507:$AD1537,32-5):$AD1537),"")</f>
        <v>-14325834067</v>
      </c>
      <c r="AI1537" s="48" t="n">
        <f aca="false">IF($U1537&gt;=STRUCT_S,MAX(INDEX($G$1387:$G1537,152-STRUCT_S):$G1537),"")</f>
        <v>1940</v>
      </c>
      <c r="AJ1537" s="48" t="n">
        <f aca="false">IF($U1537&gt;=STRUCT_S,MIN(INDEX($H$1387:$H1537,152-STRUCT_S):$H1537),"")</f>
        <v>1496</v>
      </c>
      <c r="AK1537" s="48" t="n">
        <f aca="false">IF($U1537&gt;=STRUCT_L,MAX(INDEX($G$1287:$G1537,252-STRUCT_L):$G1537),"")</f>
        <v>1940</v>
      </c>
      <c r="AL1537" s="48" t="n">
        <f aca="false">IF($U1537&gt;=STRUCT_L,MIN(INDEX($H$1287:$H1537,252-STRUCT_L):$H1537),"")</f>
        <v>1447</v>
      </c>
      <c r="AM1537" s="46" t="n">
        <f aca="false">IF($A1537&lt;&gt;$A1538,1,0)</f>
        <v>0</v>
      </c>
      <c r="AN1537" s="47" t="str">
        <f aca="false">IF($AM1537=1,$A1537,"")</f>
        <v/>
      </c>
    </row>
    <row r="1538" customFormat="false" ht="15" hidden="false" customHeight="false" outlineLevel="0" collapsed="false">
      <c r="A1538" s="43" t="s">
        <v>157</v>
      </c>
      <c r="B1538" s="44" t="s">
        <v>159</v>
      </c>
      <c r="C1538" s="45" t="n">
        <v>46231</v>
      </c>
      <c r="D1538" s="46" t="n">
        <v>20260728</v>
      </c>
      <c r="E1538" s="47" t="s">
        <v>521</v>
      </c>
      <c r="F1538" s="48" t="n">
        <v>1853</v>
      </c>
      <c r="G1538" s="48" t="n">
        <v>1873</v>
      </c>
      <c r="H1538" s="48" t="n">
        <v>1850</v>
      </c>
      <c r="I1538" s="48" t="n">
        <v>1865</v>
      </c>
      <c r="J1538" s="48" t="n">
        <v>1872</v>
      </c>
      <c r="K1538" s="48" t="n">
        <v>1858</v>
      </c>
      <c r="L1538" s="48" t="n">
        <v>69394781</v>
      </c>
      <c r="M1538" s="48" t="n">
        <v>129421266565</v>
      </c>
      <c r="N1538" s="48" t="n">
        <v>1661</v>
      </c>
      <c r="O1538" s="48" t="n">
        <v>36178859</v>
      </c>
      <c r="P1538" s="48" t="n">
        <v>34338513</v>
      </c>
      <c r="Q1538" s="48" t="n">
        <v>685</v>
      </c>
      <c r="R1538" s="48" t="n">
        <v>510</v>
      </c>
      <c r="S1538" s="48" t="n">
        <v>33215922</v>
      </c>
      <c r="T1538" s="48" t="n">
        <v>35056268</v>
      </c>
      <c r="U1538" s="46" t="n">
        <f aca="false">IF($A1538=$A1537,$U1537+1,1)</f>
        <v>234</v>
      </c>
      <c r="V1538" s="48" t="n">
        <f aca="false">IF($U1538&gt;=MA_SHORT,AVERAGE(INDEX($I$1138:$I1538,402-MA_SHORT):$I1538),"")</f>
        <v>1777.05</v>
      </c>
      <c r="W1538" s="48" t="n">
        <f aca="false">IF($U1538&gt;=MA_MED,AVERAGE(INDEX($I$1138:$I1538,402-MA_MED):$I1538),"")</f>
        <v>1648.64</v>
      </c>
      <c r="X1538" s="48" t="n">
        <f aca="false">IF($U1538&gt;=MA_LONG1,AVERAGE(INDEX($I$1138:$I1538,402-MA_LONG1):$I1538),"")</f>
        <v>1680.72</v>
      </c>
      <c r="Y1538" s="48" t="n">
        <f aca="false">IF($U1538&gt;=MA_LONG2,AVERAGE(INDEX($I$1138:$I1538,402-MA_LONG2):$I1538),"")</f>
        <v>1603.47</v>
      </c>
      <c r="Z1538" s="48" t="n">
        <f aca="false">IF($U1538&gt;=MA_SHORT,AVERAGE(INDEX($L$1418:$L1538,122-MA_SHORT):$L1538),"")</f>
        <v>80434259.25</v>
      </c>
      <c r="AA1538" s="48" t="n">
        <f aca="false">IF($U1538=1,$G1538-$H1538,MAX($G1538-$H1538,ABS($G1538-$I1537),ABS($H1538-$I1537)))</f>
        <v>23</v>
      </c>
      <c r="AB1538" s="48" t="n">
        <f aca="false">IF($U1538&gt;=ATR_PER,AVERAGE(INDEX($AA$1418:$AA1538,122-ATR_PER):$AA1538),"")</f>
        <v>59.7857142857143</v>
      </c>
      <c r="AC1538" s="48" t="n">
        <f aca="false">$O1538-$P1538</f>
        <v>1840346</v>
      </c>
      <c r="AD1538" s="48" t="n">
        <f aca="false">$AC1538*$I1538</f>
        <v>3432245290</v>
      </c>
      <c r="AE1538" s="49" t="n">
        <f aca="false">IF($Q1538&gt;0,$O1538*$I1538/$Q1538/1000000,"")</f>
        <v>98.5015650145985</v>
      </c>
      <c r="AF1538" s="49" t="n">
        <f aca="false">IF($R1538&gt;0,$P1538*$I1538/$R1538/1000000,"")</f>
        <v>125.571228911765</v>
      </c>
      <c r="AG1538" s="50" t="n">
        <f aca="false">IF(AND(ISNUMBER($AE1538),ISNUMBER($AF1538),$AF1538&gt;0),$AE1538/$AF1538,"")</f>
        <v>0.784427817329181</v>
      </c>
      <c r="AH1538" s="48" t="n">
        <f aca="false">IF($U1538&gt;=5,SUM(INDEX($AD$1508:$AD1538,32-5):$AD1538),"")</f>
        <v>-15440408559</v>
      </c>
      <c r="AI1538" s="48" t="n">
        <f aca="false">IF($U1538&gt;=STRUCT_S,MAX(INDEX($G$1388:$G1538,152-STRUCT_S):$G1538),"")</f>
        <v>1940</v>
      </c>
      <c r="AJ1538" s="48" t="n">
        <f aca="false">IF($U1538&gt;=STRUCT_S,MIN(INDEX($H$1388:$H1538,152-STRUCT_S):$H1538),"")</f>
        <v>1511</v>
      </c>
      <c r="AK1538" s="48" t="n">
        <f aca="false">IF($U1538&gt;=STRUCT_L,MAX(INDEX($G$1288:$G1538,252-STRUCT_L):$G1538),"")</f>
        <v>1940</v>
      </c>
      <c r="AL1538" s="48" t="n">
        <f aca="false">IF($U1538&gt;=STRUCT_L,MIN(INDEX($H$1288:$H1538,252-STRUCT_L):$H1538),"")</f>
        <v>1447</v>
      </c>
      <c r="AM1538" s="46" t="n">
        <f aca="false">IF($A1538&lt;&gt;$A1539,1,0)</f>
        <v>0</v>
      </c>
      <c r="AN1538" s="47" t="str">
        <f aca="false">IF($AM1538=1,$A1538,"")</f>
        <v/>
      </c>
    </row>
    <row r="1539" customFormat="false" ht="15" hidden="false" customHeight="false" outlineLevel="0" collapsed="false">
      <c r="A1539" s="43" t="s">
        <v>157</v>
      </c>
      <c r="B1539" s="44" t="s">
        <v>159</v>
      </c>
      <c r="C1539" s="45" t="n">
        <v>46232</v>
      </c>
      <c r="D1539" s="46" t="n">
        <v>20260729</v>
      </c>
      <c r="E1539" s="47" t="s">
        <v>522</v>
      </c>
      <c r="F1539" s="48" t="n">
        <v>1844</v>
      </c>
      <c r="G1539" s="48" t="n">
        <v>1876</v>
      </c>
      <c r="H1539" s="48" t="n">
        <v>1840</v>
      </c>
      <c r="I1539" s="48" t="n">
        <v>1851</v>
      </c>
      <c r="J1539" s="48" t="n">
        <v>1842</v>
      </c>
      <c r="K1539" s="48" t="n">
        <v>1865</v>
      </c>
      <c r="L1539" s="48" t="n">
        <v>70917256</v>
      </c>
      <c r="M1539" s="48" t="n">
        <v>131267840856</v>
      </c>
      <c r="N1539" s="48" t="n">
        <v>1617</v>
      </c>
      <c r="O1539" s="48" t="n">
        <v>35084899</v>
      </c>
      <c r="P1539" s="48" t="n">
        <v>36615461</v>
      </c>
      <c r="Q1539" s="48" t="n">
        <v>809</v>
      </c>
      <c r="R1539" s="48" t="n">
        <v>581</v>
      </c>
      <c r="S1539" s="48" t="n">
        <v>35832357</v>
      </c>
      <c r="T1539" s="48" t="n">
        <v>34301795</v>
      </c>
      <c r="U1539" s="46" t="n">
        <f aca="false">IF($A1539=$A1538,$U1538+1,1)</f>
        <v>235</v>
      </c>
      <c r="V1539" s="48" t="n">
        <f aca="false">IF($U1539&gt;=MA_SHORT,AVERAGE(INDEX($I$1139:$I1539,402-MA_SHORT):$I1539),"")</f>
        <v>1791.35</v>
      </c>
      <c r="W1539" s="48" t="n">
        <f aca="false">IF($U1539&gt;=MA_MED,AVERAGE(INDEX($I$1139:$I1539,402-MA_MED):$I1539),"")</f>
        <v>1653.94</v>
      </c>
      <c r="X1539" s="48" t="n">
        <f aca="false">IF($U1539&gt;=MA_LONG1,AVERAGE(INDEX($I$1139:$I1539,402-MA_LONG1):$I1539),"")</f>
        <v>1682.2</v>
      </c>
      <c r="Y1539" s="48" t="n">
        <f aca="false">IF($U1539&gt;=MA_LONG2,AVERAGE(INDEX($I$1139:$I1539,402-MA_LONG2):$I1539),"")</f>
        <v>1605.27</v>
      </c>
      <c r="Z1539" s="48" t="n">
        <f aca="false">IF($U1539&gt;=MA_SHORT,AVERAGE(INDEX($L$1419:$L1539,122-MA_SHORT):$L1539),"")</f>
        <v>80376797.3</v>
      </c>
      <c r="AA1539" s="48" t="n">
        <f aca="false">IF($U1539=1,$G1539-$H1539,MAX($G1539-$H1539,ABS($G1539-$I1538),ABS($H1539-$I1538)))</f>
        <v>36</v>
      </c>
      <c r="AB1539" s="48" t="n">
        <f aca="false">IF($U1539&gt;=ATR_PER,AVERAGE(INDEX($AA$1419:$AA1539,122-ATR_PER):$AA1539),"")</f>
        <v>58.6428571428571</v>
      </c>
      <c r="AC1539" s="48" t="n">
        <f aca="false">$O1539-$P1539</f>
        <v>-1530562</v>
      </c>
      <c r="AD1539" s="48" t="n">
        <f aca="false">$AC1539*$I1539</f>
        <v>-2833070262</v>
      </c>
      <c r="AE1539" s="49" t="n">
        <f aca="false">IF($Q1539&gt;0,$O1539*$I1539/$Q1539/1000000,"")</f>
        <v>80.2745958578492</v>
      </c>
      <c r="AF1539" s="49" t="n">
        <f aca="false">IF($R1539&gt;0,$P1539*$I1539/$R1539/1000000,"")</f>
        <v>116.652699330465</v>
      </c>
      <c r="AG1539" s="50" t="n">
        <f aca="false">IF(AND(ISNUMBER($AE1539),ISNUMBER($AF1539),$AF1539&gt;0),$AE1539/$AF1539,"")</f>
        <v>0.688150349872657</v>
      </c>
      <c r="AH1539" s="48" t="n">
        <f aca="false">IF($U1539&gt;=5,SUM(INDEX($AD$1509:$AD1539,32-5):$AD1539),"")</f>
        <v>-1200085899</v>
      </c>
      <c r="AI1539" s="48" t="n">
        <f aca="false">IF($U1539&gt;=STRUCT_S,MAX(INDEX($G$1389:$G1539,152-STRUCT_S):$G1539),"")</f>
        <v>1940</v>
      </c>
      <c r="AJ1539" s="48" t="n">
        <f aca="false">IF($U1539&gt;=STRUCT_S,MIN(INDEX($H$1389:$H1539,152-STRUCT_S):$H1539),"")</f>
        <v>1511</v>
      </c>
      <c r="AK1539" s="48" t="n">
        <f aca="false">IF($U1539&gt;=STRUCT_L,MAX(INDEX($G$1289:$G1539,252-STRUCT_L):$G1539),"")</f>
        <v>1940</v>
      </c>
      <c r="AL1539" s="48" t="n">
        <f aca="false">IF($U1539&gt;=STRUCT_L,MIN(INDEX($H$1289:$H1539,252-STRUCT_L):$H1539),"")</f>
        <v>1447</v>
      </c>
      <c r="AM1539" s="46" t="n">
        <f aca="false">IF($A1539&lt;&gt;$A1540,1,0)</f>
        <v>0</v>
      </c>
      <c r="AN1539" s="47" t="str">
        <f aca="false">IF($AM1539=1,$A1539,"")</f>
        <v/>
      </c>
    </row>
    <row r="1540" customFormat="false" ht="15" hidden="false" customHeight="false" outlineLevel="0" collapsed="false">
      <c r="A1540" s="43" t="s">
        <v>157</v>
      </c>
      <c r="B1540" s="44" t="s">
        <v>159</v>
      </c>
      <c r="C1540" s="45" t="n">
        <v>46235</v>
      </c>
      <c r="D1540" s="46" t="n">
        <v>20260801</v>
      </c>
      <c r="E1540" s="47" t="s">
        <v>523</v>
      </c>
      <c r="F1540" s="48" t="n">
        <v>1851</v>
      </c>
      <c r="G1540" s="48" t="n">
        <v>1912</v>
      </c>
      <c r="H1540" s="48" t="n">
        <v>1845</v>
      </c>
      <c r="I1540" s="48" t="n">
        <v>1906</v>
      </c>
      <c r="J1540" s="48" t="n">
        <v>1904</v>
      </c>
      <c r="K1540" s="48" t="n">
        <v>1851</v>
      </c>
      <c r="L1540" s="48" t="n">
        <v>197842748</v>
      </c>
      <c r="M1540" s="48" t="n">
        <v>377088277688</v>
      </c>
      <c r="N1540" s="48" t="n">
        <v>5753</v>
      </c>
      <c r="O1540" s="48" t="n">
        <v>117375599</v>
      </c>
      <c r="P1540" s="48" t="n">
        <v>68723029</v>
      </c>
      <c r="Q1540" s="48" t="n">
        <v>2066</v>
      </c>
      <c r="R1540" s="48" t="n">
        <v>2209</v>
      </c>
      <c r="S1540" s="48" t="n">
        <v>80467149</v>
      </c>
      <c r="T1540" s="48" t="n">
        <v>129119719</v>
      </c>
      <c r="U1540" s="46" t="n">
        <f aca="false">IF($A1540=$A1539,$U1539+1,1)</f>
        <v>236</v>
      </c>
      <c r="V1540" s="48" t="n">
        <f aca="false">IF($U1540&gt;=MA_SHORT,AVERAGE(INDEX($I$1140:$I1540,402-MA_SHORT):$I1540),"")</f>
        <v>1806.95</v>
      </c>
      <c r="W1540" s="48" t="n">
        <f aca="false">IF($U1540&gt;=MA_MED,AVERAGE(INDEX($I$1140:$I1540,402-MA_MED):$I1540),"")</f>
        <v>1660.36</v>
      </c>
      <c r="X1540" s="48" t="n">
        <f aca="false">IF($U1540&gt;=MA_LONG1,AVERAGE(INDEX($I$1140:$I1540,402-MA_LONG1):$I1540),"")</f>
        <v>1683.83</v>
      </c>
      <c r="Y1540" s="48" t="n">
        <f aca="false">IF($U1540&gt;=MA_LONG2,AVERAGE(INDEX($I$1140:$I1540,402-MA_LONG2):$I1540),"")</f>
        <v>1607.415</v>
      </c>
      <c r="Z1540" s="48" t="n">
        <f aca="false">IF($U1540&gt;=MA_SHORT,AVERAGE(INDEX($L$1420:$L1540,122-MA_SHORT):$L1540),"")</f>
        <v>86498649.85</v>
      </c>
      <c r="AA1540" s="48" t="n">
        <f aca="false">IF($U1540=1,$G1540-$H1540,MAX($G1540-$H1540,ABS($G1540-$I1539),ABS($H1540-$I1539)))</f>
        <v>67</v>
      </c>
      <c r="AB1540" s="48" t="n">
        <f aca="false">IF($U1540&gt;=ATR_PER,AVERAGE(INDEX($AA$1420:$AA1540,122-ATR_PER):$AA1540),"")</f>
        <v>61.2857142857143</v>
      </c>
      <c r="AC1540" s="48" t="n">
        <f aca="false">$O1540-$P1540</f>
        <v>48652570</v>
      </c>
      <c r="AD1540" s="48" t="n">
        <f aca="false">$AC1540*$I1540</f>
        <v>92731798420</v>
      </c>
      <c r="AE1540" s="49" t="n">
        <f aca="false">IF($Q1540&gt;0,$O1540*$I1540/$Q1540/1000000,"")</f>
        <v>108.285523569216</v>
      </c>
      <c r="AF1540" s="49" t="n">
        <f aca="false">IF($R1540&gt;0,$P1540*$I1540/$R1540/1000000,"")</f>
        <v>59.2965564843821</v>
      </c>
      <c r="AG1540" s="50" t="n">
        <f aca="false">IF(AND(ISNUMBER($AE1540),ISNUMBER($AF1540),$AF1540&gt;0),$AE1540/$AF1540,"")</f>
        <v>1.82616883659571</v>
      </c>
      <c r="AH1540" s="48" t="n">
        <f aca="false">IF($U1540&gt;=5,SUM(INDEX($AD$1510:$AD1540,32-5):$AD1540),"")</f>
        <v>77724513857</v>
      </c>
      <c r="AI1540" s="48" t="n">
        <f aca="false">IF($U1540&gt;=STRUCT_S,MAX(INDEX($G$1390:$G1540,152-STRUCT_S):$G1540),"")</f>
        <v>1940</v>
      </c>
      <c r="AJ1540" s="48" t="n">
        <f aca="false">IF($U1540&gt;=STRUCT_S,MIN(INDEX($H$1390:$H1540,152-STRUCT_S):$H1540),"")</f>
        <v>1545</v>
      </c>
      <c r="AK1540" s="48" t="n">
        <f aca="false">IF($U1540&gt;=STRUCT_L,MAX(INDEX($G$1290:$G1540,252-STRUCT_L):$G1540),"")</f>
        <v>1940</v>
      </c>
      <c r="AL1540" s="48" t="n">
        <f aca="false">IF($U1540&gt;=STRUCT_L,MIN(INDEX($H$1290:$H1540,252-STRUCT_L):$H1540),"")</f>
        <v>1447</v>
      </c>
      <c r="AM1540" s="46" t="n">
        <f aca="false">IF($A1540&lt;&gt;$A1541,1,0)</f>
        <v>0</v>
      </c>
      <c r="AN1540" s="47" t="str">
        <f aca="false">IF($AM1540=1,$A1540,"")</f>
        <v/>
      </c>
    </row>
    <row r="1541" customFormat="false" ht="15" hidden="false" customHeight="false" outlineLevel="0" collapsed="false">
      <c r="A1541" s="43" t="s">
        <v>157</v>
      </c>
      <c r="B1541" s="44" t="s">
        <v>159</v>
      </c>
      <c r="C1541" s="45" t="n">
        <v>46236</v>
      </c>
      <c r="D1541" s="46" t="n">
        <v>20260802</v>
      </c>
      <c r="E1541" s="47" t="s">
        <v>524</v>
      </c>
      <c r="F1541" s="48" t="n">
        <v>1889</v>
      </c>
      <c r="G1541" s="48" t="n">
        <v>1923</v>
      </c>
      <c r="H1541" s="48" t="n">
        <v>1848</v>
      </c>
      <c r="I1541" s="48" t="n">
        <v>1865</v>
      </c>
      <c r="J1541" s="48" t="n">
        <v>1869</v>
      </c>
      <c r="K1541" s="48" t="n">
        <v>1906</v>
      </c>
      <c r="L1541" s="48" t="n">
        <v>82733631</v>
      </c>
      <c r="M1541" s="48" t="n">
        <v>154298221815</v>
      </c>
      <c r="N1541" s="48" t="n">
        <v>1973</v>
      </c>
      <c r="O1541" s="48" t="n">
        <v>33632356</v>
      </c>
      <c r="P1541" s="48" t="n">
        <v>46381102</v>
      </c>
      <c r="Q1541" s="48" t="n">
        <v>1092</v>
      </c>
      <c r="R1541" s="48" t="n">
        <v>1053</v>
      </c>
      <c r="S1541" s="48" t="n">
        <v>49101275</v>
      </c>
      <c r="T1541" s="48" t="n">
        <v>36352529</v>
      </c>
      <c r="U1541" s="46" t="n">
        <f aca="false">IF($A1541=$A1540,$U1540+1,1)</f>
        <v>237</v>
      </c>
      <c r="V1541" s="48" t="n">
        <f aca="false">IF($U1541&gt;=MA_SHORT,AVERAGE(INDEX($I$1141:$I1541,402-MA_SHORT):$I1541),"")</f>
        <v>1821.25</v>
      </c>
      <c r="W1541" s="48" t="n">
        <f aca="false">IF($U1541&gt;=MA_MED,AVERAGE(INDEX($I$1141:$I1541,402-MA_MED):$I1541),"")</f>
        <v>1666</v>
      </c>
      <c r="X1541" s="48" t="n">
        <f aca="false">IF($U1541&gt;=MA_LONG1,AVERAGE(INDEX($I$1141:$I1541,402-MA_LONG1):$I1541),"")</f>
        <v>1685.43</v>
      </c>
      <c r="Y1541" s="48" t="n">
        <f aca="false">IF($U1541&gt;=MA_LONG2,AVERAGE(INDEX($I$1141:$I1541,402-MA_LONG2):$I1541),"")</f>
        <v>1609.075</v>
      </c>
      <c r="Z1541" s="48" t="n">
        <f aca="false">IF($U1541&gt;=MA_SHORT,AVERAGE(INDEX($L$1421:$L1541,122-MA_SHORT):$L1541),"")</f>
        <v>85747821.2</v>
      </c>
      <c r="AA1541" s="48" t="n">
        <f aca="false">IF($U1541=1,$G1541-$H1541,MAX($G1541-$H1541,ABS($G1541-$I1540),ABS($H1541-$I1540)))</f>
        <v>75</v>
      </c>
      <c r="AB1541" s="48" t="n">
        <f aca="false">IF($U1541&gt;=ATR_PER,AVERAGE(INDEX($AA$1421:$AA1541,122-ATR_PER):$AA1541),"")</f>
        <v>65</v>
      </c>
      <c r="AC1541" s="48" t="n">
        <f aca="false">$O1541-$P1541</f>
        <v>-12748746</v>
      </c>
      <c r="AD1541" s="48" t="n">
        <f aca="false">$AC1541*$I1541</f>
        <v>-23776411290</v>
      </c>
      <c r="AE1541" s="49" t="n">
        <f aca="false">IF($Q1541&gt;0,$O1541*$I1541/$Q1541/1000000,"")</f>
        <v>57.4398754029304</v>
      </c>
      <c r="AF1541" s="49" t="n">
        <f aca="false">IF($R1541&gt;0,$P1541*$I1541/$R1541/1000000,"")</f>
        <v>82.1469660303894</v>
      </c>
      <c r="AG1541" s="50" t="n">
        <f aca="false">IF(AND(ISNUMBER($AE1541),ISNUMBER($AF1541),$AF1541&gt;0),$AE1541/$AF1541,"")</f>
        <v>0.69923307187853</v>
      </c>
      <c r="AH1541" s="48" t="n">
        <f aca="false">IF($U1541&gt;=5,SUM(INDEX($AD$1511:$AD1541,32-5):$AD1541),"")</f>
        <v>48903759844</v>
      </c>
      <c r="AI1541" s="48" t="n">
        <f aca="false">IF($U1541&gt;=STRUCT_S,MAX(INDEX($G$1391:$G1541,152-STRUCT_S):$G1541),"")</f>
        <v>1940</v>
      </c>
      <c r="AJ1541" s="48" t="n">
        <f aca="false">IF($U1541&gt;=STRUCT_S,MIN(INDEX($H$1391:$H1541,152-STRUCT_S):$H1541),"")</f>
        <v>1569</v>
      </c>
      <c r="AK1541" s="48" t="n">
        <f aca="false">IF($U1541&gt;=STRUCT_L,MAX(INDEX($G$1291:$G1541,252-STRUCT_L):$G1541),"")</f>
        <v>1940</v>
      </c>
      <c r="AL1541" s="48" t="n">
        <f aca="false">IF($U1541&gt;=STRUCT_L,MIN(INDEX($H$1291:$H1541,252-STRUCT_L):$H1541),"")</f>
        <v>1447</v>
      </c>
      <c r="AM1541" s="46" t="n">
        <f aca="false">IF($A1541&lt;&gt;$A1542,1,0)</f>
        <v>0</v>
      </c>
      <c r="AN1541" s="47" t="str">
        <f aca="false">IF($AM1541=1,$A1541,"")</f>
        <v/>
      </c>
    </row>
    <row r="1542" customFormat="false" ht="15" hidden="false" customHeight="false" outlineLevel="0" collapsed="false">
      <c r="A1542" s="43" t="s">
        <v>157</v>
      </c>
      <c r="B1542" s="44" t="s">
        <v>159</v>
      </c>
      <c r="C1542" s="45" t="n">
        <v>46237</v>
      </c>
      <c r="D1542" s="46" t="n">
        <v>20260803</v>
      </c>
      <c r="E1542" s="47" t="s">
        <v>525</v>
      </c>
      <c r="F1542" s="48" t="n">
        <v>1901</v>
      </c>
      <c r="G1542" s="48" t="n">
        <v>1907</v>
      </c>
      <c r="H1542" s="48" t="n">
        <v>1851</v>
      </c>
      <c r="I1542" s="48" t="n">
        <v>1893</v>
      </c>
      <c r="J1542" s="48" t="n">
        <v>1885</v>
      </c>
      <c r="K1542" s="48" t="n">
        <v>1865</v>
      </c>
      <c r="L1542" s="48" t="n">
        <v>83123106</v>
      </c>
      <c r="M1542" s="48" t="n">
        <v>157352039658</v>
      </c>
      <c r="N1542" s="48" t="n">
        <v>2689</v>
      </c>
      <c r="O1542" s="48" t="n">
        <v>44846065</v>
      </c>
      <c r="P1542" s="48" t="n">
        <v>39947044</v>
      </c>
      <c r="Q1542" s="48" t="n">
        <v>794</v>
      </c>
      <c r="R1542" s="48" t="n">
        <v>863</v>
      </c>
      <c r="S1542" s="48" t="n">
        <v>38277041</v>
      </c>
      <c r="T1542" s="48" t="n">
        <v>43176062</v>
      </c>
      <c r="U1542" s="46" t="n">
        <f aca="false">IF($A1542=$A1541,$U1541+1,1)</f>
        <v>238</v>
      </c>
      <c r="V1542" s="48" t="n">
        <f aca="false">IF($U1542&gt;=MA_SHORT,AVERAGE(INDEX($I$1142:$I1542,402-MA_SHORT):$I1542),"")</f>
        <v>1833.1</v>
      </c>
      <c r="W1542" s="48" t="n">
        <f aca="false">IF($U1542&gt;=MA_MED,AVERAGE(INDEX($I$1142:$I1542,402-MA_MED):$I1542),"")</f>
        <v>1671.86</v>
      </c>
      <c r="X1542" s="48" t="n">
        <f aca="false">IF($U1542&gt;=MA_LONG1,AVERAGE(INDEX($I$1142:$I1542,402-MA_LONG1):$I1542),"")</f>
        <v>1687.25</v>
      </c>
      <c r="Y1542" s="48" t="n">
        <f aca="false">IF($U1542&gt;=MA_LONG2,AVERAGE(INDEX($I$1142:$I1542,402-MA_LONG2):$I1542),"")</f>
        <v>1610.78</v>
      </c>
      <c r="Z1542" s="48" t="n">
        <f aca="false">IF($U1542&gt;=MA_SHORT,AVERAGE(INDEX($L$1422:$L1542,122-MA_SHORT):$L1542),"")</f>
        <v>85518166.65</v>
      </c>
      <c r="AA1542" s="48" t="n">
        <f aca="false">IF($U1542=1,$G1542-$H1542,MAX($G1542-$H1542,ABS($G1542-$I1541),ABS($H1542-$I1541)))</f>
        <v>56</v>
      </c>
      <c r="AB1542" s="48" t="n">
        <f aca="false">IF($U1542&gt;=ATR_PER,AVERAGE(INDEX($AA$1422:$AA1542,122-ATR_PER):$AA1542),"")</f>
        <v>62.4285714285714</v>
      </c>
      <c r="AC1542" s="48" t="n">
        <f aca="false">$O1542-$P1542</f>
        <v>4899021</v>
      </c>
      <c r="AD1542" s="48" t="n">
        <f aca="false">$AC1542*$I1542</f>
        <v>9273846753</v>
      </c>
      <c r="AE1542" s="49" t="n">
        <f aca="false">IF($Q1542&gt;0,$O1542*$I1542/$Q1542/1000000,"")</f>
        <v>106.918893003778</v>
      </c>
      <c r="AF1542" s="49" t="n">
        <f aca="false">IF($R1542&gt;0,$P1542*$I1542/$R1542/1000000,"")</f>
        <v>87.6242807555041</v>
      </c>
      <c r="AG1542" s="50" t="n">
        <f aca="false">IF(AND(ISNUMBER($AE1542),ISNUMBER($AF1542),$AF1542&gt;0),$AE1542/$AF1542,"")</f>
        <v>1.22019709699086</v>
      </c>
      <c r="AH1542" s="48" t="n">
        <f aca="false">IF($U1542&gt;=5,SUM(INDEX($AD$1512:$AD1542,32-5):$AD1542),"")</f>
        <v>78828408911</v>
      </c>
      <c r="AI1542" s="48" t="n">
        <f aca="false">IF($U1542&gt;=STRUCT_S,MAX(INDEX($G$1392:$G1542,152-STRUCT_S):$G1542),"")</f>
        <v>1940</v>
      </c>
      <c r="AJ1542" s="48" t="n">
        <f aca="false">IF($U1542&gt;=STRUCT_S,MIN(INDEX($H$1392:$H1542,152-STRUCT_S):$H1542),"")</f>
        <v>1650</v>
      </c>
      <c r="AK1542" s="48" t="n">
        <f aca="false">IF($U1542&gt;=STRUCT_L,MAX(INDEX($G$1292:$G1542,252-STRUCT_L):$G1542),"")</f>
        <v>1940</v>
      </c>
      <c r="AL1542" s="48" t="n">
        <f aca="false">IF($U1542&gt;=STRUCT_L,MIN(INDEX($H$1292:$H1542,252-STRUCT_L):$H1542),"")</f>
        <v>1447</v>
      </c>
      <c r="AM1542" s="46" t="n">
        <f aca="false">IF($A1542&lt;&gt;$A1543,1,0)</f>
        <v>0</v>
      </c>
      <c r="AN1542" s="47" t="str">
        <f aca="false">IF($AM1542=1,$A1542,"")</f>
        <v/>
      </c>
    </row>
    <row r="1543" customFormat="false" ht="15" hidden="false" customHeight="false" outlineLevel="0" collapsed="false">
      <c r="A1543" s="43" t="s">
        <v>157</v>
      </c>
      <c r="B1543" s="44" t="s">
        <v>159</v>
      </c>
      <c r="C1543" s="45" t="n">
        <v>46238</v>
      </c>
      <c r="D1543" s="46" t="n">
        <v>20260804</v>
      </c>
      <c r="E1543" s="47" t="s">
        <v>526</v>
      </c>
      <c r="F1543" s="48" t="n">
        <v>1855</v>
      </c>
      <c r="G1543" s="48" t="n">
        <v>1979</v>
      </c>
      <c r="H1543" s="48" t="n">
        <v>1841</v>
      </c>
      <c r="I1543" s="48" t="n">
        <v>1926</v>
      </c>
      <c r="J1543" s="48" t="n">
        <v>1909</v>
      </c>
      <c r="K1543" s="48" t="n">
        <v>1893</v>
      </c>
      <c r="L1543" s="48" t="n">
        <v>124543755</v>
      </c>
      <c r="M1543" s="48" t="n">
        <v>239871272130</v>
      </c>
      <c r="N1543" s="48" t="n">
        <v>3375</v>
      </c>
      <c r="O1543" s="48" t="n">
        <v>76983780</v>
      </c>
      <c r="P1543" s="48" t="n">
        <v>52244358</v>
      </c>
      <c r="Q1543" s="48" t="n">
        <v>1262</v>
      </c>
      <c r="R1543" s="48" t="n">
        <v>1677</v>
      </c>
      <c r="S1543" s="48" t="n">
        <v>47559975</v>
      </c>
      <c r="T1543" s="48" t="n">
        <v>72299397</v>
      </c>
      <c r="U1543" s="46" t="n">
        <f aca="false">IF($A1543=$A1542,$U1542+1,1)</f>
        <v>239</v>
      </c>
      <c r="V1543" s="48" t="n">
        <f aca="false">IF($U1543&gt;=MA_SHORT,AVERAGE(INDEX($I$1143:$I1543,402-MA_SHORT):$I1543),"")</f>
        <v>1842.9</v>
      </c>
      <c r="W1543" s="48" t="n">
        <f aca="false">IF($U1543&gt;=MA_MED,AVERAGE(INDEX($I$1143:$I1543,402-MA_MED):$I1543),"")</f>
        <v>1677.46</v>
      </c>
      <c r="X1543" s="48" t="n">
        <f aca="false">IF($U1543&gt;=MA_LONG1,AVERAGE(INDEX($I$1143:$I1543,402-MA_LONG1):$I1543),"")</f>
        <v>1688.59</v>
      </c>
      <c r="Y1543" s="48" t="n">
        <f aca="false">IF($U1543&gt;=MA_LONG2,AVERAGE(INDEX($I$1143:$I1543,402-MA_LONG2):$I1543),"")</f>
        <v>1612.73</v>
      </c>
      <c r="Z1543" s="48" t="n">
        <f aca="false">IF($U1543&gt;=MA_SHORT,AVERAGE(INDEX($L$1423:$L1543,122-MA_SHORT):$L1543),"")</f>
        <v>87055657.55</v>
      </c>
      <c r="AA1543" s="48" t="n">
        <f aca="false">IF($U1543=1,$G1543-$H1543,MAX($G1543-$H1543,ABS($G1543-$I1542),ABS($H1543-$I1542)))</f>
        <v>138</v>
      </c>
      <c r="AB1543" s="48" t="n">
        <f aca="false">IF($U1543&gt;=ATR_PER,AVERAGE(INDEX($AA$1423:$AA1543,122-ATR_PER):$AA1543),"")</f>
        <v>61.9285714285714</v>
      </c>
      <c r="AC1543" s="48" t="n">
        <f aca="false">$O1543-$P1543</f>
        <v>24739422</v>
      </c>
      <c r="AD1543" s="48" t="n">
        <f aca="false">$AC1543*$I1543</f>
        <v>47648126772</v>
      </c>
      <c r="AE1543" s="49" t="n">
        <f aca="false">IF($Q1543&gt;0,$O1543*$I1543/$Q1543/1000000,"")</f>
        <v>117.488716545166</v>
      </c>
      <c r="AF1543" s="49" t="n">
        <f aca="false">IF($R1543&gt;0,$P1543*$I1543/$R1543/1000000,"")</f>
        <v>60.0015703685152</v>
      </c>
      <c r="AG1543" s="50" t="n">
        <f aca="false">IF(AND(ISNUMBER($AE1543),ISNUMBER($AF1543),$AF1543&gt;0),$AE1543/$AF1543,"")</f>
        <v>1.95809402693261</v>
      </c>
      <c r="AH1543" s="48" t="n">
        <f aca="false">IF($U1543&gt;=5,SUM(INDEX($AD$1513:$AD1543,32-5):$AD1543),"")</f>
        <v>123044290393</v>
      </c>
      <c r="AI1543" s="48" t="n">
        <f aca="false">IF($U1543&gt;=STRUCT_S,MAX(INDEX($G$1393:$G1543,152-STRUCT_S):$G1543),"")</f>
        <v>1979</v>
      </c>
      <c r="AJ1543" s="48" t="n">
        <f aca="false">IF($U1543&gt;=STRUCT_S,MIN(INDEX($H$1393:$H1543,152-STRUCT_S):$H1543),"")</f>
        <v>1690</v>
      </c>
      <c r="AK1543" s="48" t="n">
        <f aca="false">IF($U1543&gt;=STRUCT_L,MAX(INDEX($G$1293:$G1543,252-STRUCT_L):$G1543),"")</f>
        <v>1979</v>
      </c>
      <c r="AL1543" s="48" t="n">
        <f aca="false">IF($U1543&gt;=STRUCT_L,MIN(INDEX($H$1293:$H1543,252-STRUCT_L):$H1543),"")</f>
        <v>1447</v>
      </c>
      <c r="AM1543" s="46" t="n">
        <f aca="false">IF($A1543&lt;&gt;$A1544,1,0)</f>
        <v>0</v>
      </c>
      <c r="AN1543" s="47" t="str">
        <f aca="false">IF($AM1543=1,$A1543,"")</f>
        <v/>
      </c>
    </row>
    <row r="1544" customFormat="false" ht="15" hidden="false" customHeight="false" outlineLevel="0" collapsed="false">
      <c r="A1544" s="43" t="s">
        <v>157</v>
      </c>
      <c r="B1544" s="44" t="s">
        <v>159</v>
      </c>
      <c r="C1544" s="45" t="n">
        <v>46239</v>
      </c>
      <c r="D1544" s="46" t="n">
        <v>20260805</v>
      </c>
      <c r="E1544" s="47" t="s">
        <v>527</v>
      </c>
      <c r="F1544" s="48" t="n">
        <v>1906</v>
      </c>
      <c r="G1544" s="48" t="n">
        <v>1974</v>
      </c>
      <c r="H1544" s="48" t="n">
        <v>1900</v>
      </c>
      <c r="I1544" s="48" t="n">
        <v>1948</v>
      </c>
      <c r="J1544" s="48" t="n">
        <v>1935</v>
      </c>
      <c r="K1544" s="48" t="n">
        <v>1926</v>
      </c>
      <c r="L1544" s="48" t="n">
        <v>73656795</v>
      </c>
      <c r="M1544" s="48" t="n">
        <v>143483436660</v>
      </c>
      <c r="N1544" s="48" t="n">
        <v>3011</v>
      </c>
      <c r="O1544" s="48" t="n">
        <v>41837170</v>
      </c>
      <c r="P1544" s="48" t="n">
        <v>35570809</v>
      </c>
      <c r="Q1544" s="48" t="n">
        <v>1255</v>
      </c>
      <c r="R1544" s="48" t="n">
        <v>1277</v>
      </c>
      <c r="S1544" s="48" t="n">
        <v>31819625</v>
      </c>
      <c r="T1544" s="48" t="n">
        <v>38085986</v>
      </c>
      <c r="U1544" s="46" t="n">
        <f aca="false">IF($A1544=$A1543,$U1543+1,1)</f>
        <v>240</v>
      </c>
      <c r="V1544" s="48" t="n">
        <f aca="false">IF($U1544&gt;=MA_SHORT,AVERAGE(INDEX($I$1144:$I1544,402-MA_SHORT):$I1544),"")</f>
        <v>1852.9</v>
      </c>
      <c r="W1544" s="48" t="n">
        <f aca="false">IF($U1544&gt;=MA_MED,AVERAGE(INDEX($I$1144:$I1544,402-MA_MED):$I1544),"")</f>
        <v>1683.32</v>
      </c>
      <c r="X1544" s="48" t="n">
        <f aca="false">IF($U1544&gt;=MA_LONG1,AVERAGE(INDEX($I$1144:$I1544,402-MA_LONG1):$I1544),"")</f>
        <v>1689.86</v>
      </c>
      <c r="Y1544" s="48" t="n">
        <f aca="false">IF($U1544&gt;=MA_LONG2,AVERAGE(INDEX($I$1144:$I1544,402-MA_LONG2):$I1544),"")</f>
        <v>1614.885</v>
      </c>
      <c r="Z1544" s="48" t="n">
        <f aca="false">IF($U1544&gt;=MA_SHORT,AVERAGE(INDEX($L$1424:$L1544,122-MA_SHORT):$L1544),"")</f>
        <v>87133637.95</v>
      </c>
      <c r="AA1544" s="48" t="n">
        <f aca="false">IF($U1544=1,$G1544-$H1544,MAX($G1544-$H1544,ABS($G1544-$I1543),ABS($H1544-$I1543)))</f>
        <v>74</v>
      </c>
      <c r="AB1544" s="48" t="n">
        <f aca="false">IF($U1544&gt;=ATR_PER,AVERAGE(INDEX($AA$1424:$AA1544,122-ATR_PER):$AA1544),"")</f>
        <v>61.8571428571429</v>
      </c>
      <c r="AC1544" s="48" t="n">
        <f aca="false">$O1544-$P1544</f>
        <v>6266361</v>
      </c>
      <c r="AD1544" s="48" t="n">
        <f aca="false">$AC1544*$I1544</f>
        <v>12206871228</v>
      </c>
      <c r="AE1544" s="49" t="n">
        <f aca="false">IF($Q1544&gt;0,$O1544*$I1544/$Q1544/1000000,"")</f>
        <v>64.9392885737052</v>
      </c>
      <c r="AF1544" s="49" t="n">
        <f aca="false">IF($R1544&gt;0,$P1544*$I1544/$R1544/1000000,"")</f>
        <v>54.2615003382929</v>
      </c>
      <c r="AG1544" s="50" t="n">
        <f aca="false">IF(AND(ISNUMBER($AE1544),ISNUMBER($AF1544),$AF1544&gt;0),$AE1544/$AF1544,"")</f>
        <v>1.19678387381185</v>
      </c>
      <c r="AH1544" s="48" t="n">
        <f aca="false">IF($U1544&gt;=5,SUM(INDEX($AD$1514:$AD1544,32-5):$AD1544),"")</f>
        <v>138084231883</v>
      </c>
      <c r="AI1544" s="48" t="n">
        <f aca="false">IF($U1544&gt;=STRUCT_S,MAX(INDEX($G$1394:$G1544,152-STRUCT_S):$G1544),"")</f>
        <v>1979</v>
      </c>
      <c r="AJ1544" s="48" t="n">
        <f aca="false">IF($U1544&gt;=STRUCT_S,MIN(INDEX($H$1394:$H1544,152-STRUCT_S):$H1544),"")</f>
        <v>1690</v>
      </c>
      <c r="AK1544" s="48" t="n">
        <f aca="false">IF($U1544&gt;=STRUCT_L,MAX(INDEX($G$1294:$G1544,252-STRUCT_L):$G1544),"")</f>
        <v>1979</v>
      </c>
      <c r="AL1544" s="48" t="n">
        <f aca="false">IF($U1544&gt;=STRUCT_L,MIN(INDEX($H$1294:$H1544,252-STRUCT_L):$H1544),"")</f>
        <v>1447</v>
      </c>
      <c r="AM1544" s="46" t="n">
        <f aca="false">IF($A1544&lt;&gt;$A1545,1,0)</f>
        <v>0</v>
      </c>
      <c r="AN1544" s="47" t="str">
        <f aca="false">IF($AM1544=1,$A1544,"")</f>
        <v/>
      </c>
    </row>
    <row r="1545" customFormat="false" ht="15" hidden="false" customHeight="false" outlineLevel="0" collapsed="false">
      <c r="A1545" s="43" t="s">
        <v>157</v>
      </c>
      <c r="B1545" s="44" t="s">
        <v>159</v>
      </c>
      <c r="C1545" s="45" t="n">
        <v>46242</v>
      </c>
      <c r="D1545" s="46" t="n">
        <v>20260808</v>
      </c>
      <c r="E1545" s="47" t="s">
        <v>528</v>
      </c>
      <c r="F1545" s="48" t="n">
        <v>1971</v>
      </c>
      <c r="G1545" s="48" t="n">
        <v>1994</v>
      </c>
      <c r="H1545" s="48" t="n">
        <v>1920</v>
      </c>
      <c r="I1545" s="48" t="n">
        <v>1966</v>
      </c>
      <c r="J1545" s="48" t="n">
        <v>1955</v>
      </c>
      <c r="K1545" s="48" t="n">
        <v>1948</v>
      </c>
      <c r="L1545" s="48" t="n">
        <v>71623094</v>
      </c>
      <c r="M1545" s="48" t="n">
        <v>140811002804</v>
      </c>
      <c r="N1545" s="48" t="n">
        <v>4760</v>
      </c>
      <c r="O1545" s="48" t="n">
        <v>35439264</v>
      </c>
      <c r="P1545" s="48" t="n">
        <v>38468339</v>
      </c>
      <c r="Q1545" s="48" t="n">
        <v>1778</v>
      </c>
      <c r="R1545" s="48" t="n">
        <v>1487</v>
      </c>
      <c r="S1545" s="48" t="n">
        <v>36183830</v>
      </c>
      <c r="T1545" s="48" t="n">
        <v>33154755</v>
      </c>
      <c r="U1545" s="46" t="n">
        <f aca="false">IF($A1545=$A1544,$U1544+1,1)</f>
        <v>241</v>
      </c>
      <c r="V1545" s="48" t="n">
        <f aca="false">IF($U1545&gt;=MA_SHORT,AVERAGE(INDEX($I$1145:$I1545,402-MA_SHORT):$I1545),"")</f>
        <v>1864.2</v>
      </c>
      <c r="W1545" s="48" t="n">
        <f aca="false">IF($U1545&gt;=MA_MED,AVERAGE(INDEX($I$1145:$I1545,402-MA_MED):$I1545),"")</f>
        <v>1690.66</v>
      </c>
      <c r="X1545" s="48" t="n">
        <f aca="false">IF($U1545&gt;=MA_LONG1,AVERAGE(INDEX($I$1145:$I1545,402-MA_LONG1):$I1545),"")</f>
        <v>1691.24</v>
      </c>
      <c r="Y1545" s="48" t="n">
        <f aca="false">IF($U1545&gt;=MA_LONG2,AVERAGE(INDEX($I$1145:$I1545,402-MA_LONG2):$I1545),"")</f>
        <v>1617.21</v>
      </c>
      <c r="Z1545" s="48" t="n">
        <f aca="false">IF($U1545&gt;=MA_SHORT,AVERAGE(INDEX($L$1425:$L1545,122-MA_SHORT):$L1545),"")</f>
        <v>86787493.4</v>
      </c>
      <c r="AA1545" s="48" t="n">
        <f aca="false">IF($U1545=1,$G1545-$H1545,MAX($G1545-$H1545,ABS($G1545-$I1544),ABS($H1545-$I1544)))</f>
        <v>74</v>
      </c>
      <c r="AB1545" s="48" t="n">
        <f aca="false">IF($U1545&gt;=ATR_PER,AVERAGE(INDEX($AA$1425:$AA1545,122-ATR_PER):$AA1545),"")</f>
        <v>58.7857142857143</v>
      </c>
      <c r="AC1545" s="48" t="n">
        <f aca="false">$O1545-$P1545</f>
        <v>-3029075</v>
      </c>
      <c r="AD1545" s="48" t="n">
        <f aca="false">$AC1545*$I1545</f>
        <v>-5955161450</v>
      </c>
      <c r="AE1545" s="49" t="n">
        <f aca="false">IF($Q1545&gt;0,$O1545*$I1545/$Q1545/1000000,"")</f>
        <v>39.1864977637795</v>
      </c>
      <c r="AF1545" s="49" t="n">
        <f aca="false">IF($R1545&gt;0,$P1545*$I1545/$R1545/1000000,"")</f>
        <v>50.8599559340955</v>
      </c>
      <c r="AG1545" s="50" t="n">
        <f aca="false">IF(AND(ISNUMBER($AE1545),ISNUMBER($AF1545),$AF1545&gt;0),$AE1545/$AF1545,"")</f>
        <v>0.770478405733531</v>
      </c>
      <c r="AH1545" s="48" t="n">
        <f aca="false">IF($U1545&gt;=5,SUM(INDEX($AD$1515:$AD1545,32-5):$AD1545),"")</f>
        <v>39397272013</v>
      </c>
      <c r="AI1545" s="48" t="n">
        <f aca="false">IF($U1545&gt;=STRUCT_S,MAX(INDEX($G$1395:$G1545,152-STRUCT_S):$G1545),"")</f>
        <v>1994</v>
      </c>
      <c r="AJ1545" s="48" t="n">
        <f aca="false">IF($U1545&gt;=STRUCT_S,MIN(INDEX($H$1395:$H1545,152-STRUCT_S):$H1545),"")</f>
        <v>1690</v>
      </c>
      <c r="AK1545" s="48" t="n">
        <f aca="false">IF($U1545&gt;=STRUCT_L,MAX(INDEX($G$1295:$G1545,252-STRUCT_L):$G1545),"")</f>
        <v>1994</v>
      </c>
      <c r="AL1545" s="48" t="n">
        <f aca="false">IF($U1545&gt;=STRUCT_L,MIN(INDEX($H$1295:$H1545,252-STRUCT_L):$H1545),"")</f>
        <v>1447</v>
      </c>
      <c r="AM1545" s="46" t="n">
        <f aca="false">IF($A1545&lt;&gt;$A1546,1,0)</f>
        <v>0</v>
      </c>
      <c r="AN1545" s="47" t="str">
        <f aca="false">IF($AM1545=1,$A1545,"")</f>
        <v/>
      </c>
    </row>
    <row r="1546" customFormat="false" ht="15" hidden="false" customHeight="false" outlineLevel="0" collapsed="false">
      <c r="A1546" s="43" t="s">
        <v>157</v>
      </c>
      <c r="B1546" s="44" t="s">
        <v>159</v>
      </c>
      <c r="C1546" s="45" t="n">
        <v>46243</v>
      </c>
      <c r="D1546" s="46" t="n">
        <v>20260809</v>
      </c>
      <c r="E1546" s="47" t="s">
        <v>529</v>
      </c>
      <c r="F1546" s="48" t="n">
        <v>1960</v>
      </c>
      <c r="G1546" s="48" t="n">
        <v>1977</v>
      </c>
      <c r="H1546" s="48" t="n">
        <v>1913</v>
      </c>
      <c r="I1546" s="48" t="n">
        <v>1924</v>
      </c>
      <c r="J1546" s="48" t="n">
        <v>1953</v>
      </c>
      <c r="K1546" s="48" t="n">
        <v>1966</v>
      </c>
      <c r="L1546" s="48" t="n">
        <v>76559123</v>
      </c>
      <c r="M1546" s="48" t="n">
        <v>147299752652</v>
      </c>
      <c r="N1546" s="48" t="n">
        <v>2916</v>
      </c>
      <c r="O1546" s="48" t="n">
        <v>29135794</v>
      </c>
      <c r="P1546" s="48" t="n">
        <v>41268365</v>
      </c>
      <c r="Q1546" s="48" t="n">
        <v>1571</v>
      </c>
      <c r="R1546" s="48" t="n">
        <v>1152</v>
      </c>
      <c r="S1546" s="48" t="n">
        <v>47423329</v>
      </c>
      <c r="T1546" s="48" t="n">
        <v>35290758</v>
      </c>
      <c r="U1546" s="46" t="n">
        <f aca="false">IF($A1546=$A1545,$U1545+1,1)</f>
        <v>242</v>
      </c>
      <c r="V1546" s="48" t="n">
        <f aca="false">IF($U1546&gt;=MA_SHORT,AVERAGE(INDEX($I$1146:$I1546,402-MA_SHORT):$I1546),"")</f>
        <v>1873.8</v>
      </c>
      <c r="W1546" s="48" t="n">
        <f aca="false">IF($U1546&gt;=MA_MED,AVERAGE(INDEX($I$1146:$I1546,402-MA_MED):$I1546),"")</f>
        <v>1697.62</v>
      </c>
      <c r="X1546" s="48" t="n">
        <f aca="false">IF($U1546&gt;=MA_LONG1,AVERAGE(INDEX($I$1146:$I1546,402-MA_LONG1):$I1546),"")</f>
        <v>1691.94</v>
      </c>
      <c r="Y1546" s="48" t="n">
        <f aca="false">IF($U1546&gt;=MA_LONG2,AVERAGE(INDEX($I$1146:$I1546,402-MA_LONG2):$I1546),"")</f>
        <v>1619.465</v>
      </c>
      <c r="Z1546" s="48" t="n">
        <f aca="false">IF($U1546&gt;=MA_SHORT,AVERAGE(INDEX($L$1426:$L1546,122-MA_SHORT):$L1546),"")</f>
        <v>86829241.15</v>
      </c>
      <c r="AA1546" s="48" t="n">
        <f aca="false">IF($U1546=1,$G1546-$H1546,MAX($G1546-$H1546,ABS($G1546-$I1545),ABS($H1546-$I1545)))</f>
        <v>64</v>
      </c>
      <c r="AB1546" s="48" t="n">
        <f aca="false">IF($U1546&gt;=ATR_PER,AVERAGE(INDEX($AA$1426:$AA1546,122-ATR_PER):$AA1546),"")</f>
        <v>61.2142857142857</v>
      </c>
      <c r="AC1546" s="48" t="n">
        <f aca="false">$O1546-$P1546</f>
        <v>-12132571</v>
      </c>
      <c r="AD1546" s="48" t="n">
        <f aca="false">$AC1546*$I1546</f>
        <v>-23343066604</v>
      </c>
      <c r="AE1546" s="49" t="n">
        <f aca="false">IF($Q1546&gt;0,$O1546*$I1546/$Q1546/1000000,"")</f>
        <v>35.6825382915341</v>
      </c>
      <c r="AF1546" s="49" t="n">
        <f aca="false">IF($R1546&gt;0,$P1546*$I1546/$R1546/1000000,"")</f>
        <v>68.9239012673611</v>
      </c>
      <c r="AG1546" s="50" t="n">
        <f aca="false">IF(AND(ISNUMBER($AE1546),ISNUMBER($AF1546),$AF1546&gt;0),$AE1546/$AF1546,"")</f>
        <v>0.517709207334604</v>
      </c>
      <c r="AH1546" s="48" t="n">
        <f aca="false">IF($U1546&gt;=5,SUM(INDEX($AD$1516:$AD1546,32-5):$AD1546),"")</f>
        <v>39830616699</v>
      </c>
      <c r="AI1546" s="48" t="n">
        <f aca="false">IF($U1546&gt;=STRUCT_S,MAX(INDEX($G$1396:$G1546,152-STRUCT_S):$G1546),"")</f>
        <v>1994</v>
      </c>
      <c r="AJ1546" s="48" t="n">
        <f aca="false">IF($U1546&gt;=STRUCT_S,MIN(INDEX($H$1396:$H1546,152-STRUCT_S):$H1546),"")</f>
        <v>1690</v>
      </c>
      <c r="AK1546" s="48" t="n">
        <f aca="false">IF($U1546&gt;=STRUCT_L,MAX(INDEX($G$1296:$G1546,252-STRUCT_L):$G1546),"")</f>
        <v>1994</v>
      </c>
      <c r="AL1546" s="48" t="n">
        <f aca="false">IF($U1546&gt;=STRUCT_L,MIN(INDEX($H$1296:$H1546,252-STRUCT_L):$H1546),"")</f>
        <v>1447</v>
      </c>
      <c r="AM1546" s="46" t="n">
        <f aca="false">IF($A1546&lt;&gt;$A1547,1,0)</f>
        <v>0</v>
      </c>
      <c r="AN1546" s="47" t="str">
        <f aca="false">IF($AM1546=1,$A1546,"")</f>
        <v/>
      </c>
    </row>
    <row r="1547" customFormat="false" ht="15" hidden="false" customHeight="false" outlineLevel="0" collapsed="false">
      <c r="A1547" s="43" t="s">
        <v>157</v>
      </c>
      <c r="B1547" s="44" t="s">
        <v>159</v>
      </c>
      <c r="C1547" s="45" t="n">
        <v>46244</v>
      </c>
      <c r="D1547" s="46" t="n">
        <v>20260810</v>
      </c>
      <c r="E1547" s="47" t="s">
        <v>530</v>
      </c>
      <c r="F1547" s="48" t="n">
        <v>1915</v>
      </c>
      <c r="G1547" s="48" t="n">
        <v>1975</v>
      </c>
      <c r="H1547" s="48" t="n">
        <v>1910</v>
      </c>
      <c r="I1547" s="48" t="n">
        <v>1961</v>
      </c>
      <c r="J1547" s="48" t="n">
        <v>1972</v>
      </c>
      <c r="K1547" s="48" t="n">
        <v>1924</v>
      </c>
      <c r="L1547" s="48" t="n">
        <v>245245253</v>
      </c>
      <c r="M1547" s="48" t="n">
        <v>480925941133</v>
      </c>
      <c r="N1547" s="48" t="n">
        <v>5580</v>
      </c>
      <c r="O1547" s="48" t="n">
        <v>121757813</v>
      </c>
      <c r="P1547" s="48" t="n">
        <v>139314411</v>
      </c>
      <c r="Q1547" s="48" t="n">
        <v>2172</v>
      </c>
      <c r="R1547" s="48" t="n">
        <v>2553</v>
      </c>
      <c r="S1547" s="48" t="n">
        <v>123487440</v>
      </c>
      <c r="T1547" s="48" t="n">
        <v>105930842</v>
      </c>
      <c r="U1547" s="46" t="n">
        <f aca="false">IF($A1547=$A1546,$U1546+1,1)</f>
        <v>243</v>
      </c>
      <c r="V1547" s="48" t="n">
        <f aca="false">IF($U1547&gt;=MA_SHORT,AVERAGE(INDEX($I$1147:$I1547,402-MA_SHORT):$I1547),"")</f>
        <v>1884.7</v>
      </c>
      <c r="W1547" s="48" t="n">
        <f aca="false">IF($U1547&gt;=MA_MED,AVERAGE(INDEX($I$1147:$I1547,402-MA_MED):$I1547),"")</f>
        <v>1705.4</v>
      </c>
      <c r="X1547" s="48" t="n">
        <f aca="false">IF($U1547&gt;=MA_LONG1,AVERAGE(INDEX($I$1147:$I1547,402-MA_LONG1):$I1547),"")</f>
        <v>1692.82</v>
      </c>
      <c r="Y1547" s="48" t="n">
        <f aca="false">IF($U1547&gt;=MA_LONG2,AVERAGE(INDEX($I$1147:$I1547,402-MA_LONG2):$I1547),"")</f>
        <v>1621.905</v>
      </c>
      <c r="Z1547" s="48" t="n">
        <f aca="false">IF($U1547&gt;=MA_SHORT,AVERAGE(INDEX($L$1427:$L1547,122-MA_SHORT):$L1547),"")</f>
        <v>95569168.3</v>
      </c>
      <c r="AA1547" s="48" t="n">
        <f aca="false">IF($U1547=1,$G1547-$H1547,MAX($G1547-$H1547,ABS($G1547-$I1546),ABS($H1547-$I1546)))</f>
        <v>65</v>
      </c>
      <c r="AB1547" s="48" t="n">
        <f aca="false">IF($U1547&gt;=ATR_PER,AVERAGE(INDEX($AA$1427:$AA1547,122-ATR_PER):$AA1547),"")</f>
        <v>63.5714285714286</v>
      </c>
      <c r="AC1547" s="48" t="n">
        <f aca="false">$O1547-$P1547</f>
        <v>-17556598</v>
      </c>
      <c r="AD1547" s="48" t="n">
        <f aca="false">$AC1547*$I1547</f>
        <v>-34428488678</v>
      </c>
      <c r="AE1547" s="49" t="n">
        <f aca="false">IF($Q1547&gt;0,$O1547*$I1547/$Q1547/1000000,"")</f>
        <v>109.929590834715</v>
      </c>
      <c r="AF1547" s="49" t="n">
        <f aca="false">IF($R1547&gt;0,$P1547*$I1547/$R1547/1000000,"")</f>
        <v>107.009620043478</v>
      </c>
      <c r="AG1547" s="50" t="n">
        <f aca="false">IF(AND(ISNUMBER($AE1547),ISNUMBER($AF1547),$AF1547&gt;0),$AE1547/$AF1547,"")</f>
        <v>1.02728699335676</v>
      </c>
      <c r="AH1547" s="48" t="n">
        <f aca="false">IF($U1547&gt;=5,SUM(INDEX($AD$1517:$AD1547,32-5):$AD1547),"")</f>
        <v>-3871718732</v>
      </c>
      <c r="AI1547" s="48" t="n">
        <f aca="false">IF($U1547&gt;=STRUCT_S,MAX(INDEX($G$1397:$G1547,152-STRUCT_S):$G1547),"")</f>
        <v>1994</v>
      </c>
      <c r="AJ1547" s="48" t="n">
        <f aca="false">IF($U1547&gt;=STRUCT_S,MIN(INDEX($H$1397:$H1547,152-STRUCT_S):$H1547),"")</f>
        <v>1690</v>
      </c>
      <c r="AK1547" s="48" t="n">
        <f aca="false">IF($U1547&gt;=STRUCT_L,MAX(INDEX($G$1297:$G1547,252-STRUCT_L):$G1547),"")</f>
        <v>1994</v>
      </c>
      <c r="AL1547" s="48" t="n">
        <f aca="false">IF($U1547&gt;=STRUCT_L,MIN(INDEX($H$1297:$H1547,252-STRUCT_L):$H1547),"")</f>
        <v>1447</v>
      </c>
      <c r="AM1547" s="46" t="n">
        <f aca="false">IF($A1547&lt;&gt;$A1548,1,0)</f>
        <v>0</v>
      </c>
      <c r="AN1547" s="47" t="str">
        <f aca="false">IF($AM1547=1,$A1547,"")</f>
        <v/>
      </c>
    </row>
    <row r="1548" customFormat="false" ht="15" hidden="false" customHeight="false" outlineLevel="0" collapsed="false">
      <c r="A1548" s="43" t="s">
        <v>157</v>
      </c>
      <c r="B1548" s="44" t="s">
        <v>159</v>
      </c>
      <c r="C1548" s="45" t="n">
        <v>46245</v>
      </c>
      <c r="D1548" s="46" t="n">
        <v>20260811</v>
      </c>
      <c r="E1548" s="47" t="s">
        <v>531</v>
      </c>
      <c r="F1548" s="48" t="n">
        <v>1970</v>
      </c>
      <c r="G1548" s="48" t="n">
        <v>1994</v>
      </c>
      <c r="H1548" s="48" t="n">
        <v>1951</v>
      </c>
      <c r="I1548" s="48" t="n">
        <v>1983</v>
      </c>
      <c r="J1548" s="48" t="n">
        <v>1979</v>
      </c>
      <c r="K1548" s="48" t="n">
        <v>1961</v>
      </c>
      <c r="L1548" s="48" t="n">
        <v>72428677</v>
      </c>
      <c r="M1548" s="48" t="n">
        <v>143626066491</v>
      </c>
      <c r="N1548" s="48" t="n">
        <v>1903</v>
      </c>
      <c r="O1548" s="48" t="n">
        <v>30850567</v>
      </c>
      <c r="P1548" s="48" t="n">
        <v>42491635</v>
      </c>
      <c r="Q1548" s="48" t="n">
        <v>869</v>
      </c>
      <c r="R1548" s="48" t="n">
        <v>1043</v>
      </c>
      <c r="S1548" s="48" t="n">
        <v>41578110</v>
      </c>
      <c r="T1548" s="48" t="n">
        <v>29937042</v>
      </c>
      <c r="U1548" s="46" t="n">
        <f aca="false">IF($A1548=$A1547,$U1547+1,1)</f>
        <v>244</v>
      </c>
      <c r="V1548" s="48" t="n">
        <f aca="false">IF($U1548&gt;=MA_SHORT,AVERAGE(INDEX($I$1148:$I1548,402-MA_SHORT):$I1548),"")</f>
        <v>1897.4</v>
      </c>
      <c r="W1548" s="48" t="n">
        <f aca="false">IF($U1548&gt;=MA_MED,AVERAGE(INDEX($I$1148:$I1548,402-MA_MED):$I1548),"")</f>
        <v>1714.78</v>
      </c>
      <c r="X1548" s="48" t="n">
        <f aca="false">IF($U1548&gt;=MA_LONG1,AVERAGE(INDEX($I$1148:$I1548,402-MA_LONG1):$I1548),"")</f>
        <v>1694.26</v>
      </c>
      <c r="Y1548" s="48" t="n">
        <f aca="false">IF($U1548&gt;=MA_LONG2,AVERAGE(INDEX($I$1148:$I1548,402-MA_LONG2):$I1548),"")</f>
        <v>1624.245</v>
      </c>
      <c r="Z1548" s="48" t="n">
        <f aca="false">IF($U1548&gt;=MA_SHORT,AVERAGE(INDEX($L$1428:$L1548,122-MA_SHORT):$L1548),"")</f>
        <v>94133465.25</v>
      </c>
      <c r="AA1548" s="48" t="n">
        <f aca="false">IF($U1548=1,$G1548-$H1548,MAX($G1548-$H1548,ABS($G1548-$I1547),ABS($H1548-$I1547)))</f>
        <v>43</v>
      </c>
      <c r="AB1548" s="48" t="n">
        <f aca="false">IF($U1548&gt;=ATR_PER,AVERAGE(INDEX($AA$1428:$AA1548,122-ATR_PER):$AA1548),"")</f>
        <v>62.9285714285714</v>
      </c>
      <c r="AC1548" s="48" t="n">
        <f aca="false">$O1548-$P1548</f>
        <v>-11641068</v>
      </c>
      <c r="AD1548" s="48" t="n">
        <f aca="false">$AC1548*$I1548</f>
        <v>-23084237844</v>
      </c>
      <c r="AE1548" s="49" t="n">
        <f aca="false">IF($Q1548&gt;0,$O1548*$I1548/$Q1548/1000000,"")</f>
        <v>70.3989348227848</v>
      </c>
      <c r="AF1548" s="49" t="n">
        <f aca="false">IF($R1548&gt;0,$P1548*$I1548/$R1548/1000000,"")</f>
        <v>80.7870682694152</v>
      </c>
      <c r="AG1548" s="50" t="n">
        <f aca="false">IF(AND(ISNUMBER($AE1548),ISNUMBER($AF1548),$AF1548&gt;0),$AE1548/$AF1548,"")</f>
        <v>0.871413412206182</v>
      </c>
      <c r="AH1548" s="48" t="n">
        <f aca="false">IF($U1548&gt;=5,SUM(INDEX($AD$1518:$AD1548,32-5):$AD1548),"")</f>
        <v>-74604083348</v>
      </c>
      <c r="AI1548" s="48" t="n">
        <f aca="false">IF($U1548&gt;=STRUCT_S,MAX(INDEX($G$1398:$G1548,152-STRUCT_S):$G1548),"")</f>
        <v>1994</v>
      </c>
      <c r="AJ1548" s="48" t="n">
        <f aca="false">IF($U1548&gt;=STRUCT_S,MIN(INDEX($H$1398:$H1548,152-STRUCT_S):$H1548),"")</f>
        <v>1692</v>
      </c>
      <c r="AK1548" s="48" t="n">
        <f aca="false">IF($U1548&gt;=STRUCT_L,MAX(INDEX($G$1298:$G1548,252-STRUCT_L):$G1548),"")</f>
        <v>1994</v>
      </c>
      <c r="AL1548" s="48" t="n">
        <f aca="false">IF($U1548&gt;=STRUCT_L,MIN(INDEX($H$1298:$H1548,252-STRUCT_L):$H1548),"")</f>
        <v>1447</v>
      </c>
      <c r="AM1548" s="46" t="n">
        <f aca="false">IF($A1548&lt;&gt;$A1549,1,0)</f>
        <v>0</v>
      </c>
      <c r="AN1548" s="47" t="str">
        <f aca="false">IF($AM1548=1,$A1548,"")</f>
        <v/>
      </c>
    </row>
    <row r="1549" customFormat="false" ht="15" hidden="false" customHeight="false" outlineLevel="0" collapsed="false">
      <c r="A1549" s="43" t="s">
        <v>157</v>
      </c>
      <c r="B1549" s="44" t="s">
        <v>159</v>
      </c>
      <c r="C1549" s="45" t="n">
        <v>46246</v>
      </c>
      <c r="D1549" s="46" t="n">
        <v>20260812</v>
      </c>
      <c r="E1549" s="47" t="s">
        <v>532</v>
      </c>
      <c r="F1549" s="48" t="n">
        <v>1988</v>
      </c>
      <c r="G1549" s="48" t="n">
        <v>2002</v>
      </c>
      <c r="H1549" s="48" t="n">
        <v>1959</v>
      </c>
      <c r="I1549" s="48" t="n">
        <v>1977</v>
      </c>
      <c r="J1549" s="48" t="n">
        <v>1983</v>
      </c>
      <c r="K1549" s="48" t="n">
        <v>1983</v>
      </c>
      <c r="L1549" s="48" t="n">
        <v>81502531</v>
      </c>
      <c r="M1549" s="48" t="n">
        <v>161130503787</v>
      </c>
      <c r="N1549" s="48" t="n">
        <v>2086</v>
      </c>
      <c r="O1549" s="48" t="n">
        <v>35066381</v>
      </c>
      <c r="P1549" s="48" t="n">
        <v>43226595</v>
      </c>
      <c r="Q1549" s="48" t="n">
        <v>857</v>
      </c>
      <c r="R1549" s="48" t="n">
        <v>681</v>
      </c>
      <c r="S1549" s="48" t="n">
        <v>46436150</v>
      </c>
      <c r="T1549" s="48" t="n">
        <v>38275936</v>
      </c>
      <c r="U1549" s="46" t="n">
        <f aca="false">IF($A1549=$A1548,$U1548+1,1)</f>
        <v>245</v>
      </c>
      <c r="V1549" s="48" t="n">
        <f aca="false">IF($U1549&gt;=MA_SHORT,AVERAGE(INDEX($I$1149:$I1549,402-MA_SHORT):$I1549),"")</f>
        <v>1906.35</v>
      </c>
      <c r="W1549" s="48" t="n">
        <f aca="false">IF($U1549&gt;=MA_MED,AVERAGE(INDEX($I$1149:$I1549,402-MA_MED):$I1549),"")</f>
        <v>1723.98</v>
      </c>
      <c r="X1549" s="48" t="n">
        <f aca="false">IF($U1549&gt;=MA_LONG1,AVERAGE(INDEX($I$1149:$I1549,402-MA_LONG1):$I1549),"")</f>
        <v>1696.04</v>
      </c>
      <c r="Y1549" s="48" t="n">
        <f aca="false">IF($U1549&gt;=MA_LONG2,AVERAGE(INDEX($I$1149:$I1549,402-MA_LONG2):$I1549),"")</f>
        <v>1626.455</v>
      </c>
      <c r="Z1549" s="48" t="n">
        <f aca="false">IF($U1549&gt;=MA_SHORT,AVERAGE(INDEX($L$1429:$L1549,122-MA_SHORT):$L1549),"")</f>
        <v>94003106.7</v>
      </c>
      <c r="AA1549" s="48" t="n">
        <f aca="false">IF($U1549=1,$G1549-$H1549,MAX($G1549-$H1549,ABS($G1549-$I1548),ABS($H1549-$I1548)))</f>
        <v>43</v>
      </c>
      <c r="AB1549" s="48" t="n">
        <f aca="false">IF($U1549&gt;=ATR_PER,AVERAGE(INDEX($AA$1429:$AA1549,122-ATR_PER):$AA1549),"")</f>
        <v>62.2857142857143</v>
      </c>
      <c r="AC1549" s="48" t="n">
        <f aca="false">$O1549-$P1549</f>
        <v>-8160214</v>
      </c>
      <c r="AD1549" s="48" t="n">
        <f aca="false">$AC1549*$I1549</f>
        <v>-16132743078</v>
      </c>
      <c r="AE1549" s="49" t="n">
        <f aca="false">IF($Q1549&gt;0,$O1549*$I1549/$Q1549/1000000,"")</f>
        <v>80.8940901248542</v>
      </c>
      <c r="AF1549" s="49" t="n">
        <f aca="false">IF($R1549&gt;0,$P1549*$I1549/$R1549/1000000,"")</f>
        <v>125.490423370044</v>
      </c>
      <c r="AG1549" s="50" t="n">
        <f aca="false">IF(AND(ISNUMBER($AE1549),ISNUMBER($AF1549),$AF1549&gt;0),$AE1549/$AF1549,"")</f>
        <v>0.64462361312078</v>
      </c>
      <c r="AH1549" s="48" t="n">
        <f aca="false">IF($U1549&gt;=5,SUM(INDEX($AD$1519:$AD1549,32-5):$AD1549),"")</f>
        <v>-102943697654</v>
      </c>
      <c r="AI1549" s="48" t="n">
        <f aca="false">IF($U1549&gt;=STRUCT_S,MAX(INDEX($G$1399:$G1549,152-STRUCT_S):$G1549),"")</f>
        <v>2002</v>
      </c>
      <c r="AJ1549" s="48" t="n">
        <f aca="false">IF($U1549&gt;=STRUCT_S,MIN(INDEX($H$1399:$H1549,152-STRUCT_S):$H1549),"")</f>
        <v>1785</v>
      </c>
      <c r="AK1549" s="48" t="n">
        <f aca="false">IF($U1549&gt;=STRUCT_L,MAX(INDEX($G$1299:$G1549,252-STRUCT_L):$G1549),"")</f>
        <v>2002</v>
      </c>
      <c r="AL1549" s="48" t="n">
        <f aca="false">IF($U1549&gt;=STRUCT_L,MIN(INDEX($H$1299:$H1549,252-STRUCT_L):$H1549),"")</f>
        <v>1447</v>
      </c>
      <c r="AM1549" s="46" t="n">
        <f aca="false">IF($A1549&lt;&gt;$A1550,1,0)</f>
        <v>0</v>
      </c>
      <c r="AN1549" s="47" t="str">
        <f aca="false">IF($AM1549=1,$A1549,"")</f>
        <v/>
      </c>
    </row>
    <row r="1550" customFormat="false" ht="15" hidden="false" customHeight="false" outlineLevel="0" collapsed="false">
      <c r="A1550" s="43" t="s">
        <v>157</v>
      </c>
      <c r="B1550" s="44" t="s">
        <v>159</v>
      </c>
      <c r="C1550" s="45" t="n">
        <v>46249</v>
      </c>
      <c r="D1550" s="46" t="n">
        <v>20260815</v>
      </c>
      <c r="E1550" s="47" t="s">
        <v>533</v>
      </c>
      <c r="F1550" s="48" t="n">
        <v>1981</v>
      </c>
      <c r="G1550" s="48" t="n">
        <v>2002</v>
      </c>
      <c r="H1550" s="48" t="n">
        <v>1958</v>
      </c>
      <c r="I1550" s="48" t="n">
        <v>1983</v>
      </c>
      <c r="J1550" s="48" t="n">
        <v>1979</v>
      </c>
      <c r="K1550" s="48" t="n">
        <v>1977</v>
      </c>
      <c r="L1550" s="48" t="n">
        <v>74881366</v>
      </c>
      <c r="M1550" s="48" t="n">
        <v>148489748778</v>
      </c>
      <c r="N1550" s="48" t="n">
        <v>6727</v>
      </c>
      <c r="O1550" s="48" t="n">
        <v>37109233</v>
      </c>
      <c r="P1550" s="48" t="n">
        <v>43494038</v>
      </c>
      <c r="Q1550" s="48" t="n">
        <v>2384</v>
      </c>
      <c r="R1550" s="48" t="n">
        <v>2801</v>
      </c>
      <c r="S1550" s="48" t="n">
        <v>37772133</v>
      </c>
      <c r="T1550" s="48" t="n">
        <v>31387328</v>
      </c>
      <c r="U1550" s="46" t="n">
        <f aca="false">IF($A1550=$A1549,$U1549+1,1)</f>
        <v>246</v>
      </c>
      <c r="V1550" s="48" t="n">
        <f aca="false">IF($U1550&gt;=MA_SHORT,AVERAGE(INDEX($I$1150:$I1550,402-MA_SHORT):$I1550),"")</f>
        <v>1913.15</v>
      </c>
      <c r="W1550" s="48" t="n">
        <f aca="false">IF($U1550&gt;=MA_MED,AVERAGE(INDEX($I$1150:$I1550,402-MA_MED):$I1550),"")</f>
        <v>1732.7</v>
      </c>
      <c r="X1550" s="48" t="n">
        <f aca="false">IF($U1550&gt;=MA_LONG1,AVERAGE(INDEX($I$1150:$I1550,402-MA_LONG1):$I1550),"")</f>
        <v>1698.28</v>
      </c>
      <c r="Y1550" s="48" t="n">
        <f aca="false">IF($U1550&gt;=MA_LONG2,AVERAGE(INDEX($I$1150:$I1550,402-MA_LONG2):$I1550),"")</f>
        <v>1628.605</v>
      </c>
      <c r="Z1550" s="48" t="n">
        <f aca="false">IF($U1550&gt;=MA_SHORT,AVERAGE(INDEX($L$1430:$L1550,122-MA_SHORT):$L1550),"")</f>
        <v>93799322.5</v>
      </c>
      <c r="AA1550" s="48" t="n">
        <f aca="false">IF($U1550=1,$G1550-$H1550,MAX($G1550-$H1550,ABS($G1550-$I1549),ABS($H1550-$I1549)))</f>
        <v>44</v>
      </c>
      <c r="AB1550" s="48" t="n">
        <f aca="false">IF($U1550&gt;=ATR_PER,AVERAGE(INDEX($AA$1430:$AA1550,122-ATR_PER):$AA1550),"")</f>
        <v>60.3571428571429</v>
      </c>
      <c r="AC1550" s="48" t="n">
        <f aca="false">$O1550-$P1550</f>
        <v>-6384805</v>
      </c>
      <c r="AD1550" s="48" t="n">
        <f aca="false">$AC1550*$I1550</f>
        <v>-12661068315</v>
      </c>
      <c r="AE1550" s="49" t="n">
        <f aca="false">IF($Q1550&gt;0,$O1550*$I1550/$Q1550/1000000,"")</f>
        <v>30.8672856707215</v>
      </c>
      <c r="AF1550" s="49" t="n">
        <f aca="false">IF($R1550&gt;0,$P1550*$I1550/$R1550/1000000,"")</f>
        <v>30.7921018757587</v>
      </c>
      <c r="AG1550" s="50" t="n">
        <f aca="false">IF(AND(ISNUMBER($AE1550),ISNUMBER($AF1550),$AF1550&gt;0),$AE1550/$AF1550,"")</f>
        <v>1.00244165842482</v>
      </c>
      <c r="AH1550" s="48" t="n">
        <f aca="false">IF($U1550&gt;=5,SUM(INDEX($AD$1520:$AD1550,32-5):$AD1550),"")</f>
        <v>-109649604519</v>
      </c>
      <c r="AI1550" s="48" t="n">
        <f aca="false">IF($U1550&gt;=STRUCT_S,MAX(INDEX($G$1400:$G1550,152-STRUCT_S):$G1550),"")</f>
        <v>2002</v>
      </c>
      <c r="AJ1550" s="48" t="n">
        <f aca="false">IF($U1550&gt;=STRUCT_S,MIN(INDEX($H$1400:$H1550,152-STRUCT_S):$H1550),"")</f>
        <v>1804</v>
      </c>
      <c r="AK1550" s="48" t="n">
        <f aca="false">IF($U1550&gt;=STRUCT_L,MAX(INDEX($G$1300:$G1550,252-STRUCT_L):$G1550),"")</f>
        <v>2002</v>
      </c>
      <c r="AL1550" s="48" t="n">
        <f aca="false">IF($U1550&gt;=STRUCT_L,MIN(INDEX($H$1300:$H1550,252-STRUCT_L):$H1550),"")</f>
        <v>1447</v>
      </c>
      <c r="AM1550" s="46" t="n">
        <f aca="false">IF($A1550&lt;&gt;$A1551,1,0)</f>
        <v>0</v>
      </c>
      <c r="AN1550" s="47" t="str">
        <f aca="false">IF($AM1550=1,$A1550,"")</f>
        <v/>
      </c>
    </row>
    <row r="1551" customFormat="false" ht="15" hidden="false" customHeight="false" outlineLevel="0" collapsed="false">
      <c r="A1551" s="43" t="s">
        <v>157</v>
      </c>
      <c r="B1551" s="44" t="s">
        <v>159</v>
      </c>
      <c r="C1551" s="45" t="n">
        <v>46250</v>
      </c>
      <c r="D1551" s="46" t="n">
        <v>20260816</v>
      </c>
      <c r="E1551" s="47" t="s">
        <v>534</v>
      </c>
      <c r="F1551" s="48" t="n">
        <v>1989</v>
      </c>
      <c r="G1551" s="48" t="n">
        <v>1989</v>
      </c>
      <c r="H1551" s="48" t="n">
        <v>1962</v>
      </c>
      <c r="I1551" s="48" t="n">
        <v>1968</v>
      </c>
      <c r="J1551" s="48" t="n">
        <v>1970</v>
      </c>
      <c r="K1551" s="48" t="n">
        <v>1983</v>
      </c>
      <c r="L1551" s="48" t="n">
        <v>70940706</v>
      </c>
      <c r="M1551" s="48" t="n">
        <v>139611309408</v>
      </c>
      <c r="N1551" s="48" t="n">
        <v>3704</v>
      </c>
      <c r="O1551" s="48" t="n">
        <v>39585795</v>
      </c>
      <c r="P1551" s="48" t="n">
        <v>29729053</v>
      </c>
      <c r="Q1551" s="48" t="n">
        <v>1181</v>
      </c>
      <c r="R1551" s="48" t="n">
        <v>1276</v>
      </c>
      <c r="S1551" s="48" t="n">
        <v>31354911</v>
      </c>
      <c r="T1551" s="48" t="n">
        <v>41211653</v>
      </c>
      <c r="U1551" s="46" t="n">
        <f aca="false">IF($A1551=$A1550,$U1550+1,1)</f>
        <v>247</v>
      </c>
      <c r="V1551" s="48" t="n">
        <f aca="false">IF($U1551&gt;=MA_SHORT,AVERAGE(INDEX($I$1151:$I1551,402-MA_SHORT):$I1551),"")</f>
        <v>1917.65</v>
      </c>
      <c r="W1551" s="48" t="n">
        <f aca="false">IF($U1551&gt;=MA_MED,AVERAGE(INDEX($I$1151:$I1551,402-MA_MED):$I1551),"")</f>
        <v>1740.7</v>
      </c>
      <c r="X1551" s="48" t="n">
        <f aca="false">IF($U1551&gt;=MA_LONG1,AVERAGE(INDEX($I$1151:$I1551,402-MA_LONG1):$I1551),"")</f>
        <v>1700.09</v>
      </c>
      <c r="Y1551" s="48" t="n">
        <f aca="false">IF($U1551&gt;=MA_LONG2,AVERAGE(INDEX($I$1151:$I1551,402-MA_LONG2):$I1551),"")</f>
        <v>1630.46</v>
      </c>
      <c r="Z1551" s="48" t="n">
        <f aca="false">IF($U1551&gt;=MA_SHORT,AVERAGE(INDEX($L$1431:$L1551,122-MA_SHORT):$L1551),"")</f>
        <v>92568647.15</v>
      </c>
      <c r="AA1551" s="48" t="n">
        <f aca="false">IF($U1551=1,$G1551-$H1551,MAX($G1551-$H1551,ABS($G1551-$I1550),ABS($H1551-$I1550)))</f>
        <v>27</v>
      </c>
      <c r="AB1551" s="48" t="n">
        <f aca="false">IF($U1551&gt;=ATR_PER,AVERAGE(INDEX($AA$1431:$AA1551,122-ATR_PER):$AA1551),"")</f>
        <v>59.2142857142857</v>
      </c>
      <c r="AC1551" s="48" t="n">
        <f aca="false">$O1551-$P1551</f>
        <v>9856742</v>
      </c>
      <c r="AD1551" s="48" t="n">
        <f aca="false">$AC1551*$I1551</f>
        <v>19398068256</v>
      </c>
      <c r="AE1551" s="49" t="n">
        <f aca="false">IF($Q1551&gt;0,$O1551*$I1551/$Q1551/1000000,"")</f>
        <v>65.9651520406435</v>
      </c>
      <c r="AF1551" s="49" t="n">
        <f aca="false">IF($R1551&gt;0,$P1551*$I1551/$R1551/1000000,"")</f>
        <v>45.8517055673981</v>
      </c>
      <c r="AG1551" s="50" t="n">
        <f aca="false">IF(AND(ISNUMBER($AE1551),ISNUMBER($AF1551),$AF1551&gt;0),$AE1551/$AF1551,"")</f>
        <v>1.43866299463344</v>
      </c>
      <c r="AH1551" s="48" t="n">
        <f aca="false">IF($U1551&gt;=5,SUM(INDEX($AD$1521:$AD1551,32-5):$AD1551),"")</f>
        <v>-66908469659</v>
      </c>
      <c r="AI1551" s="48" t="n">
        <f aca="false">IF($U1551&gt;=STRUCT_S,MAX(INDEX($G$1401:$G1551,152-STRUCT_S):$G1551),"")</f>
        <v>2002</v>
      </c>
      <c r="AJ1551" s="48" t="n">
        <f aca="false">IF($U1551&gt;=STRUCT_S,MIN(INDEX($H$1401:$H1551,152-STRUCT_S):$H1551),"")</f>
        <v>1840</v>
      </c>
      <c r="AK1551" s="48" t="n">
        <f aca="false">IF($U1551&gt;=STRUCT_L,MAX(INDEX($G$1301:$G1551,252-STRUCT_L):$G1551),"")</f>
        <v>2002</v>
      </c>
      <c r="AL1551" s="48" t="n">
        <f aca="false">IF($U1551&gt;=STRUCT_L,MIN(INDEX($H$1301:$H1551,252-STRUCT_L):$H1551),"")</f>
        <v>1447</v>
      </c>
      <c r="AM1551" s="46" t="n">
        <f aca="false">IF($A1551&lt;&gt;$A1552,1,0)</f>
        <v>0</v>
      </c>
      <c r="AN1551" s="47" t="str">
        <f aca="false">IF($AM1551=1,$A1551,"")</f>
        <v/>
      </c>
    </row>
    <row r="1552" customFormat="false" ht="15" hidden="false" customHeight="false" outlineLevel="0" collapsed="false">
      <c r="A1552" s="43" t="s">
        <v>157</v>
      </c>
      <c r="B1552" s="44" t="s">
        <v>159</v>
      </c>
      <c r="C1552" s="45" t="n">
        <v>46251</v>
      </c>
      <c r="D1552" s="46" t="n">
        <v>20260817</v>
      </c>
      <c r="E1552" s="47" t="s">
        <v>535</v>
      </c>
      <c r="F1552" s="48" t="n">
        <v>1968</v>
      </c>
      <c r="G1552" s="48" t="n">
        <v>2026</v>
      </c>
      <c r="H1552" s="48" t="n">
        <v>1956</v>
      </c>
      <c r="I1552" s="48" t="n">
        <v>2013</v>
      </c>
      <c r="J1552" s="48" t="n">
        <v>1973</v>
      </c>
      <c r="K1552" s="48" t="n">
        <v>1968</v>
      </c>
      <c r="L1552" s="48" t="n">
        <v>135941904</v>
      </c>
      <c r="M1552" s="48" t="n">
        <v>273651052752</v>
      </c>
      <c r="N1552" s="48" t="n">
        <v>10477</v>
      </c>
      <c r="O1552" s="48" t="n">
        <v>86391814</v>
      </c>
      <c r="P1552" s="48" t="n">
        <v>47660571</v>
      </c>
      <c r="Q1552" s="48" t="n">
        <v>5028</v>
      </c>
      <c r="R1552" s="48" t="n">
        <v>5542</v>
      </c>
      <c r="S1552" s="48" t="n">
        <v>49550090</v>
      </c>
      <c r="T1552" s="48" t="n">
        <v>88281333</v>
      </c>
      <c r="U1552" s="46" t="n">
        <f aca="false">IF($A1552=$A1551,$U1551+1,1)</f>
        <v>248</v>
      </c>
      <c r="V1552" s="48" t="n">
        <f aca="false">IF($U1552&gt;=MA_SHORT,AVERAGE(INDEX($I$1152:$I1552,402-MA_SHORT):$I1552),"")</f>
        <v>1923.6</v>
      </c>
      <c r="W1552" s="48" t="n">
        <f aca="false">IF($U1552&gt;=MA_MED,AVERAGE(INDEX($I$1152:$I1552,402-MA_MED):$I1552),"")</f>
        <v>1749.08</v>
      </c>
      <c r="X1552" s="48" t="n">
        <f aca="false">IF($U1552&gt;=MA_LONG1,AVERAGE(INDEX($I$1152:$I1552,402-MA_LONG1):$I1552),"")</f>
        <v>1702.47</v>
      </c>
      <c r="Y1552" s="48" t="n">
        <f aca="false">IF($U1552&gt;=MA_LONG2,AVERAGE(INDEX($I$1152:$I1552,402-MA_LONG2):$I1552),"")</f>
        <v>1632.34</v>
      </c>
      <c r="Z1552" s="48" t="n">
        <f aca="false">IF($U1552&gt;=MA_SHORT,AVERAGE(INDEX($L$1432:$L1552,122-MA_SHORT):$L1552),"")</f>
        <v>95799256.7</v>
      </c>
      <c r="AA1552" s="48" t="n">
        <f aca="false">IF($U1552=1,$G1552-$H1552,MAX($G1552-$H1552,ABS($G1552-$I1551),ABS($H1552-$I1551)))</f>
        <v>70</v>
      </c>
      <c r="AB1552" s="48" t="n">
        <f aca="false">IF($U1552&gt;=ATR_PER,AVERAGE(INDEX($AA$1432:$AA1552,122-ATR_PER):$AA1552),"")</f>
        <v>62.5714285714286</v>
      </c>
      <c r="AC1552" s="48" t="n">
        <f aca="false">$O1552-$P1552</f>
        <v>38731243</v>
      </c>
      <c r="AD1552" s="48" t="n">
        <f aca="false">$AC1552*$I1552</f>
        <v>77965992159</v>
      </c>
      <c r="AE1552" s="49" t="n">
        <f aca="false">IF($Q1552&gt;0,$O1552*$I1552/$Q1552/1000000,"")</f>
        <v>34.5876534570406</v>
      </c>
      <c r="AF1552" s="49" t="n">
        <f aca="false">IF($R1552&gt;0,$P1552*$I1552/$R1552/1000000,"")</f>
        <v>17.3115715306748</v>
      </c>
      <c r="AG1552" s="50" t="n">
        <f aca="false">IF(AND(ISNUMBER($AE1552),ISNUMBER($AF1552),$AF1552&gt;0),$AE1552/$AF1552,"")</f>
        <v>1.99794994901265</v>
      </c>
      <c r="AH1552" s="48" t="n">
        <f aca="false">IF($U1552&gt;=5,SUM(INDEX($AD$1522:$AD1552,32-5):$AD1552),"")</f>
        <v>45486011178</v>
      </c>
      <c r="AI1552" s="48" t="n">
        <f aca="false">IF($U1552&gt;=STRUCT_S,MAX(INDEX($G$1402:$G1552,152-STRUCT_S):$G1552),"")</f>
        <v>2026</v>
      </c>
      <c r="AJ1552" s="48" t="n">
        <f aca="false">IF($U1552&gt;=STRUCT_S,MIN(INDEX($H$1402:$H1552,152-STRUCT_S):$H1552),"")</f>
        <v>1840</v>
      </c>
      <c r="AK1552" s="48" t="n">
        <f aca="false">IF($U1552&gt;=STRUCT_L,MAX(INDEX($G$1302:$G1552,252-STRUCT_L):$G1552),"")</f>
        <v>2026</v>
      </c>
      <c r="AL1552" s="48" t="n">
        <f aca="false">IF($U1552&gt;=STRUCT_L,MIN(INDEX($H$1302:$H1552,252-STRUCT_L):$H1552),"")</f>
        <v>1447</v>
      </c>
      <c r="AM1552" s="46" t="n">
        <f aca="false">IF($A1552&lt;&gt;$A1553,1,0)</f>
        <v>0</v>
      </c>
      <c r="AN1552" s="47" t="str">
        <f aca="false">IF($AM1552=1,$A1552,"")</f>
        <v/>
      </c>
    </row>
    <row r="1553" customFormat="false" ht="15" hidden="false" customHeight="false" outlineLevel="0" collapsed="false">
      <c r="A1553" s="43" t="s">
        <v>157</v>
      </c>
      <c r="B1553" s="44" t="s">
        <v>159</v>
      </c>
      <c r="C1553" s="45" t="n">
        <v>46252</v>
      </c>
      <c r="D1553" s="46" t="n">
        <v>20260818</v>
      </c>
      <c r="E1553" s="47" t="s">
        <v>536</v>
      </c>
      <c r="F1553" s="48" t="n">
        <v>1989</v>
      </c>
      <c r="G1553" s="48" t="n">
        <v>2023</v>
      </c>
      <c r="H1553" s="48" t="n">
        <v>1976</v>
      </c>
      <c r="I1553" s="48" t="n">
        <v>1985</v>
      </c>
      <c r="J1553" s="48" t="n">
        <v>1978</v>
      </c>
      <c r="K1553" s="48" t="n">
        <v>2013</v>
      </c>
      <c r="L1553" s="48" t="n">
        <v>149503135</v>
      </c>
      <c r="M1553" s="48" t="n">
        <v>296763722975</v>
      </c>
      <c r="N1553" s="48" t="n">
        <v>5825</v>
      </c>
      <c r="O1553" s="48" t="n">
        <v>74907779</v>
      </c>
      <c r="P1553" s="48" t="n">
        <v>77741784</v>
      </c>
      <c r="Q1553" s="48" t="n">
        <v>2035</v>
      </c>
      <c r="R1553" s="48" t="n">
        <v>2139</v>
      </c>
      <c r="S1553" s="48" t="n">
        <v>74595356</v>
      </c>
      <c r="T1553" s="48" t="n">
        <v>71761351</v>
      </c>
      <c r="U1553" s="46" t="n">
        <f aca="false">IF($A1553=$A1552,$U1552+1,1)</f>
        <v>249</v>
      </c>
      <c r="V1553" s="48" t="n">
        <f aca="false">IF($U1553&gt;=MA_SHORT,AVERAGE(INDEX($I$1153:$I1553,402-MA_SHORT):$I1553),"")</f>
        <v>1928.75</v>
      </c>
      <c r="W1553" s="48" t="n">
        <f aca="false">IF($U1553&gt;=MA_MED,AVERAGE(INDEX($I$1153:$I1553,402-MA_MED):$I1553),"")</f>
        <v>1756.06</v>
      </c>
      <c r="X1553" s="48" t="n">
        <f aca="false">IF($U1553&gt;=MA_LONG1,AVERAGE(INDEX($I$1153:$I1553,402-MA_LONG1):$I1553),"")</f>
        <v>1704.09</v>
      </c>
      <c r="Y1553" s="48" t="n">
        <f aca="false">IF($U1553&gt;=MA_LONG2,AVERAGE(INDEX($I$1153:$I1553,402-MA_LONG2):$I1553),"")</f>
        <v>1634.045</v>
      </c>
      <c r="Z1553" s="48" t="n">
        <f aca="false">IF($U1553&gt;=MA_SHORT,AVERAGE(INDEX($L$1433:$L1553,122-MA_SHORT):$L1553),"")</f>
        <v>99086053.45</v>
      </c>
      <c r="AA1553" s="48" t="n">
        <f aca="false">IF($U1553=1,$G1553-$H1553,MAX($G1553-$H1553,ABS($G1553-$I1552),ABS($H1553-$I1552)))</f>
        <v>47</v>
      </c>
      <c r="AB1553" s="48" t="n">
        <f aca="false">IF($U1553&gt;=ATR_PER,AVERAGE(INDEX($AA$1433:$AA1553,122-ATR_PER):$AA1553),"")</f>
        <v>63.3571428571429</v>
      </c>
      <c r="AC1553" s="48" t="n">
        <f aca="false">$O1553-$P1553</f>
        <v>-2834005</v>
      </c>
      <c r="AD1553" s="48" t="n">
        <f aca="false">$AC1553*$I1553</f>
        <v>-5625499925</v>
      </c>
      <c r="AE1553" s="49" t="n">
        <f aca="false">IF($Q1553&gt;0,$O1553*$I1553/$Q1553/1000000,"")</f>
        <v>73.067293029484</v>
      </c>
      <c r="AF1553" s="49" t="n">
        <f aca="false">IF($R1553&gt;0,$P1553*$I1553/$R1553/1000000,"")</f>
        <v>72.1446663113605</v>
      </c>
      <c r="AG1553" s="50" t="n">
        <f aca="false">IF(AND(ISNUMBER($AE1553),ISNUMBER($AF1553),$AF1553&gt;0),$AE1553/$AF1553,"")</f>
        <v>1.01278856449542</v>
      </c>
      <c r="AH1553" s="48" t="n">
        <f aca="false">IF($U1553&gt;=5,SUM(INDEX($AD$1523:$AD1553,32-5):$AD1553),"")</f>
        <v>62944749097</v>
      </c>
      <c r="AI1553" s="48" t="n">
        <f aca="false">IF($U1553&gt;=STRUCT_S,MAX(INDEX($G$1403:$G1553,152-STRUCT_S):$G1553),"")</f>
        <v>2026</v>
      </c>
      <c r="AJ1553" s="48" t="n">
        <f aca="false">IF($U1553&gt;=STRUCT_S,MIN(INDEX($H$1403:$H1553,152-STRUCT_S):$H1553),"")</f>
        <v>1840</v>
      </c>
      <c r="AK1553" s="48" t="n">
        <f aca="false">IF($U1553&gt;=STRUCT_L,MAX(INDEX($G$1303:$G1553,252-STRUCT_L):$G1553),"")</f>
        <v>2026</v>
      </c>
      <c r="AL1553" s="48" t="n">
        <f aca="false">IF($U1553&gt;=STRUCT_L,MIN(INDEX($H$1303:$H1553,252-STRUCT_L):$H1553),"")</f>
        <v>1447</v>
      </c>
      <c r="AM1553" s="46" t="n">
        <f aca="false">IF($A1553&lt;&gt;$A1554,1,0)</f>
        <v>0</v>
      </c>
      <c r="AN1553" s="47" t="str">
        <f aca="false">IF($AM1553=1,$A1553,"")</f>
        <v/>
      </c>
    </row>
    <row r="1554" customFormat="false" ht="15" hidden="false" customHeight="false" outlineLevel="0" collapsed="false">
      <c r="A1554" s="43" t="s">
        <v>157</v>
      </c>
      <c r="B1554" s="44" t="s">
        <v>159</v>
      </c>
      <c r="C1554" s="45" t="n">
        <v>46253</v>
      </c>
      <c r="D1554" s="46" t="n">
        <v>20260819</v>
      </c>
      <c r="E1554" s="47" t="s">
        <v>537</v>
      </c>
      <c r="F1554" s="48" t="n">
        <v>1976</v>
      </c>
      <c r="G1554" s="48" t="n">
        <v>2063</v>
      </c>
      <c r="H1554" s="48" t="n">
        <v>1953</v>
      </c>
      <c r="I1554" s="48" t="n">
        <v>2031</v>
      </c>
      <c r="J1554" s="48" t="n">
        <v>1963</v>
      </c>
      <c r="K1554" s="48" t="n">
        <v>1985</v>
      </c>
      <c r="L1554" s="48" t="n">
        <v>77296347</v>
      </c>
      <c r="M1554" s="48" t="n">
        <v>156988880757</v>
      </c>
      <c r="N1554" s="48" t="n">
        <v>3962</v>
      </c>
      <c r="O1554" s="48" t="n">
        <v>41924879</v>
      </c>
      <c r="P1554" s="48" t="n">
        <v>35959643</v>
      </c>
      <c r="Q1554" s="48" t="n">
        <v>1314</v>
      </c>
      <c r="R1554" s="48" t="n">
        <v>1304</v>
      </c>
      <c r="S1554" s="48" t="n">
        <v>35371468</v>
      </c>
      <c r="T1554" s="48" t="n">
        <v>41336704</v>
      </c>
      <c r="U1554" s="46" t="n">
        <f aca="false">IF($A1554=$A1553,$U1553+1,1)</f>
        <v>250</v>
      </c>
      <c r="V1554" s="48" t="n">
        <f aca="false">IF($U1554&gt;=MA_SHORT,AVERAGE(INDEX($I$1154:$I1554,402-MA_SHORT):$I1554),"")</f>
        <v>1935.6</v>
      </c>
      <c r="W1554" s="48" t="n">
        <f aca="false">IF($U1554&gt;=MA_MED,AVERAGE(INDEX($I$1154:$I1554,402-MA_MED):$I1554),"")</f>
        <v>1763.82</v>
      </c>
      <c r="X1554" s="48" t="n">
        <f aca="false">IF($U1554&gt;=MA_LONG1,AVERAGE(INDEX($I$1154:$I1554,402-MA_LONG1):$I1554),"")</f>
        <v>1706.22</v>
      </c>
      <c r="Y1554" s="48" t="n">
        <f aca="false">IF($U1554&gt;=MA_LONG2,AVERAGE(INDEX($I$1154:$I1554,402-MA_LONG2):$I1554),"")</f>
        <v>1636.14</v>
      </c>
      <c r="Z1554" s="48" t="n">
        <f aca="false">IF($U1554&gt;=MA_SHORT,AVERAGE(INDEX($L$1434:$L1554,122-MA_SHORT):$L1554),"")</f>
        <v>99428023.15</v>
      </c>
      <c r="AA1554" s="48" t="n">
        <f aca="false">IF($U1554=1,$G1554-$H1554,MAX($G1554-$H1554,ABS($G1554-$I1553),ABS($H1554-$I1553)))</f>
        <v>110</v>
      </c>
      <c r="AB1554" s="48" t="n">
        <f aca="false">IF($U1554&gt;=ATR_PER,AVERAGE(INDEX($AA$1434:$AA1554,122-ATR_PER):$AA1554),"")</f>
        <v>66.4285714285714</v>
      </c>
      <c r="AC1554" s="48" t="n">
        <f aca="false">$O1554-$P1554</f>
        <v>5965236</v>
      </c>
      <c r="AD1554" s="48" t="n">
        <f aca="false">$AC1554*$I1554</f>
        <v>12115394316</v>
      </c>
      <c r="AE1554" s="49" t="n">
        <f aca="false">IF($Q1554&gt;0,$O1554*$I1554/$Q1554/1000000,"")</f>
        <v>64.8016965365297</v>
      </c>
      <c r="AF1554" s="49" t="n">
        <f aca="false">IF($R1554&gt;0,$P1554*$I1554/$R1554/1000000,"")</f>
        <v>56.0076955007669</v>
      </c>
      <c r="AG1554" s="50" t="n">
        <f aca="false">IF(AND(ISNUMBER($AE1554),ISNUMBER($AF1554),$AF1554&gt;0),$AE1554/$AF1554,"")</f>
        <v>1.15701415595009</v>
      </c>
      <c r="AH1554" s="48" t="n">
        <f aca="false">IF($U1554&gt;=5,SUM(INDEX($AD$1524:$AD1554,32-5):$AD1554),"")</f>
        <v>91192886491</v>
      </c>
      <c r="AI1554" s="48" t="n">
        <f aca="false">IF($U1554&gt;=STRUCT_S,MAX(INDEX($G$1404:$G1554,152-STRUCT_S):$G1554),"")</f>
        <v>2063</v>
      </c>
      <c r="AJ1554" s="48" t="n">
        <f aca="false">IF($U1554&gt;=STRUCT_S,MIN(INDEX($H$1404:$H1554,152-STRUCT_S):$H1554),"")</f>
        <v>1840</v>
      </c>
      <c r="AK1554" s="48" t="n">
        <f aca="false">IF($U1554&gt;=STRUCT_L,MAX(INDEX($G$1304:$G1554,252-STRUCT_L):$G1554),"")</f>
        <v>2063</v>
      </c>
      <c r="AL1554" s="48" t="n">
        <f aca="false">IF($U1554&gt;=STRUCT_L,MIN(INDEX($H$1304:$H1554,252-STRUCT_L):$H1554),"")</f>
        <v>1447</v>
      </c>
      <c r="AM1554" s="46" t="n">
        <f aca="false">IF($A1554&lt;&gt;$A1555,1,0)</f>
        <v>0</v>
      </c>
      <c r="AN1554" s="47" t="str">
        <f aca="false">IF($AM1554=1,$A1554,"")</f>
        <v/>
      </c>
    </row>
    <row r="1555" customFormat="false" ht="15" hidden="false" customHeight="false" outlineLevel="0" collapsed="false">
      <c r="A1555" s="43" t="s">
        <v>157</v>
      </c>
      <c r="B1555" s="44" t="s">
        <v>159</v>
      </c>
      <c r="C1555" s="45" t="n">
        <v>46256</v>
      </c>
      <c r="D1555" s="46" t="n">
        <v>20260822</v>
      </c>
      <c r="E1555" s="47" t="s">
        <v>538</v>
      </c>
      <c r="F1555" s="48" t="n">
        <v>1942</v>
      </c>
      <c r="G1555" s="48" t="n">
        <v>2087</v>
      </c>
      <c r="H1555" s="48" t="n">
        <v>1906</v>
      </c>
      <c r="I1555" s="48" t="n">
        <v>1960</v>
      </c>
      <c r="J1555" s="48" t="n">
        <v>1911</v>
      </c>
      <c r="K1555" s="48" t="n">
        <v>2031</v>
      </c>
      <c r="L1555" s="48" t="n">
        <v>83930230</v>
      </c>
      <c r="M1555" s="48" t="n">
        <v>164503250800</v>
      </c>
      <c r="N1555" s="48" t="n">
        <v>4329</v>
      </c>
      <c r="O1555" s="48" t="n">
        <v>31471286</v>
      </c>
      <c r="P1555" s="48" t="n">
        <v>40241982</v>
      </c>
      <c r="Q1555" s="48" t="n">
        <v>2338</v>
      </c>
      <c r="R1555" s="48" t="n">
        <v>2054</v>
      </c>
      <c r="S1555" s="48" t="n">
        <v>52458944</v>
      </c>
      <c r="T1555" s="48" t="n">
        <v>43688248</v>
      </c>
      <c r="U1555" s="46" t="n">
        <f aca="false">IF($A1555=$A1554,$U1554+1,1)</f>
        <v>251</v>
      </c>
      <c r="V1555" s="48" t="n">
        <f aca="false">IF($U1555&gt;=MA_SHORT,AVERAGE(INDEX($I$1155:$I1555,402-MA_SHORT):$I1555),"")</f>
        <v>1937.7</v>
      </c>
      <c r="W1555" s="48" t="n">
        <f aca="false">IF($U1555&gt;=MA_MED,AVERAGE(INDEX($I$1155:$I1555,402-MA_MED):$I1555),"")</f>
        <v>1770.06</v>
      </c>
      <c r="X1555" s="48" t="n">
        <f aca="false">IF($U1555&gt;=MA_LONG1,AVERAGE(INDEX($I$1155:$I1555,402-MA_LONG1):$I1555),"")</f>
        <v>1707.57</v>
      </c>
      <c r="Y1555" s="48" t="n">
        <f aca="false">IF($U1555&gt;=MA_LONG2,AVERAGE(INDEX($I$1155:$I1555,402-MA_LONG2):$I1555),"")</f>
        <v>1637.985</v>
      </c>
      <c r="Z1555" s="48" t="n">
        <f aca="false">IF($U1555&gt;=MA_SHORT,AVERAGE(INDEX($L$1435:$L1555,122-MA_SHORT):$L1555),"")</f>
        <v>99973523.75</v>
      </c>
      <c r="AA1555" s="48" t="n">
        <f aca="false">IF($U1555=1,$G1555-$H1555,MAX($G1555-$H1555,ABS($G1555-$I1554),ABS($H1555-$I1554)))</f>
        <v>181</v>
      </c>
      <c r="AB1555" s="48" t="n">
        <f aca="false">IF($U1555&gt;=ATR_PER,AVERAGE(INDEX($AA$1435:$AA1555,122-ATR_PER):$AA1555),"")</f>
        <v>74</v>
      </c>
      <c r="AC1555" s="48" t="n">
        <f aca="false">$O1555-$P1555</f>
        <v>-8770696</v>
      </c>
      <c r="AD1555" s="48" t="n">
        <f aca="false">$AC1555*$I1555</f>
        <v>-17190564160</v>
      </c>
      <c r="AE1555" s="49" t="n">
        <f aca="false">IF($Q1555&gt;0,$O1555*$I1555/$Q1555/1000000,"")</f>
        <v>26.383114011976</v>
      </c>
      <c r="AF1555" s="49" t="n">
        <f aca="false">IF($R1555&gt;0,$P1555*$I1555/$R1555/1000000,"")</f>
        <v>38.4003333592989</v>
      </c>
      <c r="AG1555" s="50" t="n">
        <f aca="false">IF(AND(ISNUMBER($AE1555),ISNUMBER($AF1555),$AF1555&gt;0),$AE1555/$AF1555,"")</f>
        <v>0.687054296250977</v>
      </c>
      <c r="AH1555" s="48" t="n">
        <f aca="false">IF($U1555&gt;=5,SUM(INDEX($AD$1525:$AD1555,32-5):$AD1555),"")</f>
        <v>86663390646</v>
      </c>
      <c r="AI1555" s="48" t="n">
        <f aca="false">IF($U1555&gt;=STRUCT_S,MAX(INDEX($G$1405:$G1555,152-STRUCT_S):$G1555),"")</f>
        <v>2087</v>
      </c>
      <c r="AJ1555" s="48" t="n">
        <f aca="false">IF($U1555&gt;=STRUCT_S,MIN(INDEX($H$1405:$H1555,152-STRUCT_S):$H1555),"")</f>
        <v>1840</v>
      </c>
      <c r="AK1555" s="48" t="n">
        <f aca="false">IF($U1555&gt;=STRUCT_L,MAX(INDEX($G$1305:$G1555,252-STRUCT_L):$G1555),"")</f>
        <v>2087</v>
      </c>
      <c r="AL1555" s="48" t="n">
        <f aca="false">IF($U1555&gt;=STRUCT_L,MIN(INDEX($H$1305:$H1555,252-STRUCT_L):$H1555),"")</f>
        <v>1447</v>
      </c>
      <c r="AM1555" s="46" t="n">
        <f aca="false">IF($A1555&lt;&gt;$A1556,1,0)</f>
        <v>0</v>
      </c>
      <c r="AN1555" s="47" t="str">
        <f aca="false">IF($AM1555=1,$A1555,"")</f>
        <v/>
      </c>
    </row>
    <row r="1556" customFormat="false" ht="15" hidden="false" customHeight="false" outlineLevel="0" collapsed="false">
      <c r="A1556" s="43" t="s">
        <v>157</v>
      </c>
      <c r="B1556" s="44" t="s">
        <v>159</v>
      </c>
      <c r="C1556" s="45" t="n">
        <v>46257</v>
      </c>
      <c r="D1556" s="46" t="n">
        <v>20260823</v>
      </c>
      <c r="E1556" s="47" t="s">
        <v>539</v>
      </c>
      <c r="F1556" s="48" t="n">
        <v>1931</v>
      </c>
      <c r="G1556" s="48" t="n">
        <v>1969</v>
      </c>
      <c r="H1556" s="48" t="n">
        <v>1923</v>
      </c>
      <c r="I1556" s="48" t="n">
        <v>1932</v>
      </c>
      <c r="J1556" s="48" t="n">
        <v>1962</v>
      </c>
      <c r="K1556" s="48" t="n">
        <v>1960</v>
      </c>
      <c r="L1556" s="48" t="n">
        <v>73677430</v>
      </c>
      <c r="M1556" s="48" t="n">
        <v>142344794760</v>
      </c>
      <c r="N1556" s="48" t="n">
        <v>3192</v>
      </c>
      <c r="O1556" s="48" t="n">
        <v>34972937</v>
      </c>
      <c r="P1556" s="48" t="n">
        <v>42721361</v>
      </c>
      <c r="Q1556" s="48" t="n">
        <v>1572</v>
      </c>
      <c r="R1556" s="48" t="n">
        <v>1337</v>
      </c>
      <c r="S1556" s="48" t="n">
        <v>38704493</v>
      </c>
      <c r="T1556" s="48" t="n">
        <v>30956069</v>
      </c>
      <c r="U1556" s="46" t="n">
        <f aca="false">IF($A1556=$A1555,$U1555+1,1)</f>
        <v>252</v>
      </c>
      <c r="V1556" s="48" t="n">
        <f aca="false">IF($U1556&gt;=MA_SHORT,AVERAGE(INDEX($I$1156:$I1556,402-MA_SHORT):$I1556),"")</f>
        <v>1939.75</v>
      </c>
      <c r="W1556" s="48" t="n">
        <f aca="false">IF($U1556&gt;=MA_MED,AVERAGE(INDEX($I$1156:$I1556,402-MA_MED):$I1556),"")</f>
        <v>1777.36</v>
      </c>
      <c r="X1556" s="48" t="n">
        <f aca="false">IF($U1556&gt;=MA_LONG1,AVERAGE(INDEX($I$1156:$I1556,402-MA_LONG1):$I1556),"")</f>
        <v>1709.08</v>
      </c>
      <c r="Y1556" s="48" t="n">
        <f aca="false">IF($U1556&gt;=MA_LONG2,AVERAGE(INDEX($I$1156:$I1556,402-MA_LONG2):$I1556),"")</f>
        <v>1639.59</v>
      </c>
      <c r="Z1556" s="48" t="n">
        <f aca="false">IF($U1556&gt;=MA_SHORT,AVERAGE(INDEX($L$1436:$L1556,122-MA_SHORT):$L1556),"")</f>
        <v>99535406.25</v>
      </c>
      <c r="AA1556" s="48" t="n">
        <f aca="false">IF($U1556=1,$G1556-$H1556,MAX($G1556-$H1556,ABS($G1556-$I1555),ABS($H1556-$I1555)))</f>
        <v>46</v>
      </c>
      <c r="AB1556" s="48" t="n">
        <f aca="false">IF($U1556&gt;=ATR_PER,AVERAGE(INDEX($AA$1436:$AA1556,122-ATR_PER):$AA1556),"")</f>
        <v>73.2857142857143</v>
      </c>
      <c r="AC1556" s="48" t="n">
        <f aca="false">$O1556-$P1556</f>
        <v>-7748424</v>
      </c>
      <c r="AD1556" s="48" t="n">
        <f aca="false">$AC1556*$I1556</f>
        <v>-14969955168</v>
      </c>
      <c r="AE1556" s="49" t="n">
        <f aca="false">IF($Q1556&gt;0,$O1556*$I1556/$Q1556/1000000,"")</f>
        <v>42.9820065419847</v>
      </c>
      <c r="AF1556" s="49" t="n">
        <f aca="false">IF($R1556&gt;0,$P1556*$I1556/$R1556/1000000,"")</f>
        <v>61.7334850052356</v>
      </c>
      <c r="AG1556" s="50" t="n">
        <f aca="false">IF(AND(ISNUMBER($AE1556),ISNUMBER($AF1556),$AF1556&gt;0),$AE1556/$AF1556,"")</f>
        <v>0.696251095144547</v>
      </c>
      <c r="AH1556" s="48" t="n">
        <f aca="false">IF($U1556&gt;=5,SUM(INDEX($AD$1526:$AD1556,32-5):$AD1556),"")</f>
        <v>52295367222</v>
      </c>
      <c r="AI1556" s="48" t="n">
        <f aca="false">IF($U1556&gt;=STRUCT_S,MAX(INDEX($G$1406:$G1556,152-STRUCT_S):$G1556),"")</f>
        <v>2087</v>
      </c>
      <c r="AJ1556" s="48" t="n">
        <f aca="false">IF($U1556&gt;=STRUCT_S,MIN(INDEX($H$1406:$H1556,152-STRUCT_S):$H1556),"")</f>
        <v>1840</v>
      </c>
      <c r="AK1556" s="48" t="n">
        <f aca="false">IF($U1556&gt;=STRUCT_L,MAX(INDEX($G$1306:$G1556,252-STRUCT_L):$G1556),"")</f>
        <v>2087</v>
      </c>
      <c r="AL1556" s="48" t="n">
        <f aca="false">IF($U1556&gt;=STRUCT_L,MIN(INDEX($H$1306:$H1556,252-STRUCT_L):$H1556),"")</f>
        <v>1447</v>
      </c>
      <c r="AM1556" s="46" t="n">
        <f aca="false">IF($A1556&lt;&gt;$A1557,1,0)</f>
        <v>0</v>
      </c>
      <c r="AN1556" s="47" t="str">
        <f aca="false">IF($AM1556=1,$A1556,"")</f>
        <v/>
      </c>
    </row>
    <row r="1557" customFormat="false" ht="15" hidden="false" customHeight="false" outlineLevel="0" collapsed="false">
      <c r="A1557" s="43" t="s">
        <v>157</v>
      </c>
      <c r="B1557" s="44" t="s">
        <v>159</v>
      </c>
      <c r="C1557" s="45" t="n">
        <v>46258</v>
      </c>
      <c r="D1557" s="46" t="n">
        <v>20260824</v>
      </c>
      <c r="E1557" s="47" t="s">
        <v>540</v>
      </c>
      <c r="F1557" s="48" t="n">
        <v>1944</v>
      </c>
      <c r="G1557" s="48" t="n">
        <v>1950</v>
      </c>
      <c r="H1557" s="48" t="n">
        <v>1913</v>
      </c>
      <c r="I1557" s="48" t="n">
        <v>1931</v>
      </c>
      <c r="J1557" s="48" t="n">
        <v>1924</v>
      </c>
      <c r="K1557" s="48" t="n">
        <v>1932</v>
      </c>
      <c r="L1557" s="48" t="n">
        <v>68071539</v>
      </c>
      <c r="M1557" s="48" t="n">
        <v>131446141809</v>
      </c>
      <c r="N1557" s="48" t="n">
        <v>4096</v>
      </c>
      <c r="O1557" s="48" t="n">
        <v>29673030</v>
      </c>
      <c r="P1557" s="48" t="n">
        <v>38840239</v>
      </c>
      <c r="Q1557" s="48" t="n">
        <v>1928</v>
      </c>
      <c r="R1557" s="48" t="n">
        <v>1866</v>
      </c>
      <c r="S1557" s="48" t="n">
        <v>38398509</v>
      </c>
      <c r="T1557" s="48" t="n">
        <v>29231300</v>
      </c>
      <c r="U1557" s="46" t="n">
        <f aca="false">IF($A1557=$A1556,$U1556+1,1)</f>
        <v>253</v>
      </c>
      <c r="V1557" s="48" t="n">
        <f aca="false">IF($U1557&gt;=MA_SHORT,AVERAGE(INDEX($I$1157:$I1557,402-MA_SHORT):$I1557),"")</f>
        <v>1943.4</v>
      </c>
      <c r="W1557" s="48" t="n">
        <f aca="false">IF($U1557&gt;=MA_MED,AVERAGE(INDEX($I$1157:$I1557,402-MA_MED):$I1557),"")</f>
        <v>1784.8</v>
      </c>
      <c r="X1557" s="48" t="n">
        <f aca="false">IF($U1557&gt;=MA_LONG1,AVERAGE(INDEX($I$1157:$I1557,402-MA_LONG1):$I1557),"")</f>
        <v>1711.08</v>
      </c>
      <c r="Y1557" s="48" t="n">
        <f aca="false">IF($U1557&gt;=MA_LONG2,AVERAGE(INDEX($I$1157:$I1557,402-MA_LONG2):$I1557),"")</f>
        <v>1641.25</v>
      </c>
      <c r="Z1557" s="48" t="n">
        <f aca="false">IF($U1557&gt;=MA_SHORT,AVERAGE(INDEX($L$1437:$L1557,122-MA_SHORT):$L1557),"")</f>
        <v>99190670.35</v>
      </c>
      <c r="AA1557" s="48" t="n">
        <f aca="false">IF($U1557=1,$G1557-$H1557,MAX($G1557-$H1557,ABS($G1557-$I1556),ABS($H1557-$I1556)))</f>
        <v>37</v>
      </c>
      <c r="AB1557" s="48" t="n">
        <f aca="false">IF($U1557&gt;=ATR_PER,AVERAGE(INDEX($AA$1437:$AA1557,122-ATR_PER):$AA1557),"")</f>
        <v>66.0714285714286</v>
      </c>
      <c r="AC1557" s="48" t="n">
        <f aca="false">$O1557-$P1557</f>
        <v>-9167209</v>
      </c>
      <c r="AD1557" s="48" t="n">
        <f aca="false">$AC1557*$I1557</f>
        <v>-17701880579</v>
      </c>
      <c r="AE1557" s="49" t="n">
        <f aca="false">IF($Q1557&gt;0,$O1557*$I1557/$Q1557/1000000,"")</f>
        <v>29.7192017271784</v>
      </c>
      <c r="AF1557" s="49" t="n">
        <f aca="false">IF($R1557&gt;0,$P1557*$I1557/$R1557/1000000,"")</f>
        <v>40.1931948065381</v>
      </c>
      <c r="AG1557" s="50" t="n">
        <f aca="false">IF(AND(ISNUMBER($AE1557),ISNUMBER($AF1557),$AF1557&gt;0),$AE1557/$AF1557,"")</f>
        <v>0.73940879470333</v>
      </c>
      <c r="AH1557" s="48" t="n">
        <f aca="false">IF($U1557&gt;=5,SUM(INDEX($AD$1527:$AD1557,32-5):$AD1557),"")</f>
        <v>-43372505516</v>
      </c>
      <c r="AI1557" s="48" t="n">
        <f aca="false">IF($U1557&gt;=STRUCT_S,MAX(INDEX($G$1407:$G1557,152-STRUCT_S):$G1557),"")</f>
        <v>2087</v>
      </c>
      <c r="AJ1557" s="48" t="n">
        <f aca="false">IF($U1557&gt;=STRUCT_S,MIN(INDEX($H$1407:$H1557,152-STRUCT_S):$H1557),"")</f>
        <v>1840</v>
      </c>
      <c r="AK1557" s="48" t="n">
        <f aca="false">IF($U1557&gt;=STRUCT_L,MAX(INDEX($G$1307:$G1557,252-STRUCT_L):$G1557),"")</f>
        <v>2087</v>
      </c>
      <c r="AL1557" s="48" t="n">
        <f aca="false">IF($U1557&gt;=STRUCT_L,MIN(INDEX($H$1307:$H1557,252-STRUCT_L):$H1557),"")</f>
        <v>1447</v>
      </c>
      <c r="AM1557" s="46" t="n">
        <f aca="false">IF($A1557&lt;&gt;$A1558,1,0)</f>
        <v>0</v>
      </c>
      <c r="AN1557" s="47" t="str">
        <f aca="false">IF($AM1557=1,$A1557,"")</f>
        <v/>
      </c>
    </row>
    <row r="1558" customFormat="false" ht="15" hidden="false" customHeight="false" outlineLevel="0" collapsed="false">
      <c r="A1558" s="43" t="s">
        <v>157</v>
      </c>
      <c r="B1558" s="44" t="s">
        <v>159</v>
      </c>
      <c r="C1558" s="45" t="n">
        <v>46259</v>
      </c>
      <c r="D1558" s="46" t="n">
        <v>20260825</v>
      </c>
      <c r="E1558" s="47" t="s">
        <v>541</v>
      </c>
      <c r="F1558" s="48" t="n">
        <v>1967</v>
      </c>
      <c r="G1558" s="48" t="n">
        <v>2005</v>
      </c>
      <c r="H1558" s="48" t="n">
        <v>1922</v>
      </c>
      <c r="I1558" s="48" t="n">
        <v>1996</v>
      </c>
      <c r="J1558" s="48" t="n">
        <v>1967</v>
      </c>
      <c r="K1558" s="48" t="n">
        <v>1931</v>
      </c>
      <c r="L1558" s="48" t="n">
        <v>81566492</v>
      </c>
      <c r="M1558" s="48" t="n">
        <v>162806718032</v>
      </c>
      <c r="N1558" s="48" t="n">
        <v>7787</v>
      </c>
      <c r="O1558" s="48" t="n">
        <v>47524938</v>
      </c>
      <c r="P1558" s="48" t="n">
        <v>31708730</v>
      </c>
      <c r="Q1558" s="48" t="n">
        <v>2587</v>
      </c>
      <c r="R1558" s="48" t="n">
        <v>2647</v>
      </c>
      <c r="S1558" s="48" t="n">
        <v>34041554</v>
      </c>
      <c r="T1558" s="48" t="n">
        <v>49857762</v>
      </c>
      <c r="U1558" s="46" t="n">
        <f aca="false">IF($A1558=$A1557,$U1557+1,1)</f>
        <v>254</v>
      </c>
      <c r="V1558" s="48" t="n">
        <f aca="false">IF($U1558&gt;=MA_SHORT,AVERAGE(INDEX($I$1158:$I1558,402-MA_SHORT):$I1558),"")</f>
        <v>1949.95</v>
      </c>
      <c r="W1558" s="48" t="n">
        <f aca="false">IF($U1558&gt;=MA_MED,AVERAGE(INDEX($I$1158:$I1558,402-MA_MED):$I1558),"")</f>
        <v>1794.28</v>
      </c>
      <c r="X1558" s="48" t="n">
        <f aca="false">IF($U1558&gt;=MA_LONG1,AVERAGE(INDEX($I$1158:$I1558,402-MA_LONG1):$I1558),"")</f>
        <v>1713.86</v>
      </c>
      <c r="Y1558" s="48" t="n">
        <f aca="false">IF($U1558&gt;=MA_LONG2,AVERAGE(INDEX($I$1158:$I1558,402-MA_LONG2):$I1558),"")</f>
        <v>1643.235</v>
      </c>
      <c r="Z1558" s="48" t="n">
        <f aca="false">IF($U1558&gt;=MA_SHORT,AVERAGE(INDEX($L$1438:$L1558,122-MA_SHORT):$L1558),"")</f>
        <v>99799255.9</v>
      </c>
      <c r="AA1558" s="48" t="n">
        <f aca="false">IF($U1558=1,$G1558-$H1558,MAX($G1558-$H1558,ABS($G1558-$I1557),ABS($H1558-$I1557)))</f>
        <v>83</v>
      </c>
      <c r="AB1558" s="48" t="n">
        <f aca="false">IF($U1558&gt;=ATR_PER,AVERAGE(INDEX($AA$1438:$AA1558,122-ATR_PER):$AA1558),"")</f>
        <v>66.7142857142857</v>
      </c>
      <c r="AC1558" s="48" t="n">
        <f aca="false">$O1558-$P1558</f>
        <v>15816208</v>
      </c>
      <c r="AD1558" s="48" t="n">
        <f aca="false">$AC1558*$I1558</f>
        <v>31569151168</v>
      </c>
      <c r="AE1558" s="49" t="n">
        <f aca="false">IF($Q1558&gt;0,$O1558*$I1558/$Q1558/1000000,"")</f>
        <v>36.6678686695014</v>
      </c>
      <c r="AF1558" s="49" t="n">
        <f aca="false">IF($R1558&gt;0,$P1558*$I1558/$R1558/1000000,"")</f>
        <v>23.9103230374008</v>
      </c>
      <c r="AG1558" s="50" t="n">
        <f aca="false">IF(AND(ISNUMBER($AE1558),ISNUMBER($AF1558),$AF1558&gt;0),$AE1558/$AF1558,"")</f>
        <v>1.53355806243793</v>
      </c>
      <c r="AH1558" s="48" t="n">
        <f aca="false">IF($U1558&gt;=5,SUM(INDEX($AD$1528:$AD1558,32-5):$AD1558),"")</f>
        <v>-6177854423</v>
      </c>
      <c r="AI1558" s="48" t="n">
        <f aca="false">IF($U1558&gt;=STRUCT_S,MAX(INDEX($G$1408:$G1558,152-STRUCT_S):$G1558),"")</f>
        <v>2087</v>
      </c>
      <c r="AJ1558" s="48" t="n">
        <f aca="false">IF($U1558&gt;=STRUCT_S,MIN(INDEX($H$1408:$H1558,152-STRUCT_S):$H1558),"")</f>
        <v>1840</v>
      </c>
      <c r="AK1558" s="48" t="n">
        <f aca="false">IF($U1558&gt;=STRUCT_L,MAX(INDEX($G$1308:$G1558,252-STRUCT_L):$G1558),"")</f>
        <v>2087</v>
      </c>
      <c r="AL1558" s="48" t="n">
        <f aca="false">IF($U1558&gt;=STRUCT_L,MIN(INDEX($H$1308:$H1558,252-STRUCT_L):$H1558),"")</f>
        <v>1447</v>
      </c>
      <c r="AM1558" s="46" t="n">
        <f aca="false">IF($A1558&lt;&gt;$A1559,1,0)</f>
        <v>0</v>
      </c>
      <c r="AN1558" s="47" t="str">
        <f aca="false">IF($AM1558=1,$A1558,"")</f>
        <v/>
      </c>
    </row>
    <row r="1559" customFormat="false" ht="15" hidden="false" customHeight="false" outlineLevel="0" collapsed="false">
      <c r="A1559" s="43" t="s">
        <v>157</v>
      </c>
      <c r="B1559" s="44" t="s">
        <v>159</v>
      </c>
      <c r="C1559" s="45" t="n">
        <v>46260</v>
      </c>
      <c r="D1559" s="46" t="n">
        <v>20260826</v>
      </c>
      <c r="E1559" s="47" t="s">
        <v>542</v>
      </c>
      <c r="F1559" s="48" t="n">
        <v>1952</v>
      </c>
      <c r="G1559" s="48" t="n">
        <v>2023</v>
      </c>
      <c r="H1559" s="48" t="n">
        <v>1945</v>
      </c>
      <c r="I1559" s="48" t="n">
        <v>1971</v>
      </c>
      <c r="J1559" s="48" t="n">
        <v>2014</v>
      </c>
      <c r="K1559" s="48" t="n">
        <v>1996</v>
      </c>
      <c r="L1559" s="48" t="n">
        <v>72960550</v>
      </c>
      <c r="M1559" s="48" t="n">
        <v>143805244050</v>
      </c>
      <c r="N1559" s="48" t="n">
        <v>1940</v>
      </c>
      <c r="O1559" s="48" t="n">
        <v>29005583</v>
      </c>
      <c r="P1559" s="48" t="n">
        <v>39036158</v>
      </c>
      <c r="Q1559" s="48" t="n">
        <v>622</v>
      </c>
      <c r="R1559" s="48" t="n">
        <v>673</v>
      </c>
      <c r="S1559" s="48" t="n">
        <v>43954967</v>
      </c>
      <c r="T1559" s="48" t="n">
        <v>33924392</v>
      </c>
      <c r="U1559" s="46" t="n">
        <f aca="false">IF($A1559=$A1558,$U1558+1,1)</f>
        <v>255</v>
      </c>
      <c r="V1559" s="48" t="n">
        <f aca="false">IF($U1559&gt;=MA_SHORT,AVERAGE(INDEX($I$1159:$I1559,402-MA_SHORT):$I1559),"")</f>
        <v>1955.95</v>
      </c>
      <c r="W1559" s="48" t="n">
        <f aca="false">IF($U1559&gt;=MA_MED,AVERAGE(INDEX($I$1159:$I1559,402-MA_MED):$I1559),"")</f>
        <v>1802.68</v>
      </c>
      <c r="X1559" s="48" t="n">
        <f aca="false">IF($U1559&gt;=MA_LONG1,AVERAGE(INDEX($I$1159:$I1559,402-MA_LONG1):$I1559),"")</f>
        <v>1715.87</v>
      </c>
      <c r="Y1559" s="48" t="n">
        <f aca="false">IF($U1559&gt;=MA_LONG2,AVERAGE(INDEX($I$1159:$I1559,402-MA_LONG2):$I1559),"")</f>
        <v>1645.17</v>
      </c>
      <c r="Z1559" s="48" t="n">
        <f aca="false">IF($U1559&gt;=MA_SHORT,AVERAGE(INDEX($L$1439:$L1559,122-MA_SHORT):$L1559),"")</f>
        <v>99901420.6</v>
      </c>
      <c r="AA1559" s="48" t="n">
        <f aca="false">IF($U1559=1,$G1559-$H1559,MAX($G1559-$H1559,ABS($G1559-$I1558),ABS($H1559-$I1558)))</f>
        <v>78</v>
      </c>
      <c r="AB1559" s="48" t="n">
        <f aca="false">IF($U1559&gt;=ATR_PER,AVERAGE(INDEX($AA$1439:$AA1559,122-ATR_PER):$AA1559),"")</f>
        <v>67</v>
      </c>
      <c r="AC1559" s="48" t="n">
        <f aca="false">$O1559-$P1559</f>
        <v>-10030575</v>
      </c>
      <c r="AD1559" s="48" t="n">
        <f aca="false">$AC1559*$I1559</f>
        <v>-19770263325</v>
      </c>
      <c r="AE1559" s="49" t="n">
        <f aca="false">IF($Q1559&gt;0,$O1559*$I1559/$Q1559/1000000,"")</f>
        <v>91.9131898601286</v>
      </c>
      <c r="AF1559" s="49" t="n">
        <f aca="false">IF($R1559&gt;0,$P1559*$I1559/$R1559/1000000,"")</f>
        <v>114.324320086181</v>
      </c>
      <c r="AG1559" s="50" t="n">
        <f aca="false">IF(AND(ISNUMBER($AE1559),ISNUMBER($AF1559),$AF1559&gt;0),$AE1559/$AF1559,"")</f>
        <v>0.80396882999909</v>
      </c>
      <c r="AH1559" s="48" t="n">
        <f aca="false">IF($U1559&gt;=5,SUM(INDEX($AD$1529:$AD1559,32-5):$AD1559),"")</f>
        <v>-38063512064</v>
      </c>
      <c r="AI1559" s="48" t="n">
        <f aca="false">IF($U1559&gt;=STRUCT_S,MAX(INDEX($G$1409:$G1559,152-STRUCT_S):$G1559),"")</f>
        <v>2087</v>
      </c>
      <c r="AJ1559" s="48" t="n">
        <f aca="false">IF($U1559&gt;=STRUCT_S,MIN(INDEX($H$1409:$H1559,152-STRUCT_S):$H1559),"")</f>
        <v>1841</v>
      </c>
      <c r="AK1559" s="48" t="n">
        <f aca="false">IF($U1559&gt;=STRUCT_L,MAX(INDEX($G$1309:$G1559,252-STRUCT_L):$G1559),"")</f>
        <v>2087</v>
      </c>
      <c r="AL1559" s="48" t="n">
        <f aca="false">IF($U1559&gt;=STRUCT_L,MIN(INDEX($H$1309:$H1559,252-STRUCT_L):$H1559),"")</f>
        <v>1447</v>
      </c>
      <c r="AM1559" s="46" t="n">
        <f aca="false">IF($A1559&lt;&gt;$A1560,1,0)</f>
        <v>0</v>
      </c>
      <c r="AN1559" s="47" t="str">
        <f aca="false">IF($AM1559=1,$A1559,"")</f>
        <v/>
      </c>
    </row>
    <row r="1560" customFormat="false" ht="15" hidden="false" customHeight="false" outlineLevel="0" collapsed="false">
      <c r="A1560" s="43" t="s">
        <v>157</v>
      </c>
      <c r="B1560" s="44" t="s">
        <v>159</v>
      </c>
      <c r="C1560" s="45" t="n">
        <v>46263</v>
      </c>
      <c r="D1560" s="46" t="n">
        <v>20260829</v>
      </c>
      <c r="E1560" s="47" t="s">
        <v>543</v>
      </c>
      <c r="F1560" s="48" t="n">
        <v>1917</v>
      </c>
      <c r="G1560" s="48" t="n">
        <v>1980</v>
      </c>
      <c r="H1560" s="48" t="n">
        <v>1903</v>
      </c>
      <c r="I1560" s="48" t="n">
        <v>1912</v>
      </c>
      <c r="J1560" s="48" t="n">
        <v>1928</v>
      </c>
      <c r="K1560" s="48" t="n">
        <v>1971</v>
      </c>
      <c r="L1560" s="48" t="n">
        <v>80048879</v>
      </c>
      <c r="M1560" s="48" t="n">
        <v>153053456648</v>
      </c>
      <c r="N1560" s="48" t="n">
        <v>2153</v>
      </c>
      <c r="O1560" s="48" t="n">
        <v>28782139</v>
      </c>
      <c r="P1560" s="48" t="n">
        <v>54810275</v>
      </c>
      <c r="Q1560" s="48" t="n">
        <v>952</v>
      </c>
      <c r="R1560" s="48" t="n">
        <v>1005</v>
      </c>
      <c r="S1560" s="48" t="n">
        <v>51266740</v>
      </c>
      <c r="T1560" s="48" t="n">
        <v>25238604</v>
      </c>
      <c r="U1560" s="46" t="n">
        <f aca="false">IF($A1560=$A1559,$U1559+1,1)</f>
        <v>256</v>
      </c>
      <c r="V1560" s="48" t="n">
        <f aca="false">IF($U1560&gt;=MA_SHORT,AVERAGE(INDEX($I$1160:$I1560,402-MA_SHORT):$I1560),"")</f>
        <v>1956.25</v>
      </c>
      <c r="W1560" s="48" t="n">
        <f aca="false">IF($U1560&gt;=MA_MED,AVERAGE(INDEX($I$1160:$I1560,402-MA_MED):$I1560),"")</f>
        <v>1810.26</v>
      </c>
      <c r="X1560" s="48" t="n">
        <f aca="false">IF($U1560&gt;=MA_LONG1,AVERAGE(INDEX($I$1160:$I1560,402-MA_LONG1):$I1560),"")</f>
        <v>1716.42</v>
      </c>
      <c r="Y1560" s="48" t="n">
        <f aca="false">IF($U1560&gt;=MA_LONG2,AVERAGE(INDEX($I$1160:$I1560,402-MA_LONG2):$I1560),"")</f>
        <v>1647.07</v>
      </c>
      <c r="Z1560" s="48" t="n">
        <f aca="false">IF($U1560&gt;=MA_SHORT,AVERAGE(INDEX($L$1440:$L1560,122-MA_SHORT):$L1560),"")</f>
        <v>94011727.15</v>
      </c>
      <c r="AA1560" s="48" t="n">
        <f aca="false">IF($U1560=1,$G1560-$H1560,MAX($G1560-$H1560,ABS($G1560-$I1559),ABS($H1560-$I1559)))</f>
        <v>77</v>
      </c>
      <c r="AB1560" s="48" t="n">
        <f aca="false">IF($U1560&gt;=ATR_PER,AVERAGE(INDEX($AA$1440:$AA1560,122-ATR_PER):$AA1560),"")</f>
        <v>67.9285714285714</v>
      </c>
      <c r="AC1560" s="48" t="n">
        <f aca="false">$O1560-$P1560</f>
        <v>-26028136</v>
      </c>
      <c r="AD1560" s="48" t="n">
        <f aca="false">$AC1560*$I1560</f>
        <v>-49765796032</v>
      </c>
      <c r="AE1560" s="49" t="n">
        <f aca="false">IF($Q1560&gt;0,$O1560*$I1560/$Q1560/1000000,"")</f>
        <v>57.8061447142857</v>
      </c>
      <c r="AF1560" s="49" t="n">
        <f aca="false">IF($R1560&gt;0,$P1560*$I1560/$R1560/1000000,"")</f>
        <v>104.275866467662</v>
      </c>
      <c r="AG1560" s="50" t="n">
        <f aca="false">IF(AND(ISNUMBER($AE1560),ISNUMBER($AF1560),$AF1560&gt;0),$AE1560/$AF1560,"")</f>
        <v>0.554357845899202</v>
      </c>
      <c r="AH1560" s="48" t="n">
        <f aca="false">IF($U1560&gt;=5,SUM(INDEX($AD$1530:$AD1560,32-5):$AD1560),"")</f>
        <v>-70638743936</v>
      </c>
      <c r="AI1560" s="48" t="n">
        <f aca="false">IF($U1560&gt;=STRUCT_S,MAX(INDEX($G$1410:$G1560,152-STRUCT_S):$G1560),"")</f>
        <v>2087</v>
      </c>
      <c r="AJ1560" s="48" t="n">
        <f aca="false">IF($U1560&gt;=STRUCT_S,MIN(INDEX($H$1410:$H1560,152-STRUCT_S):$H1560),"")</f>
        <v>1841</v>
      </c>
      <c r="AK1560" s="48" t="n">
        <f aca="false">IF($U1560&gt;=STRUCT_L,MAX(INDEX($G$1310:$G1560,252-STRUCT_L):$G1560),"")</f>
        <v>2087</v>
      </c>
      <c r="AL1560" s="48" t="n">
        <f aca="false">IF($U1560&gt;=STRUCT_L,MIN(INDEX($H$1310:$H1560,252-STRUCT_L):$H1560),"")</f>
        <v>1447</v>
      </c>
      <c r="AM1560" s="46" t="n">
        <f aca="false">IF($A1560&lt;&gt;$A1561,1,0)</f>
        <v>0</v>
      </c>
      <c r="AN1560" s="47" t="str">
        <f aca="false">IF($AM1560=1,$A1560,"")</f>
        <v/>
      </c>
    </row>
    <row r="1561" customFormat="false" ht="15" hidden="false" customHeight="false" outlineLevel="0" collapsed="false">
      <c r="A1561" s="43" t="s">
        <v>157</v>
      </c>
      <c r="B1561" s="44" t="s">
        <v>159</v>
      </c>
      <c r="C1561" s="45" t="n">
        <v>46264</v>
      </c>
      <c r="D1561" s="46" t="n">
        <v>20260830</v>
      </c>
      <c r="E1561" s="47" t="s">
        <v>544</v>
      </c>
      <c r="F1561" s="48" t="n">
        <v>1943</v>
      </c>
      <c r="G1561" s="48" t="n">
        <v>1969</v>
      </c>
      <c r="H1561" s="48" t="n">
        <v>1895</v>
      </c>
      <c r="I1561" s="48" t="n">
        <v>1952</v>
      </c>
      <c r="J1561" s="48" t="n">
        <v>1896</v>
      </c>
      <c r="K1561" s="48" t="n">
        <v>1912</v>
      </c>
      <c r="L1561" s="48" t="n">
        <v>156539037</v>
      </c>
      <c r="M1561" s="48" t="n">
        <v>305564200224</v>
      </c>
      <c r="N1561" s="48" t="n">
        <v>8253</v>
      </c>
      <c r="O1561" s="48" t="n">
        <v>94476616</v>
      </c>
      <c r="P1561" s="48" t="n">
        <v>66851705</v>
      </c>
      <c r="Q1561" s="48" t="n">
        <v>4042</v>
      </c>
      <c r="R1561" s="48" t="n">
        <v>3419</v>
      </c>
      <c r="S1561" s="48" t="n">
        <v>62062421</v>
      </c>
      <c r="T1561" s="48" t="n">
        <v>89687332</v>
      </c>
      <c r="U1561" s="46" t="n">
        <f aca="false">IF($A1561=$A1560,$U1560+1,1)</f>
        <v>257</v>
      </c>
      <c r="V1561" s="48" t="n">
        <f aca="false">IF($U1561&gt;=MA_SHORT,AVERAGE(INDEX($I$1161:$I1561,402-MA_SHORT):$I1561),"")</f>
        <v>1960.6</v>
      </c>
      <c r="W1561" s="48" t="n">
        <f aca="false">IF($U1561&gt;=MA_MED,AVERAGE(INDEX($I$1161:$I1561,402-MA_MED):$I1561),"")</f>
        <v>1818.3</v>
      </c>
      <c r="X1561" s="48" t="n">
        <f aca="false">IF($U1561&gt;=MA_LONG1,AVERAGE(INDEX($I$1161:$I1561,402-MA_LONG1):$I1561),"")</f>
        <v>1717.51</v>
      </c>
      <c r="Y1561" s="48" t="n">
        <f aca="false">IF($U1561&gt;=MA_LONG2,AVERAGE(INDEX($I$1161:$I1561,402-MA_LONG2):$I1561),"")</f>
        <v>1649.115</v>
      </c>
      <c r="Z1561" s="48" t="n">
        <f aca="false">IF($U1561&gt;=MA_SHORT,AVERAGE(INDEX($L$1441:$L1561,122-MA_SHORT):$L1561),"")</f>
        <v>97701997.45</v>
      </c>
      <c r="AA1561" s="48" t="n">
        <f aca="false">IF($U1561=1,$G1561-$H1561,MAX($G1561-$H1561,ABS($G1561-$I1560),ABS($H1561-$I1560)))</f>
        <v>74</v>
      </c>
      <c r="AB1561" s="48" t="n">
        <f aca="false">IF($U1561&gt;=ATR_PER,AVERAGE(INDEX($AA$1441:$AA1561,122-ATR_PER):$AA1561),"")</f>
        <v>68.5714285714286</v>
      </c>
      <c r="AC1561" s="48" t="n">
        <f aca="false">$O1561-$P1561</f>
        <v>27624911</v>
      </c>
      <c r="AD1561" s="48" t="n">
        <f aca="false">$AC1561*$I1561</f>
        <v>53923826272</v>
      </c>
      <c r="AE1561" s="49" t="n">
        <f aca="false">IF($Q1561&gt;0,$O1561*$I1561/$Q1561/1000000,"")</f>
        <v>45.6255206412667</v>
      </c>
      <c r="AF1561" s="49" t="n">
        <f aca="false">IF($R1561&gt;0,$P1561*$I1561/$R1561/1000000,"")</f>
        <v>38.1674548581457</v>
      </c>
      <c r="AG1561" s="50" t="n">
        <f aca="false">IF(AND(ISNUMBER($AE1561),ISNUMBER($AF1561),$AF1561&gt;0),$AE1561/$AF1561,"")</f>
        <v>1.19540380176881</v>
      </c>
      <c r="AH1561" s="48" t="n">
        <f aca="false">IF($U1561&gt;=5,SUM(INDEX($AD$1531:$AD1561,32-5):$AD1561),"")</f>
        <v>-1744962496</v>
      </c>
      <c r="AI1561" s="48" t="n">
        <f aca="false">IF($U1561&gt;=STRUCT_S,MAX(INDEX($G$1411:$G1561,152-STRUCT_S):$G1561),"")</f>
        <v>2087</v>
      </c>
      <c r="AJ1561" s="48" t="n">
        <f aca="false">IF($U1561&gt;=STRUCT_S,MIN(INDEX($H$1411:$H1561,152-STRUCT_S):$H1561),"")</f>
        <v>1841</v>
      </c>
      <c r="AK1561" s="48" t="n">
        <f aca="false">IF($U1561&gt;=STRUCT_L,MAX(INDEX($G$1311:$G1561,252-STRUCT_L):$G1561),"")</f>
        <v>2087</v>
      </c>
      <c r="AL1561" s="48" t="n">
        <f aca="false">IF($U1561&gt;=STRUCT_L,MIN(INDEX($H$1311:$H1561,252-STRUCT_L):$H1561),"")</f>
        <v>1447</v>
      </c>
      <c r="AM1561" s="46" t="n">
        <f aca="false">IF($A1561&lt;&gt;$A1562,1,0)</f>
        <v>0</v>
      </c>
      <c r="AN1561" s="47" t="str">
        <f aca="false">IF($AM1561=1,$A1561,"")</f>
        <v/>
      </c>
    </row>
    <row r="1562" customFormat="false" ht="15" hidden="false" customHeight="false" outlineLevel="0" collapsed="false">
      <c r="A1562" s="43" t="s">
        <v>157</v>
      </c>
      <c r="B1562" s="44" t="s">
        <v>159</v>
      </c>
      <c r="C1562" s="45" t="n">
        <v>46265</v>
      </c>
      <c r="D1562" s="46" t="n">
        <v>20260831</v>
      </c>
      <c r="E1562" s="47" t="s">
        <v>545</v>
      </c>
      <c r="F1562" s="48" t="n">
        <v>1913</v>
      </c>
      <c r="G1562" s="48" t="n">
        <v>1993</v>
      </c>
      <c r="H1562" s="48" t="n">
        <v>1876</v>
      </c>
      <c r="I1562" s="48" t="n">
        <v>1916</v>
      </c>
      <c r="J1562" s="48" t="n">
        <v>1914</v>
      </c>
      <c r="K1562" s="48" t="n">
        <v>1952</v>
      </c>
      <c r="L1562" s="48" t="n">
        <v>76300475</v>
      </c>
      <c r="M1562" s="48" t="n">
        <v>146191710100</v>
      </c>
      <c r="N1562" s="48" t="n">
        <v>5782</v>
      </c>
      <c r="O1562" s="48" t="n">
        <v>32526451</v>
      </c>
      <c r="P1562" s="48" t="n">
        <v>41218194</v>
      </c>
      <c r="Q1562" s="48" t="n">
        <v>2540</v>
      </c>
      <c r="R1562" s="48" t="n">
        <v>2374</v>
      </c>
      <c r="S1562" s="48" t="n">
        <v>43774024</v>
      </c>
      <c r="T1562" s="48" t="n">
        <v>35082281</v>
      </c>
      <c r="U1562" s="46" t="n">
        <f aca="false">IF($A1562=$A1561,$U1561+1,1)</f>
        <v>258</v>
      </c>
      <c r="V1562" s="48" t="n">
        <f aca="false">IF($U1562&gt;=MA_SHORT,AVERAGE(INDEX($I$1162:$I1562,402-MA_SHORT):$I1562),"")</f>
        <v>1961.75</v>
      </c>
      <c r="W1562" s="48" t="n">
        <f aca="false">IF($U1562&gt;=MA_MED,AVERAGE(INDEX($I$1162:$I1562,402-MA_MED):$I1562),"")</f>
        <v>1827.14</v>
      </c>
      <c r="X1562" s="48" t="n">
        <f aca="false">IF($U1562&gt;=MA_LONG1,AVERAGE(INDEX($I$1162:$I1562,402-MA_LONG1):$I1562),"")</f>
        <v>1718.53</v>
      </c>
      <c r="Y1562" s="48" t="n">
        <f aca="false">IF($U1562&gt;=MA_LONG2,AVERAGE(INDEX($I$1162:$I1562,402-MA_LONG2):$I1562),"")</f>
        <v>1650.935</v>
      </c>
      <c r="Z1562" s="48" t="n">
        <f aca="false">IF($U1562&gt;=MA_SHORT,AVERAGE(INDEX($L$1442:$L1562,122-MA_SHORT):$L1562),"")</f>
        <v>97360865.9</v>
      </c>
      <c r="AA1562" s="48" t="n">
        <f aca="false">IF($U1562=1,$G1562-$H1562,MAX($G1562-$H1562,ABS($G1562-$I1561),ABS($H1562-$I1561)))</f>
        <v>117</v>
      </c>
      <c r="AB1562" s="48" t="n">
        <f aca="false">IF($U1562&gt;=ATR_PER,AVERAGE(INDEX($AA$1442:$AA1562,122-ATR_PER):$AA1562),"")</f>
        <v>73.8571428571429</v>
      </c>
      <c r="AC1562" s="48" t="n">
        <f aca="false">$O1562-$P1562</f>
        <v>-8691743</v>
      </c>
      <c r="AD1562" s="48" t="n">
        <f aca="false">$AC1562*$I1562</f>
        <v>-16653379588</v>
      </c>
      <c r="AE1562" s="49" t="n">
        <f aca="false">IF($Q1562&gt;0,$O1562*$I1562/$Q1562/1000000,"")</f>
        <v>24.5357008330709</v>
      </c>
      <c r="AF1562" s="49" t="n">
        <f aca="false">IF($R1562&gt;0,$P1562*$I1562/$R1562/1000000,"")</f>
        <v>33.2662425037911</v>
      </c>
      <c r="AG1562" s="50" t="n">
        <f aca="false">IF(AND(ISNUMBER($AE1562),ISNUMBER($AF1562),$AF1562&gt;0),$AE1562/$AF1562,"")</f>
        <v>0.737555521344941</v>
      </c>
      <c r="AH1562" s="48" t="n">
        <f aca="false">IF($U1562&gt;=5,SUM(INDEX($AD$1532:$AD1562,32-5):$AD1562),"")</f>
        <v>-696461505</v>
      </c>
      <c r="AI1562" s="48" t="n">
        <f aca="false">IF($U1562&gt;=STRUCT_S,MAX(INDEX($G$1412:$G1562,152-STRUCT_S):$G1562),"")</f>
        <v>2087</v>
      </c>
      <c r="AJ1562" s="48" t="n">
        <f aca="false">IF($U1562&gt;=STRUCT_S,MIN(INDEX($H$1412:$H1562,152-STRUCT_S):$H1562),"")</f>
        <v>1841</v>
      </c>
      <c r="AK1562" s="48" t="n">
        <f aca="false">IF($U1562&gt;=STRUCT_L,MAX(INDEX($G$1312:$G1562,252-STRUCT_L):$G1562),"")</f>
        <v>2087</v>
      </c>
      <c r="AL1562" s="48" t="n">
        <f aca="false">IF($U1562&gt;=STRUCT_L,MIN(INDEX($H$1312:$H1562,252-STRUCT_L):$H1562),"")</f>
        <v>1447</v>
      </c>
      <c r="AM1562" s="46" t="n">
        <f aca="false">IF($A1562&lt;&gt;$A1563,1,0)</f>
        <v>0</v>
      </c>
      <c r="AN1562" s="47" t="str">
        <f aca="false">IF($AM1562=1,$A1562,"")</f>
        <v/>
      </c>
    </row>
    <row r="1563" customFormat="false" ht="15" hidden="false" customHeight="false" outlineLevel="0" collapsed="false">
      <c r="A1563" s="43" t="s">
        <v>157</v>
      </c>
      <c r="B1563" s="44" t="s">
        <v>159</v>
      </c>
      <c r="C1563" s="45" t="n">
        <v>46266</v>
      </c>
      <c r="D1563" s="46" t="n">
        <v>20260901</v>
      </c>
      <c r="E1563" s="47" t="s">
        <v>546</v>
      </c>
      <c r="F1563" s="48" t="n">
        <v>1956</v>
      </c>
      <c r="G1563" s="48" t="n">
        <v>1994</v>
      </c>
      <c r="H1563" s="48" t="n">
        <v>1909</v>
      </c>
      <c r="I1563" s="48" t="n">
        <v>1987</v>
      </c>
      <c r="J1563" s="48" t="n">
        <v>1918</v>
      </c>
      <c r="K1563" s="48" t="n">
        <v>1916</v>
      </c>
      <c r="L1563" s="48" t="n">
        <v>82948838</v>
      </c>
      <c r="M1563" s="48" t="n">
        <v>164819341106</v>
      </c>
      <c r="N1563" s="48" t="n">
        <v>8655</v>
      </c>
      <c r="O1563" s="48" t="n">
        <v>54777626</v>
      </c>
      <c r="P1563" s="48" t="n">
        <v>21711854</v>
      </c>
      <c r="Q1563" s="48" t="n">
        <v>4479</v>
      </c>
      <c r="R1563" s="48" t="n">
        <v>3625</v>
      </c>
      <c r="S1563" s="48" t="n">
        <v>28171212</v>
      </c>
      <c r="T1563" s="48" t="n">
        <v>61236984</v>
      </c>
      <c r="U1563" s="46" t="n">
        <f aca="false">IF($A1563=$A1562,$U1562+1,1)</f>
        <v>259</v>
      </c>
      <c r="V1563" s="48" t="n">
        <f aca="false">IF($U1563&gt;=MA_SHORT,AVERAGE(INDEX($I$1163:$I1563,402-MA_SHORT):$I1563),"")</f>
        <v>1964.8</v>
      </c>
      <c r="W1563" s="48" t="n">
        <f aca="false">IF($U1563&gt;=MA_MED,AVERAGE(INDEX($I$1163:$I1563,402-MA_MED):$I1563),"")</f>
        <v>1837.12</v>
      </c>
      <c r="X1563" s="48" t="n">
        <f aca="false">IF($U1563&gt;=MA_LONG1,AVERAGE(INDEX($I$1163:$I1563,402-MA_LONG1):$I1563),"")</f>
        <v>1720.6</v>
      </c>
      <c r="Y1563" s="48" t="n">
        <f aca="false">IF($U1563&gt;=MA_LONG2,AVERAGE(INDEX($I$1163:$I1563,402-MA_LONG2):$I1563),"")</f>
        <v>1652.965</v>
      </c>
      <c r="Z1563" s="48" t="n">
        <f aca="false">IF($U1563&gt;=MA_SHORT,AVERAGE(INDEX($L$1443:$L1563,122-MA_SHORT):$L1563),"")</f>
        <v>95281120.05</v>
      </c>
      <c r="AA1563" s="48" t="n">
        <f aca="false">IF($U1563=1,$G1563-$H1563,MAX($G1563-$H1563,ABS($G1563-$I1562),ABS($H1563-$I1562)))</f>
        <v>85</v>
      </c>
      <c r="AB1563" s="48" t="n">
        <f aca="false">IF($U1563&gt;=ATR_PER,AVERAGE(INDEX($AA$1443:$AA1563,122-ATR_PER):$AA1563),"")</f>
        <v>76.8571428571429</v>
      </c>
      <c r="AC1563" s="48" t="n">
        <f aca="false">$O1563-$P1563</f>
        <v>33065772</v>
      </c>
      <c r="AD1563" s="48" t="n">
        <f aca="false">$AC1563*$I1563</f>
        <v>65701688964</v>
      </c>
      <c r="AE1563" s="49" t="n">
        <f aca="false">IF($Q1563&gt;0,$O1563*$I1563/$Q1563/1000000,"")</f>
        <v>24.3007686675597</v>
      </c>
      <c r="AF1563" s="49" t="n">
        <f aca="false">IF($R1563&gt;0,$P1563*$I1563/$R1563/1000000,"")</f>
        <v>11.9010907304828</v>
      </c>
      <c r="AG1563" s="50" t="n">
        <f aca="false">IF(AND(ISNUMBER($AE1563),ISNUMBER($AF1563),$AF1563&gt;0),$AE1563/$AF1563,"")</f>
        <v>2.04189424464408</v>
      </c>
      <c r="AH1563" s="48" t="n">
        <f aca="false">IF($U1563&gt;=5,SUM(INDEX($AD$1533:$AD1563,32-5):$AD1563),"")</f>
        <v>33436076291</v>
      </c>
      <c r="AI1563" s="48" t="n">
        <f aca="false">IF($U1563&gt;=STRUCT_S,MAX(INDEX($G$1413:$G1563,152-STRUCT_S):$G1563),"")</f>
        <v>2087</v>
      </c>
      <c r="AJ1563" s="48" t="n">
        <f aca="false">IF($U1563&gt;=STRUCT_S,MIN(INDEX($H$1413:$H1563,152-STRUCT_S):$H1563),"")</f>
        <v>1876</v>
      </c>
      <c r="AK1563" s="48" t="n">
        <f aca="false">IF($U1563&gt;=STRUCT_L,MAX(INDEX($G$1313:$G1563,252-STRUCT_L):$G1563),"")</f>
        <v>2087</v>
      </c>
      <c r="AL1563" s="48" t="n">
        <f aca="false">IF($U1563&gt;=STRUCT_L,MIN(INDEX($H$1313:$H1563,252-STRUCT_L):$H1563),"")</f>
        <v>1447</v>
      </c>
      <c r="AM1563" s="46" t="n">
        <f aca="false">IF($A1563&lt;&gt;$A1564,1,0)</f>
        <v>0</v>
      </c>
      <c r="AN1563" s="47" t="str">
        <f aca="false">IF($AM1563=1,$A1563,"")</f>
        <v/>
      </c>
    </row>
    <row r="1564" customFormat="false" ht="15" hidden="false" customHeight="false" outlineLevel="0" collapsed="false">
      <c r="A1564" s="43" t="s">
        <v>157</v>
      </c>
      <c r="B1564" s="44" t="s">
        <v>159</v>
      </c>
      <c r="C1564" s="45" t="n">
        <v>46267</v>
      </c>
      <c r="D1564" s="46" t="n">
        <v>20260902</v>
      </c>
      <c r="E1564" s="47" t="s">
        <v>547</v>
      </c>
      <c r="F1564" s="48" t="n">
        <v>1969</v>
      </c>
      <c r="G1564" s="48" t="n">
        <v>2026</v>
      </c>
      <c r="H1564" s="48" t="n">
        <v>1960</v>
      </c>
      <c r="I1564" s="48" t="n">
        <v>1999</v>
      </c>
      <c r="J1564" s="48" t="n">
        <v>2007</v>
      </c>
      <c r="K1564" s="48" t="n">
        <v>1987</v>
      </c>
      <c r="L1564" s="48" t="n">
        <v>70319763</v>
      </c>
      <c r="M1564" s="48" t="n">
        <v>140569206237</v>
      </c>
      <c r="N1564" s="48" t="n">
        <v>5459</v>
      </c>
      <c r="O1564" s="48" t="n">
        <v>39478771</v>
      </c>
      <c r="P1564" s="48" t="n">
        <v>31532829</v>
      </c>
      <c r="Q1564" s="48" t="n">
        <v>1779</v>
      </c>
      <c r="R1564" s="48" t="n">
        <v>2201</v>
      </c>
      <c r="S1564" s="48" t="n">
        <v>30840992</v>
      </c>
      <c r="T1564" s="48" t="n">
        <v>38786934</v>
      </c>
      <c r="U1564" s="46" t="n">
        <f aca="false">IF($A1564=$A1563,$U1563+1,1)</f>
        <v>260</v>
      </c>
      <c r="V1564" s="48" t="n">
        <f aca="false">IF($U1564&gt;=MA_SHORT,AVERAGE(INDEX($I$1164:$I1564,402-MA_SHORT):$I1564),"")</f>
        <v>1967.35</v>
      </c>
      <c r="W1564" s="48" t="n">
        <f aca="false">IF($U1564&gt;=MA_MED,AVERAGE(INDEX($I$1164:$I1564,402-MA_MED):$I1564),"")</f>
        <v>1846.34</v>
      </c>
      <c r="X1564" s="48" t="n">
        <f aca="false">IF($U1564&gt;=MA_LONG1,AVERAGE(INDEX($I$1164:$I1564,402-MA_LONG1):$I1564),"")</f>
        <v>1722.72</v>
      </c>
      <c r="Y1564" s="48" t="n">
        <f aca="false">IF($U1564&gt;=MA_LONG2,AVERAGE(INDEX($I$1164:$I1564,402-MA_LONG2):$I1564),"")</f>
        <v>1655.275</v>
      </c>
      <c r="Z1564" s="48" t="n">
        <f aca="false">IF($U1564&gt;=MA_SHORT,AVERAGE(INDEX($L$1444:$L1564,122-MA_SHORT):$L1564),"")</f>
        <v>95114268.45</v>
      </c>
      <c r="AA1564" s="48" t="n">
        <f aca="false">IF($U1564=1,$G1564-$H1564,MAX($G1564-$H1564,ABS($G1564-$I1563),ABS($H1564-$I1563)))</f>
        <v>66</v>
      </c>
      <c r="AB1564" s="48" t="n">
        <f aca="false">IF($U1564&gt;=ATR_PER,AVERAGE(INDEX($AA$1444:$AA1564,122-ATR_PER):$AA1564),"")</f>
        <v>78.4285714285714</v>
      </c>
      <c r="AC1564" s="48" t="n">
        <f aca="false">$O1564-$P1564</f>
        <v>7945942</v>
      </c>
      <c r="AD1564" s="48" t="n">
        <f aca="false">$AC1564*$I1564</f>
        <v>15883938058</v>
      </c>
      <c r="AE1564" s="49" t="n">
        <f aca="false">IF($Q1564&gt;0,$O1564*$I1564/$Q1564/1000000,"")</f>
        <v>44.3609124390107</v>
      </c>
      <c r="AF1564" s="49" t="n">
        <f aca="false">IF($R1564&gt;0,$P1564*$I1564/$R1564/1000000,"")</f>
        <v>28.6388574152658</v>
      </c>
      <c r="AG1564" s="50" t="n">
        <f aca="false">IF(AND(ISNUMBER($AE1564),ISNUMBER($AF1564),$AF1564&gt;0),$AE1564/$AF1564,"")</f>
        <v>1.54897633644296</v>
      </c>
      <c r="AH1564" s="48" t="n">
        <f aca="false">IF($U1564&gt;=5,SUM(INDEX($AD$1534:$AD1564,32-5):$AD1564),"")</f>
        <v>69090277674</v>
      </c>
      <c r="AI1564" s="48" t="n">
        <f aca="false">IF($U1564&gt;=STRUCT_S,MAX(INDEX($G$1414:$G1564,152-STRUCT_S):$G1564),"")</f>
        <v>2087</v>
      </c>
      <c r="AJ1564" s="48" t="n">
        <f aca="false">IF($U1564&gt;=STRUCT_S,MIN(INDEX($H$1414:$H1564,152-STRUCT_S):$H1564),"")</f>
        <v>1876</v>
      </c>
      <c r="AK1564" s="48" t="n">
        <f aca="false">IF($U1564&gt;=STRUCT_L,MAX(INDEX($G$1314:$G1564,252-STRUCT_L):$G1564),"")</f>
        <v>2087</v>
      </c>
      <c r="AL1564" s="48" t="n">
        <f aca="false">IF($U1564&gt;=STRUCT_L,MIN(INDEX($H$1314:$H1564,252-STRUCT_L):$H1564),"")</f>
        <v>1447</v>
      </c>
      <c r="AM1564" s="46" t="n">
        <f aca="false">IF($A1564&lt;&gt;$A1565,1,0)</f>
        <v>1</v>
      </c>
      <c r="AN1564" s="47" t="str">
        <f aca="false">IF($AM1564=1,$A1564,"")</f>
        <v>شستا</v>
      </c>
    </row>
    <row r="1565" customFormat="false" ht="15" hidden="false" customHeight="false" outlineLevel="0" collapsed="false">
      <c r="A1565" s="43" t="s">
        <v>162</v>
      </c>
      <c r="B1565" s="44" t="s">
        <v>164</v>
      </c>
      <c r="C1565" s="45" t="n">
        <v>45906</v>
      </c>
      <c r="D1565" s="46" t="n">
        <v>20250906</v>
      </c>
      <c r="E1565" s="47" t="s">
        <v>288</v>
      </c>
      <c r="F1565" s="48" t="n">
        <v>2031</v>
      </c>
      <c r="G1565" s="48" t="n">
        <v>2065</v>
      </c>
      <c r="H1565" s="48" t="n">
        <v>2026</v>
      </c>
      <c r="I1565" s="48" t="n">
        <v>2045</v>
      </c>
      <c r="J1565" s="48" t="n">
        <v>2046</v>
      </c>
      <c r="K1565" s="48" t="n">
        <v>2046</v>
      </c>
      <c r="L1565" s="48" t="n">
        <v>78829688</v>
      </c>
      <c r="M1565" s="48" t="n">
        <v>161206711960</v>
      </c>
      <c r="N1565" s="48" t="n">
        <v>4174</v>
      </c>
      <c r="O1565" s="48" t="n">
        <v>37139533</v>
      </c>
      <c r="P1565" s="48" t="n">
        <v>45218074</v>
      </c>
      <c r="Q1565" s="48" t="n">
        <v>1826</v>
      </c>
      <c r="R1565" s="48" t="n">
        <v>1946</v>
      </c>
      <c r="S1565" s="48" t="n">
        <v>41690155</v>
      </c>
      <c r="T1565" s="48" t="n">
        <v>33611614</v>
      </c>
      <c r="U1565" s="46" t="n">
        <f aca="false">IF($A1565=$A1564,$U1564+1,1)</f>
        <v>1</v>
      </c>
      <c r="V1565" s="48" t="str">
        <f aca="false">IF($U1565&gt;=MA_SHORT,AVERAGE(INDEX($I$1165:$I1565,402-MA_SHORT):$I1565),"")</f>
        <v/>
      </c>
      <c r="W1565" s="48" t="str">
        <f aca="false">IF($U1565&gt;=MA_MED,AVERAGE(INDEX($I$1165:$I1565,402-MA_MED):$I1565),"")</f>
        <v/>
      </c>
      <c r="X1565" s="48" t="str">
        <f aca="false">IF($U1565&gt;=MA_LONG1,AVERAGE(INDEX($I$1165:$I1565,402-MA_LONG1):$I1565),"")</f>
        <v/>
      </c>
      <c r="Y1565" s="48" t="str">
        <f aca="false">IF($U1565&gt;=MA_LONG2,AVERAGE(INDEX($I$1165:$I1565,402-MA_LONG2):$I1565),"")</f>
        <v/>
      </c>
      <c r="Z1565" s="48" t="str">
        <f aca="false">IF($U1565&gt;=MA_SHORT,AVERAGE(INDEX($L$1445:$L1565,122-MA_SHORT):$L1565),"")</f>
        <v/>
      </c>
      <c r="AA1565" s="48" t="n">
        <f aca="false">IF($U1565=1,$G1565-$H1565,MAX($G1565-$H1565,ABS($G1565-$I1564),ABS($H1565-$I1564)))</f>
        <v>39</v>
      </c>
      <c r="AB1565" s="48" t="str">
        <f aca="false">IF($U1565&gt;=ATR_PER,AVERAGE(INDEX($AA$1445:$AA1565,122-ATR_PER):$AA1565),"")</f>
        <v/>
      </c>
      <c r="AC1565" s="48" t="n">
        <f aca="false">$O1565-$P1565</f>
        <v>-8078541</v>
      </c>
      <c r="AD1565" s="48" t="n">
        <f aca="false">$AC1565*$I1565</f>
        <v>-16520616345</v>
      </c>
      <c r="AE1565" s="49" t="n">
        <f aca="false">IF($Q1565&gt;0,$O1565*$I1565/$Q1565/1000000,"")</f>
        <v>41.5938362458927</v>
      </c>
      <c r="AF1565" s="49" t="n">
        <f aca="false">IF($R1565&gt;0,$P1565*$I1565/$R1565/1000000,"")</f>
        <v>47.518479614594</v>
      </c>
      <c r="AG1565" s="50" t="n">
        <f aca="false">IF(AND(ISNUMBER($AE1565),ISNUMBER($AF1565),$AF1565&gt;0),$AE1565/$AF1565,"")</f>
        <v>0.875319172314558</v>
      </c>
      <c r="AH1565" s="48" t="str">
        <f aca="false">IF($U1565&gt;=5,SUM(INDEX($AD$1535:$AD1565,32-5):$AD1565),"")</f>
        <v/>
      </c>
      <c r="AI1565" s="48" t="str">
        <f aca="false">IF($U1565&gt;=STRUCT_S,MAX(INDEX($G$1415:$G1565,152-STRUCT_S):$G1565),"")</f>
        <v/>
      </c>
      <c r="AJ1565" s="48" t="str">
        <f aca="false">IF($U1565&gt;=STRUCT_S,MIN(INDEX($H$1415:$H1565,152-STRUCT_S):$H1565),"")</f>
        <v/>
      </c>
      <c r="AK1565" s="48" t="str">
        <f aca="false">IF($U1565&gt;=STRUCT_L,MAX(INDEX($G$1315:$G1565,252-STRUCT_L):$G1565),"")</f>
        <v/>
      </c>
      <c r="AL1565" s="48" t="str">
        <f aca="false">IF($U1565&gt;=STRUCT_L,MIN(INDEX($H$1315:$H1565,252-STRUCT_L):$H1565),"")</f>
        <v/>
      </c>
      <c r="AM1565" s="46" t="n">
        <f aca="false">IF($A1565&lt;&gt;$A1566,1,0)</f>
        <v>0</v>
      </c>
      <c r="AN1565" s="47" t="str">
        <f aca="false">IF($AM1565=1,$A1565,"")</f>
        <v/>
      </c>
    </row>
    <row r="1566" customFormat="false" ht="15" hidden="false" customHeight="false" outlineLevel="0" collapsed="false">
      <c r="A1566" s="43" t="s">
        <v>162</v>
      </c>
      <c r="B1566" s="44" t="s">
        <v>164</v>
      </c>
      <c r="C1566" s="45" t="n">
        <v>45907</v>
      </c>
      <c r="D1566" s="46" t="n">
        <v>20250907</v>
      </c>
      <c r="E1566" s="47" t="s">
        <v>289</v>
      </c>
      <c r="F1566" s="48" t="n">
        <v>2030</v>
      </c>
      <c r="G1566" s="48" t="n">
        <v>2067</v>
      </c>
      <c r="H1566" s="48" t="n">
        <v>2015</v>
      </c>
      <c r="I1566" s="48" t="n">
        <v>2037</v>
      </c>
      <c r="J1566" s="48" t="n">
        <v>2060</v>
      </c>
      <c r="K1566" s="48" t="n">
        <v>2045</v>
      </c>
      <c r="L1566" s="48" t="n">
        <v>80419837</v>
      </c>
      <c r="M1566" s="48" t="n">
        <v>163815207969</v>
      </c>
      <c r="N1566" s="48" t="n">
        <v>3248</v>
      </c>
      <c r="O1566" s="48" t="n">
        <v>32970444</v>
      </c>
      <c r="P1566" s="48" t="n">
        <v>54901247</v>
      </c>
      <c r="Q1566" s="48" t="n">
        <v>1632</v>
      </c>
      <c r="R1566" s="48" t="n">
        <v>1242</v>
      </c>
      <c r="S1566" s="48" t="n">
        <v>47449393</v>
      </c>
      <c r="T1566" s="48" t="n">
        <v>25518590</v>
      </c>
      <c r="U1566" s="46" t="n">
        <f aca="false">IF($A1566=$A1565,$U1565+1,1)</f>
        <v>2</v>
      </c>
      <c r="V1566" s="48" t="str">
        <f aca="false">IF($U1566&gt;=MA_SHORT,AVERAGE(INDEX($I$1166:$I1566,402-MA_SHORT):$I1566),"")</f>
        <v/>
      </c>
      <c r="W1566" s="48" t="str">
        <f aca="false">IF($U1566&gt;=MA_MED,AVERAGE(INDEX($I$1166:$I1566,402-MA_MED):$I1566),"")</f>
        <v/>
      </c>
      <c r="X1566" s="48" t="str">
        <f aca="false">IF($U1566&gt;=MA_LONG1,AVERAGE(INDEX($I$1166:$I1566,402-MA_LONG1):$I1566),"")</f>
        <v/>
      </c>
      <c r="Y1566" s="48" t="str">
        <f aca="false">IF($U1566&gt;=MA_LONG2,AVERAGE(INDEX($I$1166:$I1566,402-MA_LONG2):$I1566),"")</f>
        <v/>
      </c>
      <c r="Z1566" s="48" t="str">
        <f aca="false">IF($U1566&gt;=MA_SHORT,AVERAGE(INDEX($L$1446:$L1566,122-MA_SHORT):$L1566),"")</f>
        <v/>
      </c>
      <c r="AA1566" s="48" t="n">
        <f aca="false">IF($U1566=1,$G1566-$H1566,MAX($G1566-$H1566,ABS($G1566-$I1565),ABS($H1566-$I1565)))</f>
        <v>52</v>
      </c>
      <c r="AB1566" s="48" t="str">
        <f aca="false">IF($U1566&gt;=ATR_PER,AVERAGE(INDEX($AA$1446:$AA1566,122-ATR_PER):$AA1566),"")</f>
        <v/>
      </c>
      <c r="AC1566" s="48" t="n">
        <f aca="false">$O1566-$P1566</f>
        <v>-21930803</v>
      </c>
      <c r="AD1566" s="48" t="n">
        <f aca="false">$AC1566*$I1566</f>
        <v>-44673045711</v>
      </c>
      <c r="AE1566" s="49" t="n">
        <f aca="false">IF($Q1566&gt;0,$O1566*$I1566/$Q1566/1000000,"")</f>
        <v>41.1524475661765</v>
      </c>
      <c r="AF1566" s="49" t="n">
        <f aca="false">IF($R1566&gt;0,$P1566*$I1566/$R1566/1000000,"")</f>
        <v>90.0433495483092</v>
      </c>
      <c r="AG1566" s="50" t="n">
        <f aca="false">IF(AND(ISNUMBER($AE1566),ISNUMBER($AF1566),$AF1566&gt;0),$AE1566/$AF1566,"")</f>
        <v>0.457029283923937</v>
      </c>
      <c r="AH1566" s="48" t="str">
        <f aca="false">IF($U1566&gt;=5,SUM(INDEX($AD$1536:$AD1566,32-5):$AD1566),"")</f>
        <v/>
      </c>
      <c r="AI1566" s="48" t="str">
        <f aca="false">IF($U1566&gt;=STRUCT_S,MAX(INDEX($G$1416:$G1566,152-STRUCT_S):$G1566),"")</f>
        <v/>
      </c>
      <c r="AJ1566" s="48" t="str">
        <f aca="false">IF($U1566&gt;=STRUCT_S,MIN(INDEX($H$1416:$H1566,152-STRUCT_S):$H1566),"")</f>
        <v/>
      </c>
      <c r="AK1566" s="48" t="str">
        <f aca="false">IF($U1566&gt;=STRUCT_L,MAX(INDEX($G$1316:$G1566,252-STRUCT_L):$G1566),"")</f>
        <v/>
      </c>
      <c r="AL1566" s="48" t="str">
        <f aca="false">IF($U1566&gt;=STRUCT_L,MIN(INDEX($H$1316:$H1566,252-STRUCT_L):$H1566),"")</f>
        <v/>
      </c>
      <c r="AM1566" s="46" t="n">
        <f aca="false">IF($A1566&lt;&gt;$A1567,1,0)</f>
        <v>0</v>
      </c>
      <c r="AN1566" s="47" t="str">
        <f aca="false">IF($AM1566=1,$A1566,"")</f>
        <v/>
      </c>
    </row>
    <row r="1567" customFormat="false" ht="15" hidden="false" customHeight="false" outlineLevel="0" collapsed="false">
      <c r="A1567" s="43" t="s">
        <v>162</v>
      </c>
      <c r="B1567" s="44" t="s">
        <v>164</v>
      </c>
      <c r="C1567" s="45" t="n">
        <v>45908</v>
      </c>
      <c r="D1567" s="46" t="n">
        <v>20250908</v>
      </c>
      <c r="E1567" s="47" t="s">
        <v>290</v>
      </c>
      <c r="F1567" s="48" t="n">
        <v>2025</v>
      </c>
      <c r="G1567" s="48" t="n">
        <v>2053</v>
      </c>
      <c r="H1567" s="48" t="n">
        <v>2007</v>
      </c>
      <c r="I1567" s="48" t="n">
        <v>2023</v>
      </c>
      <c r="J1567" s="48" t="n">
        <v>2015</v>
      </c>
      <c r="K1567" s="48" t="n">
        <v>2037</v>
      </c>
      <c r="L1567" s="48" t="n">
        <v>81815749</v>
      </c>
      <c r="M1567" s="48" t="n">
        <v>165513260227</v>
      </c>
      <c r="N1567" s="48" t="n">
        <v>2249</v>
      </c>
      <c r="O1567" s="48" t="n">
        <v>34762881</v>
      </c>
      <c r="P1567" s="48" t="n">
        <v>43969115</v>
      </c>
      <c r="Q1567" s="48" t="n">
        <v>1051</v>
      </c>
      <c r="R1567" s="48" t="n">
        <v>1037</v>
      </c>
      <c r="S1567" s="48" t="n">
        <v>47052868</v>
      </c>
      <c r="T1567" s="48" t="n">
        <v>37846634</v>
      </c>
      <c r="U1567" s="46" t="n">
        <f aca="false">IF($A1567=$A1566,$U1566+1,1)</f>
        <v>3</v>
      </c>
      <c r="V1567" s="48" t="str">
        <f aca="false">IF($U1567&gt;=MA_SHORT,AVERAGE(INDEX($I$1167:$I1567,402-MA_SHORT):$I1567),"")</f>
        <v/>
      </c>
      <c r="W1567" s="48" t="str">
        <f aca="false">IF($U1567&gt;=MA_MED,AVERAGE(INDEX($I$1167:$I1567,402-MA_MED):$I1567),"")</f>
        <v/>
      </c>
      <c r="X1567" s="48" t="str">
        <f aca="false">IF($U1567&gt;=MA_LONG1,AVERAGE(INDEX($I$1167:$I1567,402-MA_LONG1):$I1567),"")</f>
        <v/>
      </c>
      <c r="Y1567" s="48" t="str">
        <f aca="false">IF($U1567&gt;=MA_LONG2,AVERAGE(INDEX($I$1167:$I1567,402-MA_LONG2):$I1567),"")</f>
        <v/>
      </c>
      <c r="Z1567" s="48" t="str">
        <f aca="false">IF($U1567&gt;=MA_SHORT,AVERAGE(INDEX($L$1447:$L1567,122-MA_SHORT):$L1567),"")</f>
        <v/>
      </c>
      <c r="AA1567" s="48" t="n">
        <f aca="false">IF($U1567=1,$G1567-$H1567,MAX($G1567-$H1567,ABS($G1567-$I1566),ABS($H1567-$I1566)))</f>
        <v>46</v>
      </c>
      <c r="AB1567" s="48" t="str">
        <f aca="false">IF($U1567&gt;=ATR_PER,AVERAGE(INDEX($AA$1447:$AA1567,122-ATR_PER):$AA1567),"")</f>
        <v/>
      </c>
      <c r="AC1567" s="48" t="n">
        <f aca="false">$O1567-$P1567</f>
        <v>-9206234</v>
      </c>
      <c r="AD1567" s="48" t="n">
        <f aca="false">$AC1567*$I1567</f>
        <v>-18624211382</v>
      </c>
      <c r="AE1567" s="49" t="n">
        <f aca="false">IF($Q1567&gt;0,$O1567*$I1567/$Q1567/1000000,"")</f>
        <v>66.9127576241675</v>
      </c>
      <c r="AF1567" s="49" t="n">
        <f aca="false">IF($R1567&gt;0,$P1567*$I1567/$R1567/1000000,"")</f>
        <v>85.7758145081967</v>
      </c>
      <c r="AG1567" s="50" t="n">
        <f aca="false">IF(AND(ISNUMBER($AE1567),ISNUMBER($AF1567),$AF1567&gt;0),$AE1567/$AF1567,"")</f>
        <v>0.780088863134879</v>
      </c>
      <c r="AH1567" s="48" t="str">
        <f aca="false">IF($U1567&gt;=5,SUM(INDEX($AD$1537:$AD1567,32-5):$AD1567),"")</f>
        <v/>
      </c>
      <c r="AI1567" s="48" t="str">
        <f aca="false">IF($U1567&gt;=STRUCT_S,MAX(INDEX($G$1417:$G1567,152-STRUCT_S):$G1567),"")</f>
        <v/>
      </c>
      <c r="AJ1567" s="48" t="str">
        <f aca="false">IF($U1567&gt;=STRUCT_S,MIN(INDEX($H$1417:$H1567,152-STRUCT_S):$H1567),"")</f>
        <v/>
      </c>
      <c r="AK1567" s="48" t="str">
        <f aca="false">IF($U1567&gt;=STRUCT_L,MAX(INDEX($G$1317:$G1567,252-STRUCT_L):$G1567),"")</f>
        <v/>
      </c>
      <c r="AL1567" s="48" t="str">
        <f aca="false">IF($U1567&gt;=STRUCT_L,MIN(INDEX($H$1317:$H1567,252-STRUCT_L):$H1567),"")</f>
        <v/>
      </c>
      <c r="AM1567" s="46" t="n">
        <f aca="false">IF($A1567&lt;&gt;$A1568,1,0)</f>
        <v>0</v>
      </c>
      <c r="AN1567" s="47" t="str">
        <f aca="false">IF($AM1567=1,$A1567,"")</f>
        <v/>
      </c>
    </row>
    <row r="1568" customFormat="false" ht="15" hidden="false" customHeight="false" outlineLevel="0" collapsed="false">
      <c r="A1568" s="43" t="s">
        <v>162</v>
      </c>
      <c r="B1568" s="44" t="s">
        <v>164</v>
      </c>
      <c r="C1568" s="45" t="n">
        <v>45909</v>
      </c>
      <c r="D1568" s="46" t="n">
        <v>20250909</v>
      </c>
      <c r="E1568" s="47" t="s">
        <v>291</v>
      </c>
      <c r="F1568" s="48" t="n">
        <v>2040</v>
      </c>
      <c r="G1568" s="48" t="n">
        <v>2052</v>
      </c>
      <c r="H1568" s="48" t="n">
        <v>2013</v>
      </c>
      <c r="I1568" s="48" t="n">
        <v>2042</v>
      </c>
      <c r="J1568" s="48" t="n">
        <v>2045</v>
      </c>
      <c r="K1568" s="48" t="n">
        <v>2023</v>
      </c>
      <c r="L1568" s="48" t="n">
        <v>93460771</v>
      </c>
      <c r="M1568" s="48" t="n">
        <v>190846894382</v>
      </c>
      <c r="N1568" s="48" t="n">
        <v>2382</v>
      </c>
      <c r="O1568" s="48" t="n">
        <v>44537365</v>
      </c>
      <c r="P1568" s="48" t="n">
        <v>49800684</v>
      </c>
      <c r="Q1568" s="48" t="n">
        <v>1107</v>
      </c>
      <c r="R1568" s="48" t="n">
        <v>998</v>
      </c>
      <c r="S1568" s="48" t="n">
        <v>48923406</v>
      </c>
      <c r="T1568" s="48" t="n">
        <v>43660087</v>
      </c>
      <c r="U1568" s="46" t="n">
        <f aca="false">IF($A1568=$A1567,$U1567+1,1)</f>
        <v>4</v>
      </c>
      <c r="V1568" s="48" t="str">
        <f aca="false">IF($U1568&gt;=MA_SHORT,AVERAGE(INDEX($I$1168:$I1568,402-MA_SHORT):$I1568),"")</f>
        <v/>
      </c>
      <c r="W1568" s="48" t="str">
        <f aca="false">IF($U1568&gt;=MA_MED,AVERAGE(INDEX($I$1168:$I1568,402-MA_MED):$I1568),"")</f>
        <v/>
      </c>
      <c r="X1568" s="48" t="str">
        <f aca="false">IF($U1568&gt;=MA_LONG1,AVERAGE(INDEX($I$1168:$I1568,402-MA_LONG1):$I1568),"")</f>
        <v/>
      </c>
      <c r="Y1568" s="48" t="str">
        <f aca="false">IF($U1568&gt;=MA_LONG2,AVERAGE(INDEX($I$1168:$I1568,402-MA_LONG2):$I1568),"")</f>
        <v/>
      </c>
      <c r="Z1568" s="48" t="str">
        <f aca="false">IF($U1568&gt;=MA_SHORT,AVERAGE(INDEX($L$1448:$L1568,122-MA_SHORT):$L1568),"")</f>
        <v/>
      </c>
      <c r="AA1568" s="48" t="n">
        <f aca="false">IF($U1568=1,$G1568-$H1568,MAX($G1568-$H1568,ABS($G1568-$I1567),ABS($H1568-$I1567)))</f>
        <v>39</v>
      </c>
      <c r="AB1568" s="48" t="str">
        <f aca="false">IF($U1568&gt;=ATR_PER,AVERAGE(INDEX($AA$1448:$AA1568,122-ATR_PER):$AA1568),"")</f>
        <v/>
      </c>
      <c r="AC1568" s="48" t="n">
        <f aca="false">$O1568-$P1568</f>
        <v>-5263319</v>
      </c>
      <c r="AD1568" s="48" t="n">
        <f aca="false">$AC1568*$I1568</f>
        <v>-10747697398</v>
      </c>
      <c r="AE1568" s="49" t="n">
        <f aca="false">IF($Q1568&gt;0,$O1568*$I1568/$Q1568/1000000,"")</f>
        <v>82.1547419421861</v>
      </c>
      <c r="AF1568" s="49" t="n">
        <f aca="false">IF($R1568&gt;0,$P1568*$I1568/$R1568/1000000,"")</f>
        <v>101.896790308617</v>
      </c>
      <c r="AG1568" s="50" t="n">
        <f aca="false">IF(AND(ISNUMBER($AE1568),ISNUMBER($AF1568),$AF1568&gt;0),$AE1568/$AF1568,"")</f>
        <v>0.806254462906654</v>
      </c>
      <c r="AH1568" s="48" t="str">
        <f aca="false">IF($U1568&gt;=5,SUM(INDEX($AD$1538:$AD1568,32-5):$AD1568),"")</f>
        <v/>
      </c>
      <c r="AI1568" s="48" t="str">
        <f aca="false">IF($U1568&gt;=STRUCT_S,MAX(INDEX($G$1418:$G1568,152-STRUCT_S):$G1568),"")</f>
        <v/>
      </c>
      <c r="AJ1568" s="48" t="str">
        <f aca="false">IF($U1568&gt;=STRUCT_S,MIN(INDEX($H$1418:$H1568,152-STRUCT_S):$H1568),"")</f>
        <v/>
      </c>
      <c r="AK1568" s="48" t="str">
        <f aca="false">IF($U1568&gt;=STRUCT_L,MAX(INDEX($G$1318:$G1568,252-STRUCT_L):$G1568),"")</f>
        <v/>
      </c>
      <c r="AL1568" s="48" t="str">
        <f aca="false">IF($U1568&gt;=STRUCT_L,MIN(INDEX($H$1318:$H1568,252-STRUCT_L):$H1568),"")</f>
        <v/>
      </c>
      <c r="AM1568" s="46" t="n">
        <f aca="false">IF($A1568&lt;&gt;$A1569,1,0)</f>
        <v>0</v>
      </c>
      <c r="AN1568" s="47" t="str">
        <f aca="false">IF($AM1568=1,$A1568,"")</f>
        <v/>
      </c>
    </row>
    <row r="1569" customFormat="false" ht="15" hidden="false" customHeight="false" outlineLevel="0" collapsed="false">
      <c r="A1569" s="43" t="s">
        <v>162</v>
      </c>
      <c r="B1569" s="44" t="s">
        <v>164</v>
      </c>
      <c r="C1569" s="45" t="n">
        <v>45910</v>
      </c>
      <c r="D1569" s="46" t="n">
        <v>20250910</v>
      </c>
      <c r="E1569" s="47" t="s">
        <v>292</v>
      </c>
      <c r="F1569" s="48" t="n">
        <v>2057</v>
      </c>
      <c r="G1569" s="48" t="n">
        <v>2092</v>
      </c>
      <c r="H1569" s="48" t="n">
        <v>2013</v>
      </c>
      <c r="I1569" s="48" t="n">
        <v>2063</v>
      </c>
      <c r="J1569" s="48" t="n">
        <v>2085</v>
      </c>
      <c r="K1569" s="48" t="n">
        <v>2042</v>
      </c>
      <c r="L1569" s="48" t="n">
        <v>83423962</v>
      </c>
      <c r="M1569" s="48" t="n">
        <v>172103633606</v>
      </c>
      <c r="N1569" s="48" t="n">
        <v>2102</v>
      </c>
      <c r="O1569" s="48" t="n">
        <v>41406089</v>
      </c>
      <c r="P1569" s="48" t="n">
        <v>44644407</v>
      </c>
      <c r="Q1569" s="48" t="n">
        <v>830</v>
      </c>
      <c r="R1569" s="48" t="n">
        <v>788</v>
      </c>
      <c r="S1569" s="48" t="n">
        <v>42017873</v>
      </c>
      <c r="T1569" s="48" t="n">
        <v>38779555</v>
      </c>
      <c r="U1569" s="46" t="n">
        <f aca="false">IF($A1569=$A1568,$U1568+1,1)</f>
        <v>5</v>
      </c>
      <c r="V1569" s="48" t="str">
        <f aca="false">IF($U1569&gt;=MA_SHORT,AVERAGE(INDEX($I$1169:$I1569,402-MA_SHORT):$I1569),"")</f>
        <v/>
      </c>
      <c r="W1569" s="48" t="str">
        <f aca="false">IF($U1569&gt;=MA_MED,AVERAGE(INDEX($I$1169:$I1569,402-MA_MED):$I1569),"")</f>
        <v/>
      </c>
      <c r="X1569" s="48" t="str">
        <f aca="false">IF($U1569&gt;=MA_LONG1,AVERAGE(INDEX($I$1169:$I1569,402-MA_LONG1):$I1569),"")</f>
        <v/>
      </c>
      <c r="Y1569" s="48" t="str">
        <f aca="false">IF($U1569&gt;=MA_LONG2,AVERAGE(INDEX($I$1169:$I1569,402-MA_LONG2):$I1569),"")</f>
        <v/>
      </c>
      <c r="Z1569" s="48" t="str">
        <f aca="false">IF($U1569&gt;=MA_SHORT,AVERAGE(INDEX($L$1449:$L1569,122-MA_SHORT):$L1569),"")</f>
        <v/>
      </c>
      <c r="AA1569" s="48" t="n">
        <f aca="false">IF($U1569=1,$G1569-$H1569,MAX($G1569-$H1569,ABS($G1569-$I1568),ABS($H1569-$I1568)))</f>
        <v>79</v>
      </c>
      <c r="AB1569" s="48" t="str">
        <f aca="false">IF($U1569&gt;=ATR_PER,AVERAGE(INDEX($AA$1449:$AA1569,122-ATR_PER):$AA1569),"")</f>
        <v/>
      </c>
      <c r="AC1569" s="48" t="n">
        <f aca="false">$O1569-$P1569</f>
        <v>-3238318</v>
      </c>
      <c r="AD1569" s="48" t="n">
        <f aca="false">$AC1569*$I1569</f>
        <v>-6680650034</v>
      </c>
      <c r="AE1569" s="49" t="n">
        <f aca="false">IF($Q1569&gt;0,$O1569*$I1569/$Q1569/1000000,"")</f>
        <v>102.916580249398</v>
      </c>
      <c r="AF1569" s="49" t="n">
        <f aca="false">IF($R1569&gt;0,$P1569*$I1569/$R1569/1000000,"")</f>
        <v>116.879964011421</v>
      </c>
      <c r="AG1569" s="50" t="n">
        <f aca="false">IF(AND(ISNUMBER($AE1569),ISNUMBER($AF1569),$AF1569&gt;0),$AE1569/$AF1569,"")</f>
        <v>0.880532271889994</v>
      </c>
      <c r="AH1569" s="48" t="n">
        <f aca="false">IF($U1569&gt;=5,SUM(INDEX($AD$1539:$AD1569,32-5):$AD1569),"")</f>
        <v>-97246220870</v>
      </c>
      <c r="AI1569" s="48" t="str">
        <f aca="false">IF($U1569&gt;=STRUCT_S,MAX(INDEX($G$1419:$G1569,152-STRUCT_S):$G1569),"")</f>
        <v/>
      </c>
      <c r="AJ1569" s="48" t="str">
        <f aca="false">IF($U1569&gt;=STRUCT_S,MIN(INDEX($H$1419:$H1569,152-STRUCT_S):$H1569),"")</f>
        <v/>
      </c>
      <c r="AK1569" s="48" t="str">
        <f aca="false">IF($U1569&gt;=STRUCT_L,MAX(INDEX($G$1319:$G1569,252-STRUCT_L):$G1569),"")</f>
        <v/>
      </c>
      <c r="AL1569" s="48" t="str">
        <f aca="false">IF($U1569&gt;=STRUCT_L,MIN(INDEX($H$1319:$H1569,252-STRUCT_L):$H1569),"")</f>
        <v/>
      </c>
      <c r="AM1569" s="46" t="n">
        <f aca="false">IF($A1569&lt;&gt;$A1570,1,0)</f>
        <v>0</v>
      </c>
      <c r="AN1569" s="47" t="str">
        <f aca="false">IF($AM1569=1,$A1569,"")</f>
        <v/>
      </c>
    </row>
    <row r="1570" customFormat="false" ht="15" hidden="false" customHeight="false" outlineLevel="0" collapsed="false">
      <c r="A1570" s="43" t="s">
        <v>162</v>
      </c>
      <c r="B1570" s="44" t="s">
        <v>164</v>
      </c>
      <c r="C1570" s="45" t="n">
        <v>45913</v>
      </c>
      <c r="D1570" s="46" t="n">
        <v>20250913</v>
      </c>
      <c r="E1570" s="47" t="s">
        <v>293</v>
      </c>
      <c r="F1570" s="48" t="n">
        <v>2019</v>
      </c>
      <c r="G1570" s="48" t="n">
        <v>2069</v>
      </c>
      <c r="H1570" s="48" t="n">
        <v>2013</v>
      </c>
      <c r="I1570" s="48" t="n">
        <v>2019</v>
      </c>
      <c r="J1570" s="48" t="n">
        <v>2023</v>
      </c>
      <c r="K1570" s="48" t="n">
        <v>2063</v>
      </c>
      <c r="L1570" s="48" t="n">
        <v>88630750</v>
      </c>
      <c r="M1570" s="48" t="n">
        <v>178945484250</v>
      </c>
      <c r="N1570" s="48" t="n">
        <v>5773</v>
      </c>
      <c r="O1570" s="48" t="n">
        <v>36407500</v>
      </c>
      <c r="P1570" s="48" t="n">
        <v>57617377</v>
      </c>
      <c r="Q1570" s="48" t="n">
        <v>1845</v>
      </c>
      <c r="R1570" s="48" t="n">
        <v>2969</v>
      </c>
      <c r="S1570" s="48" t="n">
        <v>52223250</v>
      </c>
      <c r="T1570" s="48" t="n">
        <v>31013373</v>
      </c>
      <c r="U1570" s="46" t="n">
        <f aca="false">IF($A1570=$A1569,$U1569+1,1)</f>
        <v>6</v>
      </c>
      <c r="V1570" s="48" t="str">
        <f aca="false">IF($U1570&gt;=MA_SHORT,AVERAGE(INDEX($I$1170:$I1570,402-MA_SHORT):$I1570),"")</f>
        <v/>
      </c>
      <c r="W1570" s="48" t="str">
        <f aca="false">IF($U1570&gt;=MA_MED,AVERAGE(INDEX($I$1170:$I1570,402-MA_MED):$I1570),"")</f>
        <v/>
      </c>
      <c r="X1570" s="48" t="str">
        <f aca="false">IF($U1570&gt;=MA_LONG1,AVERAGE(INDEX($I$1170:$I1570,402-MA_LONG1):$I1570),"")</f>
        <v/>
      </c>
      <c r="Y1570" s="48" t="str">
        <f aca="false">IF($U1570&gt;=MA_LONG2,AVERAGE(INDEX($I$1170:$I1570,402-MA_LONG2):$I1570),"")</f>
        <v/>
      </c>
      <c r="Z1570" s="48" t="str">
        <f aca="false">IF($U1570&gt;=MA_SHORT,AVERAGE(INDEX($L$1450:$L1570,122-MA_SHORT):$L1570),"")</f>
        <v/>
      </c>
      <c r="AA1570" s="48" t="n">
        <f aca="false">IF($U1570=1,$G1570-$H1570,MAX($G1570-$H1570,ABS($G1570-$I1569),ABS($H1570-$I1569)))</f>
        <v>56</v>
      </c>
      <c r="AB1570" s="48" t="str">
        <f aca="false">IF($U1570&gt;=ATR_PER,AVERAGE(INDEX($AA$1450:$AA1570,122-ATR_PER):$AA1570),"")</f>
        <v/>
      </c>
      <c r="AC1570" s="48" t="n">
        <f aca="false">$O1570-$P1570</f>
        <v>-21209877</v>
      </c>
      <c r="AD1570" s="48" t="n">
        <f aca="false">$AC1570*$I1570</f>
        <v>-42822741663</v>
      </c>
      <c r="AE1570" s="49" t="n">
        <f aca="false">IF($Q1570&gt;0,$O1570*$I1570/$Q1570/1000000,"")</f>
        <v>39.8410528455285</v>
      </c>
      <c r="AF1570" s="49" t="n">
        <f aca="false">IF($R1570&gt;0,$P1570*$I1570/$R1570/1000000,"")</f>
        <v>39.1813688659481</v>
      </c>
      <c r="AG1570" s="50" t="n">
        <f aca="false">IF(AND(ISNUMBER($AE1570),ISNUMBER($AF1570),$AF1570&gt;0),$AE1570/$AF1570,"")</f>
        <v>1.01683667515133</v>
      </c>
      <c r="AH1570" s="48" t="n">
        <f aca="false">IF($U1570&gt;=5,SUM(INDEX($AD$1540:$AD1570,32-5):$AD1570),"")</f>
        <v>-123548346188</v>
      </c>
      <c r="AI1570" s="48" t="str">
        <f aca="false">IF($U1570&gt;=STRUCT_S,MAX(INDEX($G$1420:$G1570,152-STRUCT_S):$G1570),"")</f>
        <v/>
      </c>
      <c r="AJ1570" s="48" t="str">
        <f aca="false">IF($U1570&gt;=STRUCT_S,MIN(INDEX($H$1420:$H1570,152-STRUCT_S):$H1570),"")</f>
        <v/>
      </c>
      <c r="AK1570" s="48" t="str">
        <f aca="false">IF($U1570&gt;=STRUCT_L,MAX(INDEX($G$1320:$G1570,252-STRUCT_L):$G1570),"")</f>
        <v/>
      </c>
      <c r="AL1570" s="48" t="str">
        <f aca="false">IF($U1570&gt;=STRUCT_L,MIN(INDEX($H$1320:$H1570,252-STRUCT_L):$H1570),"")</f>
        <v/>
      </c>
      <c r="AM1570" s="46" t="n">
        <f aca="false">IF($A1570&lt;&gt;$A1571,1,0)</f>
        <v>0</v>
      </c>
      <c r="AN1570" s="47" t="str">
        <f aca="false">IF($AM1570=1,$A1570,"")</f>
        <v/>
      </c>
    </row>
    <row r="1571" customFormat="false" ht="15" hidden="false" customHeight="false" outlineLevel="0" collapsed="false">
      <c r="A1571" s="43" t="s">
        <v>162</v>
      </c>
      <c r="B1571" s="44" t="s">
        <v>164</v>
      </c>
      <c r="C1571" s="45" t="n">
        <v>45914</v>
      </c>
      <c r="D1571" s="46" t="n">
        <v>20250914</v>
      </c>
      <c r="E1571" s="47" t="s">
        <v>294</v>
      </c>
      <c r="F1571" s="48" t="n">
        <v>1990</v>
      </c>
      <c r="G1571" s="48" t="n">
        <v>2034</v>
      </c>
      <c r="H1571" s="48" t="n">
        <v>1957</v>
      </c>
      <c r="I1571" s="48" t="n">
        <v>1972</v>
      </c>
      <c r="J1571" s="48" t="n">
        <v>1991</v>
      </c>
      <c r="K1571" s="48" t="n">
        <v>2019</v>
      </c>
      <c r="L1571" s="48" t="n">
        <v>120046262</v>
      </c>
      <c r="M1571" s="48" t="n">
        <v>236731228664</v>
      </c>
      <c r="N1571" s="48" t="n">
        <v>3030</v>
      </c>
      <c r="O1571" s="48" t="n">
        <v>54031314</v>
      </c>
      <c r="P1571" s="48" t="n">
        <v>62306474</v>
      </c>
      <c r="Q1571" s="48" t="n">
        <v>1029</v>
      </c>
      <c r="R1571" s="48" t="n">
        <v>1061</v>
      </c>
      <c r="S1571" s="48" t="n">
        <v>66014948</v>
      </c>
      <c r="T1571" s="48" t="n">
        <v>57739788</v>
      </c>
      <c r="U1571" s="46" t="n">
        <f aca="false">IF($A1571=$A1570,$U1570+1,1)</f>
        <v>7</v>
      </c>
      <c r="V1571" s="48" t="str">
        <f aca="false">IF($U1571&gt;=MA_SHORT,AVERAGE(INDEX($I$1171:$I1571,402-MA_SHORT):$I1571),"")</f>
        <v/>
      </c>
      <c r="W1571" s="48" t="str">
        <f aca="false">IF($U1571&gt;=MA_MED,AVERAGE(INDEX($I$1171:$I1571,402-MA_MED):$I1571),"")</f>
        <v/>
      </c>
      <c r="X1571" s="48" t="str">
        <f aca="false">IF($U1571&gt;=MA_LONG1,AVERAGE(INDEX($I$1171:$I1571,402-MA_LONG1):$I1571),"")</f>
        <v/>
      </c>
      <c r="Y1571" s="48" t="str">
        <f aca="false">IF($U1571&gt;=MA_LONG2,AVERAGE(INDEX($I$1171:$I1571,402-MA_LONG2):$I1571),"")</f>
        <v/>
      </c>
      <c r="Z1571" s="48" t="str">
        <f aca="false">IF($U1571&gt;=MA_SHORT,AVERAGE(INDEX($L$1451:$L1571,122-MA_SHORT):$L1571),"")</f>
        <v/>
      </c>
      <c r="AA1571" s="48" t="n">
        <f aca="false">IF($U1571=1,$G1571-$H1571,MAX($G1571-$H1571,ABS($G1571-$I1570),ABS($H1571-$I1570)))</f>
        <v>77</v>
      </c>
      <c r="AB1571" s="48" t="str">
        <f aca="false">IF($U1571&gt;=ATR_PER,AVERAGE(INDEX($AA$1451:$AA1571,122-ATR_PER):$AA1571),"")</f>
        <v/>
      </c>
      <c r="AC1571" s="48" t="n">
        <f aca="false">$O1571-$P1571</f>
        <v>-8275160</v>
      </c>
      <c r="AD1571" s="48" t="n">
        <f aca="false">$AC1571*$I1571</f>
        <v>-16318615520</v>
      </c>
      <c r="AE1571" s="49" t="n">
        <f aca="false">IF($Q1571&gt;0,$O1571*$I1571/$Q1571/1000000,"")</f>
        <v>103.546891358601</v>
      </c>
      <c r="AF1571" s="49" t="n">
        <f aca="false">IF($R1571&gt;0,$P1571*$I1571/$R1571/1000000,"")</f>
        <v>115.804304173421</v>
      </c>
      <c r="AG1571" s="50" t="n">
        <f aca="false">IF(AND(ISNUMBER($AE1571),ISNUMBER($AF1571),$AF1571&gt;0),$AE1571/$AF1571,"")</f>
        <v>0.894154082593815</v>
      </c>
      <c r="AH1571" s="48" t="n">
        <f aca="false">IF($U1571&gt;=5,SUM(INDEX($AD$1541:$AD1571,32-5):$AD1571),"")</f>
        <v>-95193915997</v>
      </c>
      <c r="AI1571" s="48" t="str">
        <f aca="false">IF($U1571&gt;=STRUCT_S,MAX(INDEX($G$1421:$G1571,152-STRUCT_S):$G1571),"")</f>
        <v/>
      </c>
      <c r="AJ1571" s="48" t="str">
        <f aca="false">IF($U1571&gt;=STRUCT_S,MIN(INDEX($H$1421:$H1571,152-STRUCT_S):$H1571),"")</f>
        <v/>
      </c>
      <c r="AK1571" s="48" t="str">
        <f aca="false">IF($U1571&gt;=STRUCT_L,MAX(INDEX($G$1321:$G1571,252-STRUCT_L):$G1571),"")</f>
        <v/>
      </c>
      <c r="AL1571" s="48" t="str">
        <f aca="false">IF($U1571&gt;=STRUCT_L,MIN(INDEX($H$1321:$H1571,252-STRUCT_L):$H1571),"")</f>
        <v/>
      </c>
      <c r="AM1571" s="46" t="n">
        <f aca="false">IF($A1571&lt;&gt;$A1572,1,0)</f>
        <v>0</v>
      </c>
      <c r="AN1571" s="47" t="str">
        <f aca="false">IF($AM1571=1,$A1571,"")</f>
        <v/>
      </c>
    </row>
    <row r="1572" customFormat="false" ht="15" hidden="false" customHeight="false" outlineLevel="0" collapsed="false">
      <c r="A1572" s="43" t="s">
        <v>162</v>
      </c>
      <c r="B1572" s="44" t="s">
        <v>164</v>
      </c>
      <c r="C1572" s="45" t="n">
        <v>45915</v>
      </c>
      <c r="D1572" s="46" t="n">
        <v>20250915</v>
      </c>
      <c r="E1572" s="47" t="s">
        <v>295</v>
      </c>
      <c r="F1572" s="48" t="n">
        <v>1981</v>
      </c>
      <c r="G1572" s="48" t="n">
        <v>2002</v>
      </c>
      <c r="H1572" s="48" t="n">
        <v>1966</v>
      </c>
      <c r="I1572" s="48" t="n">
        <v>1996</v>
      </c>
      <c r="J1572" s="48" t="n">
        <v>1986</v>
      </c>
      <c r="K1572" s="48" t="n">
        <v>1972</v>
      </c>
      <c r="L1572" s="48" t="n">
        <v>84313287</v>
      </c>
      <c r="M1572" s="48" t="n">
        <v>168289320852</v>
      </c>
      <c r="N1572" s="48" t="n">
        <v>2390</v>
      </c>
      <c r="O1572" s="48" t="n">
        <v>42501118</v>
      </c>
      <c r="P1572" s="48" t="n">
        <v>41892549</v>
      </c>
      <c r="Q1572" s="48" t="n">
        <v>987</v>
      </c>
      <c r="R1572" s="48" t="n">
        <v>1218</v>
      </c>
      <c r="S1572" s="48" t="n">
        <v>41812169</v>
      </c>
      <c r="T1572" s="48" t="n">
        <v>42420738</v>
      </c>
      <c r="U1572" s="46" t="n">
        <f aca="false">IF($A1572=$A1571,$U1571+1,1)</f>
        <v>8</v>
      </c>
      <c r="V1572" s="48" t="str">
        <f aca="false">IF($U1572&gt;=MA_SHORT,AVERAGE(INDEX($I$1172:$I1572,402-MA_SHORT):$I1572),"")</f>
        <v/>
      </c>
      <c r="W1572" s="48" t="str">
        <f aca="false">IF($U1572&gt;=MA_MED,AVERAGE(INDEX($I$1172:$I1572,402-MA_MED):$I1572),"")</f>
        <v/>
      </c>
      <c r="X1572" s="48" t="str">
        <f aca="false">IF($U1572&gt;=MA_LONG1,AVERAGE(INDEX($I$1172:$I1572,402-MA_LONG1):$I1572),"")</f>
        <v/>
      </c>
      <c r="Y1572" s="48" t="str">
        <f aca="false">IF($U1572&gt;=MA_LONG2,AVERAGE(INDEX($I$1172:$I1572,402-MA_LONG2):$I1572),"")</f>
        <v/>
      </c>
      <c r="Z1572" s="48" t="str">
        <f aca="false">IF($U1572&gt;=MA_SHORT,AVERAGE(INDEX($L$1452:$L1572,122-MA_SHORT):$L1572),"")</f>
        <v/>
      </c>
      <c r="AA1572" s="48" t="n">
        <f aca="false">IF($U1572=1,$G1572-$H1572,MAX($G1572-$H1572,ABS($G1572-$I1571),ABS($H1572-$I1571)))</f>
        <v>36</v>
      </c>
      <c r="AB1572" s="48" t="str">
        <f aca="false">IF($U1572&gt;=ATR_PER,AVERAGE(INDEX($AA$1452:$AA1572,122-ATR_PER):$AA1572),"")</f>
        <v/>
      </c>
      <c r="AC1572" s="48" t="n">
        <f aca="false">$O1572-$P1572</f>
        <v>608569</v>
      </c>
      <c r="AD1572" s="48" t="n">
        <f aca="false">$AC1572*$I1572</f>
        <v>1214703724</v>
      </c>
      <c r="AE1572" s="49" t="n">
        <f aca="false">IF($Q1572&gt;0,$O1572*$I1572/$Q1572/1000000,"")</f>
        <v>85.9495760162107</v>
      </c>
      <c r="AF1572" s="49" t="n">
        <f aca="false">IF($R1572&gt;0,$P1572*$I1572/$R1572/1000000,"")</f>
        <v>68.6515006600985</v>
      </c>
      <c r="AG1572" s="50" t="n">
        <f aca="false">IF(AND(ISNUMBER($AE1572),ISNUMBER($AF1572),$AF1572&gt;0),$AE1572/$AF1572,"")</f>
        <v>1.25196936978489</v>
      </c>
      <c r="AH1572" s="48" t="n">
        <f aca="false">IF($U1572&gt;=5,SUM(INDEX($AD$1542:$AD1572,32-5):$AD1572),"")</f>
        <v>-75355000891</v>
      </c>
      <c r="AI1572" s="48" t="str">
        <f aca="false">IF($U1572&gt;=STRUCT_S,MAX(INDEX($G$1422:$G1572,152-STRUCT_S):$G1572),"")</f>
        <v/>
      </c>
      <c r="AJ1572" s="48" t="str">
        <f aca="false">IF($U1572&gt;=STRUCT_S,MIN(INDEX($H$1422:$H1572,152-STRUCT_S):$H1572),"")</f>
        <v/>
      </c>
      <c r="AK1572" s="48" t="str">
        <f aca="false">IF($U1572&gt;=STRUCT_L,MAX(INDEX($G$1322:$G1572,252-STRUCT_L):$G1572),"")</f>
        <v/>
      </c>
      <c r="AL1572" s="48" t="str">
        <f aca="false">IF($U1572&gt;=STRUCT_L,MIN(INDEX($H$1322:$H1572,252-STRUCT_L):$H1572),"")</f>
        <v/>
      </c>
      <c r="AM1572" s="46" t="n">
        <f aca="false">IF($A1572&lt;&gt;$A1573,1,0)</f>
        <v>0</v>
      </c>
      <c r="AN1572" s="47" t="str">
        <f aca="false">IF($AM1572=1,$A1572,"")</f>
        <v/>
      </c>
    </row>
    <row r="1573" customFormat="false" ht="15" hidden="false" customHeight="false" outlineLevel="0" collapsed="false">
      <c r="A1573" s="43" t="s">
        <v>162</v>
      </c>
      <c r="B1573" s="44" t="s">
        <v>164</v>
      </c>
      <c r="C1573" s="45" t="n">
        <v>45916</v>
      </c>
      <c r="D1573" s="46" t="n">
        <v>20250916</v>
      </c>
      <c r="E1573" s="47" t="s">
        <v>296</v>
      </c>
      <c r="F1573" s="48" t="n">
        <v>1999</v>
      </c>
      <c r="G1573" s="48" t="n">
        <v>2004</v>
      </c>
      <c r="H1573" s="48" t="n">
        <v>1967</v>
      </c>
      <c r="I1573" s="48" t="n">
        <v>1975</v>
      </c>
      <c r="J1573" s="48" t="n">
        <v>1990</v>
      </c>
      <c r="K1573" s="48" t="n">
        <v>1996</v>
      </c>
      <c r="L1573" s="48" t="n">
        <v>95433094</v>
      </c>
      <c r="M1573" s="48" t="n">
        <v>188480360650</v>
      </c>
      <c r="N1573" s="48" t="n">
        <v>4113</v>
      </c>
      <c r="O1573" s="48" t="n">
        <v>43463174</v>
      </c>
      <c r="P1573" s="48" t="n">
        <v>53803354</v>
      </c>
      <c r="Q1573" s="48" t="n">
        <v>1805</v>
      </c>
      <c r="R1573" s="48" t="n">
        <v>1963</v>
      </c>
      <c r="S1573" s="48" t="n">
        <v>51969920</v>
      </c>
      <c r="T1573" s="48" t="n">
        <v>41629740</v>
      </c>
      <c r="U1573" s="46" t="n">
        <f aca="false">IF($A1573=$A1572,$U1572+1,1)</f>
        <v>9</v>
      </c>
      <c r="V1573" s="48" t="str">
        <f aca="false">IF($U1573&gt;=MA_SHORT,AVERAGE(INDEX($I$1173:$I1573,402-MA_SHORT):$I1573),"")</f>
        <v/>
      </c>
      <c r="W1573" s="48" t="str">
        <f aca="false">IF($U1573&gt;=MA_MED,AVERAGE(INDEX($I$1173:$I1573,402-MA_MED):$I1573),"")</f>
        <v/>
      </c>
      <c r="X1573" s="48" t="str">
        <f aca="false">IF($U1573&gt;=MA_LONG1,AVERAGE(INDEX($I$1173:$I1573,402-MA_LONG1):$I1573),"")</f>
        <v/>
      </c>
      <c r="Y1573" s="48" t="str">
        <f aca="false">IF($U1573&gt;=MA_LONG2,AVERAGE(INDEX($I$1173:$I1573,402-MA_LONG2):$I1573),"")</f>
        <v/>
      </c>
      <c r="Z1573" s="48" t="str">
        <f aca="false">IF($U1573&gt;=MA_SHORT,AVERAGE(INDEX($L$1453:$L1573,122-MA_SHORT):$L1573),"")</f>
        <v/>
      </c>
      <c r="AA1573" s="48" t="n">
        <f aca="false">IF($U1573=1,$G1573-$H1573,MAX($G1573-$H1573,ABS($G1573-$I1572),ABS($H1573-$I1572)))</f>
        <v>37</v>
      </c>
      <c r="AB1573" s="48" t="str">
        <f aca="false">IF($U1573&gt;=ATR_PER,AVERAGE(INDEX($AA$1453:$AA1573,122-ATR_PER):$AA1573),"")</f>
        <v/>
      </c>
      <c r="AC1573" s="48" t="n">
        <f aca="false">$O1573-$P1573</f>
        <v>-10340180</v>
      </c>
      <c r="AD1573" s="48" t="n">
        <f aca="false">$AC1573*$I1573</f>
        <v>-20421855500</v>
      </c>
      <c r="AE1573" s="49" t="n">
        <f aca="false">IF($Q1573&gt;0,$O1573*$I1573/$Q1573/1000000,"")</f>
        <v>47.556658531856</v>
      </c>
      <c r="AF1573" s="49" t="n">
        <f aca="false">IF($R1573&gt;0,$P1573*$I1573/$R1573/1000000,"")</f>
        <v>54.1322588639837</v>
      </c>
      <c r="AG1573" s="50" t="n">
        <f aca="false">IF(AND(ISNUMBER($AE1573),ISNUMBER($AF1573),$AF1573&gt;0),$AE1573/$AF1573,"")</f>
        <v>0.878527139452096</v>
      </c>
      <c r="AH1573" s="48" t="n">
        <f aca="false">IF($U1573&gt;=5,SUM(INDEX($AD$1543:$AD1573,32-5):$AD1573),"")</f>
        <v>-85029158993</v>
      </c>
      <c r="AI1573" s="48" t="str">
        <f aca="false">IF($U1573&gt;=STRUCT_S,MAX(INDEX($G$1423:$G1573,152-STRUCT_S):$G1573),"")</f>
        <v/>
      </c>
      <c r="AJ1573" s="48" t="str">
        <f aca="false">IF($U1573&gt;=STRUCT_S,MIN(INDEX($H$1423:$H1573,152-STRUCT_S):$H1573),"")</f>
        <v/>
      </c>
      <c r="AK1573" s="48" t="str">
        <f aca="false">IF($U1573&gt;=STRUCT_L,MAX(INDEX($G$1323:$G1573,252-STRUCT_L):$G1573),"")</f>
        <v/>
      </c>
      <c r="AL1573" s="48" t="str">
        <f aca="false">IF($U1573&gt;=STRUCT_L,MIN(INDEX($H$1323:$H1573,252-STRUCT_L):$H1573),"")</f>
        <v/>
      </c>
      <c r="AM1573" s="46" t="n">
        <f aca="false">IF($A1573&lt;&gt;$A1574,1,0)</f>
        <v>0</v>
      </c>
      <c r="AN1573" s="47" t="str">
        <f aca="false">IF($AM1573=1,$A1573,"")</f>
        <v/>
      </c>
    </row>
    <row r="1574" customFormat="false" ht="15" hidden="false" customHeight="false" outlineLevel="0" collapsed="false">
      <c r="A1574" s="43" t="s">
        <v>162</v>
      </c>
      <c r="B1574" s="44" t="s">
        <v>164</v>
      </c>
      <c r="C1574" s="45" t="n">
        <v>45917</v>
      </c>
      <c r="D1574" s="46" t="n">
        <v>20250917</v>
      </c>
      <c r="E1574" s="47" t="s">
        <v>297</v>
      </c>
      <c r="F1574" s="48" t="n">
        <v>2016</v>
      </c>
      <c r="G1574" s="48" t="n">
        <v>2022</v>
      </c>
      <c r="H1574" s="48" t="n">
        <v>1952</v>
      </c>
      <c r="I1574" s="48" t="n">
        <v>1999</v>
      </c>
      <c r="J1574" s="48" t="n">
        <v>1977</v>
      </c>
      <c r="K1574" s="48" t="n">
        <v>1975</v>
      </c>
      <c r="L1574" s="48" t="n">
        <v>84304572</v>
      </c>
      <c r="M1574" s="48" t="n">
        <v>168524839428</v>
      </c>
      <c r="N1574" s="48" t="n">
        <v>3442</v>
      </c>
      <c r="O1574" s="48" t="n">
        <v>42503670</v>
      </c>
      <c r="P1574" s="48" t="n">
        <v>34167124</v>
      </c>
      <c r="Q1574" s="48" t="n">
        <v>1551</v>
      </c>
      <c r="R1574" s="48" t="n">
        <v>1002</v>
      </c>
      <c r="S1574" s="48" t="n">
        <v>41800902</v>
      </c>
      <c r="T1574" s="48" t="n">
        <v>50137448</v>
      </c>
      <c r="U1574" s="46" t="n">
        <f aca="false">IF($A1574=$A1573,$U1573+1,1)</f>
        <v>10</v>
      </c>
      <c r="V1574" s="48" t="str">
        <f aca="false">IF($U1574&gt;=MA_SHORT,AVERAGE(INDEX($I$1174:$I1574,402-MA_SHORT):$I1574),"")</f>
        <v/>
      </c>
      <c r="W1574" s="48" t="str">
        <f aca="false">IF($U1574&gt;=MA_MED,AVERAGE(INDEX($I$1174:$I1574,402-MA_MED):$I1574),"")</f>
        <v/>
      </c>
      <c r="X1574" s="48" t="str">
        <f aca="false">IF($U1574&gt;=MA_LONG1,AVERAGE(INDEX($I$1174:$I1574,402-MA_LONG1):$I1574),"")</f>
        <v/>
      </c>
      <c r="Y1574" s="48" t="str">
        <f aca="false">IF($U1574&gt;=MA_LONG2,AVERAGE(INDEX($I$1174:$I1574,402-MA_LONG2):$I1574),"")</f>
        <v/>
      </c>
      <c r="Z1574" s="48" t="str">
        <f aca="false">IF($U1574&gt;=MA_SHORT,AVERAGE(INDEX($L$1454:$L1574,122-MA_SHORT):$L1574),"")</f>
        <v/>
      </c>
      <c r="AA1574" s="48" t="n">
        <f aca="false">IF($U1574=1,$G1574-$H1574,MAX($G1574-$H1574,ABS($G1574-$I1573),ABS($H1574-$I1573)))</f>
        <v>70</v>
      </c>
      <c r="AB1574" s="48" t="str">
        <f aca="false">IF($U1574&gt;=ATR_PER,AVERAGE(INDEX($AA$1454:$AA1574,122-ATR_PER):$AA1574),"")</f>
        <v/>
      </c>
      <c r="AC1574" s="48" t="n">
        <f aca="false">$O1574-$P1574</f>
        <v>8336546</v>
      </c>
      <c r="AD1574" s="48" t="n">
        <f aca="false">$AC1574*$I1574</f>
        <v>16664755454</v>
      </c>
      <c r="AE1574" s="49" t="n">
        <f aca="false">IF($Q1574&gt;0,$O1574*$I1574/$Q1574/1000000,"")</f>
        <v>54.7806810638298</v>
      </c>
      <c r="AF1574" s="49" t="n">
        <f aca="false">IF($R1574&gt;0,$P1574*$I1574/$R1574/1000000,"")</f>
        <v>68.1637533692615</v>
      </c>
      <c r="AG1574" s="50" t="n">
        <f aca="false">IF(AND(ISNUMBER($AE1574),ISNUMBER($AF1574),$AF1574&gt;0),$AE1574/$AF1574,"")</f>
        <v>0.803662919896269</v>
      </c>
      <c r="AH1574" s="48" t="n">
        <f aca="false">IF($U1574&gt;=5,SUM(INDEX($AD$1544:$AD1574,32-5):$AD1574),"")</f>
        <v>-61683753505</v>
      </c>
      <c r="AI1574" s="48" t="str">
        <f aca="false">IF($U1574&gt;=STRUCT_S,MAX(INDEX($G$1424:$G1574,152-STRUCT_S):$G1574),"")</f>
        <v/>
      </c>
      <c r="AJ1574" s="48" t="str">
        <f aca="false">IF($U1574&gt;=STRUCT_S,MIN(INDEX($H$1424:$H1574,152-STRUCT_S):$H1574),"")</f>
        <v/>
      </c>
      <c r="AK1574" s="48" t="str">
        <f aca="false">IF($U1574&gt;=STRUCT_L,MAX(INDEX($G$1324:$G1574,252-STRUCT_L):$G1574),"")</f>
        <v/>
      </c>
      <c r="AL1574" s="48" t="str">
        <f aca="false">IF($U1574&gt;=STRUCT_L,MIN(INDEX($H$1324:$H1574,252-STRUCT_L):$H1574),"")</f>
        <v/>
      </c>
      <c r="AM1574" s="46" t="n">
        <f aca="false">IF($A1574&lt;&gt;$A1575,1,0)</f>
        <v>0</v>
      </c>
      <c r="AN1574" s="47" t="str">
        <f aca="false">IF($AM1574=1,$A1574,"")</f>
        <v/>
      </c>
    </row>
    <row r="1575" customFormat="false" ht="15" hidden="false" customHeight="false" outlineLevel="0" collapsed="false">
      <c r="A1575" s="43" t="s">
        <v>162</v>
      </c>
      <c r="B1575" s="44" t="s">
        <v>164</v>
      </c>
      <c r="C1575" s="45" t="n">
        <v>45920</v>
      </c>
      <c r="D1575" s="46" t="n">
        <v>20250920</v>
      </c>
      <c r="E1575" s="47" t="s">
        <v>298</v>
      </c>
      <c r="F1575" s="48" t="n">
        <v>2003</v>
      </c>
      <c r="G1575" s="48" t="n">
        <v>2015</v>
      </c>
      <c r="H1575" s="48" t="n">
        <v>1969</v>
      </c>
      <c r="I1575" s="48" t="n">
        <v>1985</v>
      </c>
      <c r="J1575" s="48" t="n">
        <v>1984</v>
      </c>
      <c r="K1575" s="48" t="n">
        <v>1999</v>
      </c>
      <c r="L1575" s="48" t="n">
        <v>109750978</v>
      </c>
      <c r="M1575" s="48" t="n">
        <v>217855691330</v>
      </c>
      <c r="N1575" s="48" t="n">
        <v>7170</v>
      </c>
      <c r="O1575" s="48" t="n">
        <v>45516425</v>
      </c>
      <c r="P1575" s="48" t="n">
        <v>61473657</v>
      </c>
      <c r="Q1575" s="48" t="n">
        <v>2384</v>
      </c>
      <c r="R1575" s="48" t="n">
        <v>2652</v>
      </c>
      <c r="S1575" s="48" t="n">
        <v>64234553</v>
      </c>
      <c r="T1575" s="48" t="n">
        <v>48277321</v>
      </c>
      <c r="U1575" s="46" t="n">
        <f aca="false">IF($A1575=$A1574,$U1574+1,1)</f>
        <v>11</v>
      </c>
      <c r="V1575" s="48" t="str">
        <f aca="false">IF($U1575&gt;=MA_SHORT,AVERAGE(INDEX($I$1175:$I1575,402-MA_SHORT):$I1575),"")</f>
        <v/>
      </c>
      <c r="W1575" s="48" t="str">
        <f aca="false">IF($U1575&gt;=MA_MED,AVERAGE(INDEX($I$1175:$I1575,402-MA_MED):$I1575),"")</f>
        <v/>
      </c>
      <c r="X1575" s="48" t="str">
        <f aca="false">IF($U1575&gt;=MA_LONG1,AVERAGE(INDEX($I$1175:$I1575,402-MA_LONG1):$I1575),"")</f>
        <v/>
      </c>
      <c r="Y1575" s="48" t="str">
        <f aca="false">IF($U1575&gt;=MA_LONG2,AVERAGE(INDEX($I$1175:$I1575,402-MA_LONG2):$I1575),"")</f>
        <v/>
      </c>
      <c r="Z1575" s="48" t="str">
        <f aca="false">IF($U1575&gt;=MA_SHORT,AVERAGE(INDEX($L$1455:$L1575,122-MA_SHORT):$L1575),"")</f>
        <v/>
      </c>
      <c r="AA1575" s="48" t="n">
        <f aca="false">IF($U1575=1,$G1575-$H1575,MAX($G1575-$H1575,ABS($G1575-$I1574),ABS($H1575-$I1574)))</f>
        <v>46</v>
      </c>
      <c r="AB1575" s="48" t="str">
        <f aca="false">IF($U1575&gt;=ATR_PER,AVERAGE(INDEX($AA$1455:$AA1575,122-ATR_PER):$AA1575),"")</f>
        <v/>
      </c>
      <c r="AC1575" s="48" t="n">
        <f aca="false">$O1575-$P1575</f>
        <v>-15957232</v>
      </c>
      <c r="AD1575" s="48" t="n">
        <f aca="false">$AC1575*$I1575</f>
        <v>-31675105520</v>
      </c>
      <c r="AE1575" s="49" t="n">
        <f aca="false">IF($Q1575&gt;0,$O1575*$I1575/$Q1575/1000000,"")</f>
        <v>37.8985333997483</v>
      </c>
      <c r="AF1575" s="49" t="n">
        <f aca="false">IF($R1575&gt;0,$P1575*$I1575/$R1575/1000000,"")</f>
        <v>46.0125223020362</v>
      </c>
      <c r="AG1575" s="50" t="n">
        <f aca="false">IF(AND(ISNUMBER($AE1575),ISNUMBER($AF1575),$AF1575&gt;0),$AE1575/$AF1575,"")</f>
        <v>0.823656941711957</v>
      </c>
      <c r="AH1575" s="48" t="n">
        <f aca="false">IF($U1575&gt;=5,SUM(INDEX($AD$1545:$AD1575,32-5):$AD1575),"")</f>
        <v>-50536117362</v>
      </c>
      <c r="AI1575" s="48" t="str">
        <f aca="false">IF($U1575&gt;=STRUCT_S,MAX(INDEX($G$1425:$G1575,152-STRUCT_S):$G1575),"")</f>
        <v/>
      </c>
      <c r="AJ1575" s="48" t="str">
        <f aca="false">IF($U1575&gt;=STRUCT_S,MIN(INDEX($H$1425:$H1575,152-STRUCT_S):$H1575),"")</f>
        <v/>
      </c>
      <c r="AK1575" s="48" t="str">
        <f aca="false">IF($U1575&gt;=STRUCT_L,MAX(INDEX($G$1325:$G1575,252-STRUCT_L):$G1575),"")</f>
        <v/>
      </c>
      <c r="AL1575" s="48" t="str">
        <f aca="false">IF($U1575&gt;=STRUCT_L,MIN(INDEX($H$1325:$H1575,252-STRUCT_L):$H1575),"")</f>
        <v/>
      </c>
      <c r="AM1575" s="46" t="n">
        <f aca="false">IF($A1575&lt;&gt;$A1576,1,0)</f>
        <v>0</v>
      </c>
      <c r="AN1575" s="47" t="str">
        <f aca="false">IF($AM1575=1,$A1575,"")</f>
        <v/>
      </c>
    </row>
    <row r="1576" customFormat="false" ht="15" hidden="false" customHeight="false" outlineLevel="0" collapsed="false">
      <c r="A1576" s="43" t="s">
        <v>162</v>
      </c>
      <c r="B1576" s="44" t="s">
        <v>164</v>
      </c>
      <c r="C1576" s="45" t="n">
        <v>45921</v>
      </c>
      <c r="D1576" s="46" t="n">
        <v>20250921</v>
      </c>
      <c r="E1576" s="47" t="s">
        <v>299</v>
      </c>
      <c r="F1576" s="48" t="n">
        <v>1983</v>
      </c>
      <c r="G1576" s="48" t="n">
        <v>2038</v>
      </c>
      <c r="H1576" s="48" t="n">
        <v>1959</v>
      </c>
      <c r="I1576" s="48" t="n">
        <v>2012</v>
      </c>
      <c r="J1576" s="48" t="n">
        <v>2024</v>
      </c>
      <c r="K1576" s="48" t="n">
        <v>1985</v>
      </c>
      <c r="L1576" s="48" t="n">
        <v>124076662</v>
      </c>
      <c r="M1576" s="48" t="n">
        <v>249642243944</v>
      </c>
      <c r="N1576" s="48" t="n">
        <v>10685</v>
      </c>
      <c r="O1576" s="48" t="n">
        <v>66775134</v>
      </c>
      <c r="P1576" s="48" t="n">
        <v>61606293</v>
      </c>
      <c r="Q1576" s="48" t="n">
        <v>3633</v>
      </c>
      <c r="R1576" s="48" t="n">
        <v>3947</v>
      </c>
      <c r="S1576" s="48" t="n">
        <v>57301528</v>
      </c>
      <c r="T1576" s="48" t="n">
        <v>62470369</v>
      </c>
      <c r="U1576" s="46" t="n">
        <f aca="false">IF($A1576=$A1575,$U1575+1,1)</f>
        <v>12</v>
      </c>
      <c r="V1576" s="48" t="str">
        <f aca="false">IF($U1576&gt;=MA_SHORT,AVERAGE(INDEX($I$1176:$I1576,402-MA_SHORT):$I1576),"")</f>
        <v/>
      </c>
      <c r="W1576" s="48" t="str">
        <f aca="false">IF($U1576&gt;=MA_MED,AVERAGE(INDEX($I$1176:$I1576,402-MA_MED):$I1576),"")</f>
        <v/>
      </c>
      <c r="X1576" s="48" t="str">
        <f aca="false">IF($U1576&gt;=MA_LONG1,AVERAGE(INDEX($I$1176:$I1576,402-MA_LONG1):$I1576),"")</f>
        <v/>
      </c>
      <c r="Y1576" s="48" t="str">
        <f aca="false">IF($U1576&gt;=MA_LONG2,AVERAGE(INDEX($I$1176:$I1576,402-MA_LONG2):$I1576),"")</f>
        <v/>
      </c>
      <c r="Z1576" s="48" t="str">
        <f aca="false">IF($U1576&gt;=MA_SHORT,AVERAGE(INDEX($L$1456:$L1576,122-MA_SHORT):$L1576),"")</f>
        <v/>
      </c>
      <c r="AA1576" s="48" t="n">
        <f aca="false">IF($U1576=1,$G1576-$H1576,MAX($G1576-$H1576,ABS($G1576-$I1575),ABS($H1576-$I1575)))</f>
        <v>79</v>
      </c>
      <c r="AB1576" s="48" t="str">
        <f aca="false">IF($U1576&gt;=ATR_PER,AVERAGE(INDEX($AA$1456:$AA1576,122-ATR_PER):$AA1576),"")</f>
        <v/>
      </c>
      <c r="AC1576" s="48" t="n">
        <f aca="false">$O1576-$P1576</f>
        <v>5168841</v>
      </c>
      <c r="AD1576" s="48" t="n">
        <f aca="false">$AC1576*$I1576</f>
        <v>10399708092</v>
      </c>
      <c r="AE1576" s="49" t="n">
        <f aca="false">IF($Q1576&gt;0,$O1576*$I1576/$Q1576/1000000,"")</f>
        <v>36.9808889644922</v>
      </c>
      <c r="AF1576" s="49" t="n">
        <f aca="false">IF($R1576&gt;0,$P1576*$I1576/$R1576/1000000,"")</f>
        <v>31.4040692971877</v>
      </c>
      <c r="AG1576" s="50" t="n">
        <f aca="false">IF(AND(ISNUMBER($AE1576),ISNUMBER($AF1576),$AF1576&gt;0),$AE1576/$AF1576,"")</f>
        <v>1.1775827079774</v>
      </c>
      <c r="AH1576" s="48" t="n">
        <f aca="false">IF($U1576&gt;=5,SUM(INDEX($AD$1546:$AD1576,32-5):$AD1576),"")</f>
        <v>-23817793750</v>
      </c>
      <c r="AI1576" s="48" t="str">
        <f aca="false">IF($U1576&gt;=STRUCT_S,MAX(INDEX($G$1426:$G1576,152-STRUCT_S):$G1576),"")</f>
        <v/>
      </c>
      <c r="AJ1576" s="48" t="str">
        <f aca="false">IF($U1576&gt;=STRUCT_S,MIN(INDEX($H$1426:$H1576,152-STRUCT_S):$H1576),"")</f>
        <v/>
      </c>
      <c r="AK1576" s="48" t="str">
        <f aca="false">IF($U1576&gt;=STRUCT_L,MAX(INDEX($G$1326:$G1576,252-STRUCT_L):$G1576),"")</f>
        <v/>
      </c>
      <c r="AL1576" s="48" t="str">
        <f aca="false">IF($U1576&gt;=STRUCT_L,MIN(INDEX($H$1326:$H1576,252-STRUCT_L):$H1576),"")</f>
        <v/>
      </c>
      <c r="AM1576" s="46" t="n">
        <f aca="false">IF($A1576&lt;&gt;$A1577,1,0)</f>
        <v>0</v>
      </c>
      <c r="AN1576" s="47" t="str">
        <f aca="false">IF($AM1576=1,$A1576,"")</f>
        <v/>
      </c>
    </row>
    <row r="1577" customFormat="false" ht="15" hidden="false" customHeight="false" outlineLevel="0" collapsed="false">
      <c r="A1577" s="43" t="s">
        <v>162</v>
      </c>
      <c r="B1577" s="44" t="s">
        <v>164</v>
      </c>
      <c r="C1577" s="45" t="n">
        <v>45922</v>
      </c>
      <c r="D1577" s="46" t="n">
        <v>20250922</v>
      </c>
      <c r="E1577" s="47" t="s">
        <v>300</v>
      </c>
      <c r="F1577" s="48" t="n">
        <v>2022</v>
      </c>
      <c r="G1577" s="48" t="n">
        <v>2047</v>
      </c>
      <c r="H1577" s="48" t="n">
        <v>1960</v>
      </c>
      <c r="I1577" s="48" t="n">
        <v>1995</v>
      </c>
      <c r="J1577" s="48" t="n">
        <v>1986</v>
      </c>
      <c r="K1577" s="48" t="n">
        <v>2012</v>
      </c>
      <c r="L1577" s="48" t="n">
        <v>82558972</v>
      </c>
      <c r="M1577" s="48" t="n">
        <v>164705149140</v>
      </c>
      <c r="N1577" s="48" t="n">
        <v>2584</v>
      </c>
      <c r="O1577" s="48" t="n">
        <v>29912664</v>
      </c>
      <c r="P1577" s="48" t="n">
        <v>50884672</v>
      </c>
      <c r="Q1577" s="48" t="n">
        <v>993</v>
      </c>
      <c r="R1577" s="48" t="n">
        <v>1069</v>
      </c>
      <c r="S1577" s="48" t="n">
        <v>52646308</v>
      </c>
      <c r="T1577" s="48" t="n">
        <v>31674300</v>
      </c>
      <c r="U1577" s="46" t="n">
        <f aca="false">IF($A1577=$A1576,$U1576+1,1)</f>
        <v>13</v>
      </c>
      <c r="V1577" s="48" t="str">
        <f aca="false">IF($U1577&gt;=MA_SHORT,AVERAGE(INDEX($I$1177:$I1577,402-MA_SHORT):$I1577),"")</f>
        <v/>
      </c>
      <c r="W1577" s="48" t="str">
        <f aca="false">IF($U1577&gt;=MA_MED,AVERAGE(INDEX($I$1177:$I1577,402-MA_MED):$I1577),"")</f>
        <v/>
      </c>
      <c r="X1577" s="48" t="str">
        <f aca="false">IF($U1577&gt;=MA_LONG1,AVERAGE(INDEX($I$1177:$I1577,402-MA_LONG1):$I1577),"")</f>
        <v/>
      </c>
      <c r="Y1577" s="48" t="str">
        <f aca="false">IF($U1577&gt;=MA_LONG2,AVERAGE(INDEX($I$1177:$I1577,402-MA_LONG2):$I1577),"")</f>
        <v/>
      </c>
      <c r="Z1577" s="48" t="str">
        <f aca="false">IF($U1577&gt;=MA_SHORT,AVERAGE(INDEX($L$1457:$L1577,122-MA_SHORT):$L1577),"")</f>
        <v/>
      </c>
      <c r="AA1577" s="48" t="n">
        <f aca="false">IF($U1577=1,$G1577-$H1577,MAX($G1577-$H1577,ABS($G1577-$I1576),ABS($H1577-$I1576)))</f>
        <v>87</v>
      </c>
      <c r="AB1577" s="48" t="str">
        <f aca="false">IF($U1577&gt;=ATR_PER,AVERAGE(INDEX($AA$1457:$AA1577,122-ATR_PER):$AA1577),"")</f>
        <v/>
      </c>
      <c r="AC1577" s="48" t="n">
        <f aca="false">$O1577-$P1577</f>
        <v>-20972008</v>
      </c>
      <c r="AD1577" s="48" t="n">
        <f aca="false">$AC1577*$I1577</f>
        <v>-41839155960</v>
      </c>
      <c r="AE1577" s="49" t="n">
        <f aca="false">IF($Q1577&gt;0,$O1577*$I1577/$Q1577/1000000,"")</f>
        <v>60.0964397583082</v>
      </c>
      <c r="AF1577" s="49" t="n">
        <f aca="false">IF($R1577&gt;0,$P1577*$I1577/$R1577/1000000,"")</f>
        <v>94.9625076145931</v>
      </c>
      <c r="AG1577" s="50" t="n">
        <f aca="false">IF(AND(ISNUMBER($AE1577),ISNUMBER($AF1577),$AF1577&gt;0),$AE1577/$AF1577,"")</f>
        <v>0.632843858780673</v>
      </c>
      <c r="AH1577" s="48" t="n">
        <f aca="false">IF($U1577&gt;=5,SUM(INDEX($AD$1547:$AD1577,32-5):$AD1577),"")</f>
        <v>-66871653434</v>
      </c>
      <c r="AI1577" s="48" t="str">
        <f aca="false">IF($U1577&gt;=STRUCT_S,MAX(INDEX($G$1427:$G1577,152-STRUCT_S):$G1577),"")</f>
        <v/>
      </c>
      <c r="AJ1577" s="48" t="str">
        <f aca="false">IF($U1577&gt;=STRUCT_S,MIN(INDEX($H$1427:$H1577,152-STRUCT_S):$H1577),"")</f>
        <v/>
      </c>
      <c r="AK1577" s="48" t="str">
        <f aca="false">IF($U1577&gt;=STRUCT_L,MAX(INDEX($G$1327:$G1577,252-STRUCT_L):$G1577),"")</f>
        <v/>
      </c>
      <c r="AL1577" s="48" t="str">
        <f aca="false">IF($U1577&gt;=STRUCT_L,MIN(INDEX($H$1327:$H1577,252-STRUCT_L):$H1577),"")</f>
        <v/>
      </c>
      <c r="AM1577" s="46" t="n">
        <f aca="false">IF($A1577&lt;&gt;$A1578,1,0)</f>
        <v>0</v>
      </c>
      <c r="AN1577" s="47" t="str">
        <f aca="false">IF($AM1577=1,$A1577,"")</f>
        <v/>
      </c>
    </row>
    <row r="1578" customFormat="false" ht="15" hidden="false" customHeight="false" outlineLevel="0" collapsed="false">
      <c r="A1578" s="43" t="s">
        <v>162</v>
      </c>
      <c r="B1578" s="44" t="s">
        <v>164</v>
      </c>
      <c r="C1578" s="45" t="n">
        <v>45923</v>
      </c>
      <c r="D1578" s="46" t="n">
        <v>20250923</v>
      </c>
      <c r="E1578" s="47" t="s">
        <v>301</v>
      </c>
      <c r="F1578" s="48" t="n">
        <v>1970</v>
      </c>
      <c r="G1578" s="48" t="n">
        <v>2035</v>
      </c>
      <c r="H1578" s="48" t="n">
        <v>1945</v>
      </c>
      <c r="I1578" s="48" t="n">
        <v>1985</v>
      </c>
      <c r="J1578" s="48" t="n">
        <v>1971</v>
      </c>
      <c r="K1578" s="48" t="n">
        <v>1995</v>
      </c>
      <c r="L1578" s="48" t="n">
        <v>147844815</v>
      </c>
      <c r="M1578" s="48" t="n">
        <v>293471957775</v>
      </c>
      <c r="N1578" s="48" t="n">
        <v>5044</v>
      </c>
      <c r="O1578" s="48" t="n">
        <v>65876036</v>
      </c>
      <c r="P1578" s="48" t="n">
        <v>84886133</v>
      </c>
      <c r="Q1578" s="48" t="n">
        <v>2229</v>
      </c>
      <c r="R1578" s="48" t="n">
        <v>2612</v>
      </c>
      <c r="S1578" s="48" t="n">
        <v>81968779</v>
      </c>
      <c r="T1578" s="48" t="n">
        <v>62958682</v>
      </c>
      <c r="U1578" s="46" t="n">
        <f aca="false">IF($A1578=$A1577,$U1577+1,1)</f>
        <v>14</v>
      </c>
      <c r="V1578" s="48" t="str">
        <f aca="false">IF($U1578&gt;=MA_SHORT,AVERAGE(INDEX($I$1178:$I1578,402-MA_SHORT):$I1578),"")</f>
        <v/>
      </c>
      <c r="W1578" s="48" t="str">
        <f aca="false">IF($U1578&gt;=MA_MED,AVERAGE(INDEX($I$1178:$I1578,402-MA_MED):$I1578),"")</f>
        <v/>
      </c>
      <c r="X1578" s="48" t="str">
        <f aca="false">IF($U1578&gt;=MA_LONG1,AVERAGE(INDEX($I$1178:$I1578,402-MA_LONG1):$I1578),"")</f>
        <v/>
      </c>
      <c r="Y1578" s="48" t="str">
        <f aca="false">IF($U1578&gt;=MA_LONG2,AVERAGE(INDEX($I$1178:$I1578,402-MA_LONG2):$I1578),"")</f>
        <v/>
      </c>
      <c r="Z1578" s="48" t="str">
        <f aca="false">IF($U1578&gt;=MA_SHORT,AVERAGE(INDEX($L$1458:$L1578,122-MA_SHORT):$L1578),"")</f>
        <v/>
      </c>
      <c r="AA1578" s="48" t="n">
        <f aca="false">IF($U1578=1,$G1578-$H1578,MAX($G1578-$H1578,ABS($G1578-$I1577),ABS($H1578-$I1577)))</f>
        <v>90</v>
      </c>
      <c r="AB1578" s="48" t="n">
        <f aca="false">IF($U1578&gt;=ATR_PER,AVERAGE(INDEX($AA$1458:$AA1578,122-ATR_PER):$AA1578),"")</f>
        <v>59.5</v>
      </c>
      <c r="AC1578" s="48" t="n">
        <f aca="false">$O1578-$P1578</f>
        <v>-19010097</v>
      </c>
      <c r="AD1578" s="48" t="n">
        <f aca="false">$AC1578*$I1578</f>
        <v>-37735042545</v>
      </c>
      <c r="AE1578" s="49" t="n">
        <f aca="false">IF($Q1578&gt;0,$O1578*$I1578/$Q1578/1000000,"")</f>
        <v>58.6648413907582</v>
      </c>
      <c r="AF1578" s="49" t="n">
        <f aca="false">IF($R1578&gt;0,$P1578*$I1578/$R1578/1000000,"")</f>
        <v>64.509561257657</v>
      </c>
      <c r="AG1578" s="50" t="n">
        <f aca="false">IF(AND(ISNUMBER($AE1578),ISNUMBER($AF1578),$AF1578&gt;0),$AE1578/$AF1578,"")</f>
        <v>0.909397618694778</v>
      </c>
      <c r="AH1578" s="48" t="n">
        <f aca="false">IF($U1578&gt;=5,SUM(INDEX($AD$1548:$AD1578,32-5):$AD1578),"")</f>
        <v>-84184840479</v>
      </c>
      <c r="AI1578" s="48" t="str">
        <f aca="false">IF($U1578&gt;=STRUCT_S,MAX(INDEX($G$1428:$G1578,152-STRUCT_S):$G1578),"")</f>
        <v/>
      </c>
      <c r="AJ1578" s="48" t="str">
        <f aca="false">IF($U1578&gt;=STRUCT_S,MIN(INDEX($H$1428:$H1578,152-STRUCT_S):$H1578),"")</f>
        <v/>
      </c>
      <c r="AK1578" s="48" t="str">
        <f aca="false">IF($U1578&gt;=STRUCT_L,MAX(INDEX($G$1328:$G1578,252-STRUCT_L):$G1578),"")</f>
        <v/>
      </c>
      <c r="AL1578" s="48" t="str">
        <f aca="false">IF($U1578&gt;=STRUCT_L,MIN(INDEX($H$1328:$H1578,252-STRUCT_L):$H1578),"")</f>
        <v/>
      </c>
      <c r="AM1578" s="46" t="n">
        <f aca="false">IF($A1578&lt;&gt;$A1579,1,0)</f>
        <v>0</v>
      </c>
      <c r="AN1578" s="47" t="str">
        <f aca="false">IF($AM1578=1,$A1578,"")</f>
        <v/>
      </c>
    </row>
    <row r="1579" customFormat="false" ht="15" hidden="false" customHeight="false" outlineLevel="0" collapsed="false">
      <c r="A1579" s="43" t="s">
        <v>162</v>
      </c>
      <c r="B1579" s="44" t="s">
        <v>164</v>
      </c>
      <c r="C1579" s="45" t="n">
        <v>45924</v>
      </c>
      <c r="D1579" s="46" t="n">
        <v>20250924</v>
      </c>
      <c r="E1579" s="47" t="s">
        <v>302</v>
      </c>
      <c r="F1579" s="48" t="n">
        <v>2024</v>
      </c>
      <c r="G1579" s="48" t="n">
        <v>2028</v>
      </c>
      <c r="H1579" s="48" t="n">
        <v>1977</v>
      </c>
      <c r="I1579" s="48" t="n">
        <v>2020</v>
      </c>
      <c r="J1579" s="48" t="n">
        <v>2004</v>
      </c>
      <c r="K1579" s="48" t="n">
        <v>1985</v>
      </c>
      <c r="L1579" s="48" t="n">
        <v>243873970</v>
      </c>
      <c r="M1579" s="48" t="n">
        <v>492625419400</v>
      </c>
      <c r="N1579" s="48" t="n">
        <v>14740</v>
      </c>
      <c r="O1579" s="48" t="n">
        <v>139496831</v>
      </c>
      <c r="P1579" s="48" t="n">
        <v>107281524</v>
      </c>
      <c r="Q1579" s="48" t="n">
        <v>6045</v>
      </c>
      <c r="R1579" s="48" t="n">
        <v>7307</v>
      </c>
      <c r="S1579" s="48" t="n">
        <v>104377139</v>
      </c>
      <c r="T1579" s="48" t="n">
        <v>136592446</v>
      </c>
      <c r="U1579" s="46" t="n">
        <f aca="false">IF($A1579=$A1578,$U1578+1,1)</f>
        <v>15</v>
      </c>
      <c r="V1579" s="48" t="str">
        <f aca="false">IF($U1579&gt;=MA_SHORT,AVERAGE(INDEX($I$1179:$I1579,402-MA_SHORT):$I1579),"")</f>
        <v/>
      </c>
      <c r="W1579" s="48" t="str">
        <f aca="false">IF($U1579&gt;=MA_MED,AVERAGE(INDEX($I$1179:$I1579,402-MA_MED):$I1579),"")</f>
        <v/>
      </c>
      <c r="X1579" s="48" t="str">
        <f aca="false">IF($U1579&gt;=MA_LONG1,AVERAGE(INDEX($I$1179:$I1579,402-MA_LONG1):$I1579),"")</f>
        <v/>
      </c>
      <c r="Y1579" s="48" t="str">
        <f aca="false">IF($U1579&gt;=MA_LONG2,AVERAGE(INDEX($I$1179:$I1579,402-MA_LONG2):$I1579),"")</f>
        <v/>
      </c>
      <c r="Z1579" s="48" t="str">
        <f aca="false">IF($U1579&gt;=MA_SHORT,AVERAGE(INDEX($L$1459:$L1579,122-MA_SHORT):$L1579),"")</f>
        <v/>
      </c>
      <c r="AA1579" s="48" t="n">
        <f aca="false">IF($U1579=1,$G1579-$H1579,MAX($G1579-$H1579,ABS($G1579-$I1578),ABS($H1579-$I1578)))</f>
        <v>51</v>
      </c>
      <c r="AB1579" s="48" t="n">
        <f aca="false">IF($U1579&gt;=ATR_PER,AVERAGE(INDEX($AA$1459:$AA1579,122-ATR_PER):$AA1579),"")</f>
        <v>60.3571428571429</v>
      </c>
      <c r="AC1579" s="48" t="n">
        <f aca="false">$O1579-$P1579</f>
        <v>32215307</v>
      </c>
      <c r="AD1579" s="48" t="n">
        <f aca="false">$AC1579*$I1579</f>
        <v>65074920140</v>
      </c>
      <c r="AE1579" s="49" t="n">
        <f aca="false">IF($Q1579&gt;0,$O1579*$I1579/$Q1579/1000000,"")</f>
        <v>46.6143256608768</v>
      </c>
      <c r="AF1579" s="49" t="n">
        <f aca="false">IF($R1579&gt;0,$P1579*$I1579/$R1579/1000000,"")</f>
        <v>29.6576814670864</v>
      </c>
      <c r="AG1579" s="50" t="n">
        <f aca="false">IF(AND(ISNUMBER($AE1579),ISNUMBER($AF1579),$AF1579&gt;0),$AE1579/$AF1579,"")</f>
        <v>1.57174544182116</v>
      </c>
      <c r="AH1579" s="48" t="n">
        <f aca="false">IF($U1579&gt;=5,SUM(INDEX($AD$1549:$AD1579,32-5):$AD1579),"")</f>
        <v>-35774675793</v>
      </c>
      <c r="AI1579" s="48" t="str">
        <f aca="false">IF($U1579&gt;=STRUCT_S,MAX(INDEX($G$1429:$G1579,152-STRUCT_S):$G1579),"")</f>
        <v/>
      </c>
      <c r="AJ1579" s="48" t="str">
        <f aca="false">IF($U1579&gt;=STRUCT_S,MIN(INDEX($H$1429:$H1579,152-STRUCT_S):$H1579),"")</f>
        <v/>
      </c>
      <c r="AK1579" s="48" t="str">
        <f aca="false">IF($U1579&gt;=STRUCT_L,MAX(INDEX($G$1329:$G1579,252-STRUCT_L):$G1579),"")</f>
        <v/>
      </c>
      <c r="AL1579" s="48" t="str">
        <f aca="false">IF($U1579&gt;=STRUCT_L,MIN(INDEX($H$1329:$H1579,252-STRUCT_L):$H1579),"")</f>
        <v/>
      </c>
      <c r="AM1579" s="46" t="n">
        <f aca="false">IF($A1579&lt;&gt;$A1580,1,0)</f>
        <v>0</v>
      </c>
      <c r="AN1579" s="47" t="str">
        <f aca="false">IF($AM1579=1,$A1579,"")</f>
        <v/>
      </c>
    </row>
    <row r="1580" customFormat="false" ht="15" hidden="false" customHeight="false" outlineLevel="0" collapsed="false">
      <c r="A1580" s="43" t="s">
        <v>162</v>
      </c>
      <c r="B1580" s="44" t="s">
        <v>164</v>
      </c>
      <c r="C1580" s="45" t="n">
        <v>45927</v>
      </c>
      <c r="D1580" s="46" t="n">
        <v>20250927</v>
      </c>
      <c r="E1580" s="47" t="s">
        <v>303</v>
      </c>
      <c r="F1580" s="48" t="n">
        <v>2012</v>
      </c>
      <c r="G1580" s="48" t="n">
        <v>2035</v>
      </c>
      <c r="H1580" s="48" t="n">
        <v>1949</v>
      </c>
      <c r="I1580" s="48" t="n">
        <v>1963</v>
      </c>
      <c r="J1580" s="48" t="n">
        <v>2028</v>
      </c>
      <c r="K1580" s="48" t="n">
        <v>2020</v>
      </c>
      <c r="L1580" s="48" t="n">
        <v>415151292</v>
      </c>
      <c r="M1580" s="48" t="n">
        <v>814941986196</v>
      </c>
      <c r="N1580" s="48" t="n">
        <v>28138</v>
      </c>
      <c r="O1580" s="48" t="n">
        <v>176955799</v>
      </c>
      <c r="P1580" s="48" t="n">
        <v>246429541</v>
      </c>
      <c r="Q1580" s="48" t="n">
        <v>11164</v>
      </c>
      <c r="R1580" s="48" t="n">
        <v>10307</v>
      </c>
      <c r="S1580" s="48" t="n">
        <v>238195493</v>
      </c>
      <c r="T1580" s="48" t="n">
        <v>168721751</v>
      </c>
      <c r="U1580" s="46" t="n">
        <f aca="false">IF($A1580=$A1579,$U1579+1,1)</f>
        <v>16</v>
      </c>
      <c r="V1580" s="48" t="str">
        <f aca="false">IF($U1580&gt;=MA_SHORT,AVERAGE(INDEX($I$1180:$I1580,402-MA_SHORT):$I1580),"")</f>
        <v/>
      </c>
      <c r="W1580" s="48" t="str">
        <f aca="false">IF($U1580&gt;=MA_MED,AVERAGE(INDEX($I$1180:$I1580,402-MA_MED):$I1580),"")</f>
        <v/>
      </c>
      <c r="X1580" s="48" t="str">
        <f aca="false">IF($U1580&gt;=MA_LONG1,AVERAGE(INDEX($I$1180:$I1580,402-MA_LONG1):$I1580),"")</f>
        <v/>
      </c>
      <c r="Y1580" s="48" t="str">
        <f aca="false">IF($U1580&gt;=MA_LONG2,AVERAGE(INDEX($I$1180:$I1580,402-MA_LONG2):$I1580),"")</f>
        <v/>
      </c>
      <c r="Z1580" s="48" t="str">
        <f aca="false">IF($U1580&gt;=MA_SHORT,AVERAGE(INDEX($L$1460:$L1580,122-MA_SHORT):$L1580),"")</f>
        <v/>
      </c>
      <c r="AA1580" s="48" t="n">
        <f aca="false">IF($U1580=1,$G1580-$H1580,MAX($G1580-$H1580,ABS($G1580-$I1579),ABS($H1580-$I1579)))</f>
        <v>86</v>
      </c>
      <c r="AB1580" s="48" t="n">
        <f aca="false">IF($U1580&gt;=ATR_PER,AVERAGE(INDEX($AA$1460:$AA1580,122-ATR_PER):$AA1580),"")</f>
        <v>62.7857142857143</v>
      </c>
      <c r="AC1580" s="48" t="n">
        <f aca="false">$O1580-$P1580</f>
        <v>-69473742</v>
      </c>
      <c r="AD1580" s="48" t="n">
        <f aca="false">$AC1580*$I1580</f>
        <v>-136376955546</v>
      </c>
      <c r="AE1580" s="49" t="n">
        <f aca="false">IF($Q1580&gt;0,$O1580*$I1580/$Q1580/1000000,"")</f>
        <v>31.1146751555894</v>
      </c>
      <c r="AF1580" s="49" t="n">
        <f aca="false">IF($R1580&gt;0,$P1580*$I1580/$R1580/1000000,"")</f>
        <v>46.933267583487</v>
      </c>
      <c r="AG1580" s="50" t="n">
        <f aca="false">IF(AND(ISNUMBER($AE1580),ISNUMBER($AF1580),$AF1580&gt;0),$AE1580/$AF1580,"")</f>
        <v>0.66295565507433</v>
      </c>
      <c r="AH1580" s="48" t="n">
        <f aca="false">IF($U1580&gt;=5,SUM(INDEX($AD$1550:$AD1580,32-5):$AD1580),"")</f>
        <v>-140476525819</v>
      </c>
      <c r="AI1580" s="48" t="str">
        <f aca="false">IF($U1580&gt;=STRUCT_S,MAX(INDEX($G$1430:$G1580,152-STRUCT_S):$G1580),"")</f>
        <v/>
      </c>
      <c r="AJ1580" s="48" t="str">
        <f aca="false">IF($U1580&gt;=STRUCT_S,MIN(INDEX($H$1430:$H1580,152-STRUCT_S):$H1580),"")</f>
        <v/>
      </c>
      <c r="AK1580" s="48" t="str">
        <f aca="false">IF($U1580&gt;=STRUCT_L,MAX(INDEX($G$1330:$G1580,252-STRUCT_L):$G1580),"")</f>
        <v/>
      </c>
      <c r="AL1580" s="48" t="str">
        <f aca="false">IF($U1580&gt;=STRUCT_L,MIN(INDEX($H$1330:$H1580,252-STRUCT_L):$H1580),"")</f>
        <v/>
      </c>
      <c r="AM1580" s="46" t="n">
        <f aca="false">IF($A1580&lt;&gt;$A1581,1,0)</f>
        <v>0</v>
      </c>
      <c r="AN1580" s="47" t="str">
        <f aca="false">IF($AM1580=1,$A1580,"")</f>
        <v/>
      </c>
    </row>
    <row r="1581" customFormat="false" ht="15" hidden="false" customHeight="false" outlineLevel="0" collapsed="false">
      <c r="A1581" s="43" t="s">
        <v>162</v>
      </c>
      <c r="B1581" s="44" t="s">
        <v>164</v>
      </c>
      <c r="C1581" s="45" t="n">
        <v>45928</v>
      </c>
      <c r="D1581" s="46" t="n">
        <v>20250928</v>
      </c>
      <c r="E1581" s="47" t="s">
        <v>304</v>
      </c>
      <c r="F1581" s="48" t="n">
        <v>1973</v>
      </c>
      <c r="G1581" s="48" t="n">
        <v>2035</v>
      </c>
      <c r="H1581" s="48" t="n">
        <v>1956</v>
      </c>
      <c r="I1581" s="48" t="n">
        <v>2028</v>
      </c>
      <c r="J1581" s="48" t="n">
        <v>1990</v>
      </c>
      <c r="K1581" s="48" t="n">
        <v>1963</v>
      </c>
      <c r="L1581" s="48" t="n">
        <v>94186552</v>
      </c>
      <c r="M1581" s="48" t="n">
        <v>191010327456</v>
      </c>
      <c r="N1581" s="48" t="n">
        <v>2401</v>
      </c>
      <c r="O1581" s="48" t="n">
        <v>64791593</v>
      </c>
      <c r="P1581" s="48" t="n">
        <v>36208695</v>
      </c>
      <c r="Q1581" s="48" t="n">
        <v>954</v>
      </c>
      <c r="R1581" s="48" t="n">
        <v>1275</v>
      </c>
      <c r="S1581" s="48" t="n">
        <v>29394959</v>
      </c>
      <c r="T1581" s="48" t="n">
        <v>57977857</v>
      </c>
      <c r="U1581" s="46" t="n">
        <f aca="false">IF($A1581=$A1580,$U1580+1,1)</f>
        <v>17</v>
      </c>
      <c r="V1581" s="48" t="str">
        <f aca="false">IF($U1581&gt;=MA_SHORT,AVERAGE(INDEX($I$1181:$I1581,402-MA_SHORT):$I1581),"")</f>
        <v/>
      </c>
      <c r="W1581" s="48" t="str">
        <f aca="false">IF($U1581&gt;=MA_MED,AVERAGE(INDEX($I$1181:$I1581,402-MA_MED):$I1581),"")</f>
        <v/>
      </c>
      <c r="X1581" s="48" t="str">
        <f aca="false">IF($U1581&gt;=MA_LONG1,AVERAGE(INDEX($I$1181:$I1581,402-MA_LONG1):$I1581),"")</f>
        <v/>
      </c>
      <c r="Y1581" s="48" t="str">
        <f aca="false">IF($U1581&gt;=MA_LONG2,AVERAGE(INDEX($I$1181:$I1581,402-MA_LONG2):$I1581),"")</f>
        <v/>
      </c>
      <c r="Z1581" s="48" t="str">
        <f aca="false">IF($U1581&gt;=MA_SHORT,AVERAGE(INDEX($L$1461:$L1581,122-MA_SHORT):$L1581),"")</f>
        <v/>
      </c>
      <c r="AA1581" s="48" t="n">
        <f aca="false">IF($U1581=1,$G1581-$H1581,MAX($G1581-$H1581,ABS($G1581-$I1580),ABS($H1581-$I1580)))</f>
        <v>79</v>
      </c>
      <c r="AB1581" s="48" t="n">
        <f aca="false">IF($U1581&gt;=ATR_PER,AVERAGE(INDEX($AA$1461:$AA1581,122-ATR_PER):$AA1581),"")</f>
        <v>65.1428571428571</v>
      </c>
      <c r="AC1581" s="48" t="n">
        <f aca="false">$O1581-$P1581</f>
        <v>28582898</v>
      </c>
      <c r="AD1581" s="48" t="n">
        <f aca="false">$AC1581*$I1581</f>
        <v>57966117144</v>
      </c>
      <c r="AE1581" s="49" t="n">
        <f aca="false">IF($Q1581&gt;0,$O1581*$I1581/$Q1581/1000000,"")</f>
        <v>137.73307191195</v>
      </c>
      <c r="AF1581" s="49" t="n">
        <f aca="false">IF($R1581&gt;0,$P1581*$I1581/$R1581/1000000,"")</f>
        <v>57.5931242823529</v>
      </c>
      <c r="AG1581" s="50" t="n">
        <f aca="false">IF(AND(ISNUMBER($AE1581),ISNUMBER($AF1581),$AF1581&gt;0),$AE1581/$AF1581,"")</f>
        <v>2.39148463689358</v>
      </c>
      <c r="AH1581" s="48" t="n">
        <f aca="false">IF($U1581&gt;=5,SUM(INDEX($AD$1551:$AD1581,32-5):$AD1581),"")</f>
        <v>-92910116767</v>
      </c>
      <c r="AI1581" s="48" t="str">
        <f aca="false">IF($U1581&gt;=STRUCT_S,MAX(INDEX($G$1431:$G1581,152-STRUCT_S):$G1581),"")</f>
        <v/>
      </c>
      <c r="AJ1581" s="48" t="str">
        <f aca="false">IF($U1581&gt;=STRUCT_S,MIN(INDEX($H$1431:$H1581,152-STRUCT_S):$H1581),"")</f>
        <v/>
      </c>
      <c r="AK1581" s="48" t="str">
        <f aca="false">IF($U1581&gt;=STRUCT_L,MAX(INDEX($G$1331:$G1581,252-STRUCT_L):$G1581),"")</f>
        <v/>
      </c>
      <c r="AL1581" s="48" t="str">
        <f aca="false">IF($U1581&gt;=STRUCT_L,MIN(INDEX($H$1331:$H1581,252-STRUCT_L):$H1581),"")</f>
        <v/>
      </c>
      <c r="AM1581" s="46" t="n">
        <f aca="false">IF($A1581&lt;&gt;$A1582,1,0)</f>
        <v>0</v>
      </c>
      <c r="AN1581" s="47" t="str">
        <f aca="false">IF($AM1581=1,$A1581,"")</f>
        <v/>
      </c>
    </row>
    <row r="1582" customFormat="false" ht="15" hidden="false" customHeight="false" outlineLevel="0" collapsed="false">
      <c r="A1582" s="43" t="s">
        <v>162</v>
      </c>
      <c r="B1582" s="44" t="s">
        <v>164</v>
      </c>
      <c r="C1582" s="45" t="n">
        <v>45929</v>
      </c>
      <c r="D1582" s="46" t="n">
        <v>20250929</v>
      </c>
      <c r="E1582" s="47" t="s">
        <v>305</v>
      </c>
      <c r="F1582" s="48" t="n">
        <v>2038</v>
      </c>
      <c r="G1582" s="48" t="n">
        <v>2048</v>
      </c>
      <c r="H1582" s="48" t="n">
        <v>1978</v>
      </c>
      <c r="I1582" s="48" t="n">
        <v>1998</v>
      </c>
      <c r="J1582" s="48" t="n">
        <v>1989</v>
      </c>
      <c r="K1582" s="48" t="n">
        <v>2028</v>
      </c>
      <c r="L1582" s="48" t="n">
        <v>85549680</v>
      </c>
      <c r="M1582" s="48" t="n">
        <v>170928260640</v>
      </c>
      <c r="N1582" s="48" t="n">
        <v>3648</v>
      </c>
      <c r="O1582" s="48" t="n">
        <v>42575733</v>
      </c>
      <c r="P1582" s="48" t="n">
        <v>46576123</v>
      </c>
      <c r="Q1582" s="48" t="n">
        <v>1827</v>
      </c>
      <c r="R1582" s="48" t="n">
        <v>1244</v>
      </c>
      <c r="S1582" s="48" t="n">
        <v>42973947</v>
      </c>
      <c r="T1582" s="48" t="n">
        <v>38973557</v>
      </c>
      <c r="U1582" s="46" t="n">
        <f aca="false">IF($A1582=$A1581,$U1581+1,1)</f>
        <v>18</v>
      </c>
      <c r="V1582" s="48" t="str">
        <f aca="false">IF($U1582&gt;=MA_SHORT,AVERAGE(INDEX($I$1182:$I1582,402-MA_SHORT):$I1582),"")</f>
        <v/>
      </c>
      <c r="W1582" s="48" t="str">
        <f aca="false">IF($U1582&gt;=MA_MED,AVERAGE(INDEX($I$1182:$I1582,402-MA_MED):$I1582),"")</f>
        <v/>
      </c>
      <c r="X1582" s="48" t="str">
        <f aca="false">IF($U1582&gt;=MA_LONG1,AVERAGE(INDEX($I$1182:$I1582,402-MA_LONG1):$I1582),"")</f>
        <v/>
      </c>
      <c r="Y1582" s="48" t="str">
        <f aca="false">IF($U1582&gt;=MA_LONG2,AVERAGE(INDEX($I$1182:$I1582,402-MA_LONG2):$I1582),"")</f>
        <v/>
      </c>
      <c r="Z1582" s="48" t="str">
        <f aca="false">IF($U1582&gt;=MA_SHORT,AVERAGE(INDEX($L$1462:$L1582,122-MA_SHORT):$L1582),"")</f>
        <v/>
      </c>
      <c r="AA1582" s="48" t="n">
        <f aca="false">IF($U1582=1,$G1582-$H1582,MAX($G1582-$H1582,ABS($G1582-$I1581),ABS($H1582-$I1581)))</f>
        <v>70</v>
      </c>
      <c r="AB1582" s="48" t="n">
        <f aca="false">IF($U1582&gt;=ATR_PER,AVERAGE(INDEX($AA$1462:$AA1582,122-ATR_PER):$AA1582),"")</f>
        <v>67.3571428571429</v>
      </c>
      <c r="AC1582" s="48" t="n">
        <f aca="false">$O1582-$P1582</f>
        <v>-4000390</v>
      </c>
      <c r="AD1582" s="48" t="n">
        <f aca="false">$AC1582*$I1582</f>
        <v>-7992779220</v>
      </c>
      <c r="AE1582" s="49" t="n">
        <f aca="false">IF($Q1582&gt;0,$O1582*$I1582/$Q1582/1000000,"")</f>
        <v>46.5606538226601</v>
      </c>
      <c r="AF1582" s="49" t="n">
        <f aca="false">IF($R1582&gt;0,$P1582*$I1582/$R1582/1000000,"")</f>
        <v>74.8063454614148</v>
      </c>
      <c r="AG1582" s="50" t="n">
        <f aca="false">IF(AND(ISNUMBER($AE1582),ISNUMBER($AF1582),$AF1582&gt;0),$AE1582/$AF1582,"")</f>
        <v>0.62241583298139</v>
      </c>
      <c r="AH1582" s="48" t="n">
        <f aca="false">IF($U1582&gt;=5,SUM(INDEX($AD$1552:$AD1582,32-5):$AD1582),"")</f>
        <v>-59063740027</v>
      </c>
      <c r="AI1582" s="48" t="str">
        <f aca="false">IF($U1582&gt;=STRUCT_S,MAX(INDEX($G$1432:$G1582,152-STRUCT_S):$G1582),"")</f>
        <v/>
      </c>
      <c r="AJ1582" s="48" t="str">
        <f aca="false">IF($U1582&gt;=STRUCT_S,MIN(INDEX($H$1432:$H1582,152-STRUCT_S):$H1582),"")</f>
        <v/>
      </c>
      <c r="AK1582" s="48" t="str">
        <f aca="false">IF($U1582&gt;=STRUCT_L,MAX(INDEX($G$1332:$G1582,252-STRUCT_L):$G1582),"")</f>
        <v/>
      </c>
      <c r="AL1582" s="48" t="str">
        <f aca="false">IF($U1582&gt;=STRUCT_L,MIN(INDEX($H$1332:$H1582,252-STRUCT_L):$H1582),"")</f>
        <v/>
      </c>
      <c r="AM1582" s="46" t="n">
        <f aca="false">IF($A1582&lt;&gt;$A1583,1,0)</f>
        <v>0</v>
      </c>
      <c r="AN1582" s="47" t="str">
        <f aca="false">IF($AM1582=1,$A1582,"")</f>
        <v/>
      </c>
    </row>
    <row r="1583" customFormat="false" ht="15" hidden="false" customHeight="false" outlineLevel="0" collapsed="false">
      <c r="A1583" s="43" t="s">
        <v>162</v>
      </c>
      <c r="B1583" s="44" t="s">
        <v>164</v>
      </c>
      <c r="C1583" s="45" t="n">
        <v>45930</v>
      </c>
      <c r="D1583" s="46" t="n">
        <v>20250930</v>
      </c>
      <c r="E1583" s="47" t="s">
        <v>306</v>
      </c>
      <c r="F1583" s="48" t="n">
        <v>2015</v>
      </c>
      <c r="G1583" s="48" t="n">
        <v>2047</v>
      </c>
      <c r="H1583" s="48" t="n">
        <v>1979</v>
      </c>
      <c r="I1583" s="48" t="n">
        <v>2028</v>
      </c>
      <c r="J1583" s="48" t="n">
        <v>2035</v>
      </c>
      <c r="K1583" s="48" t="n">
        <v>1998</v>
      </c>
      <c r="L1583" s="48" t="n">
        <v>86248013</v>
      </c>
      <c r="M1583" s="48" t="n">
        <v>174910970364</v>
      </c>
      <c r="N1583" s="48" t="n">
        <v>2118</v>
      </c>
      <c r="O1583" s="48" t="n">
        <v>34439388</v>
      </c>
      <c r="P1583" s="48" t="n">
        <v>47455439</v>
      </c>
      <c r="Q1583" s="48" t="n">
        <v>990</v>
      </c>
      <c r="R1583" s="48" t="n">
        <v>1110</v>
      </c>
      <c r="S1583" s="48" t="n">
        <v>51808625</v>
      </c>
      <c r="T1583" s="48" t="n">
        <v>38792574</v>
      </c>
      <c r="U1583" s="46" t="n">
        <f aca="false">IF($A1583=$A1582,$U1582+1,1)</f>
        <v>19</v>
      </c>
      <c r="V1583" s="48" t="str">
        <f aca="false">IF($U1583&gt;=MA_SHORT,AVERAGE(INDEX($I$1183:$I1583,402-MA_SHORT):$I1583),"")</f>
        <v/>
      </c>
      <c r="W1583" s="48" t="str">
        <f aca="false">IF($U1583&gt;=MA_MED,AVERAGE(INDEX($I$1183:$I1583,402-MA_MED):$I1583),"")</f>
        <v/>
      </c>
      <c r="X1583" s="48" t="str">
        <f aca="false">IF($U1583&gt;=MA_LONG1,AVERAGE(INDEX($I$1183:$I1583,402-MA_LONG1):$I1583),"")</f>
        <v/>
      </c>
      <c r="Y1583" s="48" t="str">
        <f aca="false">IF($U1583&gt;=MA_LONG2,AVERAGE(INDEX($I$1183:$I1583,402-MA_LONG2):$I1583),"")</f>
        <v/>
      </c>
      <c r="Z1583" s="48" t="str">
        <f aca="false">IF($U1583&gt;=MA_SHORT,AVERAGE(INDEX($L$1463:$L1583,122-MA_SHORT):$L1583),"")</f>
        <v/>
      </c>
      <c r="AA1583" s="48" t="n">
        <f aca="false">IF($U1583=1,$G1583-$H1583,MAX($G1583-$H1583,ABS($G1583-$I1582),ABS($H1583-$I1582)))</f>
        <v>68</v>
      </c>
      <c r="AB1583" s="48" t="n">
        <f aca="false">IF($U1583&gt;=ATR_PER,AVERAGE(INDEX($AA$1463:$AA1583,122-ATR_PER):$AA1583),"")</f>
        <v>66.5714285714286</v>
      </c>
      <c r="AC1583" s="48" t="n">
        <f aca="false">$O1583-$P1583</f>
        <v>-13016051</v>
      </c>
      <c r="AD1583" s="48" t="n">
        <f aca="false">$AC1583*$I1583</f>
        <v>-26396551428</v>
      </c>
      <c r="AE1583" s="49" t="n">
        <f aca="false">IF($Q1583&gt;0,$O1583*$I1583/$Q1583/1000000,"")</f>
        <v>70.5485645090909</v>
      </c>
      <c r="AF1583" s="49" t="n">
        <f aca="false">IF($R1583&gt;0,$P1583*$I1583/$R1583/1000000,"")</f>
        <v>86.7023696324324</v>
      </c>
      <c r="AG1583" s="50" t="n">
        <f aca="false">IF(AND(ISNUMBER($AE1583),ISNUMBER($AF1583),$AF1583&gt;0),$AE1583/$AF1583,"")</f>
        <v>0.813686694010507</v>
      </c>
      <c r="AH1583" s="48" t="n">
        <f aca="false">IF($U1583&gt;=5,SUM(INDEX($AD$1553:$AD1583,32-5):$AD1583),"")</f>
        <v>-47725248910</v>
      </c>
      <c r="AI1583" s="48" t="str">
        <f aca="false">IF($U1583&gt;=STRUCT_S,MAX(INDEX($G$1433:$G1583,152-STRUCT_S):$G1583),"")</f>
        <v/>
      </c>
      <c r="AJ1583" s="48" t="str">
        <f aca="false">IF($U1583&gt;=STRUCT_S,MIN(INDEX($H$1433:$H1583,152-STRUCT_S):$H1583),"")</f>
        <v/>
      </c>
      <c r="AK1583" s="48" t="str">
        <f aca="false">IF($U1583&gt;=STRUCT_L,MAX(INDEX($G$1333:$G1583,252-STRUCT_L):$G1583),"")</f>
        <v/>
      </c>
      <c r="AL1583" s="48" t="str">
        <f aca="false">IF($U1583&gt;=STRUCT_L,MIN(INDEX($H$1333:$H1583,252-STRUCT_L):$H1583),"")</f>
        <v/>
      </c>
      <c r="AM1583" s="46" t="n">
        <f aca="false">IF($A1583&lt;&gt;$A1584,1,0)</f>
        <v>0</v>
      </c>
      <c r="AN1583" s="47" t="str">
        <f aca="false">IF($AM1583=1,$A1583,"")</f>
        <v/>
      </c>
    </row>
    <row r="1584" customFormat="false" ht="15" hidden="false" customHeight="false" outlineLevel="0" collapsed="false">
      <c r="A1584" s="43" t="s">
        <v>162</v>
      </c>
      <c r="B1584" s="44" t="s">
        <v>164</v>
      </c>
      <c r="C1584" s="45" t="n">
        <v>45931</v>
      </c>
      <c r="D1584" s="46" t="n">
        <v>20251001</v>
      </c>
      <c r="E1584" s="47" t="s">
        <v>307</v>
      </c>
      <c r="F1584" s="48" t="n">
        <v>2025</v>
      </c>
      <c r="G1584" s="48" t="n">
        <v>2042</v>
      </c>
      <c r="H1584" s="48" t="n">
        <v>1996</v>
      </c>
      <c r="I1584" s="48" t="n">
        <v>2010</v>
      </c>
      <c r="J1584" s="48" t="n">
        <v>2015</v>
      </c>
      <c r="K1584" s="48" t="n">
        <v>2028</v>
      </c>
      <c r="L1584" s="48" t="n">
        <v>87192762</v>
      </c>
      <c r="M1584" s="48" t="n">
        <v>175257451620</v>
      </c>
      <c r="N1584" s="48" t="n">
        <v>8632</v>
      </c>
      <c r="O1584" s="48" t="n">
        <v>41475245</v>
      </c>
      <c r="P1584" s="48" t="n">
        <v>50361915</v>
      </c>
      <c r="Q1584" s="48" t="n">
        <v>4243</v>
      </c>
      <c r="R1584" s="48" t="n">
        <v>4349</v>
      </c>
      <c r="S1584" s="48" t="n">
        <v>45717517</v>
      </c>
      <c r="T1584" s="48" t="n">
        <v>36830847</v>
      </c>
      <c r="U1584" s="46" t="n">
        <f aca="false">IF($A1584=$A1583,$U1583+1,1)</f>
        <v>20</v>
      </c>
      <c r="V1584" s="48" t="n">
        <f aca="false">IF($U1584&gt;=MA_SHORT,AVERAGE(INDEX($I$1184:$I1584,402-MA_SHORT):$I1584),"")</f>
        <v>2009.75</v>
      </c>
      <c r="W1584" s="48" t="str">
        <f aca="false">IF($U1584&gt;=MA_MED,AVERAGE(INDEX($I$1184:$I1584,402-MA_MED):$I1584),"")</f>
        <v/>
      </c>
      <c r="X1584" s="48" t="str">
        <f aca="false">IF($U1584&gt;=MA_LONG1,AVERAGE(INDEX($I$1184:$I1584,402-MA_LONG1):$I1584),"")</f>
        <v/>
      </c>
      <c r="Y1584" s="48" t="str">
        <f aca="false">IF($U1584&gt;=MA_LONG2,AVERAGE(INDEX($I$1184:$I1584,402-MA_LONG2):$I1584),"")</f>
        <v/>
      </c>
      <c r="Z1584" s="48" t="n">
        <f aca="false">IF($U1584&gt;=MA_SHORT,AVERAGE(INDEX($L$1464:$L1584,122-MA_SHORT):$L1584),"")</f>
        <v>118355583.4</v>
      </c>
      <c r="AA1584" s="48" t="n">
        <f aca="false">IF($U1584=1,$G1584-$H1584,MAX($G1584-$H1584,ABS($G1584-$I1583),ABS($H1584-$I1583)))</f>
        <v>46</v>
      </c>
      <c r="AB1584" s="48" t="n">
        <f aca="false">IF($U1584&gt;=ATR_PER,AVERAGE(INDEX($AA$1464:$AA1584,122-ATR_PER):$AA1584),"")</f>
        <v>65.8571428571429</v>
      </c>
      <c r="AC1584" s="48" t="n">
        <f aca="false">$O1584-$P1584</f>
        <v>-8886670</v>
      </c>
      <c r="AD1584" s="48" t="n">
        <f aca="false">$AC1584*$I1584</f>
        <v>-17862206700</v>
      </c>
      <c r="AE1584" s="49" t="n">
        <f aca="false">IF($Q1584&gt;0,$O1584*$I1584/$Q1584/1000000,"")</f>
        <v>19.6477121022861</v>
      </c>
      <c r="AF1584" s="49" t="n">
        <f aca="false">IF($R1584&gt;0,$P1584*$I1584/$R1584/1000000,"")</f>
        <v>23.2760287767303</v>
      </c>
      <c r="AG1584" s="50" t="n">
        <f aca="false">IF(AND(ISNUMBER($AE1584),ISNUMBER($AF1584),$AF1584&gt;0),$AE1584/$AF1584,"")</f>
        <v>0.844117881566142</v>
      </c>
      <c r="AH1584" s="48" t="n">
        <f aca="false">IF($U1584&gt;=5,SUM(INDEX($AD$1554:$AD1584,32-5):$AD1584),"")</f>
        <v>-130662375750</v>
      </c>
      <c r="AI1584" s="48" t="n">
        <f aca="false">IF($U1584&gt;=STRUCT_S,MAX(INDEX($G$1434:$G1584,152-STRUCT_S):$G1584),"")</f>
        <v>2092</v>
      </c>
      <c r="AJ1584" s="48" t="n">
        <f aca="false">IF($U1584&gt;=STRUCT_S,MIN(INDEX($H$1434:$H1584,152-STRUCT_S):$H1584),"")</f>
        <v>1945</v>
      </c>
      <c r="AK1584" s="48" t="str">
        <f aca="false">IF($U1584&gt;=STRUCT_L,MAX(INDEX($G$1334:$G1584,252-STRUCT_L):$G1584),"")</f>
        <v/>
      </c>
      <c r="AL1584" s="48" t="str">
        <f aca="false">IF($U1584&gt;=STRUCT_L,MIN(INDEX($H$1334:$H1584,252-STRUCT_L):$H1584),"")</f>
        <v/>
      </c>
      <c r="AM1584" s="46" t="n">
        <f aca="false">IF($A1584&lt;&gt;$A1585,1,0)</f>
        <v>0</v>
      </c>
      <c r="AN1584" s="47" t="str">
        <f aca="false">IF($AM1584=1,$A1584,"")</f>
        <v/>
      </c>
    </row>
    <row r="1585" customFormat="false" ht="15" hidden="false" customHeight="false" outlineLevel="0" collapsed="false">
      <c r="A1585" s="43" t="s">
        <v>162</v>
      </c>
      <c r="B1585" s="44" t="s">
        <v>164</v>
      </c>
      <c r="C1585" s="45" t="n">
        <v>45934</v>
      </c>
      <c r="D1585" s="46" t="n">
        <v>20251004</v>
      </c>
      <c r="E1585" s="47" t="s">
        <v>308</v>
      </c>
      <c r="F1585" s="48" t="n">
        <v>2022</v>
      </c>
      <c r="G1585" s="48" t="n">
        <v>2028</v>
      </c>
      <c r="H1585" s="48" t="n">
        <v>1999</v>
      </c>
      <c r="I1585" s="48" t="n">
        <v>2017</v>
      </c>
      <c r="J1585" s="48" t="n">
        <v>2004</v>
      </c>
      <c r="K1585" s="48" t="n">
        <v>2010</v>
      </c>
      <c r="L1585" s="48" t="n">
        <v>124262429</v>
      </c>
      <c r="M1585" s="48" t="n">
        <v>250637319293</v>
      </c>
      <c r="N1585" s="48" t="n">
        <v>3098</v>
      </c>
      <c r="O1585" s="48" t="n">
        <v>72234849</v>
      </c>
      <c r="P1585" s="48" t="n">
        <v>53540862</v>
      </c>
      <c r="Q1585" s="48" t="n">
        <v>1411</v>
      </c>
      <c r="R1585" s="48" t="n">
        <v>1148</v>
      </c>
      <c r="S1585" s="48" t="n">
        <v>52027580</v>
      </c>
      <c r="T1585" s="48" t="n">
        <v>70721567</v>
      </c>
      <c r="U1585" s="46" t="n">
        <f aca="false">IF($A1585=$A1584,$U1584+1,1)</f>
        <v>21</v>
      </c>
      <c r="V1585" s="48" t="n">
        <f aca="false">IF($U1585&gt;=MA_SHORT,AVERAGE(INDEX($I$1185:$I1585,402-MA_SHORT):$I1585),"")</f>
        <v>2008.35</v>
      </c>
      <c r="W1585" s="48" t="str">
        <f aca="false">IF($U1585&gt;=MA_MED,AVERAGE(INDEX($I$1185:$I1585,402-MA_MED):$I1585),"")</f>
        <v/>
      </c>
      <c r="X1585" s="48" t="str">
        <f aca="false">IF($U1585&gt;=MA_LONG1,AVERAGE(INDEX($I$1185:$I1585,402-MA_LONG1):$I1585),"")</f>
        <v/>
      </c>
      <c r="Y1585" s="48" t="str">
        <f aca="false">IF($U1585&gt;=MA_LONG2,AVERAGE(INDEX($I$1185:$I1585,402-MA_LONG2):$I1585),"")</f>
        <v/>
      </c>
      <c r="Z1585" s="48" t="n">
        <f aca="false">IF($U1585&gt;=MA_SHORT,AVERAGE(INDEX($L$1465:$L1585,122-MA_SHORT):$L1585),"")</f>
        <v>120627220.45</v>
      </c>
      <c r="AA1585" s="48" t="n">
        <f aca="false">IF($U1585=1,$G1585-$H1585,MAX($G1585-$H1585,ABS($G1585-$I1584),ABS($H1585-$I1584)))</f>
        <v>29</v>
      </c>
      <c r="AB1585" s="48" t="n">
        <f aca="false">IF($U1585&gt;=ATR_PER,AVERAGE(INDEX($AA$1465:$AA1585,122-ATR_PER):$AA1585),"")</f>
        <v>62.4285714285714</v>
      </c>
      <c r="AC1585" s="48" t="n">
        <f aca="false">$O1585-$P1585</f>
        <v>18693987</v>
      </c>
      <c r="AD1585" s="48" t="n">
        <f aca="false">$AC1585*$I1585</f>
        <v>37705771779</v>
      </c>
      <c r="AE1585" s="49" t="n">
        <f aca="false">IF($Q1585&gt;0,$O1585*$I1585/$Q1585/1000000,"")</f>
        <v>103.258462390503</v>
      </c>
      <c r="AF1585" s="49" t="n">
        <f aca="false">IF($R1585&gt;0,$P1585*$I1585/$R1585/1000000,"")</f>
        <v>94.0696155522648</v>
      </c>
      <c r="AG1585" s="50" t="n">
        <f aca="false">IF(AND(ISNUMBER($AE1585),ISNUMBER($AF1585),$AF1585&gt;0),$AE1585/$AF1585,"")</f>
        <v>1.09768134784322</v>
      </c>
      <c r="AH1585" s="48" t="n">
        <f aca="false">IF($U1585&gt;=5,SUM(INDEX($AD$1555:$AD1585,32-5):$AD1585),"")</f>
        <v>43420351575</v>
      </c>
      <c r="AI1585" s="48" t="n">
        <f aca="false">IF($U1585&gt;=STRUCT_S,MAX(INDEX($G$1435:$G1585,152-STRUCT_S):$G1585),"")</f>
        <v>2092</v>
      </c>
      <c r="AJ1585" s="48" t="n">
        <f aca="false">IF($U1585&gt;=STRUCT_S,MIN(INDEX($H$1435:$H1585,152-STRUCT_S):$H1585),"")</f>
        <v>1945</v>
      </c>
      <c r="AK1585" s="48" t="str">
        <f aca="false">IF($U1585&gt;=STRUCT_L,MAX(INDEX($G$1335:$G1585,252-STRUCT_L):$G1585),"")</f>
        <v/>
      </c>
      <c r="AL1585" s="48" t="str">
        <f aca="false">IF($U1585&gt;=STRUCT_L,MIN(INDEX($H$1335:$H1585,252-STRUCT_L):$H1585),"")</f>
        <v/>
      </c>
      <c r="AM1585" s="46" t="n">
        <f aca="false">IF($A1585&lt;&gt;$A1586,1,0)</f>
        <v>0</v>
      </c>
      <c r="AN1585" s="47" t="str">
        <f aca="false">IF($AM1585=1,$A1585,"")</f>
        <v/>
      </c>
    </row>
    <row r="1586" customFormat="false" ht="15" hidden="false" customHeight="false" outlineLevel="0" collapsed="false">
      <c r="A1586" s="43" t="s">
        <v>162</v>
      </c>
      <c r="B1586" s="44" t="s">
        <v>164</v>
      </c>
      <c r="C1586" s="45" t="n">
        <v>45935</v>
      </c>
      <c r="D1586" s="46" t="n">
        <v>20251005</v>
      </c>
      <c r="E1586" s="47" t="s">
        <v>309</v>
      </c>
      <c r="F1586" s="48" t="n">
        <v>2045</v>
      </c>
      <c r="G1586" s="48" t="n">
        <v>2059</v>
      </c>
      <c r="H1586" s="48" t="n">
        <v>1983</v>
      </c>
      <c r="I1586" s="48" t="n">
        <v>2024</v>
      </c>
      <c r="J1586" s="48" t="n">
        <v>1984</v>
      </c>
      <c r="K1586" s="48" t="n">
        <v>2017</v>
      </c>
      <c r="L1586" s="48" t="n">
        <v>160849816</v>
      </c>
      <c r="M1586" s="48" t="n">
        <v>325560027584</v>
      </c>
      <c r="N1586" s="48" t="n">
        <v>4822</v>
      </c>
      <c r="O1586" s="48" t="n">
        <v>81689173</v>
      </c>
      <c r="P1586" s="48" t="n">
        <v>78168459</v>
      </c>
      <c r="Q1586" s="48" t="n">
        <v>2049</v>
      </c>
      <c r="R1586" s="48" t="n">
        <v>2240</v>
      </c>
      <c r="S1586" s="48" t="n">
        <v>79160643</v>
      </c>
      <c r="T1586" s="48" t="n">
        <v>82681357</v>
      </c>
      <c r="U1586" s="46" t="n">
        <f aca="false">IF($A1586=$A1585,$U1585+1,1)</f>
        <v>22</v>
      </c>
      <c r="V1586" s="48" t="n">
        <f aca="false">IF($U1586&gt;=MA_SHORT,AVERAGE(INDEX($I$1186:$I1586,402-MA_SHORT):$I1586),"")</f>
        <v>2007.7</v>
      </c>
      <c r="W1586" s="48" t="str">
        <f aca="false">IF($U1586&gt;=MA_MED,AVERAGE(INDEX($I$1186:$I1586,402-MA_MED):$I1586),"")</f>
        <v/>
      </c>
      <c r="X1586" s="48" t="str">
        <f aca="false">IF($U1586&gt;=MA_LONG1,AVERAGE(INDEX($I$1186:$I1586,402-MA_LONG1):$I1586),"")</f>
        <v/>
      </c>
      <c r="Y1586" s="48" t="str">
        <f aca="false">IF($U1586&gt;=MA_LONG2,AVERAGE(INDEX($I$1186:$I1586,402-MA_LONG2):$I1586),"")</f>
        <v/>
      </c>
      <c r="Z1586" s="48" t="n">
        <f aca="false">IF($U1586&gt;=MA_SHORT,AVERAGE(INDEX($L$1466:$L1586,122-MA_SHORT):$L1586),"")</f>
        <v>124648719.4</v>
      </c>
      <c r="AA1586" s="48" t="n">
        <f aca="false">IF($U1586=1,$G1586-$H1586,MAX($G1586-$H1586,ABS($G1586-$I1585),ABS($H1586-$I1585)))</f>
        <v>76</v>
      </c>
      <c r="AB1586" s="48" t="n">
        <f aca="false">IF($U1586&gt;=ATR_PER,AVERAGE(INDEX($AA$1466:$AA1586,122-ATR_PER):$AA1586),"")</f>
        <v>65.2857142857143</v>
      </c>
      <c r="AC1586" s="48" t="n">
        <f aca="false">$O1586-$P1586</f>
        <v>3520714</v>
      </c>
      <c r="AD1586" s="48" t="n">
        <f aca="false">$AC1586*$I1586</f>
        <v>7125925136</v>
      </c>
      <c r="AE1586" s="49" t="n">
        <f aca="false">IF($Q1586&gt;0,$O1586*$I1586/$Q1586/1000000,"")</f>
        <v>80.6924773801855</v>
      </c>
      <c r="AF1586" s="49" t="n">
        <f aca="false">IF($R1586&gt;0,$P1586*$I1586/$R1586/1000000,"")</f>
        <v>70.6307861678571</v>
      </c>
      <c r="AG1586" s="50" t="n">
        <f aca="false">IF(AND(ISNUMBER($AE1586),ISNUMBER($AF1586),$AF1586&gt;0),$AE1586/$AF1586,"")</f>
        <v>1.14245475320657</v>
      </c>
      <c r="AH1586" s="48" t="n">
        <f aca="false">IF($U1586&gt;=5,SUM(INDEX($AD$1556:$AD1586,32-5):$AD1586),"")</f>
        <v>-7419840433</v>
      </c>
      <c r="AI1586" s="48" t="n">
        <f aca="false">IF($U1586&gt;=STRUCT_S,MAX(INDEX($G$1436:$G1586,152-STRUCT_S):$G1586),"")</f>
        <v>2092</v>
      </c>
      <c r="AJ1586" s="48" t="n">
        <f aca="false">IF($U1586&gt;=STRUCT_S,MIN(INDEX($H$1436:$H1586,152-STRUCT_S):$H1586),"")</f>
        <v>1945</v>
      </c>
      <c r="AK1586" s="48" t="str">
        <f aca="false">IF($U1586&gt;=STRUCT_L,MAX(INDEX($G$1336:$G1586,252-STRUCT_L):$G1586),"")</f>
        <v/>
      </c>
      <c r="AL1586" s="48" t="str">
        <f aca="false">IF($U1586&gt;=STRUCT_L,MIN(INDEX($H$1336:$H1586,252-STRUCT_L):$H1586),"")</f>
        <v/>
      </c>
      <c r="AM1586" s="46" t="n">
        <f aca="false">IF($A1586&lt;&gt;$A1587,1,0)</f>
        <v>0</v>
      </c>
      <c r="AN1586" s="47" t="str">
        <f aca="false">IF($AM1586=1,$A1586,"")</f>
        <v/>
      </c>
    </row>
    <row r="1587" customFormat="false" ht="15" hidden="false" customHeight="false" outlineLevel="0" collapsed="false">
      <c r="A1587" s="43" t="s">
        <v>162</v>
      </c>
      <c r="B1587" s="44" t="s">
        <v>164</v>
      </c>
      <c r="C1587" s="45" t="n">
        <v>45936</v>
      </c>
      <c r="D1587" s="46" t="n">
        <v>20251006</v>
      </c>
      <c r="E1587" s="47" t="s">
        <v>310</v>
      </c>
      <c r="F1587" s="48" t="n">
        <v>2054</v>
      </c>
      <c r="G1587" s="48" t="n">
        <v>2067</v>
      </c>
      <c r="H1587" s="48" t="n">
        <v>2000</v>
      </c>
      <c r="I1587" s="48" t="n">
        <v>2043</v>
      </c>
      <c r="J1587" s="48" t="n">
        <v>2042</v>
      </c>
      <c r="K1587" s="48" t="n">
        <v>2024</v>
      </c>
      <c r="L1587" s="48" t="n">
        <v>149556445</v>
      </c>
      <c r="M1587" s="48" t="n">
        <v>305543817135</v>
      </c>
      <c r="N1587" s="48" t="n">
        <v>13322</v>
      </c>
      <c r="O1587" s="48" t="n">
        <v>87906025</v>
      </c>
      <c r="P1587" s="48" t="n">
        <v>58292587</v>
      </c>
      <c r="Q1587" s="48" t="n">
        <v>5993</v>
      </c>
      <c r="R1587" s="48" t="n">
        <v>3873</v>
      </c>
      <c r="S1587" s="48" t="n">
        <v>61650420</v>
      </c>
      <c r="T1587" s="48" t="n">
        <v>91263858</v>
      </c>
      <c r="U1587" s="46" t="n">
        <f aca="false">IF($A1587=$A1586,$U1586+1,1)</f>
        <v>23</v>
      </c>
      <c r="V1587" s="48" t="n">
        <f aca="false">IF($U1587&gt;=MA_SHORT,AVERAGE(INDEX($I$1187:$I1587,402-MA_SHORT):$I1587),"")</f>
        <v>2008.7</v>
      </c>
      <c r="W1587" s="48" t="str">
        <f aca="false">IF($U1587&gt;=MA_MED,AVERAGE(INDEX($I$1187:$I1587,402-MA_MED):$I1587),"")</f>
        <v/>
      </c>
      <c r="X1587" s="48" t="str">
        <f aca="false">IF($U1587&gt;=MA_LONG1,AVERAGE(INDEX($I$1187:$I1587,402-MA_LONG1):$I1587),"")</f>
        <v/>
      </c>
      <c r="Y1587" s="48" t="str">
        <f aca="false">IF($U1587&gt;=MA_LONG2,AVERAGE(INDEX($I$1187:$I1587,402-MA_LONG2):$I1587),"")</f>
        <v/>
      </c>
      <c r="Z1587" s="48" t="n">
        <f aca="false">IF($U1587&gt;=MA_SHORT,AVERAGE(INDEX($L$1467:$L1587,122-MA_SHORT):$L1587),"")</f>
        <v>128035754.2</v>
      </c>
      <c r="AA1587" s="48" t="n">
        <f aca="false">IF($U1587=1,$G1587-$H1587,MAX($G1587-$H1587,ABS($G1587-$I1586),ABS($H1587-$I1586)))</f>
        <v>67</v>
      </c>
      <c r="AB1587" s="48" t="n">
        <f aca="false">IF($U1587&gt;=ATR_PER,AVERAGE(INDEX($AA$1467:$AA1587,122-ATR_PER):$AA1587),"")</f>
        <v>67.4285714285714</v>
      </c>
      <c r="AC1587" s="48" t="n">
        <f aca="false">$O1587-$P1587</f>
        <v>29613438</v>
      </c>
      <c r="AD1587" s="48" t="n">
        <f aca="false">$AC1587*$I1587</f>
        <v>60500253834</v>
      </c>
      <c r="AE1587" s="49" t="n">
        <f aca="false">IF($Q1587&gt;0,$O1587*$I1587/$Q1587/1000000,"")</f>
        <v>29.9669629692975</v>
      </c>
      <c r="AF1587" s="49" t="n">
        <f aca="false">IF($R1587&gt;0,$P1587*$I1587/$R1587/1000000,"")</f>
        <v>30.7492267598761</v>
      </c>
      <c r="AG1587" s="50" t="n">
        <f aca="false">IF(AND(ISNUMBER($AE1587),ISNUMBER($AF1587),$AF1587&gt;0),$AE1587/$AF1587,"")</f>
        <v>0.97455988741807</v>
      </c>
      <c r="AH1587" s="48" t="n">
        <f aca="false">IF($U1587&gt;=5,SUM(INDEX($AD$1557:$AD1587,32-5):$AD1587),"")</f>
        <v>61073192621</v>
      </c>
      <c r="AI1587" s="48" t="n">
        <f aca="false">IF($U1587&gt;=STRUCT_S,MAX(INDEX($G$1437:$G1587,152-STRUCT_S):$G1587),"")</f>
        <v>2092</v>
      </c>
      <c r="AJ1587" s="48" t="n">
        <f aca="false">IF($U1587&gt;=STRUCT_S,MIN(INDEX($H$1437:$H1587,152-STRUCT_S):$H1587),"")</f>
        <v>1945</v>
      </c>
      <c r="AK1587" s="48" t="str">
        <f aca="false">IF($U1587&gt;=STRUCT_L,MAX(INDEX($G$1337:$G1587,252-STRUCT_L):$G1587),"")</f>
        <v/>
      </c>
      <c r="AL1587" s="48" t="str">
        <f aca="false">IF($U1587&gt;=STRUCT_L,MIN(INDEX($H$1337:$H1587,252-STRUCT_L):$H1587),"")</f>
        <v/>
      </c>
      <c r="AM1587" s="46" t="n">
        <f aca="false">IF($A1587&lt;&gt;$A1588,1,0)</f>
        <v>0</v>
      </c>
      <c r="AN1587" s="47" t="str">
        <f aca="false">IF($AM1587=1,$A1587,"")</f>
        <v/>
      </c>
    </row>
    <row r="1588" customFormat="false" ht="15" hidden="false" customHeight="false" outlineLevel="0" collapsed="false">
      <c r="A1588" s="43" t="s">
        <v>162</v>
      </c>
      <c r="B1588" s="44" t="s">
        <v>164</v>
      </c>
      <c r="C1588" s="45" t="n">
        <v>45937</v>
      </c>
      <c r="D1588" s="46" t="n">
        <v>20251007</v>
      </c>
      <c r="E1588" s="47" t="s">
        <v>311</v>
      </c>
      <c r="F1588" s="48" t="n">
        <v>2057</v>
      </c>
      <c r="G1588" s="48" t="n">
        <v>2080</v>
      </c>
      <c r="H1588" s="48" t="n">
        <v>2027</v>
      </c>
      <c r="I1588" s="48" t="n">
        <v>2064</v>
      </c>
      <c r="J1588" s="48" t="n">
        <v>2045</v>
      </c>
      <c r="K1588" s="48" t="n">
        <v>2043</v>
      </c>
      <c r="L1588" s="48" t="n">
        <v>344577413</v>
      </c>
      <c r="M1588" s="48" t="n">
        <v>711207780432</v>
      </c>
      <c r="N1588" s="48" t="n">
        <v>20847</v>
      </c>
      <c r="O1588" s="48" t="n">
        <v>177219350</v>
      </c>
      <c r="P1588" s="48" t="n">
        <v>160155105</v>
      </c>
      <c r="Q1588" s="48" t="n">
        <v>9085</v>
      </c>
      <c r="R1588" s="48" t="n">
        <v>9991</v>
      </c>
      <c r="S1588" s="48" t="n">
        <v>167358063</v>
      </c>
      <c r="T1588" s="48" t="n">
        <v>184422308</v>
      </c>
      <c r="U1588" s="46" t="n">
        <f aca="false">IF($A1588=$A1587,$U1587+1,1)</f>
        <v>24</v>
      </c>
      <c r="V1588" s="48" t="n">
        <f aca="false">IF($U1588&gt;=MA_SHORT,AVERAGE(INDEX($I$1188:$I1588,402-MA_SHORT):$I1588),"")</f>
        <v>2009.8</v>
      </c>
      <c r="W1588" s="48" t="str">
        <f aca="false">IF($U1588&gt;=MA_MED,AVERAGE(INDEX($I$1188:$I1588,402-MA_MED):$I1588),"")</f>
        <v/>
      </c>
      <c r="X1588" s="48" t="str">
        <f aca="false">IF($U1588&gt;=MA_LONG1,AVERAGE(INDEX($I$1188:$I1588,402-MA_LONG1):$I1588),"")</f>
        <v/>
      </c>
      <c r="Y1588" s="48" t="str">
        <f aca="false">IF($U1588&gt;=MA_LONG2,AVERAGE(INDEX($I$1188:$I1588,402-MA_LONG2):$I1588),"")</f>
        <v/>
      </c>
      <c r="Z1588" s="48" t="n">
        <f aca="false">IF($U1588&gt;=MA_SHORT,AVERAGE(INDEX($L$1468:$L1588,122-MA_SHORT):$L1588),"")</f>
        <v>140591586.3</v>
      </c>
      <c r="AA1588" s="48" t="n">
        <f aca="false">IF($U1588=1,$G1588-$H1588,MAX($G1588-$H1588,ABS($G1588-$I1587),ABS($H1588-$I1587)))</f>
        <v>53</v>
      </c>
      <c r="AB1588" s="48" t="n">
        <f aca="false">IF($U1588&gt;=ATR_PER,AVERAGE(INDEX($AA$1468:$AA1588,122-ATR_PER):$AA1588),"")</f>
        <v>66.2142857142857</v>
      </c>
      <c r="AC1588" s="48" t="n">
        <f aca="false">$O1588-$P1588</f>
        <v>17064245</v>
      </c>
      <c r="AD1588" s="48" t="n">
        <f aca="false">$AC1588*$I1588</f>
        <v>35220601680</v>
      </c>
      <c r="AE1588" s="49" t="n">
        <f aca="false">IF($Q1588&gt;0,$O1588*$I1588/$Q1588/1000000,"")</f>
        <v>40.2620515575124</v>
      </c>
      <c r="AF1588" s="49" t="n">
        <f aca="false">IF($R1588&gt;0,$P1588*$I1588/$R1588/1000000,"")</f>
        <v>33.0857908837954</v>
      </c>
      <c r="AG1588" s="50" t="n">
        <f aca="false">IF(AND(ISNUMBER($AE1588),ISNUMBER($AF1588),$AF1588&gt;0),$AE1588/$AF1588,"")</f>
        <v>1.21689856829845</v>
      </c>
      <c r="AH1588" s="48" t="n">
        <f aca="false">IF($U1588&gt;=5,SUM(INDEX($AD$1558:$AD1588,32-5):$AD1588),"")</f>
        <v>122690345729</v>
      </c>
      <c r="AI1588" s="48" t="n">
        <f aca="false">IF($U1588&gt;=STRUCT_S,MAX(INDEX($G$1438:$G1588,152-STRUCT_S):$G1588),"")</f>
        <v>2092</v>
      </c>
      <c r="AJ1588" s="48" t="n">
        <f aca="false">IF($U1588&gt;=STRUCT_S,MIN(INDEX($H$1438:$H1588,152-STRUCT_S):$H1588),"")</f>
        <v>1945</v>
      </c>
      <c r="AK1588" s="48" t="str">
        <f aca="false">IF($U1588&gt;=STRUCT_L,MAX(INDEX($G$1338:$G1588,252-STRUCT_L):$G1588),"")</f>
        <v/>
      </c>
      <c r="AL1588" s="48" t="str">
        <f aca="false">IF($U1588&gt;=STRUCT_L,MIN(INDEX($H$1338:$H1588,252-STRUCT_L):$H1588),"")</f>
        <v/>
      </c>
      <c r="AM1588" s="46" t="n">
        <f aca="false">IF($A1588&lt;&gt;$A1589,1,0)</f>
        <v>0</v>
      </c>
      <c r="AN1588" s="47" t="str">
        <f aca="false">IF($AM1588=1,$A1588,"")</f>
        <v/>
      </c>
    </row>
    <row r="1589" customFormat="false" ht="15" hidden="false" customHeight="false" outlineLevel="0" collapsed="false">
      <c r="A1589" s="43" t="s">
        <v>162</v>
      </c>
      <c r="B1589" s="44" t="s">
        <v>164</v>
      </c>
      <c r="C1589" s="45" t="n">
        <v>45938</v>
      </c>
      <c r="D1589" s="46" t="n">
        <v>20251008</v>
      </c>
      <c r="E1589" s="47" t="s">
        <v>312</v>
      </c>
      <c r="F1589" s="48" t="n">
        <v>2096</v>
      </c>
      <c r="G1589" s="48" t="n">
        <v>2111</v>
      </c>
      <c r="H1589" s="48" t="n">
        <v>2042</v>
      </c>
      <c r="I1589" s="48" t="n">
        <v>2089</v>
      </c>
      <c r="J1589" s="48" t="n">
        <v>2071</v>
      </c>
      <c r="K1589" s="48" t="n">
        <v>2064</v>
      </c>
      <c r="L1589" s="48" t="n">
        <v>84285952</v>
      </c>
      <c r="M1589" s="48" t="n">
        <v>176073353728</v>
      </c>
      <c r="N1589" s="48" t="n">
        <v>2458</v>
      </c>
      <c r="O1589" s="48" t="n">
        <v>44596901</v>
      </c>
      <c r="P1589" s="48" t="n">
        <v>43110903</v>
      </c>
      <c r="Q1589" s="48" t="n">
        <v>855</v>
      </c>
      <c r="R1589" s="48" t="n">
        <v>1108</v>
      </c>
      <c r="S1589" s="48" t="n">
        <v>39689051</v>
      </c>
      <c r="T1589" s="48" t="n">
        <v>41175049</v>
      </c>
      <c r="U1589" s="46" t="n">
        <f aca="false">IF($A1589=$A1588,$U1588+1,1)</f>
        <v>25</v>
      </c>
      <c r="V1589" s="48" t="n">
        <f aca="false">IF($U1589&gt;=MA_SHORT,AVERAGE(INDEX($I$1189:$I1589,402-MA_SHORT):$I1589),"")</f>
        <v>2011.1</v>
      </c>
      <c r="W1589" s="48" t="str">
        <f aca="false">IF($U1589&gt;=MA_MED,AVERAGE(INDEX($I$1189:$I1589,402-MA_MED):$I1589),"")</f>
        <v/>
      </c>
      <c r="X1589" s="48" t="str">
        <f aca="false">IF($U1589&gt;=MA_LONG1,AVERAGE(INDEX($I$1189:$I1589,402-MA_LONG1):$I1589),"")</f>
        <v/>
      </c>
      <c r="Y1589" s="48" t="str">
        <f aca="false">IF($U1589&gt;=MA_LONG2,AVERAGE(INDEX($I$1189:$I1589,402-MA_LONG2):$I1589),"")</f>
        <v/>
      </c>
      <c r="Z1589" s="48" t="n">
        <f aca="false">IF($U1589&gt;=MA_SHORT,AVERAGE(INDEX($L$1469:$L1589,122-MA_SHORT):$L1589),"")</f>
        <v>140634685.8</v>
      </c>
      <c r="AA1589" s="48" t="n">
        <f aca="false">IF($U1589=1,$G1589-$H1589,MAX($G1589-$H1589,ABS($G1589-$I1588),ABS($H1589-$I1588)))</f>
        <v>69</v>
      </c>
      <c r="AB1589" s="48" t="n">
        <f aca="false">IF($U1589&gt;=ATR_PER,AVERAGE(INDEX($AA$1469:$AA1589,122-ATR_PER):$AA1589),"")</f>
        <v>67.8571428571429</v>
      </c>
      <c r="AC1589" s="48" t="n">
        <f aca="false">$O1589-$P1589</f>
        <v>1485998</v>
      </c>
      <c r="AD1589" s="48" t="n">
        <f aca="false">$AC1589*$I1589</f>
        <v>3104249822</v>
      </c>
      <c r="AE1589" s="49" t="n">
        <f aca="false">IF($Q1589&gt;0,$O1589*$I1589/$Q1589/1000000,"")</f>
        <v>108.96248677076</v>
      </c>
      <c r="AF1589" s="49" t="n">
        <f aca="false">IF($R1589&gt;0,$P1589*$I1589/$R1589/1000000,"")</f>
        <v>81.2803938330325</v>
      </c>
      <c r="AG1589" s="50" t="n">
        <f aca="false">IF(AND(ISNUMBER($AE1589),ISNUMBER($AF1589),$AF1589&gt;0),$AE1589/$AF1589,"")</f>
        <v>1.3405752806094</v>
      </c>
      <c r="AH1589" s="48" t="n">
        <f aca="false">IF($U1589&gt;=5,SUM(INDEX($AD$1559:$AD1589,32-5):$AD1589),"")</f>
        <v>143656802251</v>
      </c>
      <c r="AI1589" s="48" t="n">
        <f aca="false">IF($U1589&gt;=STRUCT_S,MAX(INDEX($G$1439:$G1589,152-STRUCT_S):$G1589),"")</f>
        <v>2111</v>
      </c>
      <c r="AJ1589" s="48" t="n">
        <f aca="false">IF($U1589&gt;=STRUCT_S,MIN(INDEX($H$1439:$H1589,152-STRUCT_S):$H1589),"")</f>
        <v>1945</v>
      </c>
      <c r="AK1589" s="48" t="str">
        <f aca="false">IF($U1589&gt;=STRUCT_L,MAX(INDEX($G$1339:$G1589,252-STRUCT_L):$G1589),"")</f>
        <v/>
      </c>
      <c r="AL1589" s="48" t="str">
        <f aca="false">IF($U1589&gt;=STRUCT_L,MIN(INDEX($H$1339:$H1589,252-STRUCT_L):$H1589),"")</f>
        <v/>
      </c>
      <c r="AM1589" s="46" t="n">
        <f aca="false">IF($A1589&lt;&gt;$A1590,1,0)</f>
        <v>0</v>
      </c>
      <c r="AN1589" s="47" t="str">
        <f aca="false">IF($AM1589=1,$A1589,"")</f>
        <v/>
      </c>
    </row>
    <row r="1590" customFormat="false" ht="15" hidden="false" customHeight="false" outlineLevel="0" collapsed="false">
      <c r="A1590" s="43" t="s">
        <v>162</v>
      </c>
      <c r="B1590" s="44" t="s">
        <v>164</v>
      </c>
      <c r="C1590" s="45" t="n">
        <v>45941</v>
      </c>
      <c r="D1590" s="46" t="n">
        <v>20251011</v>
      </c>
      <c r="E1590" s="47" t="s">
        <v>313</v>
      </c>
      <c r="F1590" s="48" t="n">
        <v>2072</v>
      </c>
      <c r="G1590" s="48" t="n">
        <v>2113</v>
      </c>
      <c r="H1590" s="48" t="n">
        <v>2034</v>
      </c>
      <c r="I1590" s="48" t="n">
        <v>2058</v>
      </c>
      <c r="J1590" s="48" t="n">
        <v>2106</v>
      </c>
      <c r="K1590" s="48" t="n">
        <v>2089</v>
      </c>
      <c r="L1590" s="48" t="n">
        <v>85571714</v>
      </c>
      <c r="M1590" s="48" t="n">
        <v>176106587412</v>
      </c>
      <c r="N1590" s="48" t="n">
        <v>2383</v>
      </c>
      <c r="O1590" s="48" t="n">
        <v>36879788</v>
      </c>
      <c r="P1590" s="48" t="n">
        <v>50117696</v>
      </c>
      <c r="Q1590" s="48" t="n">
        <v>1230</v>
      </c>
      <c r="R1590" s="48" t="n">
        <v>1031</v>
      </c>
      <c r="S1590" s="48" t="n">
        <v>48691926</v>
      </c>
      <c r="T1590" s="48" t="n">
        <v>35454018</v>
      </c>
      <c r="U1590" s="46" t="n">
        <f aca="false">IF($A1590=$A1589,$U1589+1,1)</f>
        <v>26</v>
      </c>
      <c r="V1590" s="48" t="n">
        <f aca="false">IF($U1590&gt;=MA_SHORT,AVERAGE(INDEX($I$1190:$I1590,402-MA_SHORT):$I1590),"")</f>
        <v>2013.05</v>
      </c>
      <c r="W1590" s="48" t="str">
        <f aca="false">IF($U1590&gt;=MA_MED,AVERAGE(INDEX($I$1190:$I1590,402-MA_MED):$I1590),"")</f>
        <v/>
      </c>
      <c r="X1590" s="48" t="str">
        <f aca="false">IF($U1590&gt;=MA_LONG1,AVERAGE(INDEX($I$1190:$I1590,402-MA_LONG1):$I1590),"")</f>
        <v/>
      </c>
      <c r="Y1590" s="48" t="str">
        <f aca="false">IF($U1590&gt;=MA_LONG2,AVERAGE(INDEX($I$1190:$I1590,402-MA_LONG2):$I1590),"")</f>
        <v/>
      </c>
      <c r="Z1590" s="48" t="n">
        <f aca="false">IF($U1590&gt;=MA_SHORT,AVERAGE(INDEX($L$1470:$L1590,122-MA_SHORT):$L1590),"")</f>
        <v>140481734</v>
      </c>
      <c r="AA1590" s="48" t="n">
        <f aca="false">IF($U1590=1,$G1590-$H1590,MAX($G1590-$H1590,ABS($G1590-$I1589),ABS($H1590-$I1589)))</f>
        <v>79</v>
      </c>
      <c r="AB1590" s="48" t="n">
        <f aca="false">IF($U1590&gt;=ATR_PER,AVERAGE(INDEX($AA$1470:$AA1590,122-ATR_PER):$AA1590),"")</f>
        <v>67.8571428571429</v>
      </c>
      <c r="AC1590" s="48" t="n">
        <f aca="false">$O1590-$P1590</f>
        <v>-13237908</v>
      </c>
      <c r="AD1590" s="48" t="n">
        <f aca="false">$AC1590*$I1590</f>
        <v>-27243614664</v>
      </c>
      <c r="AE1590" s="49" t="n">
        <f aca="false">IF($Q1590&gt;0,$O1590*$I1590/$Q1590/1000000,"")</f>
        <v>61.7061818731707</v>
      </c>
      <c r="AF1590" s="49" t="n">
        <f aca="false">IF($R1590&gt;0,$P1590*$I1590/$R1590/1000000,"")</f>
        <v>100.040948950533</v>
      </c>
      <c r="AG1590" s="50" t="n">
        <f aca="false">IF(AND(ISNUMBER($AE1590),ISNUMBER($AF1590),$AF1590&gt;0),$AE1590/$AF1590,"")</f>
        <v>0.616809241820389</v>
      </c>
      <c r="AH1590" s="48" t="n">
        <f aca="false">IF($U1590&gt;=5,SUM(INDEX($AD$1560:$AD1590,32-5):$AD1590),"")</f>
        <v>78707415808</v>
      </c>
      <c r="AI1590" s="48" t="n">
        <f aca="false">IF($U1590&gt;=STRUCT_S,MAX(INDEX($G$1440:$G1590,152-STRUCT_S):$G1590),"")</f>
        <v>2113</v>
      </c>
      <c r="AJ1590" s="48" t="n">
        <f aca="false">IF($U1590&gt;=STRUCT_S,MIN(INDEX($H$1440:$H1590,152-STRUCT_S):$H1590),"")</f>
        <v>1945</v>
      </c>
      <c r="AK1590" s="48" t="str">
        <f aca="false">IF($U1590&gt;=STRUCT_L,MAX(INDEX($G$1340:$G1590,252-STRUCT_L):$G1590),"")</f>
        <v/>
      </c>
      <c r="AL1590" s="48" t="str">
        <f aca="false">IF($U1590&gt;=STRUCT_L,MIN(INDEX($H$1340:$H1590,252-STRUCT_L):$H1590),"")</f>
        <v/>
      </c>
      <c r="AM1590" s="46" t="n">
        <f aca="false">IF($A1590&lt;&gt;$A1591,1,0)</f>
        <v>0</v>
      </c>
      <c r="AN1590" s="47" t="str">
        <f aca="false">IF($AM1590=1,$A1590,"")</f>
        <v/>
      </c>
    </row>
    <row r="1591" customFormat="false" ht="15" hidden="false" customHeight="false" outlineLevel="0" collapsed="false">
      <c r="A1591" s="43" t="s">
        <v>162</v>
      </c>
      <c r="B1591" s="44" t="s">
        <v>164</v>
      </c>
      <c r="C1591" s="45" t="n">
        <v>45942</v>
      </c>
      <c r="D1591" s="46" t="n">
        <v>20251012</v>
      </c>
      <c r="E1591" s="47" t="s">
        <v>314</v>
      </c>
      <c r="F1591" s="48" t="n">
        <v>2047</v>
      </c>
      <c r="G1591" s="48" t="n">
        <v>2071</v>
      </c>
      <c r="H1591" s="48" t="n">
        <v>2023</v>
      </c>
      <c r="I1591" s="48" t="n">
        <v>2036</v>
      </c>
      <c r="J1591" s="48" t="n">
        <v>2063</v>
      </c>
      <c r="K1591" s="48" t="n">
        <v>2058</v>
      </c>
      <c r="L1591" s="48" t="n">
        <v>84044288</v>
      </c>
      <c r="M1591" s="48" t="n">
        <v>171114170368</v>
      </c>
      <c r="N1591" s="48" t="n">
        <v>5533</v>
      </c>
      <c r="O1591" s="48" t="n">
        <v>38707342</v>
      </c>
      <c r="P1591" s="48" t="n">
        <v>51812729</v>
      </c>
      <c r="Q1591" s="48" t="n">
        <v>2277</v>
      </c>
      <c r="R1591" s="48" t="n">
        <v>1772</v>
      </c>
      <c r="S1591" s="48" t="n">
        <v>45336946</v>
      </c>
      <c r="T1591" s="48" t="n">
        <v>32231559</v>
      </c>
      <c r="U1591" s="46" t="n">
        <f aca="false">IF($A1591=$A1590,$U1590+1,1)</f>
        <v>27</v>
      </c>
      <c r="V1591" s="48" t="n">
        <f aca="false">IF($U1591&gt;=MA_SHORT,AVERAGE(INDEX($I$1191:$I1591,402-MA_SHORT):$I1591),"")</f>
        <v>2016.25</v>
      </c>
      <c r="W1591" s="48" t="str">
        <f aca="false">IF($U1591&gt;=MA_MED,AVERAGE(INDEX($I$1191:$I1591,402-MA_MED):$I1591),"")</f>
        <v/>
      </c>
      <c r="X1591" s="48" t="str">
        <f aca="false">IF($U1591&gt;=MA_LONG1,AVERAGE(INDEX($I$1191:$I1591,402-MA_LONG1):$I1591),"")</f>
        <v/>
      </c>
      <c r="Y1591" s="48" t="str">
        <f aca="false">IF($U1591&gt;=MA_LONG2,AVERAGE(INDEX($I$1191:$I1591,402-MA_LONG2):$I1591),"")</f>
        <v/>
      </c>
      <c r="Z1591" s="48" t="n">
        <f aca="false">IF($U1591&gt;=MA_SHORT,AVERAGE(INDEX($L$1471:$L1591,122-MA_SHORT):$L1591),"")</f>
        <v>138681635.3</v>
      </c>
      <c r="AA1591" s="48" t="n">
        <f aca="false">IF($U1591=1,$G1591-$H1591,MAX($G1591-$H1591,ABS($G1591-$I1590),ABS($H1591-$I1590)))</f>
        <v>48</v>
      </c>
      <c r="AB1591" s="48" t="n">
        <f aca="false">IF($U1591&gt;=ATR_PER,AVERAGE(INDEX($AA$1471:$AA1591,122-ATR_PER):$AA1591),"")</f>
        <v>65.0714285714286</v>
      </c>
      <c r="AC1591" s="48" t="n">
        <f aca="false">$O1591-$P1591</f>
        <v>-13105387</v>
      </c>
      <c r="AD1591" s="48" t="n">
        <f aca="false">$AC1591*$I1591</f>
        <v>-26682567932</v>
      </c>
      <c r="AE1591" s="49" t="n">
        <f aca="false">IF($Q1591&gt;0,$O1591*$I1591/$Q1591/1000000,"")</f>
        <v>34.6105174844093</v>
      </c>
      <c r="AF1591" s="49" t="n">
        <f aca="false">IF($R1591&gt;0,$P1591*$I1591/$R1591/1000000,"")</f>
        <v>59.5320069097065</v>
      </c>
      <c r="AG1591" s="50" t="n">
        <f aca="false">IF(AND(ISNUMBER($AE1591),ISNUMBER($AF1591),$AF1591&gt;0),$AE1591/$AF1591,"")</f>
        <v>0.581376628825966</v>
      </c>
      <c r="AH1591" s="48" t="n">
        <f aca="false">IF($U1591&gt;=5,SUM(INDEX($AD$1561:$AD1591,32-5):$AD1591),"")</f>
        <v>44898922740</v>
      </c>
      <c r="AI1591" s="48" t="n">
        <f aca="false">IF($U1591&gt;=STRUCT_S,MAX(INDEX($G$1441:$G1591,152-STRUCT_S):$G1591),"")</f>
        <v>2113</v>
      </c>
      <c r="AJ1591" s="48" t="n">
        <f aca="false">IF($U1591&gt;=STRUCT_S,MIN(INDEX($H$1441:$H1591,152-STRUCT_S):$H1591),"")</f>
        <v>1945</v>
      </c>
      <c r="AK1591" s="48" t="str">
        <f aca="false">IF($U1591&gt;=STRUCT_L,MAX(INDEX($G$1341:$G1591,252-STRUCT_L):$G1591),"")</f>
        <v/>
      </c>
      <c r="AL1591" s="48" t="str">
        <f aca="false">IF($U1591&gt;=STRUCT_L,MIN(INDEX($H$1341:$H1591,252-STRUCT_L):$H1591),"")</f>
        <v/>
      </c>
      <c r="AM1591" s="46" t="n">
        <f aca="false">IF($A1591&lt;&gt;$A1592,1,0)</f>
        <v>0</v>
      </c>
      <c r="AN1591" s="47" t="str">
        <f aca="false">IF($AM1591=1,$A1591,"")</f>
        <v/>
      </c>
    </row>
    <row r="1592" customFormat="false" ht="15" hidden="false" customHeight="false" outlineLevel="0" collapsed="false">
      <c r="A1592" s="43" t="s">
        <v>162</v>
      </c>
      <c r="B1592" s="44" t="s">
        <v>164</v>
      </c>
      <c r="C1592" s="45" t="n">
        <v>45943</v>
      </c>
      <c r="D1592" s="46" t="n">
        <v>20251013</v>
      </c>
      <c r="E1592" s="47" t="s">
        <v>315</v>
      </c>
      <c r="F1592" s="48" t="n">
        <v>2040</v>
      </c>
      <c r="G1592" s="48" t="n">
        <v>2056</v>
      </c>
      <c r="H1592" s="48" t="n">
        <v>2009</v>
      </c>
      <c r="I1592" s="48" t="n">
        <v>2029</v>
      </c>
      <c r="J1592" s="48" t="n">
        <v>2053</v>
      </c>
      <c r="K1592" s="48" t="n">
        <v>2036</v>
      </c>
      <c r="L1592" s="48" t="n">
        <v>80196431</v>
      </c>
      <c r="M1592" s="48" t="n">
        <v>162718558499</v>
      </c>
      <c r="N1592" s="48" t="n">
        <v>2717</v>
      </c>
      <c r="O1592" s="48" t="n">
        <v>37734360</v>
      </c>
      <c r="P1592" s="48" t="n">
        <v>39339518</v>
      </c>
      <c r="Q1592" s="48" t="n">
        <v>1033</v>
      </c>
      <c r="R1592" s="48" t="n">
        <v>1097</v>
      </c>
      <c r="S1592" s="48" t="n">
        <v>42462071</v>
      </c>
      <c r="T1592" s="48" t="n">
        <v>40856913</v>
      </c>
      <c r="U1592" s="46" t="n">
        <f aca="false">IF($A1592=$A1591,$U1591+1,1)</f>
        <v>28</v>
      </c>
      <c r="V1592" s="48" t="n">
        <f aca="false">IF($U1592&gt;=MA_SHORT,AVERAGE(INDEX($I$1192:$I1592,402-MA_SHORT):$I1592),"")</f>
        <v>2017.9</v>
      </c>
      <c r="W1592" s="48" t="str">
        <f aca="false">IF($U1592&gt;=MA_MED,AVERAGE(INDEX($I$1192:$I1592,402-MA_MED):$I1592),"")</f>
        <v/>
      </c>
      <c r="X1592" s="48" t="str">
        <f aca="false">IF($U1592&gt;=MA_LONG1,AVERAGE(INDEX($I$1192:$I1592,402-MA_LONG1):$I1592),"")</f>
        <v/>
      </c>
      <c r="Y1592" s="48" t="str">
        <f aca="false">IF($U1592&gt;=MA_LONG2,AVERAGE(INDEX($I$1192:$I1592,402-MA_LONG2):$I1592),"")</f>
        <v/>
      </c>
      <c r="Z1592" s="48" t="n">
        <f aca="false">IF($U1592&gt;=MA_SHORT,AVERAGE(INDEX($L$1472:$L1592,122-MA_SHORT):$L1592),"")</f>
        <v>138475792.5</v>
      </c>
      <c r="AA1592" s="48" t="n">
        <f aca="false">IF($U1592=1,$G1592-$H1592,MAX($G1592-$H1592,ABS($G1592-$I1591),ABS($H1592-$I1591)))</f>
        <v>47</v>
      </c>
      <c r="AB1592" s="48" t="n">
        <f aca="false">IF($U1592&gt;=ATR_PER,AVERAGE(INDEX($AA$1472:$AA1592,122-ATR_PER):$AA1592),"")</f>
        <v>62</v>
      </c>
      <c r="AC1592" s="48" t="n">
        <f aca="false">$O1592-$P1592</f>
        <v>-1605158</v>
      </c>
      <c r="AD1592" s="48" t="n">
        <f aca="false">$AC1592*$I1592</f>
        <v>-3256865582</v>
      </c>
      <c r="AE1592" s="49" t="n">
        <f aca="false">IF($Q1592&gt;0,$O1592*$I1592/$Q1592/1000000,"")</f>
        <v>74.1171504743466</v>
      </c>
      <c r="AF1592" s="49" t="n">
        <f aca="false">IF($R1592&gt;0,$P1592*$I1592/$R1592/1000000,"")</f>
        <v>72.7619708495898</v>
      </c>
      <c r="AG1592" s="50" t="n">
        <f aca="false">IF(AND(ISNUMBER($AE1592),ISNUMBER($AF1592),$AF1592&gt;0),$AE1592/$AF1592,"")</f>
        <v>1.01862483394737</v>
      </c>
      <c r="AH1592" s="48" t="n">
        <f aca="false">IF($U1592&gt;=5,SUM(INDEX($AD$1562:$AD1592,32-5):$AD1592),"")</f>
        <v>-18858196676</v>
      </c>
      <c r="AI1592" s="48" t="n">
        <f aca="false">IF($U1592&gt;=STRUCT_S,MAX(INDEX($G$1442:$G1592,152-STRUCT_S):$G1592),"")</f>
        <v>2113</v>
      </c>
      <c r="AJ1592" s="48" t="n">
        <f aca="false">IF($U1592&gt;=STRUCT_S,MIN(INDEX($H$1442:$H1592,152-STRUCT_S):$H1592),"")</f>
        <v>1945</v>
      </c>
      <c r="AK1592" s="48" t="str">
        <f aca="false">IF($U1592&gt;=STRUCT_L,MAX(INDEX($G$1342:$G1592,252-STRUCT_L):$G1592),"")</f>
        <v/>
      </c>
      <c r="AL1592" s="48" t="str">
        <f aca="false">IF($U1592&gt;=STRUCT_L,MIN(INDEX($H$1342:$H1592,252-STRUCT_L):$H1592),"")</f>
        <v/>
      </c>
      <c r="AM1592" s="46" t="n">
        <f aca="false">IF($A1592&lt;&gt;$A1593,1,0)</f>
        <v>0</v>
      </c>
      <c r="AN1592" s="47" t="str">
        <f aca="false">IF($AM1592=1,$A1592,"")</f>
        <v/>
      </c>
    </row>
    <row r="1593" customFormat="false" ht="15" hidden="false" customHeight="false" outlineLevel="0" collapsed="false">
      <c r="A1593" s="43" t="s">
        <v>162</v>
      </c>
      <c r="B1593" s="44" t="s">
        <v>164</v>
      </c>
      <c r="C1593" s="45" t="n">
        <v>45944</v>
      </c>
      <c r="D1593" s="46" t="n">
        <v>20251014</v>
      </c>
      <c r="E1593" s="47" t="s">
        <v>316</v>
      </c>
      <c r="F1593" s="48" t="n">
        <v>2018</v>
      </c>
      <c r="G1593" s="48" t="n">
        <v>2084</v>
      </c>
      <c r="H1593" s="48" t="n">
        <v>2014</v>
      </c>
      <c r="I1593" s="48" t="n">
        <v>2068</v>
      </c>
      <c r="J1593" s="48" t="n">
        <v>2077</v>
      </c>
      <c r="K1593" s="48" t="n">
        <v>2029</v>
      </c>
      <c r="L1593" s="48" t="n">
        <v>123483563</v>
      </c>
      <c r="M1593" s="48" t="n">
        <v>255364008284</v>
      </c>
      <c r="N1593" s="48" t="n">
        <v>8259</v>
      </c>
      <c r="O1593" s="48" t="n">
        <v>74832801</v>
      </c>
      <c r="P1593" s="48" t="n">
        <v>43944369</v>
      </c>
      <c r="Q1593" s="48" t="n">
        <v>3418</v>
      </c>
      <c r="R1593" s="48" t="n">
        <v>4251</v>
      </c>
      <c r="S1593" s="48" t="n">
        <v>48650762</v>
      </c>
      <c r="T1593" s="48" t="n">
        <v>79539194</v>
      </c>
      <c r="U1593" s="46" t="n">
        <f aca="false">IF($A1593=$A1592,$U1592+1,1)</f>
        <v>29</v>
      </c>
      <c r="V1593" s="48" t="n">
        <f aca="false">IF($U1593&gt;=MA_SHORT,AVERAGE(INDEX($I$1193:$I1593,402-MA_SHORT):$I1593),"")</f>
        <v>2022.55</v>
      </c>
      <c r="W1593" s="48" t="str">
        <f aca="false">IF($U1593&gt;=MA_MED,AVERAGE(INDEX($I$1193:$I1593,402-MA_MED):$I1593),"")</f>
        <v/>
      </c>
      <c r="X1593" s="48" t="str">
        <f aca="false">IF($U1593&gt;=MA_LONG1,AVERAGE(INDEX($I$1193:$I1593,402-MA_LONG1):$I1593),"")</f>
        <v/>
      </c>
      <c r="Y1593" s="48" t="str">
        <f aca="false">IF($U1593&gt;=MA_LONG2,AVERAGE(INDEX($I$1193:$I1593,402-MA_LONG2):$I1593),"")</f>
        <v/>
      </c>
      <c r="Z1593" s="48" t="n">
        <f aca="false">IF($U1593&gt;=MA_SHORT,AVERAGE(INDEX($L$1473:$L1593,122-MA_SHORT):$L1593),"")</f>
        <v>139878315.95</v>
      </c>
      <c r="AA1593" s="48" t="n">
        <f aca="false">IF($U1593=1,$G1593-$H1593,MAX($G1593-$H1593,ABS($G1593-$I1592),ABS($H1593-$I1592)))</f>
        <v>70</v>
      </c>
      <c r="AB1593" s="48" t="n">
        <f aca="false">IF($U1593&gt;=ATR_PER,AVERAGE(INDEX($AA$1473:$AA1593,122-ATR_PER):$AA1593),"")</f>
        <v>63.3571428571429</v>
      </c>
      <c r="AC1593" s="48" t="n">
        <f aca="false">$O1593-$P1593</f>
        <v>30888432</v>
      </c>
      <c r="AD1593" s="48" t="n">
        <f aca="false">$AC1593*$I1593</f>
        <v>63877277376</v>
      </c>
      <c r="AE1593" s="49" t="n">
        <f aca="false">IF($Q1593&gt;0,$O1593*$I1593/$Q1593/1000000,"")</f>
        <v>45.2762529163253</v>
      </c>
      <c r="AF1593" s="49" t="n">
        <f aca="false">IF($R1593&gt;0,$P1593*$I1593/$R1593/1000000,"")</f>
        <v>21.3777828962597</v>
      </c>
      <c r="AG1593" s="50" t="n">
        <f aca="false">IF(AND(ISNUMBER($AE1593),ISNUMBER($AF1593),$AF1593&gt;0),$AE1593/$AF1593,"")</f>
        <v>2.11791153161383</v>
      </c>
      <c r="AH1593" s="48" t="n">
        <f aca="false">IF($U1593&gt;=5,SUM(INDEX($AD$1563:$AD1593,32-5):$AD1593),"")</f>
        <v>9798479020</v>
      </c>
      <c r="AI1593" s="48" t="n">
        <f aca="false">IF($U1593&gt;=STRUCT_S,MAX(INDEX($G$1443:$G1593,152-STRUCT_S):$G1593),"")</f>
        <v>2113</v>
      </c>
      <c r="AJ1593" s="48" t="n">
        <f aca="false">IF($U1593&gt;=STRUCT_S,MIN(INDEX($H$1443:$H1593,152-STRUCT_S):$H1593),"")</f>
        <v>1945</v>
      </c>
      <c r="AK1593" s="48" t="str">
        <f aca="false">IF($U1593&gt;=STRUCT_L,MAX(INDEX($G$1343:$G1593,252-STRUCT_L):$G1593),"")</f>
        <v/>
      </c>
      <c r="AL1593" s="48" t="str">
        <f aca="false">IF($U1593&gt;=STRUCT_L,MIN(INDEX($H$1343:$H1593,252-STRUCT_L):$H1593),"")</f>
        <v/>
      </c>
      <c r="AM1593" s="46" t="n">
        <f aca="false">IF($A1593&lt;&gt;$A1594,1,0)</f>
        <v>0</v>
      </c>
      <c r="AN1593" s="47" t="str">
        <f aca="false">IF($AM1593=1,$A1593,"")</f>
        <v/>
      </c>
    </row>
    <row r="1594" customFormat="false" ht="15" hidden="false" customHeight="false" outlineLevel="0" collapsed="false">
      <c r="A1594" s="43" t="s">
        <v>162</v>
      </c>
      <c r="B1594" s="44" t="s">
        <v>164</v>
      </c>
      <c r="C1594" s="45" t="n">
        <v>45945</v>
      </c>
      <c r="D1594" s="46" t="n">
        <v>20251015</v>
      </c>
      <c r="E1594" s="47" t="s">
        <v>317</v>
      </c>
      <c r="F1594" s="48" t="n">
        <v>2041</v>
      </c>
      <c r="G1594" s="48" t="n">
        <v>2083</v>
      </c>
      <c r="H1594" s="48" t="n">
        <v>1990</v>
      </c>
      <c r="I1594" s="48" t="n">
        <v>2005</v>
      </c>
      <c r="J1594" s="48" t="n">
        <v>2052</v>
      </c>
      <c r="K1594" s="48" t="n">
        <v>2068</v>
      </c>
      <c r="L1594" s="48" t="n">
        <v>116430423</v>
      </c>
      <c r="M1594" s="48" t="n">
        <v>233442998115</v>
      </c>
      <c r="N1594" s="48" t="n">
        <v>5187</v>
      </c>
      <c r="O1594" s="48" t="n">
        <v>36705275</v>
      </c>
      <c r="P1594" s="48" t="n">
        <v>77314576</v>
      </c>
      <c r="Q1594" s="48" t="n">
        <v>2464</v>
      </c>
      <c r="R1594" s="48" t="n">
        <v>2112</v>
      </c>
      <c r="S1594" s="48" t="n">
        <v>79725148</v>
      </c>
      <c r="T1594" s="48" t="n">
        <v>39115847</v>
      </c>
      <c r="U1594" s="46" t="n">
        <f aca="false">IF($A1594=$A1593,$U1593+1,1)</f>
        <v>30</v>
      </c>
      <c r="V1594" s="48" t="n">
        <f aca="false">IF($U1594&gt;=MA_SHORT,AVERAGE(INDEX($I$1194:$I1594,402-MA_SHORT):$I1594),"")</f>
        <v>2022.85</v>
      </c>
      <c r="W1594" s="48" t="str">
        <f aca="false">IF($U1594&gt;=MA_MED,AVERAGE(INDEX($I$1194:$I1594,402-MA_MED):$I1594),"")</f>
        <v/>
      </c>
      <c r="X1594" s="48" t="str">
        <f aca="false">IF($U1594&gt;=MA_LONG1,AVERAGE(INDEX($I$1194:$I1594,402-MA_LONG1):$I1594),"")</f>
        <v/>
      </c>
      <c r="Y1594" s="48" t="str">
        <f aca="false">IF($U1594&gt;=MA_LONG2,AVERAGE(INDEX($I$1194:$I1594,402-MA_LONG2):$I1594),"")</f>
        <v/>
      </c>
      <c r="Z1594" s="48" t="n">
        <f aca="false">IF($U1594&gt;=MA_SHORT,AVERAGE(INDEX($L$1474:$L1594,122-MA_SHORT):$L1594),"")</f>
        <v>141484608.5</v>
      </c>
      <c r="AA1594" s="48" t="n">
        <f aca="false">IF($U1594=1,$G1594-$H1594,MAX($G1594-$H1594,ABS($G1594-$I1593),ABS($H1594-$I1593)))</f>
        <v>93</v>
      </c>
      <c r="AB1594" s="48" t="n">
        <f aca="false">IF($U1594&gt;=ATR_PER,AVERAGE(INDEX($AA$1474:$AA1594,122-ATR_PER):$AA1594),"")</f>
        <v>63.8571428571429</v>
      </c>
      <c r="AC1594" s="48" t="n">
        <f aca="false">$O1594-$P1594</f>
        <v>-40609301</v>
      </c>
      <c r="AD1594" s="48" t="n">
        <f aca="false">$AC1594*$I1594</f>
        <v>-81421648505</v>
      </c>
      <c r="AE1594" s="49" t="n">
        <f aca="false">IF($Q1594&gt;0,$O1594*$I1594/$Q1594/1000000,"")</f>
        <v>29.8677258015422</v>
      </c>
      <c r="AF1594" s="49" t="n">
        <f aca="false">IF($R1594&gt;0,$P1594*$I1594/$R1594/1000000,"")</f>
        <v>73.3975970075758</v>
      </c>
      <c r="AG1594" s="50" t="n">
        <f aca="false">IF(AND(ISNUMBER($AE1594),ISNUMBER($AF1594),$AF1594&gt;0),$AE1594/$AF1594,"")</f>
        <v>0.406930567474292</v>
      </c>
      <c r="AH1594" s="48" t="n">
        <f aca="false">IF($U1594&gt;=5,SUM(INDEX($AD$1564:$AD1594,32-5):$AD1594),"")</f>
        <v>-74727419307</v>
      </c>
      <c r="AI1594" s="48" t="n">
        <f aca="false">IF($U1594&gt;=STRUCT_S,MAX(INDEX($G$1444:$G1594,152-STRUCT_S):$G1594),"")</f>
        <v>2113</v>
      </c>
      <c r="AJ1594" s="48" t="n">
        <f aca="false">IF($U1594&gt;=STRUCT_S,MIN(INDEX($H$1444:$H1594,152-STRUCT_S):$H1594),"")</f>
        <v>1945</v>
      </c>
      <c r="AK1594" s="48" t="str">
        <f aca="false">IF($U1594&gt;=STRUCT_L,MAX(INDEX($G$1344:$G1594,252-STRUCT_L):$G1594),"")</f>
        <v/>
      </c>
      <c r="AL1594" s="48" t="str">
        <f aca="false">IF($U1594&gt;=STRUCT_L,MIN(INDEX($H$1344:$H1594,252-STRUCT_L):$H1594),"")</f>
        <v/>
      </c>
      <c r="AM1594" s="46" t="n">
        <f aca="false">IF($A1594&lt;&gt;$A1595,1,0)</f>
        <v>0</v>
      </c>
      <c r="AN1594" s="47" t="str">
        <f aca="false">IF($AM1594=1,$A1594,"")</f>
        <v/>
      </c>
    </row>
    <row r="1595" customFormat="false" ht="15" hidden="false" customHeight="false" outlineLevel="0" collapsed="false">
      <c r="A1595" s="43" t="s">
        <v>162</v>
      </c>
      <c r="B1595" s="44" t="s">
        <v>164</v>
      </c>
      <c r="C1595" s="45" t="n">
        <v>45948</v>
      </c>
      <c r="D1595" s="46" t="n">
        <v>20251018</v>
      </c>
      <c r="E1595" s="47" t="s">
        <v>318</v>
      </c>
      <c r="F1595" s="48" t="n">
        <v>2006</v>
      </c>
      <c r="G1595" s="48" t="n">
        <v>2061</v>
      </c>
      <c r="H1595" s="48" t="n">
        <v>1958</v>
      </c>
      <c r="I1595" s="48" t="n">
        <v>2014</v>
      </c>
      <c r="J1595" s="48" t="n">
        <v>2011</v>
      </c>
      <c r="K1595" s="48" t="n">
        <v>2005</v>
      </c>
      <c r="L1595" s="48" t="n">
        <v>80691770</v>
      </c>
      <c r="M1595" s="48" t="n">
        <v>162513224780</v>
      </c>
      <c r="N1595" s="48" t="n">
        <v>4778</v>
      </c>
      <c r="O1595" s="48" t="n">
        <v>44588514</v>
      </c>
      <c r="P1595" s="48" t="n">
        <v>31075900</v>
      </c>
      <c r="Q1595" s="48" t="n">
        <v>1658</v>
      </c>
      <c r="R1595" s="48" t="n">
        <v>2357</v>
      </c>
      <c r="S1595" s="48" t="n">
        <v>36103256</v>
      </c>
      <c r="T1595" s="48" t="n">
        <v>49615870</v>
      </c>
      <c r="U1595" s="46" t="n">
        <f aca="false">IF($A1595=$A1594,$U1594+1,1)</f>
        <v>31</v>
      </c>
      <c r="V1595" s="48" t="n">
        <f aca="false">IF($U1595&gt;=MA_SHORT,AVERAGE(INDEX($I$1195:$I1595,402-MA_SHORT):$I1595),"")</f>
        <v>2024.3</v>
      </c>
      <c r="W1595" s="48" t="str">
        <f aca="false">IF($U1595&gt;=MA_MED,AVERAGE(INDEX($I$1195:$I1595,402-MA_MED):$I1595),"")</f>
        <v/>
      </c>
      <c r="X1595" s="48" t="str">
        <f aca="false">IF($U1595&gt;=MA_LONG1,AVERAGE(INDEX($I$1195:$I1595,402-MA_LONG1):$I1595),"")</f>
        <v/>
      </c>
      <c r="Y1595" s="48" t="str">
        <f aca="false">IF($U1595&gt;=MA_LONG2,AVERAGE(INDEX($I$1195:$I1595,402-MA_LONG2):$I1595),"")</f>
        <v/>
      </c>
      <c r="Z1595" s="48" t="n">
        <f aca="false">IF($U1595&gt;=MA_SHORT,AVERAGE(INDEX($L$1475:$L1595,122-MA_SHORT):$L1595),"")</f>
        <v>140031648.1</v>
      </c>
      <c r="AA1595" s="48" t="n">
        <f aca="false">IF($U1595=1,$G1595-$H1595,MAX($G1595-$H1595,ABS($G1595-$I1594),ABS($H1595-$I1594)))</f>
        <v>103</v>
      </c>
      <c r="AB1595" s="48" t="n">
        <f aca="false">IF($U1595&gt;=ATR_PER,AVERAGE(INDEX($AA$1475:$AA1595,122-ATR_PER):$AA1595),"")</f>
        <v>65.5714285714286</v>
      </c>
      <c r="AC1595" s="48" t="n">
        <f aca="false">$O1595-$P1595</f>
        <v>13512614</v>
      </c>
      <c r="AD1595" s="48" t="n">
        <f aca="false">$AC1595*$I1595</f>
        <v>27214404596</v>
      </c>
      <c r="AE1595" s="49" t="n">
        <f aca="false">IF($Q1595&gt;0,$O1595*$I1595/$Q1595/1000000,"")</f>
        <v>54.1624048226779</v>
      </c>
      <c r="AF1595" s="49" t="n">
        <f aca="false">IF($R1595&gt;0,$P1595*$I1595/$R1595/1000000,"")</f>
        <v>26.553611624947</v>
      </c>
      <c r="AG1595" s="50" t="n">
        <f aca="false">IF(AND(ISNUMBER($AE1595),ISNUMBER($AF1595),$AF1595&gt;0),$AE1595/$AF1595,"")</f>
        <v>2.03973777984282</v>
      </c>
      <c r="AH1595" s="48" t="n">
        <f aca="false">IF($U1595&gt;=5,SUM(INDEX($AD$1565:$AD1595,32-5):$AD1595),"")</f>
        <v>-20269400047</v>
      </c>
      <c r="AI1595" s="48" t="n">
        <f aca="false">IF($U1595&gt;=STRUCT_S,MAX(INDEX($G$1445:$G1595,152-STRUCT_S):$G1595),"")</f>
        <v>2113</v>
      </c>
      <c r="AJ1595" s="48" t="n">
        <f aca="false">IF($U1595&gt;=STRUCT_S,MIN(INDEX($H$1445:$H1595,152-STRUCT_S):$H1595),"")</f>
        <v>1945</v>
      </c>
      <c r="AK1595" s="48" t="str">
        <f aca="false">IF($U1595&gt;=STRUCT_L,MAX(INDEX($G$1345:$G1595,252-STRUCT_L):$G1595),"")</f>
        <v/>
      </c>
      <c r="AL1595" s="48" t="str">
        <f aca="false">IF($U1595&gt;=STRUCT_L,MIN(INDEX($H$1345:$H1595,252-STRUCT_L):$H1595),"")</f>
        <v/>
      </c>
      <c r="AM1595" s="46" t="n">
        <f aca="false">IF($A1595&lt;&gt;$A1596,1,0)</f>
        <v>0</v>
      </c>
      <c r="AN1595" s="47" t="str">
        <f aca="false">IF($AM1595=1,$A1595,"")</f>
        <v/>
      </c>
    </row>
    <row r="1596" customFormat="false" ht="15" hidden="false" customHeight="false" outlineLevel="0" collapsed="false">
      <c r="A1596" s="43" t="s">
        <v>162</v>
      </c>
      <c r="B1596" s="44" t="s">
        <v>164</v>
      </c>
      <c r="C1596" s="45" t="n">
        <v>45949</v>
      </c>
      <c r="D1596" s="46" t="n">
        <v>20251019</v>
      </c>
      <c r="E1596" s="47" t="s">
        <v>319</v>
      </c>
      <c r="F1596" s="48" t="n">
        <v>2076</v>
      </c>
      <c r="G1596" s="48" t="n">
        <v>2088</v>
      </c>
      <c r="H1596" s="48" t="n">
        <v>1973</v>
      </c>
      <c r="I1596" s="48" t="n">
        <v>2046</v>
      </c>
      <c r="J1596" s="48" t="n">
        <v>2074</v>
      </c>
      <c r="K1596" s="48" t="n">
        <v>2014</v>
      </c>
      <c r="L1596" s="48" t="n">
        <v>109356634</v>
      </c>
      <c r="M1596" s="48" t="n">
        <v>223743673164</v>
      </c>
      <c r="N1596" s="48" t="n">
        <v>5652</v>
      </c>
      <c r="O1596" s="48" t="n">
        <v>60158056</v>
      </c>
      <c r="P1596" s="48" t="n">
        <v>46804966</v>
      </c>
      <c r="Q1596" s="48" t="n">
        <v>2118</v>
      </c>
      <c r="R1596" s="48" t="n">
        <v>1771</v>
      </c>
      <c r="S1596" s="48" t="n">
        <v>49198578</v>
      </c>
      <c r="T1596" s="48" t="n">
        <v>62551668</v>
      </c>
      <c r="U1596" s="46" t="n">
        <f aca="false">IF($A1596=$A1595,$U1595+1,1)</f>
        <v>32</v>
      </c>
      <c r="V1596" s="48" t="n">
        <f aca="false">IF($U1596&gt;=MA_SHORT,AVERAGE(INDEX($I$1196:$I1596,402-MA_SHORT):$I1596),"")</f>
        <v>2026</v>
      </c>
      <c r="W1596" s="48" t="str">
        <f aca="false">IF($U1596&gt;=MA_MED,AVERAGE(INDEX($I$1196:$I1596,402-MA_MED):$I1596),"")</f>
        <v/>
      </c>
      <c r="X1596" s="48" t="str">
        <f aca="false">IF($U1596&gt;=MA_LONG1,AVERAGE(INDEX($I$1196:$I1596,402-MA_LONG1):$I1596),"")</f>
        <v/>
      </c>
      <c r="Y1596" s="48" t="str">
        <f aca="false">IF($U1596&gt;=MA_LONG2,AVERAGE(INDEX($I$1196:$I1596,402-MA_LONG2):$I1596),"")</f>
        <v/>
      </c>
      <c r="Z1596" s="48" t="n">
        <f aca="false">IF($U1596&gt;=MA_SHORT,AVERAGE(INDEX($L$1476:$L1596,122-MA_SHORT):$L1596),"")</f>
        <v>139295646.7</v>
      </c>
      <c r="AA1596" s="48" t="n">
        <f aca="false">IF($U1596=1,$G1596-$H1596,MAX($G1596-$H1596,ABS($G1596-$I1595),ABS($H1596-$I1595)))</f>
        <v>115</v>
      </c>
      <c r="AB1596" s="48" t="n">
        <f aca="false">IF($U1596&gt;=ATR_PER,AVERAGE(INDEX($AA$1476:$AA1596,122-ATR_PER):$AA1596),"")</f>
        <v>68.7857142857143</v>
      </c>
      <c r="AC1596" s="48" t="n">
        <f aca="false">$O1596-$P1596</f>
        <v>13353090</v>
      </c>
      <c r="AD1596" s="48" t="n">
        <f aca="false">$AC1596*$I1596</f>
        <v>27320422140</v>
      </c>
      <c r="AE1596" s="49" t="n">
        <f aca="false">IF($Q1596&gt;0,$O1596*$I1596/$Q1596/1000000,"")</f>
        <v>58.1130229348442</v>
      </c>
      <c r="AF1596" s="49" t="n">
        <f aca="false">IF($R1596&gt;0,$P1596*$I1596/$R1596/1000000,"")</f>
        <v>54.072817863354</v>
      </c>
      <c r="AG1596" s="50" t="n">
        <f aca="false">IF(AND(ISNUMBER($AE1596),ISNUMBER($AF1596),$AF1596&gt;0),$AE1596/$AF1596,"")</f>
        <v>1.0747178569776</v>
      </c>
      <c r="AH1596" s="48" t="n">
        <f aca="false">IF($U1596&gt;=5,SUM(INDEX($AD$1566:$AD1596,32-5):$AD1596),"")</f>
        <v>33733590025</v>
      </c>
      <c r="AI1596" s="48" t="n">
        <f aca="false">IF($U1596&gt;=STRUCT_S,MAX(INDEX($G$1446:$G1596,152-STRUCT_S):$G1596),"")</f>
        <v>2113</v>
      </c>
      <c r="AJ1596" s="48" t="n">
        <f aca="false">IF($U1596&gt;=STRUCT_S,MIN(INDEX($H$1446:$H1596,152-STRUCT_S):$H1596),"")</f>
        <v>1945</v>
      </c>
      <c r="AK1596" s="48" t="str">
        <f aca="false">IF($U1596&gt;=STRUCT_L,MAX(INDEX($G$1346:$G1596,252-STRUCT_L):$G1596),"")</f>
        <v/>
      </c>
      <c r="AL1596" s="48" t="str">
        <f aca="false">IF($U1596&gt;=STRUCT_L,MIN(INDEX($H$1346:$H1596,252-STRUCT_L):$H1596),"")</f>
        <v/>
      </c>
      <c r="AM1596" s="46" t="n">
        <f aca="false">IF($A1596&lt;&gt;$A1597,1,0)</f>
        <v>0</v>
      </c>
      <c r="AN1596" s="47" t="str">
        <f aca="false">IF($AM1596=1,$A1596,"")</f>
        <v/>
      </c>
    </row>
    <row r="1597" customFormat="false" ht="15" hidden="false" customHeight="false" outlineLevel="0" collapsed="false">
      <c r="A1597" s="43" t="s">
        <v>162</v>
      </c>
      <c r="B1597" s="44" t="s">
        <v>164</v>
      </c>
      <c r="C1597" s="45" t="n">
        <v>45950</v>
      </c>
      <c r="D1597" s="46" t="n">
        <v>20251020</v>
      </c>
      <c r="E1597" s="47" t="s">
        <v>320</v>
      </c>
      <c r="F1597" s="48" t="n">
        <v>2018</v>
      </c>
      <c r="G1597" s="48" t="n">
        <v>2071</v>
      </c>
      <c r="H1597" s="48" t="n">
        <v>2010</v>
      </c>
      <c r="I1597" s="48" t="n">
        <v>2035</v>
      </c>
      <c r="J1597" s="48" t="n">
        <v>2022</v>
      </c>
      <c r="K1597" s="48" t="n">
        <v>2046</v>
      </c>
      <c r="L1597" s="48" t="n">
        <v>101258079</v>
      </c>
      <c r="M1597" s="48" t="n">
        <v>206060190765</v>
      </c>
      <c r="N1597" s="48" t="n">
        <v>2385</v>
      </c>
      <c r="O1597" s="48" t="n">
        <v>53959242</v>
      </c>
      <c r="P1597" s="48" t="n">
        <v>45966931</v>
      </c>
      <c r="Q1597" s="48" t="n">
        <v>906</v>
      </c>
      <c r="R1597" s="48" t="n">
        <v>1097</v>
      </c>
      <c r="S1597" s="48" t="n">
        <v>47298837</v>
      </c>
      <c r="T1597" s="48" t="n">
        <v>55291148</v>
      </c>
      <c r="U1597" s="46" t="n">
        <f aca="false">IF($A1597=$A1596,$U1596+1,1)</f>
        <v>33</v>
      </c>
      <c r="V1597" s="48" t="n">
        <f aca="false">IF($U1597&gt;=MA_SHORT,AVERAGE(INDEX($I$1197:$I1597,402-MA_SHORT):$I1597),"")</f>
        <v>2028</v>
      </c>
      <c r="W1597" s="48" t="str">
        <f aca="false">IF($U1597&gt;=MA_MED,AVERAGE(INDEX($I$1197:$I1597,402-MA_MED):$I1597),"")</f>
        <v/>
      </c>
      <c r="X1597" s="48" t="str">
        <f aca="false">IF($U1597&gt;=MA_LONG1,AVERAGE(INDEX($I$1197:$I1597,402-MA_LONG1):$I1597),"")</f>
        <v/>
      </c>
      <c r="Y1597" s="48" t="str">
        <f aca="false">IF($U1597&gt;=MA_LONG2,AVERAGE(INDEX($I$1197:$I1597,402-MA_LONG2):$I1597),"")</f>
        <v/>
      </c>
      <c r="Z1597" s="48" t="n">
        <f aca="false">IF($U1597&gt;=MA_SHORT,AVERAGE(INDEX($L$1477:$L1597,122-MA_SHORT):$L1597),"")</f>
        <v>140230602.05</v>
      </c>
      <c r="AA1597" s="48" t="n">
        <f aca="false">IF($U1597=1,$G1597-$H1597,MAX($G1597-$H1597,ABS($G1597-$I1596),ABS($H1597-$I1596)))</f>
        <v>61</v>
      </c>
      <c r="AB1597" s="48" t="n">
        <f aca="false">IF($U1597&gt;=ATR_PER,AVERAGE(INDEX($AA$1477:$AA1597,122-ATR_PER):$AA1597),"")</f>
        <v>68.2857142857143</v>
      </c>
      <c r="AC1597" s="48" t="n">
        <f aca="false">$O1597-$P1597</f>
        <v>7992311</v>
      </c>
      <c r="AD1597" s="48" t="n">
        <f aca="false">$AC1597*$I1597</f>
        <v>16264352885</v>
      </c>
      <c r="AE1597" s="49" t="n">
        <f aca="false">IF($Q1597&gt;0,$O1597*$I1597/$Q1597/1000000,"")</f>
        <v>121.199842682119</v>
      </c>
      <c r="AF1597" s="49" t="n">
        <f aca="false">IF($R1597&gt;0,$P1597*$I1597/$R1597/1000000,"")</f>
        <v>85.2713806608934</v>
      </c>
      <c r="AG1597" s="50" t="n">
        <f aca="false">IF(AND(ISNUMBER($AE1597),ISNUMBER($AF1597),$AF1597&gt;0),$AE1597/$AF1597,"")</f>
        <v>1.42134256233174</v>
      </c>
      <c r="AH1597" s="48" t="n">
        <f aca="false">IF($U1597&gt;=5,SUM(INDEX($AD$1567:$AD1597,32-5):$AD1597),"")</f>
        <v>53254808492</v>
      </c>
      <c r="AI1597" s="48" t="n">
        <f aca="false">IF($U1597&gt;=STRUCT_S,MAX(INDEX($G$1447:$G1597,152-STRUCT_S):$G1597),"")</f>
        <v>2113</v>
      </c>
      <c r="AJ1597" s="48" t="n">
        <f aca="false">IF($U1597&gt;=STRUCT_S,MIN(INDEX($H$1447:$H1597,152-STRUCT_S):$H1597),"")</f>
        <v>1945</v>
      </c>
      <c r="AK1597" s="48" t="str">
        <f aca="false">IF($U1597&gt;=STRUCT_L,MAX(INDEX($G$1347:$G1597,252-STRUCT_L):$G1597),"")</f>
        <v/>
      </c>
      <c r="AL1597" s="48" t="str">
        <f aca="false">IF($U1597&gt;=STRUCT_L,MIN(INDEX($H$1347:$H1597,252-STRUCT_L):$H1597),"")</f>
        <v/>
      </c>
      <c r="AM1597" s="46" t="n">
        <f aca="false">IF($A1597&lt;&gt;$A1598,1,0)</f>
        <v>0</v>
      </c>
      <c r="AN1597" s="47" t="str">
        <f aca="false">IF($AM1597=1,$A1597,"")</f>
        <v/>
      </c>
    </row>
    <row r="1598" customFormat="false" ht="15" hidden="false" customHeight="false" outlineLevel="0" collapsed="false">
      <c r="A1598" s="43" t="s">
        <v>162</v>
      </c>
      <c r="B1598" s="44" t="s">
        <v>164</v>
      </c>
      <c r="C1598" s="45" t="n">
        <v>45951</v>
      </c>
      <c r="D1598" s="46" t="n">
        <v>20251021</v>
      </c>
      <c r="E1598" s="47" t="s">
        <v>321</v>
      </c>
      <c r="F1598" s="48" t="n">
        <v>2022</v>
      </c>
      <c r="G1598" s="48" t="n">
        <v>2094</v>
      </c>
      <c r="H1598" s="48" t="n">
        <v>2010</v>
      </c>
      <c r="I1598" s="48" t="n">
        <v>2068</v>
      </c>
      <c r="J1598" s="48" t="n">
        <v>2045</v>
      </c>
      <c r="K1598" s="48" t="n">
        <v>2035</v>
      </c>
      <c r="L1598" s="48" t="n">
        <v>97920003</v>
      </c>
      <c r="M1598" s="48" t="n">
        <v>202498566204</v>
      </c>
      <c r="N1598" s="48" t="n">
        <v>3544</v>
      </c>
      <c r="O1598" s="48" t="n">
        <v>50508726</v>
      </c>
      <c r="P1598" s="48" t="n">
        <v>49243366</v>
      </c>
      <c r="Q1598" s="48" t="n">
        <v>1720</v>
      </c>
      <c r="R1598" s="48" t="n">
        <v>1471</v>
      </c>
      <c r="S1598" s="48" t="n">
        <v>47411277</v>
      </c>
      <c r="T1598" s="48" t="n">
        <v>48676637</v>
      </c>
      <c r="U1598" s="46" t="n">
        <f aca="false">IF($A1598=$A1597,$U1597+1,1)</f>
        <v>34</v>
      </c>
      <c r="V1598" s="48" t="n">
        <f aca="false">IF($U1598&gt;=MA_SHORT,AVERAGE(INDEX($I$1198:$I1598,402-MA_SHORT):$I1598),"")</f>
        <v>2032.15</v>
      </c>
      <c r="W1598" s="48" t="str">
        <f aca="false">IF($U1598&gt;=MA_MED,AVERAGE(INDEX($I$1198:$I1598,402-MA_MED):$I1598),"")</f>
        <v/>
      </c>
      <c r="X1598" s="48" t="str">
        <f aca="false">IF($U1598&gt;=MA_LONG1,AVERAGE(INDEX($I$1198:$I1598,402-MA_LONG1):$I1598),"")</f>
        <v/>
      </c>
      <c r="Y1598" s="48" t="str">
        <f aca="false">IF($U1598&gt;=MA_LONG2,AVERAGE(INDEX($I$1198:$I1598,402-MA_LONG2):$I1598),"")</f>
        <v/>
      </c>
      <c r="Z1598" s="48" t="n">
        <f aca="false">IF($U1598&gt;=MA_SHORT,AVERAGE(INDEX($L$1478:$L1598,122-MA_SHORT):$L1598),"")</f>
        <v>137734361.45</v>
      </c>
      <c r="AA1598" s="48" t="n">
        <f aca="false">IF($U1598=1,$G1598-$H1598,MAX($G1598-$H1598,ABS($G1598-$I1597),ABS($H1598-$I1597)))</f>
        <v>84</v>
      </c>
      <c r="AB1598" s="48" t="n">
        <f aca="false">IF($U1598&gt;=ATR_PER,AVERAGE(INDEX($AA$1478:$AA1598,122-ATR_PER):$AA1598),"")</f>
        <v>71</v>
      </c>
      <c r="AC1598" s="48" t="n">
        <f aca="false">$O1598-$P1598</f>
        <v>1265360</v>
      </c>
      <c r="AD1598" s="48" t="n">
        <f aca="false">$AC1598*$I1598</f>
        <v>2616764480</v>
      </c>
      <c r="AE1598" s="49" t="n">
        <f aca="false">IF($Q1598&gt;0,$O1598*$I1598/$Q1598/1000000,"")</f>
        <v>60.7279333534884</v>
      </c>
      <c r="AF1598" s="49" t="n">
        <f aca="false">IF($R1598&gt;0,$P1598*$I1598/$R1598/1000000,"")</f>
        <v>69.2286069938817</v>
      </c>
      <c r="AG1598" s="50" t="n">
        <f aca="false">IF(AND(ISNUMBER($AE1598),ISNUMBER($AF1598),$AF1598&gt;0),$AE1598/$AF1598,"")</f>
        <v>0.877208656803616</v>
      </c>
      <c r="AH1598" s="48" t="n">
        <f aca="false">IF($U1598&gt;=5,SUM(INDEX($AD$1568:$AD1598,32-5):$AD1598),"")</f>
        <v>-8005704404</v>
      </c>
      <c r="AI1598" s="48" t="n">
        <f aca="false">IF($U1598&gt;=STRUCT_S,MAX(INDEX($G$1448:$G1598,152-STRUCT_S):$G1598),"")</f>
        <v>2113</v>
      </c>
      <c r="AJ1598" s="48" t="n">
        <f aca="false">IF($U1598&gt;=STRUCT_S,MIN(INDEX($H$1448:$H1598,152-STRUCT_S):$H1598),"")</f>
        <v>1949</v>
      </c>
      <c r="AK1598" s="48" t="str">
        <f aca="false">IF($U1598&gt;=STRUCT_L,MAX(INDEX($G$1348:$G1598,252-STRUCT_L):$G1598),"")</f>
        <v/>
      </c>
      <c r="AL1598" s="48" t="str">
        <f aca="false">IF($U1598&gt;=STRUCT_L,MIN(INDEX($H$1348:$H1598,252-STRUCT_L):$H1598),"")</f>
        <v/>
      </c>
      <c r="AM1598" s="46" t="n">
        <f aca="false">IF($A1598&lt;&gt;$A1599,1,0)</f>
        <v>0</v>
      </c>
      <c r="AN1598" s="47" t="str">
        <f aca="false">IF($AM1598=1,$A1598,"")</f>
        <v/>
      </c>
    </row>
    <row r="1599" customFormat="false" ht="15" hidden="false" customHeight="false" outlineLevel="0" collapsed="false">
      <c r="A1599" s="43" t="s">
        <v>162</v>
      </c>
      <c r="B1599" s="44" t="s">
        <v>164</v>
      </c>
      <c r="C1599" s="45" t="n">
        <v>45952</v>
      </c>
      <c r="D1599" s="46" t="n">
        <v>20251022</v>
      </c>
      <c r="E1599" s="47" t="s">
        <v>322</v>
      </c>
      <c r="F1599" s="48" t="n">
        <v>2080</v>
      </c>
      <c r="G1599" s="48" t="n">
        <v>2088</v>
      </c>
      <c r="H1599" s="48" t="n">
        <v>2052</v>
      </c>
      <c r="I1599" s="48" t="n">
        <v>2072</v>
      </c>
      <c r="J1599" s="48" t="n">
        <v>2072</v>
      </c>
      <c r="K1599" s="48" t="n">
        <v>2068</v>
      </c>
      <c r="L1599" s="48" t="n">
        <v>119721364</v>
      </c>
      <c r="M1599" s="48" t="n">
        <v>248062666208</v>
      </c>
      <c r="N1599" s="48" t="n">
        <v>5952</v>
      </c>
      <c r="O1599" s="48" t="n">
        <v>51852182</v>
      </c>
      <c r="P1599" s="48" t="n">
        <v>72779930</v>
      </c>
      <c r="Q1599" s="48" t="n">
        <v>2015</v>
      </c>
      <c r="R1599" s="48" t="n">
        <v>3049</v>
      </c>
      <c r="S1599" s="48" t="n">
        <v>67869182</v>
      </c>
      <c r="T1599" s="48" t="n">
        <v>46941434</v>
      </c>
      <c r="U1599" s="46" t="n">
        <f aca="false">IF($A1599=$A1598,$U1598+1,1)</f>
        <v>35</v>
      </c>
      <c r="V1599" s="48" t="n">
        <f aca="false">IF($U1599&gt;=MA_SHORT,AVERAGE(INDEX($I$1199:$I1599,402-MA_SHORT):$I1599),"")</f>
        <v>2034.75</v>
      </c>
      <c r="W1599" s="48" t="str">
        <f aca="false">IF($U1599&gt;=MA_MED,AVERAGE(INDEX($I$1199:$I1599,402-MA_MED):$I1599),"")</f>
        <v/>
      </c>
      <c r="X1599" s="48" t="str">
        <f aca="false">IF($U1599&gt;=MA_LONG1,AVERAGE(INDEX($I$1199:$I1599,402-MA_LONG1):$I1599),"")</f>
        <v/>
      </c>
      <c r="Y1599" s="48" t="str">
        <f aca="false">IF($U1599&gt;=MA_LONG2,AVERAGE(INDEX($I$1199:$I1599,402-MA_LONG2):$I1599),"")</f>
        <v/>
      </c>
      <c r="Z1599" s="48" t="n">
        <f aca="false">IF($U1599&gt;=MA_SHORT,AVERAGE(INDEX($L$1479:$L1599,122-MA_SHORT):$L1599),"")</f>
        <v>131526731.15</v>
      </c>
      <c r="AA1599" s="48" t="n">
        <f aca="false">IF($U1599=1,$G1599-$H1599,MAX($G1599-$H1599,ABS($G1599-$I1598),ABS($H1599-$I1598)))</f>
        <v>36</v>
      </c>
      <c r="AB1599" s="48" t="n">
        <f aca="false">IF($U1599&gt;=ATR_PER,AVERAGE(INDEX($AA$1479:$AA1599,122-ATR_PER):$AA1599),"")</f>
        <v>71.5</v>
      </c>
      <c r="AC1599" s="48" t="n">
        <f aca="false">$O1599-$P1599</f>
        <v>-20927748</v>
      </c>
      <c r="AD1599" s="48" t="n">
        <f aca="false">$AC1599*$I1599</f>
        <v>-43362293856</v>
      </c>
      <c r="AE1599" s="49" t="n">
        <f aca="false">IF($Q1599&gt;0,$O1599*$I1599/$Q1599/1000000,"")</f>
        <v>53.3189682898263</v>
      </c>
      <c r="AF1599" s="49" t="n">
        <f aca="false">IF($R1599&gt;0,$P1599*$I1599/$R1599/1000000,"")</f>
        <v>49.4588438701214</v>
      </c>
      <c r="AG1599" s="50" t="n">
        <f aca="false">IF(AND(ISNUMBER($AE1599),ISNUMBER($AF1599),$AF1599&gt;0),$AE1599/$AF1599,"")</f>
        <v>1.07804720283882</v>
      </c>
      <c r="AH1599" s="48" t="n">
        <f aca="false">IF($U1599&gt;=5,SUM(INDEX($AD$1569:$AD1599,32-5):$AD1599),"")</f>
        <v>30053650245</v>
      </c>
      <c r="AI1599" s="48" t="n">
        <f aca="false">IF($U1599&gt;=STRUCT_S,MAX(INDEX($G$1449:$G1599,152-STRUCT_S):$G1599),"")</f>
        <v>2113</v>
      </c>
      <c r="AJ1599" s="48" t="n">
        <f aca="false">IF($U1599&gt;=STRUCT_S,MIN(INDEX($H$1449:$H1599,152-STRUCT_S):$H1599),"")</f>
        <v>1949</v>
      </c>
      <c r="AK1599" s="48" t="str">
        <f aca="false">IF($U1599&gt;=STRUCT_L,MAX(INDEX($G$1349:$G1599,252-STRUCT_L):$G1599),"")</f>
        <v/>
      </c>
      <c r="AL1599" s="48" t="str">
        <f aca="false">IF($U1599&gt;=STRUCT_L,MIN(INDEX($H$1349:$H1599,252-STRUCT_L):$H1599),"")</f>
        <v/>
      </c>
      <c r="AM1599" s="46" t="n">
        <f aca="false">IF($A1599&lt;&gt;$A1600,1,0)</f>
        <v>0</v>
      </c>
      <c r="AN1599" s="47" t="str">
        <f aca="false">IF($AM1599=1,$A1599,"")</f>
        <v/>
      </c>
    </row>
    <row r="1600" customFormat="false" ht="15" hidden="false" customHeight="false" outlineLevel="0" collapsed="false">
      <c r="A1600" s="43" t="s">
        <v>162</v>
      </c>
      <c r="B1600" s="44" t="s">
        <v>164</v>
      </c>
      <c r="C1600" s="45" t="n">
        <v>45955</v>
      </c>
      <c r="D1600" s="46" t="n">
        <v>20251025</v>
      </c>
      <c r="E1600" s="47" t="s">
        <v>323</v>
      </c>
      <c r="F1600" s="48" t="n">
        <v>2050</v>
      </c>
      <c r="G1600" s="48" t="n">
        <v>2091</v>
      </c>
      <c r="H1600" s="48" t="n">
        <v>2027</v>
      </c>
      <c r="I1600" s="48" t="n">
        <v>2046</v>
      </c>
      <c r="J1600" s="48" t="n">
        <v>2056</v>
      </c>
      <c r="K1600" s="48" t="n">
        <v>2072</v>
      </c>
      <c r="L1600" s="48" t="n">
        <v>86777103</v>
      </c>
      <c r="M1600" s="48" t="n">
        <v>177545952738</v>
      </c>
      <c r="N1600" s="48" t="n">
        <v>7869</v>
      </c>
      <c r="O1600" s="48" t="n">
        <v>32028965</v>
      </c>
      <c r="P1600" s="48" t="n">
        <v>59309216</v>
      </c>
      <c r="Q1600" s="48" t="n">
        <v>3125</v>
      </c>
      <c r="R1600" s="48" t="n">
        <v>2591</v>
      </c>
      <c r="S1600" s="48" t="n">
        <v>54748138</v>
      </c>
      <c r="T1600" s="48" t="n">
        <v>27467887</v>
      </c>
      <c r="U1600" s="46" t="n">
        <f aca="false">IF($A1600=$A1599,$U1599+1,1)</f>
        <v>36</v>
      </c>
      <c r="V1600" s="48" t="n">
        <f aca="false">IF($U1600&gt;=MA_SHORT,AVERAGE(INDEX($I$1200:$I1600,402-MA_SHORT):$I1600),"")</f>
        <v>2038.9</v>
      </c>
      <c r="W1600" s="48" t="str">
        <f aca="false">IF($U1600&gt;=MA_MED,AVERAGE(INDEX($I$1200:$I1600,402-MA_MED):$I1600),"")</f>
        <v/>
      </c>
      <c r="X1600" s="48" t="str">
        <f aca="false">IF($U1600&gt;=MA_LONG1,AVERAGE(INDEX($I$1200:$I1600,402-MA_LONG1):$I1600),"")</f>
        <v/>
      </c>
      <c r="Y1600" s="48" t="str">
        <f aca="false">IF($U1600&gt;=MA_LONG2,AVERAGE(INDEX($I$1200:$I1600,402-MA_LONG2):$I1600),"")</f>
        <v/>
      </c>
      <c r="Z1600" s="48" t="n">
        <f aca="false">IF($U1600&gt;=MA_SHORT,AVERAGE(INDEX($L$1480:$L1600,122-MA_SHORT):$L1600),"")</f>
        <v>115108021.7</v>
      </c>
      <c r="AA1600" s="48" t="n">
        <f aca="false">IF($U1600=1,$G1600-$H1600,MAX($G1600-$H1600,ABS($G1600-$I1599),ABS($H1600-$I1599)))</f>
        <v>64</v>
      </c>
      <c r="AB1600" s="48" t="n">
        <f aca="false">IF($U1600&gt;=ATR_PER,AVERAGE(INDEX($AA$1480:$AA1600,122-ATR_PER):$AA1600),"")</f>
        <v>70.6428571428571</v>
      </c>
      <c r="AC1600" s="48" t="n">
        <f aca="false">$O1600-$P1600</f>
        <v>-27280251</v>
      </c>
      <c r="AD1600" s="48" t="n">
        <f aca="false">$AC1600*$I1600</f>
        <v>-55815393546</v>
      </c>
      <c r="AE1600" s="49" t="n">
        <f aca="false">IF($Q1600&gt;0,$O1600*$I1600/$Q1600/1000000,"")</f>
        <v>20.9700039648</v>
      </c>
      <c r="AF1600" s="49" t="n">
        <f aca="false">IF($R1600&gt;0,$P1600*$I1600/$R1600/1000000,"")</f>
        <v>46.833908118873</v>
      </c>
      <c r="AG1600" s="50" t="n">
        <f aca="false">IF(AND(ISNUMBER($AE1600),ISNUMBER($AF1600),$AF1600&gt;0),$AE1600/$AF1600,"")</f>
        <v>0.447752596507093</v>
      </c>
      <c r="AH1600" s="48" t="n">
        <f aca="false">IF($U1600&gt;=5,SUM(INDEX($AD$1570:$AD1600,32-5):$AD1600),"")</f>
        <v>-52976147897</v>
      </c>
      <c r="AI1600" s="48" t="n">
        <f aca="false">IF($U1600&gt;=STRUCT_S,MAX(INDEX($G$1450:$G1600,152-STRUCT_S):$G1600),"")</f>
        <v>2113</v>
      </c>
      <c r="AJ1600" s="48" t="n">
        <f aca="false">IF($U1600&gt;=STRUCT_S,MIN(INDEX($H$1450:$H1600,152-STRUCT_S):$H1600),"")</f>
        <v>1956</v>
      </c>
      <c r="AK1600" s="48" t="str">
        <f aca="false">IF($U1600&gt;=STRUCT_L,MAX(INDEX($G$1350:$G1600,252-STRUCT_L):$G1600),"")</f>
        <v/>
      </c>
      <c r="AL1600" s="48" t="str">
        <f aca="false">IF($U1600&gt;=STRUCT_L,MIN(INDEX($H$1350:$H1600,252-STRUCT_L):$H1600),"")</f>
        <v/>
      </c>
      <c r="AM1600" s="46" t="n">
        <f aca="false">IF($A1600&lt;&gt;$A1601,1,0)</f>
        <v>0</v>
      </c>
      <c r="AN1600" s="47" t="str">
        <f aca="false">IF($AM1600=1,$A1600,"")</f>
        <v/>
      </c>
    </row>
    <row r="1601" customFormat="false" ht="15" hidden="false" customHeight="false" outlineLevel="0" collapsed="false">
      <c r="A1601" s="43" t="s">
        <v>162</v>
      </c>
      <c r="B1601" s="44" t="s">
        <v>164</v>
      </c>
      <c r="C1601" s="45" t="n">
        <v>45956</v>
      </c>
      <c r="D1601" s="46" t="n">
        <v>20251026</v>
      </c>
      <c r="E1601" s="47" t="s">
        <v>324</v>
      </c>
      <c r="F1601" s="48" t="n">
        <v>2065</v>
      </c>
      <c r="G1601" s="48" t="n">
        <v>2073</v>
      </c>
      <c r="H1601" s="48" t="n">
        <v>2038</v>
      </c>
      <c r="I1601" s="48" t="n">
        <v>2065</v>
      </c>
      <c r="J1601" s="48" t="n">
        <v>2044</v>
      </c>
      <c r="K1601" s="48" t="n">
        <v>2046</v>
      </c>
      <c r="L1601" s="48" t="n">
        <v>106135756</v>
      </c>
      <c r="M1601" s="48" t="n">
        <v>219170336140</v>
      </c>
      <c r="N1601" s="48" t="n">
        <v>4766</v>
      </c>
      <c r="O1601" s="48" t="n">
        <v>59331020</v>
      </c>
      <c r="P1601" s="48" t="n">
        <v>41193759</v>
      </c>
      <c r="Q1601" s="48" t="n">
        <v>2198</v>
      </c>
      <c r="R1601" s="48" t="n">
        <v>2189</v>
      </c>
      <c r="S1601" s="48" t="n">
        <v>46804736</v>
      </c>
      <c r="T1601" s="48" t="n">
        <v>64941997</v>
      </c>
      <c r="U1601" s="46" t="n">
        <f aca="false">IF($A1601=$A1600,$U1600+1,1)</f>
        <v>37</v>
      </c>
      <c r="V1601" s="48" t="n">
        <f aca="false">IF($U1601&gt;=MA_SHORT,AVERAGE(INDEX($I$1201:$I1601,402-MA_SHORT):$I1601),"")</f>
        <v>2040.75</v>
      </c>
      <c r="W1601" s="48" t="str">
        <f aca="false">IF($U1601&gt;=MA_MED,AVERAGE(INDEX($I$1201:$I1601,402-MA_MED):$I1601),"")</f>
        <v/>
      </c>
      <c r="X1601" s="48" t="str">
        <f aca="false">IF($U1601&gt;=MA_LONG1,AVERAGE(INDEX($I$1201:$I1601,402-MA_LONG1):$I1601),"")</f>
        <v/>
      </c>
      <c r="Y1601" s="48" t="str">
        <f aca="false">IF($U1601&gt;=MA_LONG2,AVERAGE(INDEX($I$1201:$I1601,402-MA_LONG2):$I1601),"")</f>
        <v/>
      </c>
      <c r="Z1601" s="48" t="n">
        <f aca="false">IF($U1601&gt;=MA_SHORT,AVERAGE(INDEX($L$1481:$L1601,122-MA_SHORT):$L1601),"")</f>
        <v>115705481.9</v>
      </c>
      <c r="AA1601" s="48" t="n">
        <f aca="false">IF($U1601=1,$G1601-$H1601,MAX($G1601-$H1601,ABS($G1601-$I1600),ABS($H1601-$I1600)))</f>
        <v>35</v>
      </c>
      <c r="AB1601" s="48" t="n">
        <f aca="false">IF($U1601&gt;=ATR_PER,AVERAGE(INDEX($AA$1481:$AA1601,122-ATR_PER):$AA1601),"")</f>
        <v>68.3571428571429</v>
      </c>
      <c r="AC1601" s="48" t="n">
        <f aca="false">$O1601-$P1601</f>
        <v>18137261</v>
      </c>
      <c r="AD1601" s="48" t="n">
        <f aca="false">$AC1601*$I1601</f>
        <v>37453443965</v>
      </c>
      <c r="AE1601" s="49" t="n">
        <f aca="false">IF($Q1601&gt;0,$O1601*$I1601/$Q1601/1000000,"")</f>
        <v>55.740926433121</v>
      </c>
      <c r="AF1601" s="49" t="n">
        <f aca="false">IF($R1601&gt;0,$P1601*$I1601/$R1601/1000000,"")</f>
        <v>38.8602614595706</v>
      </c>
      <c r="AG1601" s="50" t="n">
        <f aca="false">IF(AND(ISNUMBER($AE1601),ISNUMBER($AF1601),$AF1601&gt;0),$AE1601/$AF1601,"")</f>
        <v>1.43439401433551</v>
      </c>
      <c r="AH1601" s="48" t="n">
        <f aca="false">IF($U1601&gt;=5,SUM(INDEX($AD$1571:$AD1601,32-5):$AD1601),"")</f>
        <v>-42843126072</v>
      </c>
      <c r="AI1601" s="48" t="n">
        <f aca="false">IF($U1601&gt;=STRUCT_S,MAX(INDEX($G$1451:$G1601,152-STRUCT_S):$G1601),"")</f>
        <v>2113</v>
      </c>
      <c r="AJ1601" s="48" t="n">
        <f aca="false">IF($U1601&gt;=STRUCT_S,MIN(INDEX($H$1451:$H1601,152-STRUCT_S):$H1601),"")</f>
        <v>1958</v>
      </c>
      <c r="AK1601" s="48" t="str">
        <f aca="false">IF($U1601&gt;=STRUCT_L,MAX(INDEX($G$1351:$G1601,252-STRUCT_L):$G1601),"")</f>
        <v/>
      </c>
      <c r="AL1601" s="48" t="str">
        <f aca="false">IF($U1601&gt;=STRUCT_L,MIN(INDEX($H$1351:$H1601,252-STRUCT_L):$H1601),"")</f>
        <v/>
      </c>
      <c r="AM1601" s="46" t="n">
        <f aca="false">IF($A1601&lt;&gt;$A1602,1,0)</f>
        <v>0</v>
      </c>
      <c r="AN1601" s="47" t="str">
        <f aca="false">IF($AM1601=1,$A1601,"")</f>
        <v/>
      </c>
    </row>
    <row r="1602" customFormat="false" ht="15" hidden="false" customHeight="false" outlineLevel="0" collapsed="false">
      <c r="A1602" s="43" t="s">
        <v>162</v>
      </c>
      <c r="B1602" s="44" t="s">
        <v>164</v>
      </c>
      <c r="C1602" s="45" t="n">
        <v>45957</v>
      </c>
      <c r="D1602" s="46" t="n">
        <v>20251027</v>
      </c>
      <c r="E1602" s="47" t="s">
        <v>325</v>
      </c>
      <c r="F1602" s="48" t="n">
        <v>2014</v>
      </c>
      <c r="G1602" s="48" t="n">
        <v>2092</v>
      </c>
      <c r="H1602" s="48" t="n">
        <v>1996</v>
      </c>
      <c r="I1602" s="48" t="n">
        <v>2023</v>
      </c>
      <c r="J1602" s="48" t="n">
        <v>2067</v>
      </c>
      <c r="K1602" s="48" t="n">
        <v>2065</v>
      </c>
      <c r="L1602" s="48" t="n">
        <v>88164398</v>
      </c>
      <c r="M1602" s="48" t="n">
        <v>178356577154</v>
      </c>
      <c r="N1602" s="48" t="n">
        <v>2131</v>
      </c>
      <c r="O1602" s="48" t="n">
        <v>35937033</v>
      </c>
      <c r="P1602" s="48" t="n">
        <v>45574626</v>
      </c>
      <c r="Q1602" s="48" t="n">
        <v>829</v>
      </c>
      <c r="R1602" s="48" t="n">
        <v>1045</v>
      </c>
      <c r="S1602" s="48" t="n">
        <v>52227365</v>
      </c>
      <c r="T1602" s="48" t="n">
        <v>42589772</v>
      </c>
      <c r="U1602" s="46" t="n">
        <f aca="false">IF($A1602=$A1601,$U1601+1,1)</f>
        <v>38</v>
      </c>
      <c r="V1602" s="48" t="n">
        <f aca="false">IF($U1602&gt;=MA_SHORT,AVERAGE(INDEX($I$1202:$I1602,402-MA_SHORT):$I1602),"")</f>
        <v>2042</v>
      </c>
      <c r="W1602" s="48" t="str">
        <f aca="false">IF($U1602&gt;=MA_MED,AVERAGE(INDEX($I$1202:$I1602,402-MA_MED):$I1602),"")</f>
        <v/>
      </c>
      <c r="X1602" s="48" t="str">
        <f aca="false">IF($U1602&gt;=MA_LONG1,AVERAGE(INDEX($I$1202:$I1602,402-MA_LONG1):$I1602),"")</f>
        <v/>
      </c>
      <c r="Y1602" s="48" t="str">
        <f aca="false">IF($U1602&gt;=MA_LONG2,AVERAGE(INDEX($I$1202:$I1602,402-MA_LONG2):$I1602),"")</f>
        <v/>
      </c>
      <c r="Z1602" s="48" t="n">
        <f aca="false">IF($U1602&gt;=MA_SHORT,AVERAGE(INDEX($L$1482:$L1602,122-MA_SHORT):$L1602),"")</f>
        <v>115836217.8</v>
      </c>
      <c r="AA1602" s="48" t="n">
        <f aca="false">IF($U1602=1,$G1602-$H1602,MAX($G1602-$H1602,ABS($G1602-$I1601),ABS($H1602-$I1601)))</f>
        <v>96</v>
      </c>
      <c r="AB1602" s="48" t="n">
        <f aca="false">IF($U1602&gt;=ATR_PER,AVERAGE(INDEX($AA$1482:$AA1602,122-ATR_PER):$AA1602),"")</f>
        <v>71.4285714285714</v>
      </c>
      <c r="AC1602" s="48" t="n">
        <f aca="false">$O1602-$P1602</f>
        <v>-9637593</v>
      </c>
      <c r="AD1602" s="48" t="n">
        <f aca="false">$AC1602*$I1602</f>
        <v>-19496850639</v>
      </c>
      <c r="AE1602" s="49" t="n">
        <f aca="false">IF($Q1602&gt;0,$O1602*$I1602/$Q1602/1000000,"")</f>
        <v>87.6967644861279</v>
      </c>
      <c r="AF1602" s="49" t="n">
        <f aca="false">IF($R1602&gt;0,$P1602*$I1602/$R1602/1000000,"")</f>
        <v>88.2272424861244</v>
      </c>
      <c r="AG1602" s="50" t="n">
        <f aca="false">IF(AND(ISNUMBER($AE1602),ISNUMBER($AF1602),$AF1602&gt;0),$AE1602/$AF1602,"")</f>
        <v>0.993987367336342</v>
      </c>
      <c r="AH1602" s="48" t="n">
        <f aca="false">IF($U1602&gt;=5,SUM(INDEX($AD$1572:$AD1602,32-5):$AD1602),"")</f>
        <v>-78604329596</v>
      </c>
      <c r="AI1602" s="48" t="n">
        <f aca="false">IF($U1602&gt;=STRUCT_S,MAX(INDEX($G$1452:$G1602,152-STRUCT_S):$G1602),"")</f>
        <v>2113</v>
      </c>
      <c r="AJ1602" s="48" t="n">
        <f aca="false">IF($U1602&gt;=STRUCT_S,MIN(INDEX($H$1452:$H1602,152-STRUCT_S):$H1602),"")</f>
        <v>1958</v>
      </c>
      <c r="AK1602" s="48" t="str">
        <f aca="false">IF($U1602&gt;=STRUCT_L,MAX(INDEX($G$1352:$G1602,252-STRUCT_L):$G1602),"")</f>
        <v/>
      </c>
      <c r="AL1602" s="48" t="str">
        <f aca="false">IF($U1602&gt;=STRUCT_L,MIN(INDEX($H$1352:$H1602,252-STRUCT_L):$H1602),"")</f>
        <v/>
      </c>
      <c r="AM1602" s="46" t="n">
        <f aca="false">IF($A1602&lt;&gt;$A1603,1,0)</f>
        <v>0</v>
      </c>
      <c r="AN1602" s="47" t="str">
        <f aca="false">IF($AM1602=1,$A1602,"")</f>
        <v/>
      </c>
    </row>
    <row r="1603" customFormat="false" ht="15" hidden="false" customHeight="false" outlineLevel="0" collapsed="false">
      <c r="A1603" s="43" t="s">
        <v>162</v>
      </c>
      <c r="B1603" s="44" t="s">
        <v>164</v>
      </c>
      <c r="C1603" s="45" t="n">
        <v>45958</v>
      </c>
      <c r="D1603" s="46" t="n">
        <v>20251028</v>
      </c>
      <c r="E1603" s="47" t="s">
        <v>326</v>
      </c>
      <c r="F1603" s="48" t="n">
        <v>2025</v>
      </c>
      <c r="G1603" s="48" t="n">
        <v>2047</v>
      </c>
      <c r="H1603" s="48" t="n">
        <v>2007</v>
      </c>
      <c r="I1603" s="48" t="n">
        <v>2031</v>
      </c>
      <c r="J1603" s="48" t="n">
        <v>2028</v>
      </c>
      <c r="K1603" s="48" t="n">
        <v>2023</v>
      </c>
      <c r="L1603" s="48" t="n">
        <v>80439893</v>
      </c>
      <c r="M1603" s="48" t="n">
        <v>163373422683</v>
      </c>
      <c r="N1603" s="48" t="n">
        <v>3159</v>
      </c>
      <c r="O1603" s="48" t="n">
        <v>40117752</v>
      </c>
      <c r="P1603" s="48" t="n">
        <v>38914686</v>
      </c>
      <c r="Q1603" s="48" t="n">
        <v>1379</v>
      </c>
      <c r="R1603" s="48" t="n">
        <v>1584</v>
      </c>
      <c r="S1603" s="48" t="n">
        <v>40322141</v>
      </c>
      <c r="T1603" s="48" t="n">
        <v>41525207</v>
      </c>
      <c r="U1603" s="46" t="n">
        <f aca="false">IF($A1603=$A1602,$U1602+1,1)</f>
        <v>39</v>
      </c>
      <c r="V1603" s="48" t="n">
        <f aca="false">IF($U1603&gt;=MA_SHORT,AVERAGE(INDEX($I$1203:$I1603,402-MA_SHORT):$I1603),"")</f>
        <v>2042.15</v>
      </c>
      <c r="W1603" s="48" t="str">
        <f aca="false">IF($U1603&gt;=MA_MED,AVERAGE(INDEX($I$1203:$I1603,402-MA_MED):$I1603),"")</f>
        <v/>
      </c>
      <c r="X1603" s="48" t="str">
        <f aca="false">IF($U1603&gt;=MA_LONG1,AVERAGE(INDEX($I$1203:$I1603,402-MA_LONG1):$I1603),"")</f>
        <v/>
      </c>
      <c r="Y1603" s="48" t="str">
        <f aca="false">IF($U1603&gt;=MA_LONG2,AVERAGE(INDEX($I$1203:$I1603,402-MA_LONG2):$I1603),"")</f>
        <v/>
      </c>
      <c r="Z1603" s="48" t="n">
        <f aca="false">IF($U1603&gt;=MA_SHORT,AVERAGE(INDEX($L$1483:$L1603,122-MA_SHORT):$L1603),"")</f>
        <v>115545811.8</v>
      </c>
      <c r="AA1603" s="48" t="n">
        <f aca="false">IF($U1603=1,$G1603-$H1603,MAX($G1603-$H1603,ABS($G1603-$I1602),ABS($H1603-$I1602)))</f>
        <v>40</v>
      </c>
      <c r="AB1603" s="48" t="n">
        <f aca="false">IF($U1603&gt;=ATR_PER,AVERAGE(INDEX($AA$1483:$AA1603,122-ATR_PER):$AA1603),"")</f>
        <v>69.3571428571429</v>
      </c>
      <c r="AC1603" s="48" t="n">
        <f aca="false">$O1603-$P1603</f>
        <v>1203066</v>
      </c>
      <c r="AD1603" s="48" t="n">
        <f aca="false">$AC1603*$I1603</f>
        <v>2443427046</v>
      </c>
      <c r="AE1603" s="49" t="n">
        <f aca="false">IF($Q1603&gt;0,$O1603*$I1603/$Q1603/1000000,"")</f>
        <v>59.0856811544598</v>
      </c>
      <c r="AF1603" s="49" t="n">
        <f aca="false">IF($R1603&gt;0,$P1603*$I1603/$R1603/1000000,"")</f>
        <v>49.8962924659091</v>
      </c>
      <c r="AG1603" s="50" t="n">
        <f aca="false">IF(AND(ISNUMBER($AE1603),ISNUMBER($AF1603),$AF1603&gt;0),$AE1603/$AF1603,"")</f>
        <v>1.18416976962425</v>
      </c>
      <c r="AH1603" s="48" t="n">
        <f aca="false">IF($U1603&gt;=5,SUM(INDEX($AD$1573:$AD1603,32-5):$AD1603),"")</f>
        <v>-78777667030</v>
      </c>
      <c r="AI1603" s="48" t="n">
        <f aca="false">IF($U1603&gt;=STRUCT_S,MAX(INDEX($G$1453:$G1603,152-STRUCT_S):$G1603),"")</f>
        <v>2113</v>
      </c>
      <c r="AJ1603" s="48" t="n">
        <f aca="false">IF($U1603&gt;=STRUCT_S,MIN(INDEX($H$1453:$H1603,152-STRUCT_S):$H1603),"")</f>
        <v>1958</v>
      </c>
      <c r="AK1603" s="48" t="str">
        <f aca="false">IF($U1603&gt;=STRUCT_L,MAX(INDEX($G$1353:$G1603,252-STRUCT_L):$G1603),"")</f>
        <v/>
      </c>
      <c r="AL1603" s="48" t="str">
        <f aca="false">IF($U1603&gt;=STRUCT_L,MIN(INDEX($H$1353:$H1603,252-STRUCT_L):$H1603),"")</f>
        <v/>
      </c>
      <c r="AM1603" s="46" t="n">
        <f aca="false">IF($A1603&lt;&gt;$A1604,1,0)</f>
        <v>0</v>
      </c>
      <c r="AN1603" s="47" t="str">
        <f aca="false">IF($AM1603=1,$A1603,"")</f>
        <v/>
      </c>
    </row>
    <row r="1604" customFormat="false" ht="15" hidden="false" customHeight="false" outlineLevel="0" collapsed="false">
      <c r="A1604" s="43" t="s">
        <v>162</v>
      </c>
      <c r="B1604" s="44" t="s">
        <v>164</v>
      </c>
      <c r="C1604" s="45" t="n">
        <v>45959</v>
      </c>
      <c r="D1604" s="46" t="n">
        <v>20251029</v>
      </c>
      <c r="E1604" s="47" t="s">
        <v>327</v>
      </c>
      <c r="F1604" s="48" t="n">
        <v>2037</v>
      </c>
      <c r="G1604" s="48" t="n">
        <v>2041</v>
      </c>
      <c r="H1604" s="48" t="n">
        <v>1979</v>
      </c>
      <c r="I1604" s="48" t="n">
        <v>1989</v>
      </c>
      <c r="J1604" s="48" t="n">
        <v>2040</v>
      </c>
      <c r="K1604" s="48" t="n">
        <v>2031</v>
      </c>
      <c r="L1604" s="48" t="n">
        <v>112522403</v>
      </c>
      <c r="M1604" s="48" t="n">
        <v>223807059567</v>
      </c>
      <c r="N1604" s="48" t="n">
        <v>5240</v>
      </c>
      <c r="O1604" s="48" t="n">
        <v>46812491</v>
      </c>
      <c r="P1604" s="48" t="n">
        <v>56334287</v>
      </c>
      <c r="Q1604" s="48" t="n">
        <v>2532</v>
      </c>
      <c r="R1604" s="48" t="n">
        <v>2271</v>
      </c>
      <c r="S1604" s="48" t="n">
        <v>65709912</v>
      </c>
      <c r="T1604" s="48" t="n">
        <v>56188116</v>
      </c>
      <c r="U1604" s="46" t="n">
        <f aca="false">IF($A1604=$A1603,$U1603+1,1)</f>
        <v>40</v>
      </c>
      <c r="V1604" s="48" t="n">
        <f aca="false">IF($U1604&gt;=MA_SHORT,AVERAGE(INDEX($I$1204:$I1604,402-MA_SHORT):$I1604),"")</f>
        <v>2041.1</v>
      </c>
      <c r="W1604" s="48" t="str">
        <f aca="false">IF($U1604&gt;=MA_MED,AVERAGE(INDEX($I$1204:$I1604,402-MA_MED):$I1604),"")</f>
        <v/>
      </c>
      <c r="X1604" s="48" t="str">
        <f aca="false">IF($U1604&gt;=MA_LONG1,AVERAGE(INDEX($I$1204:$I1604,402-MA_LONG1):$I1604),"")</f>
        <v/>
      </c>
      <c r="Y1604" s="48" t="str">
        <f aca="false">IF($U1604&gt;=MA_LONG2,AVERAGE(INDEX($I$1204:$I1604,402-MA_LONG2):$I1604),"")</f>
        <v/>
      </c>
      <c r="Z1604" s="48" t="n">
        <f aca="false">IF($U1604&gt;=MA_SHORT,AVERAGE(INDEX($L$1484:$L1604,122-MA_SHORT):$L1604),"")</f>
        <v>116812293.85</v>
      </c>
      <c r="AA1604" s="48" t="n">
        <f aca="false">IF($U1604=1,$G1604-$H1604,MAX($G1604-$H1604,ABS($G1604-$I1603),ABS($H1604-$I1603)))</f>
        <v>62</v>
      </c>
      <c r="AB1604" s="48" t="n">
        <f aca="false">IF($U1604&gt;=ATR_PER,AVERAGE(INDEX($AA$1484:$AA1604,122-ATR_PER):$AA1604),"")</f>
        <v>68.1428571428571</v>
      </c>
      <c r="AC1604" s="48" t="n">
        <f aca="false">$O1604-$P1604</f>
        <v>-9521796</v>
      </c>
      <c r="AD1604" s="48" t="n">
        <f aca="false">$AC1604*$I1604</f>
        <v>-18938852244</v>
      </c>
      <c r="AE1604" s="49" t="n">
        <f aca="false">IF($Q1604&gt;0,$O1604*$I1604/$Q1604/1000000,"")</f>
        <v>36.7733193518957</v>
      </c>
      <c r="AF1604" s="49" t="n">
        <f aca="false">IF($R1604&gt;0,$P1604*$I1604/$R1604/1000000,"")</f>
        <v>49.3390122602378</v>
      </c>
      <c r="AG1604" s="50" t="n">
        <f aca="false">IF(AND(ISNUMBER($AE1604),ISNUMBER($AF1604),$AF1604&gt;0),$AE1604/$AF1604,"")</f>
        <v>0.745319325768734</v>
      </c>
      <c r="AH1604" s="48" t="n">
        <f aca="false">IF($U1604&gt;=5,SUM(INDEX($AD$1574:$AD1604,32-5):$AD1604),"")</f>
        <v>-54354225418</v>
      </c>
      <c r="AI1604" s="48" t="n">
        <f aca="false">IF($U1604&gt;=STRUCT_S,MAX(INDEX($G$1454:$G1604,152-STRUCT_S):$G1604),"")</f>
        <v>2113</v>
      </c>
      <c r="AJ1604" s="48" t="n">
        <f aca="false">IF($U1604&gt;=STRUCT_S,MIN(INDEX($H$1454:$H1604,152-STRUCT_S):$H1604),"")</f>
        <v>1958</v>
      </c>
      <c r="AK1604" s="48" t="str">
        <f aca="false">IF($U1604&gt;=STRUCT_L,MAX(INDEX($G$1354:$G1604,252-STRUCT_L):$G1604),"")</f>
        <v/>
      </c>
      <c r="AL1604" s="48" t="str">
        <f aca="false">IF($U1604&gt;=STRUCT_L,MIN(INDEX($H$1354:$H1604,252-STRUCT_L):$H1604),"")</f>
        <v/>
      </c>
      <c r="AM1604" s="46" t="n">
        <f aca="false">IF($A1604&lt;&gt;$A1605,1,0)</f>
        <v>0</v>
      </c>
      <c r="AN1604" s="47" t="str">
        <f aca="false">IF($AM1604=1,$A1604,"")</f>
        <v/>
      </c>
    </row>
    <row r="1605" customFormat="false" ht="15" hidden="false" customHeight="false" outlineLevel="0" collapsed="false">
      <c r="A1605" s="43" t="s">
        <v>162</v>
      </c>
      <c r="B1605" s="44" t="s">
        <v>164</v>
      </c>
      <c r="C1605" s="45" t="n">
        <v>45962</v>
      </c>
      <c r="D1605" s="46" t="n">
        <v>20251101</v>
      </c>
      <c r="E1605" s="47" t="s">
        <v>328</v>
      </c>
      <c r="F1605" s="48" t="n">
        <v>1968</v>
      </c>
      <c r="G1605" s="48" t="n">
        <v>1999</v>
      </c>
      <c r="H1605" s="48" t="n">
        <v>1946</v>
      </c>
      <c r="I1605" s="48" t="n">
        <v>1956</v>
      </c>
      <c r="J1605" s="48" t="n">
        <v>1982</v>
      </c>
      <c r="K1605" s="48" t="n">
        <v>1989</v>
      </c>
      <c r="L1605" s="48" t="n">
        <v>99413463</v>
      </c>
      <c r="M1605" s="48" t="n">
        <v>194452733628</v>
      </c>
      <c r="N1605" s="48" t="n">
        <v>7002</v>
      </c>
      <c r="O1605" s="48" t="n">
        <v>44464015</v>
      </c>
      <c r="P1605" s="48" t="n">
        <v>54402278</v>
      </c>
      <c r="Q1605" s="48" t="n">
        <v>3336</v>
      </c>
      <c r="R1605" s="48" t="n">
        <v>3770</v>
      </c>
      <c r="S1605" s="48" t="n">
        <v>54949448</v>
      </c>
      <c r="T1605" s="48" t="n">
        <v>45011185</v>
      </c>
      <c r="U1605" s="46" t="n">
        <f aca="false">IF($A1605=$A1604,$U1604+1,1)</f>
        <v>41</v>
      </c>
      <c r="V1605" s="48" t="n">
        <f aca="false">IF($U1605&gt;=MA_SHORT,AVERAGE(INDEX($I$1205:$I1605,402-MA_SHORT):$I1605),"")</f>
        <v>2038.05</v>
      </c>
      <c r="W1605" s="48" t="str">
        <f aca="false">IF($U1605&gt;=MA_MED,AVERAGE(INDEX($I$1205:$I1605,402-MA_MED):$I1605),"")</f>
        <v/>
      </c>
      <c r="X1605" s="48" t="str">
        <f aca="false">IF($U1605&gt;=MA_LONG1,AVERAGE(INDEX($I$1205:$I1605,402-MA_LONG1):$I1605),"")</f>
        <v/>
      </c>
      <c r="Y1605" s="48" t="str">
        <f aca="false">IF($U1605&gt;=MA_LONG2,AVERAGE(INDEX($I$1205:$I1605,402-MA_LONG2):$I1605),"")</f>
        <v/>
      </c>
      <c r="Z1605" s="48" t="n">
        <f aca="false">IF($U1605&gt;=MA_SHORT,AVERAGE(INDEX($L$1485:$L1605,122-MA_SHORT):$L1605),"")</f>
        <v>115569845.55</v>
      </c>
      <c r="AA1605" s="48" t="n">
        <f aca="false">IF($U1605=1,$G1605-$H1605,MAX($G1605-$H1605,ABS($G1605-$I1604),ABS($H1605-$I1604)))</f>
        <v>53</v>
      </c>
      <c r="AB1605" s="48" t="n">
        <f aca="false">IF($U1605&gt;=ATR_PER,AVERAGE(INDEX($AA$1485:$AA1605,122-ATR_PER):$AA1605),"")</f>
        <v>68.5</v>
      </c>
      <c r="AC1605" s="48" t="n">
        <f aca="false">$O1605-$P1605</f>
        <v>-9938263</v>
      </c>
      <c r="AD1605" s="48" t="n">
        <f aca="false">$AC1605*$I1605</f>
        <v>-19439242428</v>
      </c>
      <c r="AE1605" s="49" t="n">
        <f aca="false">IF($Q1605&gt;0,$O1605*$I1605/$Q1605/1000000,"")</f>
        <v>26.0706275</v>
      </c>
      <c r="AF1605" s="49" t="n">
        <f aca="false">IF($R1605&gt;0,$P1605*$I1605/$R1605/1000000,"")</f>
        <v>28.2256911851459</v>
      </c>
      <c r="AG1605" s="50" t="n">
        <f aca="false">IF(AND(ISNUMBER($AE1605),ISNUMBER($AF1605),$AF1605&gt;0),$AE1605/$AF1605,"")</f>
        <v>0.923648860500535</v>
      </c>
      <c r="AH1605" s="48" t="n">
        <f aca="false">IF($U1605&gt;=5,SUM(INDEX($AD$1575:$AD1605,32-5):$AD1605),"")</f>
        <v>-17978074300</v>
      </c>
      <c r="AI1605" s="48" t="n">
        <f aca="false">IF($U1605&gt;=STRUCT_S,MAX(INDEX($G$1455:$G1605,152-STRUCT_S):$G1605),"")</f>
        <v>2113</v>
      </c>
      <c r="AJ1605" s="48" t="n">
        <f aca="false">IF($U1605&gt;=STRUCT_S,MIN(INDEX($H$1455:$H1605,152-STRUCT_S):$H1605),"")</f>
        <v>1946</v>
      </c>
      <c r="AK1605" s="48" t="str">
        <f aca="false">IF($U1605&gt;=STRUCT_L,MAX(INDEX($G$1355:$G1605,252-STRUCT_L):$G1605),"")</f>
        <v/>
      </c>
      <c r="AL1605" s="48" t="str">
        <f aca="false">IF($U1605&gt;=STRUCT_L,MIN(INDEX($H$1355:$H1605,252-STRUCT_L):$H1605),"")</f>
        <v/>
      </c>
      <c r="AM1605" s="46" t="n">
        <f aca="false">IF($A1605&lt;&gt;$A1606,1,0)</f>
        <v>0</v>
      </c>
      <c r="AN1605" s="47" t="str">
        <f aca="false">IF($AM1605=1,$A1605,"")</f>
        <v/>
      </c>
    </row>
    <row r="1606" customFormat="false" ht="15" hidden="false" customHeight="false" outlineLevel="0" collapsed="false">
      <c r="A1606" s="43" t="s">
        <v>162</v>
      </c>
      <c r="B1606" s="44" t="s">
        <v>164</v>
      </c>
      <c r="C1606" s="45" t="n">
        <v>45963</v>
      </c>
      <c r="D1606" s="46" t="n">
        <v>20251102</v>
      </c>
      <c r="E1606" s="47" t="s">
        <v>329</v>
      </c>
      <c r="F1606" s="48" t="n">
        <v>1939</v>
      </c>
      <c r="G1606" s="48" t="n">
        <v>1967</v>
      </c>
      <c r="H1606" s="48" t="n">
        <v>1934</v>
      </c>
      <c r="I1606" s="48" t="n">
        <v>1945</v>
      </c>
      <c r="J1606" s="48" t="n">
        <v>1949</v>
      </c>
      <c r="K1606" s="48" t="n">
        <v>1956</v>
      </c>
      <c r="L1606" s="48" t="n">
        <v>81226842</v>
      </c>
      <c r="M1606" s="48" t="n">
        <v>157986207690</v>
      </c>
      <c r="N1606" s="48" t="n">
        <v>1994</v>
      </c>
      <c r="O1606" s="48" t="n">
        <v>31694709</v>
      </c>
      <c r="P1606" s="48" t="n">
        <v>49667291</v>
      </c>
      <c r="Q1606" s="48" t="n">
        <v>708</v>
      </c>
      <c r="R1606" s="48" t="n">
        <v>1112</v>
      </c>
      <c r="S1606" s="48" t="n">
        <v>49532133</v>
      </c>
      <c r="T1606" s="48" t="n">
        <v>31559551</v>
      </c>
      <c r="U1606" s="46" t="n">
        <f aca="false">IF($A1606=$A1605,$U1605+1,1)</f>
        <v>42</v>
      </c>
      <c r="V1606" s="48" t="n">
        <f aca="false">IF($U1606&gt;=MA_SHORT,AVERAGE(INDEX($I$1206:$I1606,402-MA_SHORT):$I1606),"")</f>
        <v>2034.1</v>
      </c>
      <c r="W1606" s="48" t="str">
        <f aca="false">IF($U1606&gt;=MA_MED,AVERAGE(INDEX($I$1206:$I1606,402-MA_MED):$I1606),"")</f>
        <v/>
      </c>
      <c r="X1606" s="48" t="str">
        <f aca="false">IF($U1606&gt;=MA_LONG1,AVERAGE(INDEX($I$1206:$I1606,402-MA_LONG1):$I1606),"")</f>
        <v/>
      </c>
      <c r="Y1606" s="48" t="str">
        <f aca="false">IF($U1606&gt;=MA_LONG2,AVERAGE(INDEX($I$1206:$I1606,402-MA_LONG2):$I1606),"")</f>
        <v/>
      </c>
      <c r="Z1606" s="48" t="n">
        <f aca="false">IF($U1606&gt;=MA_SHORT,AVERAGE(INDEX($L$1486:$L1606,122-MA_SHORT):$L1606),"")</f>
        <v>111588696.85</v>
      </c>
      <c r="AA1606" s="48" t="n">
        <f aca="false">IF($U1606=1,$G1606-$H1606,MAX($G1606-$H1606,ABS($G1606-$I1605),ABS($H1606-$I1605)))</f>
        <v>33</v>
      </c>
      <c r="AB1606" s="48" t="n">
        <f aca="false">IF($U1606&gt;=ATR_PER,AVERAGE(INDEX($AA$1486:$AA1606,122-ATR_PER):$AA1606),"")</f>
        <v>67.5</v>
      </c>
      <c r="AC1606" s="48" t="n">
        <f aca="false">$O1606-$P1606</f>
        <v>-17972582</v>
      </c>
      <c r="AD1606" s="48" t="n">
        <f aca="false">$AC1606*$I1606</f>
        <v>-34956671990</v>
      </c>
      <c r="AE1606" s="49" t="n">
        <f aca="false">IF($Q1606&gt;0,$O1606*$I1606/$Q1606/1000000,"")</f>
        <v>87.0709166737288</v>
      </c>
      <c r="AF1606" s="49" t="n">
        <f aca="false">IF($R1606&gt;0,$P1606*$I1606/$R1606/1000000,"")</f>
        <v>86.873094419964</v>
      </c>
      <c r="AG1606" s="50" t="n">
        <f aca="false">IF(AND(ISNUMBER($AE1606),ISNUMBER($AF1606),$AF1606&gt;0),$AE1606/$AF1606,"")</f>
        <v>1.00227714063929</v>
      </c>
      <c r="AH1606" s="48" t="n">
        <f aca="false">IF($U1606&gt;=5,SUM(INDEX($AD$1576:$AD1606,32-5):$AD1606),"")</f>
        <v>-90388190255</v>
      </c>
      <c r="AI1606" s="48" t="n">
        <f aca="false">IF($U1606&gt;=STRUCT_S,MAX(INDEX($G$1456:$G1606,152-STRUCT_S):$G1606),"")</f>
        <v>2113</v>
      </c>
      <c r="AJ1606" s="48" t="n">
        <f aca="false">IF($U1606&gt;=STRUCT_S,MIN(INDEX($H$1456:$H1606,152-STRUCT_S):$H1606),"")</f>
        <v>1934</v>
      </c>
      <c r="AK1606" s="48" t="str">
        <f aca="false">IF($U1606&gt;=STRUCT_L,MAX(INDEX($G$1356:$G1606,252-STRUCT_L):$G1606),"")</f>
        <v/>
      </c>
      <c r="AL1606" s="48" t="str">
        <f aca="false">IF($U1606&gt;=STRUCT_L,MIN(INDEX($H$1356:$H1606,252-STRUCT_L):$H1606),"")</f>
        <v/>
      </c>
      <c r="AM1606" s="46" t="n">
        <f aca="false">IF($A1606&lt;&gt;$A1607,1,0)</f>
        <v>0</v>
      </c>
      <c r="AN1606" s="47" t="str">
        <f aca="false">IF($AM1606=1,$A1606,"")</f>
        <v/>
      </c>
    </row>
    <row r="1607" customFormat="false" ht="15" hidden="false" customHeight="false" outlineLevel="0" collapsed="false">
      <c r="A1607" s="43" t="s">
        <v>162</v>
      </c>
      <c r="B1607" s="44" t="s">
        <v>164</v>
      </c>
      <c r="C1607" s="45" t="n">
        <v>45964</v>
      </c>
      <c r="D1607" s="46" t="n">
        <v>20251103</v>
      </c>
      <c r="E1607" s="47" t="s">
        <v>330</v>
      </c>
      <c r="F1607" s="48" t="n">
        <v>1961</v>
      </c>
      <c r="G1607" s="48" t="n">
        <v>1969</v>
      </c>
      <c r="H1607" s="48" t="n">
        <v>1936</v>
      </c>
      <c r="I1607" s="48" t="n">
        <v>1960</v>
      </c>
      <c r="J1607" s="48" t="n">
        <v>1968</v>
      </c>
      <c r="K1607" s="48" t="n">
        <v>1945</v>
      </c>
      <c r="L1607" s="48" t="n">
        <v>93099152</v>
      </c>
      <c r="M1607" s="48" t="n">
        <v>182474337920</v>
      </c>
      <c r="N1607" s="48" t="n">
        <v>9505</v>
      </c>
      <c r="O1607" s="48" t="n">
        <v>49874436</v>
      </c>
      <c r="P1607" s="48" t="n">
        <v>41346869</v>
      </c>
      <c r="Q1607" s="48" t="n">
        <v>3875</v>
      </c>
      <c r="R1607" s="48" t="n">
        <v>3723</v>
      </c>
      <c r="S1607" s="48" t="n">
        <v>43224716</v>
      </c>
      <c r="T1607" s="48" t="n">
        <v>51752283</v>
      </c>
      <c r="U1607" s="46" t="n">
        <f aca="false">IF($A1607=$A1606,$U1606+1,1)</f>
        <v>43</v>
      </c>
      <c r="V1607" s="48" t="n">
        <f aca="false">IF($U1607&gt;=MA_SHORT,AVERAGE(INDEX($I$1207:$I1607,402-MA_SHORT):$I1607),"")</f>
        <v>2029.95</v>
      </c>
      <c r="W1607" s="48" t="str">
        <f aca="false">IF($U1607&gt;=MA_MED,AVERAGE(INDEX($I$1207:$I1607,402-MA_MED):$I1607),"")</f>
        <v/>
      </c>
      <c r="X1607" s="48" t="str">
        <f aca="false">IF($U1607&gt;=MA_LONG1,AVERAGE(INDEX($I$1207:$I1607,402-MA_LONG1):$I1607),"")</f>
        <v/>
      </c>
      <c r="Y1607" s="48" t="str">
        <f aca="false">IF($U1607&gt;=MA_LONG2,AVERAGE(INDEX($I$1207:$I1607,402-MA_LONG2):$I1607),"")</f>
        <v/>
      </c>
      <c r="Z1607" s="48" t="n">
        <f aca="false">IF($U1607&gt;=MA_SHORT,AVERAGE(INDEX($L$1487:$L1607,122-MA_SHORT):$L1607),"")</f>
        <v>108765832.2</v>
      </c>
      <c r="AA1607" s="48" t="n">
        <f aca="false">IF($U1607=1,$G1607-$H1607,MAX($G1607-$H1607,ABS($G1607-$I1606),ABS($H1607-$I1606)))</f>
        <v>33</v>
      </c>
      <c r="AB1607" s="48" t="n">
        <f aca="false">IF($U1607&gt;=ATR_PER,AVERAGE(INDEX($AA$1487:$AA1607,122-ATR_PER):$AA1607),"")</f>
        <v>64.8571428571429</v>
      </c>
      <c r="AC1607" s="48" t="n">
        <f aca="false">$O1607-$P1607</f>
        <v>8527567</v>
      </c>
      <c r="AD1607" s="48" t="n">
        <f aca="false">$AC1607*$I1607</f>
        <v>16714031320</v>
      </c>
      <c r="AE1607" s="49" t="n">
        <f aca="false">IF($Q1607&gt;0,$O1607*$I1607/$Q1607/1000000,"")</f>
        <v>25.2268114993548</v>
      </c>
      <c r="AF1607" s="49" t="n">
        <f aca="false">IF($R1607&gt;0,$P1607*$I1607/$R1607/1000000,"")</f>
        <v>21.7673551544453</v>
      </c>
      <c r="AG1607" s="50" t="n">
        <f aca="false">IF(AND(ISNUMBER($AE1607),ISNUMBER($AF1607),$AF1607&gt;0),$AE1607/$AF1607,"")</f>
        <v>1.158928648904</v>
      </c>
      <c r="AH1607" s="48" t="n">
        <f aca="false">IF($U1607&gt;=5,SUM(INDEX($AD$1577:$AD1607,32-5):$AD1607),"")</f>
        <v>-54177308296</v>
      </c>
      <c r="AI1607" s="48" t="n">
        <f aca="false">IF($U1607&gt;=STRUCT_S,MAX(INDEX($G$1457:$G1607,152-STRUCT_S):$G1607),"")</f>
        <v>2113</v>
      </c>
      <c r="AJ1607" s="48" t="n">
        <f aca="false">IF($U1607&gt;=STRUCT_S,MIN(INDEX($H$1457:$H1607,152-STRUCT_S):$H1607),"")</f>
        <v>1934</v>
      </c>
      <c r="AK1607" s="48" t="str">
        <f aca="false">IF($U1607&gt;=STRUCT_L,MAX(INDEX($G$1357:$G1607,252-STRUCT_L):$G1607),"")</f>
        <v/>
      </c>
      <c r="AL1607" s="48" t="str">
        <f aca="false">IF($U1607&gt;=STRUCT_L,MIN(INDEX($H$1357:$H1607,252-STRUCT_L):$H1607),"")</f>
        <v/>
      </c>
      <c r="AM1607" s="46" t="n">
        <f aca="false">IF($A1607&lt;&gt;$A1608,1,0)</f>
        <v>0</v>
      </c>
      <c r="AN1607" s="47" t="str">
        <f aca="false">IF($AM1607=1,$A1607,"")</f>
        <v/>
      </c>
    </row>
    <row r="1608" customFormat="false" ht="15" hidden="false" customHeight="false" outlineLevel="0" collapsed="false">
      <c r="A1608" s="43" t="s">
        <v>162</v>
      </c>
      <c r="B1608" s="44" t="s">
        <v>164</v>
      </c>
      <c r="C1608" s="45" t="n">
        <v>45965</v>
      </c>
      <c r="D1608" s="46" t="n">
        <v>20251104</v>
      </c>
      <c r="E1608" s="47" t="s">
        <v>331</v>
      </c>
      <c r="F1608" s="48" t="n">
        <v>1971</v>
      </c>
      <c r="G1608" s="48" t="n">
        <v>1983</v>
      </c>
      <c r="H1608" s="48" t="n">
        <v>1929</v>
      </c>
      <c r="I1608" s="48" t="n">
        <v>1952</v>
      </c>
      <c r="J1608" s="48" t="n">
        <v>1935</v>
      </c>
      <c r="K1608" s="48" t="n">
        <v>1960</v>
      </c>
      <c r="L1608" s="48" t="n">
        <v>122970583</v>
      </c>
      <c r="M1608" s="48" t="n">
        <v>240038578016</v>
      </c>
      <c r="N1608" s="48" t="n">
        <v>5744</v>
      </c>
      <c r="O1608" s="48" t="n">
        <v>47528346</v>
      </c>
      <c r="P1608" s="48" t="n">
        <v>77076588</v>
      </c>
      <c r="Q1608" s="48" t="n">
        <v>1735</v>
      </c>
      <c r="R1608" s="48" t="n">
        <v>2969</v>
      </c>
      <c r="S1608" s="48" t="n">
        <v>75442237</v>
      </c>
      <c r="T1608" s="48" t="n">
        <v>45893995</v>
      </c>
      <c r="U1608" s="46" t="n">
        <f aca="false">IF($A1608=$A1607,$U1607+1,1)</f>
        <v>44</v>
      </c>
      <c r="V1608" s="48" t="n">
        <f aca="false">IF($U1608&gt;=MA_SHORT,AVERAGE(INDEX($I$1208:$I1608,402-MA_SHORT):$I1608),"")</f>
        <v>2024.35</v>
      </c>
      <c r="W1608" s="48" t="str">
        <f aca="false">IF($U1608&gt;=MA_MED,AVERAGE(INDEX($I$1208:$I1608,402-MA_MED):$I1608),"")</f>
        <v/>
      </c>
      <c r="X1608" s="48" t="str">
        <f aca="false">IF($U1608&gt;=MA_LONG1,AVERAGE(INDEX($I$1208:$I1608,402-MA_LONG1):$I1608),"")</f>
        <v/>
      </c>
      <c r="Y1608" s="48" t="str">
        <f aca="false">IF($U1608&gt;=MA_LONG2,AVERAGE(INDEX($I$1208:$I1608,402-MA_LONG2):$I1608),"")</f>
        <v/>
      </c>
      <c r="Z1608" s="48" t="n">
        <f aca="false">IF($U1608&gt;=MA_SHORT,AVERAGE(INDEX($L$1488:$L1608,122-MA_SHORT):$L1608),"")</f>
        <v>97685490.7</v>
      </c>
      <c r="AA1608" s="48" t="n">
        <f aca="false">IF($U1608=1,$G1608-$H1608,MAX($G1608-$H1608,ABS($G1608-$I1607),ABS($H1608-$I1607)))</f>
        <v>54</v>
      </c>
      <c r="AB1608" s="48" t="n">
        <f aca="false">IF($U1608&gt;=ATR_PER,AVERAGE(INDEX($AA$1488:$AA1608,122-ATR_PER):$AA1608),"")</f>
        <v>62.0714285714286</v>
      </c>
      <c r="AC1608" s="48" t="n">
        <f aca="false">$O1608-$P1608</f>
        <v>-29548242</v>
      </c>
      <c r="AD1608" s="48" t="n">
        <f aca="false">$AC1608*$I1608</f>
        <v>-57678168384</v>
      </c>
      <c r="AE1608" s="49" t="n">
        <f aca="false">IF($Q1608&gt;0,$O1608*$I1608/$Q1608/1000000,"")</f>
        <v>53.4728134824208</v>
      </c>
      <c r="AF1608" s="49" t="n">
        <f aca="false">IF($R1608&gt;0,$P1608*$I1608/$R1608/1000000,"")</f>
        <v>50.6748062566521</v>
      </c>
      <c r="AG1608" s="50" t="n">
        <f aca="false">IF(AND(ISNUMBER($AE1608),ISNUMBER($AF1608),$AF1608&gt;0),$AE1608/$AF1608,"")</f>
        <v>1.05521495655253</v>
      </c>
      <c r="AH1608" s="48" t="n">
        <f aca="false">IF($U1608&gt;=5,SUM(INDEX($AD$1578:$AD1608,32-5):$AD1608),"")</f>
        <v>-114298903726</v>
      </c>
      <c r="AI1608" s="48" t="n">
        <f aca="false">IF($U1608&gt;=STRUCT_S,MAX(INDEX($G$1458:$G1608,152-STRUCT_S):$G1608),"")</f>
        <v>2113</v>
      </c>
      <c r="AJ1608" s="48" t="n">
        <f aca="false">IF($U1608&gt;=STRUCT_S,MIN(INDEX($H$1458:$H1608,152-STRUCT_S):$H1608),"")</f>
        <v>1929</v>
      </c>
      <c r="AK1608" s="48" t="str">
        <f aca="false">IF($U1608&gt;=STRUCT_L,MAX(INDEX($G$1358:$G1608,252-STRUCT_L):$G1608),"")</f>
        <v/>
      </c>
      <c r="AL1608" s="48" t="str">
        <f aca="false">IF($U1608&gt;=STRUCT_L,MIN(INDEX($H$1358:$H1608,252-STRUCT_L):$H1608),"")</f>
        <v/>
      </c>
      <c r="AM1608" s="46" t="n">
        <f aca="false">IF($A1608&lt;&gt;$A1609,1,0)</f>
        <v>0</v>
      </c>
      <c r="AN1608" s="47" t="str">
        <f aca="false">IF($AM1608=1,$A1608,"")</f>
        <v/>
      </c>
    </row>
    <row r="1609" customFormat="false" ht="15" hidden="false" customHeight="false" outlineLevel="0" collapsed="false">
      <c r="A1609" s="43" t="s">
        <v>162</v>
      </c>
      <c r="B1609" s="44" t="s">
        <v>164</v>
      </c>
      <c r="C1609" s="45" t="n">
        <v>45966</v>
      </c>
      <c r="D1609" s="46" t="n">
        <v>20251105</v>
      </c>
      <c r="E1609" s="47" t="s">
        <v>332</v>
      </c>
      <c r="F1609" s="48" t="n">
        <v>1939</v>
      </c>
      <c r="G1609" s="48" t="n">
        <v>1958</v>
      </c>
      <c r="H1609" s="48" t="n">
        <v>1911</v>
      </c>
      <c r="I1609" s="48" t="n">
        <v>1917</v>
      </c>
      <c r="J1609" s="48" t="n">
        <v>1914</v>
      </c>
      <c r="K1609" s="48" t="n">
        <v>1952</v>
      </c>
      <c r="L1609" s="48" t="n">
        <v>93773850</v>
      </c>
      <c r="M1609" s="48" t="n">
        <v>179764470450</v>
      </c>
      <c r="N1609" s="48" t="n">
        <v>2325</v>
      </c>
      <c r="O1609" s="48" t="n">
        <v>43545401</v>
      </c>
      <c r="P1609" s="48" t="n">
        <v>53604036</v>
      </c>
      <c r="Q1609" s="48" t="n">
        <v>1193</v>
      </c>
      <c r="R1609" s="48" t="n">
        <v>1133</v>
      </c>
      <c r="S1609" s="48" t="n">
        <v>50228449</v>
      </c>
      <c r="T1609" s="48" t="n">
        <v>40169814</v>
      </c>
      <c r="U1609" s="46" t="n">
        <f aca="false">IF($A1609=$A1608,$U1608+1,1)</f>
        <v>45</v>
      </c>
      <c r="V1609" s="48" t="n">
        <f aca="false">IF($U1609&gt;=MA_SHORT,AVERAGE(INDEX($I$1209:$I1609,402-MA_SHORT):$I1609),"")</f>
        <v>2015.75</v>
      </c>
      <c r="W1609" s="48" t="str">
        <f aca="false">IF($U1609&gt;=MA_MED,AVERAGE(INDEX($I$1209:$I1609,402-MA_MED):$I1609),"")</f>
        <v/>
      </c>
      <c r="X1609" s="48" t="str">
        <f aca="false">IF($U1609&gt;=MA_LONG1,AVERAGE(INDEX($I$1209:$I1609,402-MA_LONG1):$I1609),"")</f>
        <v/>
      </c>
      <c r="Y1609" s="48" t="str">
        <f aca="false">IF($U1609&gt;=MA_LONG2,AVERAGE(INDEX($I$1209:$I1609,402-MA_LONG2):$I1609),"")</f>
        <v/>
      </c>
      <c r="Z1609" s="48" t="n">
        <f aca="false">IF($U1609&gt;=MA_SHORT,AVERAGE(INDEX($L$1489:$L1609,122-MA_SHORT):$L1609),"")</f>
        <v>98159885.6</v>
      </c>
      <c r="AA1609" s="48" t="n">
        <f aca="false">IF($U1609=1,$G1609-$H1609,MAX($G1609-$H1609,ABS($G1609-$I1608),ABS($H1609-$I1608)))</f>
        <v>47</v>
      </c>
      <c r="AB1609" s="48" t="n">
        <f aca="false">IF($U1609&gt;=ATR_PER,AVERAGE(INDEX($AA$1489:$AA1609,122-ATR_PER):$AA1609),"")</f>
        <v>58.0714285714286</v>
      </c>
      <c r="AC1609" s="48" t="n">
        <f aca="false">$O1609-$P1609</f>
        <v>-10058635</v>
      </c>
      <c r="AD1609" s="48" t="n">
        <f aca="false">$AC1609*$I1609</f>
        <v>-19282403295</v>
      </c>
      <c r="AE1609" s="49" t="n">
        <f aca="false">IF($Q1609&gt;0,$O1609*$I1609/$Q1609/1000000,"")</f>
        <v>69.9719477929589</v>
      </c>
      <c r="AF1609" s="49" t="n">
        <f aca="false">IF($R1609&gt;0,$P1609*$I1609/$R1609/1000000,"")</f>
        <v>90.6963256946161</v>
      </c>
      <c r="AG1609" s="50" t="n">
        <f aca="false">IF(AND(ISNUMBER($AE1609),ISNUMBER($AF1609),$AF1609&gt;0),$AE1609/$AF1609,"")</f>
        <v>0.77149705081286</v>
      </c>
      <c r="AH1609" s="48" t="n">
        <f aca="false">IF($U1609&gt;=5,SUM(INDEX($AD$1579:$AD1609,32-5):$AD1609),"")</f>
        <v>-114642454777</v>
      </c>
      <c r="AI1609" s="48" t="n">
        <f aca="false">IF($U1609&gt;=STRUCT_S,MAX(INDEX($G$1459:$G1609,152-STRUCT_S):$G1609),"")</f>
        <v>2113</v>
      </c>
      <c r="AJ1609" s="48" t="n">
        <f aca="false">IF($U1609&gt;=STRUCT_S,MIN(INDEX($H$1459:$H1609,152-STRUCT_S):$H1609),"")</f>
        <v>1911</v>
      </c>
      <c r="AK1609" s="48" t="str">
        <f aca="false">IF($U1609&gt;=STRUCT_L,MAX(INDEX($G$1359:$G1609,252-STRUCT_L):$G1609),"")</f>
        <v/>
      </c>
      <c r="AL1609" s="48" t="str">
        <f aca="false">IF($U1609&gt;=STRUCT_L,MIN(INDEX($H$1359:$H1609,252-STRUCT_L):$H1609),"")</f>
        <v/>
      </c>
      <c r="AM1609" s="46" t="n">
        <f aca="false">IF($A1609&lt;&gt;$A1610,1,0)</f>
        <v>0</v>
      </c>
      <c r="AN1609" s="47" t="str">
        <f aca="false">IF($AM1609=1,$A1609,"")</f>
        <v/>
      </c>
    </row>
    <row r="1610" customFormat="false" ht="15" hidden="false" customHeight="false" outlineLevel="0" collapsed="false">
      <c r="A1610" s="43" t="s">
        <v>162</v>
      </c>
      <c r="B1610" s="44" t="s">
        <v>164</v>
      </c>
      <c r="C1610" s="45" t="n">
        <v>45969</v>
      </c>
      <c r="D1610" s="46" t="n">
        <v>20251108</v>
      </c>
      <c r="E1610" s="47" t="s">
        <v>333</v>
      </c>
      <c r="F1610" s="48" t="n">
        <v>1944</v>
      </c>
      <c r="G1610" s="48" t="n">
        <v>1969</v>
      </c>
      <c r="H1610" s="48" t="n">
        <v>1892</v>
      </c>
      <c r="I1610" s="48" t="n">
        <v>1943</v>
      </c>
      <c r="J1610" s="48" t="n">
        <v>1896</v>
      </c>
      <c r="K1610" s="48" t="n">
        <v>1917</v>
      </c>
      <c r="L1610" s="48" t="n">
        <v>84969773</v>
      </c>
      <c r="M1610" s="48" t="n">
        <v>165096268939</v>
      </c>
      <c r="N1610" s="48" t="n">
        <v>5231</v>
      </c>
      <c r="O1610" s="48" t="n">
        <v>48126662</v>
      </c>
      <c r="P1610" s="48" t="n">
        <v>42082807</v>
      </c>
      <c r="Q1610" s="48" t="n">
        <v>2704</v>
      </c>
      <c r="R1610" s="48" t="n">
        <v>2621</v>
      </c>
      <c r="S1610" s="48" t="n">
        <v>36843111</v>
      </c>
      <c r="T1610" s="48" t="n">
        <v>42886966</v>
      </c>
      <c r="U1610" s="46" t="n">
        <f aca="false">IF($A1610=$A1609,$U1609+1,1)</f>
        <v>46</v>
      </c>
      <c r="V1610" s="48" t="n">
        <f aca="false">IF($U1610&gt;=MA_SHORT,AVERAGE(INDEX($I$1210:$I1610,402-MA_SHORT):$I1610),"")</f>
        <v>2010</v>
      </c>
      <c r="W1610" s="48" t="str">
        <f aca="false">IF($U1610&gt;=MA_MED,AVERAGE(INDEX($I$1210:$I1610,402-MA_MED):$I1610),"")</f>
        <v/>
      </c>
      <c r="X1610" s="48" t="str">
        <f aca="false">IF($U1610&gt;=MA_LONG1,AVERAGE(INDEX($I$1210:$I1610,402-MA_LONG1):$I1610),"")</f>
        <v/>
      </c>
      <c r="Y1610" s="48" t="str">
        <f aca="false">IF($U1610&gt;=MA_LONG2,AVERAGE(INDEX($I$1210:$I1610,402-MA_LONG2):$I1610),"")</f>
        <v/>
      </c>
      <c r="Z1610" s="48" t="n">
        <f aca="false">IF($U1610&gt;=MA_SHORT,AVERAGE(INDEX($L$1490:$L1610,122-MA_SHORT):$L1610),"")</f>
        <v>98129788.55</v>
      </c>
      <c r="AA1610" s="48" t="n">
        <f aca="false">IF($U1610=1,$G1610-$H1610,MAX($G1610-$H1610,ABS($G1610-$I1609),ABS($H1610-$I1609)))</f>
        <v>77</v>
      </c>
      <c r="AB1610" s="48" t="n">
        <f aca="false">IF($U1610&gt;=ATR_PER,AVERAGE(INDEX($AA$1490:$AA1610,122-ATR_PER):$AA1610),"")</f>
        <v>55.3571428571429</v>
      </c>
      <c r="AC1610" s="48" t="n">
        <f aca="false">$O1610-$P1610</f>
        <v>6043855</v>
      </c>
      <c r="AD1610" s="48" t="n">
        <f aca="false">$AC1610*$I1610</f>
        <v>11743210265</v>
      </c>
      <c r="AE1610" s="49" t="n">
        <f aca="false">IF($Q1610&gt;0,$O1610*$I1610/$Q1610/1000000,"")</f>
        <v>34.5821391516272</v>
      </c>
      <c r="AF1610" s="49" t="n">
        <f aca="false">IF($R1610&gt;0,$P1610*$I1610/$R1610/1000000,"")</f>
        <v>31.1968309809233</v>
      </c>
      <c r="AG1610" s="50" t="n">
        <f aca="false">IF(AND(ISNUMBER($AE1610),ISNUMBER($AF1610),$AF1610&gt;0),$AE1610/$AF1610,"")</f>
        <v>1.10851448894838</v>
      </c>
      <c r="AH1610" s="48" t="n">
        <f aca="false">IF($U1610&gt;=5,SUM(INDEX($AD$1580:$AD1610,32-5):$AD1610),"")</f>
        <v>-83460002084</v>
      </c>
      <c r="AI1610" s="48" t="n">
        <f aca="false">IF($U1610&gt;=STRUCT_S,MAX(INDEX($G$1460:$G1610,152-STRUCT_S):$G1610),"")</f>
        <v>2094</v>
      </c>
      <c r="AJ1610" s="48" t="n">
        <f aca="false">IF($U1610&gt;=STRUCT_S,MIN(INDEX($H$1460:$H1610,152-STRUCT_S):$H1610),"")</f>
        <v>1892</v>
      </c>
      <c r="AK1610" s="48" t="str">
        <f aca="false">IF($U1610&gt;=STRUCT_L,MAX(INDEX($G$1360:$G1610,252-STRUCT_L):$G1610),"")</f>
        <v/>
      </c>
      <c r="AL1610" s="48" t="str">
        <f aca="false">IF($U1610&gt;=STRUCT_L,MIN(INDEX($H$1360:$H1610,252-STRUCT_L):$H1610),"")</f>
        <v/>
      </c>
      <c r="AM1610" s="46" t="n">
        <f aca="false">IF($A1610&lt;&gt;$A1611,1,0)</f>
        <v>0</v>
      </c>
      <c r="AN1610" s="47" t="str">
        <f aca="false">IF($AM1610=1,$A1610,"")</f>
        <v/>
      </c>
    </row>
    <row r="1611" customFormat="false" ht="15" hidden="false" customHeight="false" outlineLevel="0" collapsed="false">
      <c r="A1611" s="43" t="s">
        <v>162</v>
      </c>
      <c r="B1611" s="44" t="s">
        <v>164</v>
      </c>
      <c r="C1611" s="45" t="n">
        <v>45970</v>
      </c>
      <c r="D1611" s="46" t="n">
        <v>20251109</v>
      </c>
      <c r="E1611" s="47" t="s">
        <v>334</v>
      </c>
      <c r="F1611" s="48" t="n">
        <v>1948</v>
      </c>
      <c r="G1611" s="48" t="n">
        <v>1952</v>
      </c>
      <c r="H1611" s="48" t="n">
        <v>1886</v>
      </c>
      <c r="I1611" s="48" t="n">
        <v>1895</v>
      </c>
      <c r="J1611" s="48" t="n">
        <v>1907</v>
      </c>
      <c r="K1611" s="48" t="n">
        <v>1943</v>
      </c>
      <c r="L1611" s="48" t="n">
        <v>90222330</v>
      </c>
      <c r="M1611" s="48" t="n">
        <v>170971315350</v>
      </c>
      <c r="N1611" s="48" t="n">
        <v>2809</v>
      </c>
      <c r="O1611" s="48" t="n">
        <v>34979823</v>
      </c>
      <c r="P1611" s="48" t="n">
        <v>56615507</v>
      </c>
      <c r="Q1611" s="48" t="n">
        <v>1428</v>
      </c>
      <c r="R1611" s="48" t="n">
        <v>1550</v>
      </c>
      <c r="S1611" s="48" t="n">
        <v>55242507</v>
      </c>
      <c r="T1611" s="48" t="n">
        <v>33606823</v>
      </c>
      <c r="U1611" s="46" t="n">
        <f aca="false">IF($A1611=$A1610,$U1610+1,1)</f>
        <v>47</v>
      </c>
      <c r="V1611" s="48" t="n">
        <f aca="false">IF($U1611&gt;=MA_SHORT,AVERAGE(INDEX($I$1211:$I1611,402-MA_SHORT):$I1611),"")</f>
        <v>2002.95</v>
      </c>
      <c r="W1611" s="48" t="str">
        <f aca="false">IF($U1611&gt;=MA_MED,AVERAGE(INDEX($I$1211:$I1611,402-MA_MED):$I1611),"")</f>
        <v/>
      </c>
      <c r="X1611" s="48" t="str">
        <f aca="false">IF($U1611&gt;=MA_LONG1,AVERAGE(INDEX($I$1211:$I1611,402-MA_LONG1):$I1611),"")</f>
        <v/>
      </c>
      <c r="Y1611" s="48" t="str">
        <f aca="false">IF($U1611&gt;=MA_LONG2,AVERAGE(INDEX($I$1211:$I1611,402-MA_LONG2):$I1611),"")</f>
        <v/>
      </c>
      <c r="Z1611" s="48" t="n">
        <f aca="false">IF($U1611&gt;=MA_SHORT,AVERAGE(INDEX($L$1491:$L1611,122-MA_SHORT):$L1611),"")</f>
        <v>98438690.65</v>
      </c>
      <c r="AA1611" s="48" t="n">
        <f aca="false">IF($U1611=1,$G1611-$H1611,MAX($G1611-$H1611,ABS($G1611-$I1610),ABS($H1611-$I1610)))</f>
        <v>66</v>
      </c>
      <c r="AB1611" s="48" t="n">
        <f aca="false">IF($U1611&gt;=ATR_PER,AVERAGE(INDEX($AA$1491:$AA1611,122-ATR_PER):$AA1611),"")</f>
        <v>55.7142857142857</v>
      </c>
      <c r="AC1611" s="48" t="n">
        <f aca="false">$O1611-$P1611</f>
        <v>-21635684</v>
      </c>
      <c r="AD1611" s="48" t="n">
        <f aca="false">$AC1611*$I1611</f>
        <v>-40999621180</v>
      </c>
      <c r="AE1611" s="49" t="n">
        <f aca="false">IF($Q1611&gt;0,$O1611*$I1611/$Q1611/1000000,"")</f>
        <v>46.4193029306723</v>
      </c>
      <c r="AF1611" s="49" t="n">
        <f aca="false">IF($R1611&gt;0,$P1611*$I1611/$R1611/1000000,"")</f>
        <v>69.2170230741936</v>
      </c>
      <c r="AG1611" s="50" t="n">
        <f aca="false">IF(AND(ISNUMBER($AE1611),ISNUMBER($AF1611),$AF1611&gt;0),$AE1611/$AF1611,"")</f>
        <v>0.670634200504629</v>
      </c>
      <c r="AH1611" s="48" t="n">
        <f aca="false">IF($U1611&gt;=5,SUM(INDEX($AD$1581:$AD1611,32-5):$AD1611),"")</f>
        <v>-89502951274</v>
      </c>
      <c r="AI1611" s="48" t="n">
        <f aca="false">IF($U1611&gt;=STRUCT_S,MAX(INDEX($G$1461:$G1611,152-STRUCT_S):$G1611),"")</f>
        <v>2094</v>
      </c>
      <c r="AJ1611" s="48" t="n">
        <f aca="false">IF($U1611&gt;=STRUCT_S,MIN(INDEX($H$1461:$H1611,152-STRUCT_S):$H1611),"")</f>
        <v>1886</v>
      </c>
      <c r="AK1611" s="48" t="str">
        <f aca="false">IF($U1611&gt;=STRUCT_L,MAX(INDEX($G$1361:$G1611,252-STRUCT_L):$G1611),"")</f>
        <v/>
      </c>
      <c r="AL1611" s="48" t="str">
        <f aca="false">IF($U1611&gt;=STRUCT_L,MIN(INDEX($H$1361:$H1611,252-STRUCT_L):$H1611),"")</f>
        <v/>
      </c>
      <c r="AM1611" s="46" t="n">
        <f aca="false">IF($A1611&lt;&gt;$A1612,1,0)</f>
        <v>0</v>
      </c>
      <c r="AN1611" s="47" t="str">
        <f aca="false">IF($AM1611=1,$A1611,"")</f>
        <v/>
      </c>
    </row>
    <row r="1612" customFormat="false" ht="15" hidden="false" customHeight="false" outlineLevel="0" collapsed="false">
      <c r="A1612" s="43" t="s">
        <v>162</v>
      </c>
      <c r="B1612" s="44" t="s">
        <v>164</v>
      </c>
      <c r="C1612" s="45" t="n">
        <v>45971</v>
      </c>
      <c r="D1612" s="46" t="n">
        <v>20251110</v>
      </c>
      <c r="E1612" s="47" t="s">
        <v>335</v>
      </c>
      <c r="F1612" s="48" t="n">
        <v>1888</v>
      </c>
      <c r="G1612" s="48" t="n">
        <v>1903</v>
      </c>
      <c r="H1612" s="48" t="n">
        <v>1888</v>
      </c>
      <c r="I1612" s="48" t="n">
        <v>1896</v>
      </c>
      <c r="J1612" s="48" t="n">
        <v>1894</v>
      </c>
      <c r="K1612" s="48" t="n">
        <v>1895</v>
      </c>
      <c r="L1612" s="48" t="n">
        <v>85455804</v>
      </c>
      <c r="M1612" s="48" t="n">
        <v>162024204384</v>
      </c>
      <c r="N1612" s="48" t="n">
        <v>2520</v>
      </c>
      <c r="O1612" s="48" t="n">
        <v>35608103</v>
      </c>
      <c r="P1612" s="48" t="n">
        <v>49102327</v>
      </c>
      <c r="Q1612" s="48" t="n">
        <v>1132</v>
      </c>
      <c r="R1612" s="48" t="n">
        <v>1038</v>
      </c>
      <c r="S1612" s="48" t="n">
        <v>49847701</v>
      </c>
      <c r="T1612" s="48" t="n">
        <v>36353477</v>
      </c>
      <c r="U1612" s="46" t="n">
        <f aca="false">IF($A1612=$A1611,$U1611+1,1)</f>
        <v>48</v>
      </c>
      <c r="V1612" s="48" t="n">
        <f aca="false">IF($U1612&gt;=MA_SHORT,AVERAGE(INDEX($I$1212:$I1612,402-MA_SHORT):$I1612),"")</f>
        <v>1996.3</v>
      </c>
      <c r="W1612" s="48" t="str">
        <f aca="false">IF($U1612&gt;=MA_MED,AVERAGE(INDEX($I$1212:$I1612,402-MA_MED):$I1612),"")</f>
        <v/>
      </c>
      <c r="X1612" s="48" t="str">
        <f aca="false">IF($U1612&gt;=MA_LONG1,AVERAGE(INDEX($I$1212:$I1612,402-MA_LONG1):$I1612),"")</f>
        <v/>
      </c>
      <c r="Y1612" s="48" t="str">
        <f aca="false">IF($U1612&gt;=MA_LONG2,AVERAGE(INDEX($I$1212:$I1612,402-MA_LONG2):$I1612),"")</f>
        <v/>
      </c>
      <c r="Z1612" s="48" t="n">
        <f aca="false">IF($U1612&gt;=MA_SHORT,AVERAGE(INDEX($L$1492:$L1612,122-MA_SHORT):$L1612),"")</f>
        <v>98701659.3</v>
      </c>
      <c r="AA1612" s="48" t="n">
        <f aca="false">IF($U1612=1,$G1612-$H1612,MAX($G1612-$H1612,ABS($G1612-$I1611),ABS($H1612-$I1611)))</f>
        <v>15</v>
      </c>
      <c r="AB1612" s="48" t="n">
        <f aca="false">IF($U1612&gt;=ATR_PER,AVERAGE(INDEX($AA$1492:$AA1612,122-ATR_PER):$AA1612),"")</f>
        <v>50.7857142857143</v>
      </c>
      <c r="AC1612" s="48" t="n">
        <f aca="false">$O1612-$P1612</f>
        <v>-13494224</v>
      </c>
      <c r="AD1612" s="48" t="n">
        <f aca="false">$AC1612*$I1612</f>
        <v>-25585048704</v>
      </c>
      <c r="AE1612" s="49" t="n">
        <f aca="false">IF($Q1612&gt;0,$O1612*$I1612/$Q1612/1000000,"")</f>
        <v>59.6404269328622</v>
      </c>
      <c r="AF1612" s="49" t="n">
        <f aca="false">IF($R1612&gt;0,$P1612*$I1612/$R1612/1000000,"")</f>
        <v>89.6897996069364</v>
      </c>
      <c r="AG1612" s="50" t="n">
        <f aca="false">IF(AND(ISNUMBER($AE1612),ISNUMBER($AF1612),$AF1612&gt;0),$AE1612/$AF1612,"")</f>
        <v>0.664963320179497</v>
      </c>
      <c r="AH1612" s="48" t="n">
        <f aca="false">IF($U1612&gt;=5,SUM(INDEX($AD$1582:$AD1612,32-5):$AD1612),"")</f>
        <v>-131802031298</v>
      </c>
      <c r="AI1612" s="48" t="n">
        <f aca="false">IF($U1612&gt;=STRUCT_S,MAX(INDEX($G$1462:$G1612,152-STRUCT_S):$G1612),"")</f>
        <v>2094</v>
      </c>
      <c r="AJ1612" s="48" t="n">
        <f aca="false">IF($U1612&gt;=STRUCT_S,MIN(INDEX($H$1462:$H1612,152-STRUCT_S):$H1612),"")</f>
        <v>1886</v>
      </c>
      <c r="AK1612" s="48" t="str">
        <f aca="false">IF($U1612&gt;=STRUCT_L,MAX(INDEX($G$1362:$G1612,252-STRUCT_L):$G1612),"")</f>
        <v/>
      </c>
      <c r="AL1612" s="48" t="str">
        <f aca="false">IF($U1612&gt;=STRUCT_L,MIN(INDEX($H$1362:$H1612,252-STRUCT_L):$H1612),"")</f>
        <v/>
      </c>
      <c r="AM1612" s="46" t="n">
        <f aca="false">IF($A1612&lt;&gt;$A1613,1,0)</f>
        <v>0</v>
      </c>
      <c r="AN1612" s="47" t="str">
        <f aca="false">IF($AM1612=1,$A1612,"")</f>
        <v/>
      </c>
    </row>
    <row r="1613" customFormat="false" ht="15" hidden="false" customHeight="false" outlineLevel="0" collapsed="false">
      <c r="A1613" s="43" t="s">
        <v>162</v>
      </c>
      <c r="B1613" s="44" t="s">
        <v>164</v>
      </c>
      <c r="C1613" s="45" t="n">
        <v>45972</v>
      </c>
      <c r="D1613" s="46" t="n">
        <v>20251111</v>
      </c>
      <c r="E1613" s="47" t="s">
        <v>336</v>
      </c>
      <c r="F1613" s="48" t="n">
        <v>1913</v>
      </c>
      <c r="G1613" s="48" t="n">
        <v>1936</v>
      </c>
      <c r="H1613" s="48" t="n">
        <v>1862</v>
      </c>
      <c r="I1613" s="48" t="n">
        <v>1901</v>
      </c>
      <c r="J1613" s="48" t="n">
        <v>1874</v>
      </c>
      <c r="K1613" s="48" t="n">
        <v>1896</v>
      </c>
      <c r="L1613" s="48" t="n">
        <v>79818805</v>
      </c>
      <c r="M1613" s="48" t="n">
        <v>151735548305</v>
      </c>
      <c r="N1613" s="48" t="n">
        <v>8557</v>
      </c>
      <c r="O1613" s="48" t="n">
        <v>37394594</v>
      </c>
      <c r="P1613" s="48" t="n">
        <v>38565901</v>
      </c>
      <c r="Q1613" s="48" t="n">
        <v>3086</v>
      </c>
      <c r="R1613" s="48" t="n">
        <v>4084</v>
      </c>
      <c r="S1613" s="48" t="n">
        <v>42424211</v>
      </c>
      <c r="T1613" s="48" t="n">
        <v>41252904</v>
      </c>
      <c r="U1613" s="46" t="n">
        <f aca="false">IF($A1613=$A1612,$U1612+1,1)</f>
        <v>49</v>
      </c>
      <c r="V1613" s="48" t="n">
        <f aca="false">IF($U1613&gt;=MA_SHORT,AVERAGE(INDEX($I$1213:$I1613,402-MA_SHORT):$I1613),"")</f>
        <v>1987.95</v>
      </c>
      <c r="W1613" s="48" t="str">
        <f aca="false">IF($U1613&gt;=MA_MED,AVERAGE(INDEX($I$1213:$I1613,402-MA_MED):$I1613),"")</f>
        <v/>
      </c>
      <c r="X1613" s="48" t="str">
        <f aca="false">IF($U1613&gt;=MA_LONG1,AVERAGE(INDEX($I$1213:$I1613,402-MA_LONG1):$I1613),"")</f>
        <v/>
      </c>
      <c r="Y1613" s="48" t="str">
        <f aca="false">IF($U1613&gt;=MA_LONG2,AVERAGE(INDEX($I$1213:$I1613,402-MA_LONG2):$I1613),"")</f>
        <v/>
      </c>
      <c r="Z1613" s="48" t="n">
        <f aca="false">IF($U1613&gt;=MA_SHORT,AVERAGE(INDEX($L$1493:$L1613,122-MA_SHORT):$L1613),"")</f>
        <v>96518421.4</v>
      </c>
      <c r="AA1613" s="48" t="n">
        <f aca="false">IF($U1613=1,$G1613-$H1613,MAX($G1613-$H1613,ABS($G1613-$I1612),ABS($H1613-$I1612)))</f>
        <v>74</v>
      </c>
      <c r="AB1613" s="48" t="n">
        <f aca="false">IF($U1613&gt;=ATR_PER,AVERAGE(INDEX($AA$1493:$AA1613,122-ATR_PER):$AA1613),"")</f>
        <v>53.5</v>
      </c>
      <c r="AC1613" s="48" t="n">
        <f aca="false">$O1613-$P1613</f>
        <v>-1171307</v>
      </c>
      <c r="AD1613" s="48" t="n">
        <f aca="false">$AC1613*$I1613</f>
        <v>-2226654607</v>
      </c>
      <c r="AE1613" s="49" t="n">
        <f aca="false">IF($Q1613&gt;0,$O1613*$I1613/$Q1613/1000000,"")</f>
        <v>23.0353607239145</v>
      </c>
      <c r="AF1613" s="49" t="n">
        <f aca="false">IF($R1613&gt;0,$P1613*$I1613/$R1613/1000000,"")</f>
        <v>17.9514637122919</v>
      </c>
      <c r="AG1613" s="50" t="n">
        <f aca="false">IF(AND(ISNUMBER($AE1613),ISNUMBER($AF1613),$AF1613&gt;0),$AE1613/$AF1613,"")</f>
        <v>1.2832023668433</v>
      </c>
      <c r="AH1613" s="48" t="n">
        <f aca="false">IF($U1613&gt;=5,SUM(INDEX($AD$1583:$AD1613,32-5):$AD1613),"")</f>
        <v>-76350517521</v>
      </c>
      <c r="AI1613" s="48" t="n">
        <f aca="false">IF($U1613&gt;=STRUCT_S,MAX(INDEX($G$1463:$G1613,152-STRUCT_S):$G1613),"")</f>
        <v>2094</v>
      </c>
      <c r="AJ1613" s="48" t="n">
        <f aca="false">IF($U1613&gt;=STRUCT_S,MIN(INDEX($H$1463:$H1613,152-STRUCT_S):$H1613),"")</f>
        <v>1862</v>
      </c>
      <c r="AK1613" s="48" t="str">
        <f aca="false">IF($U1613&gt;=STRUCT_L,MAX(INDEX($G$1363:$G1613,252-STRUCT_L):$G1613),"")</f>
        <v/>
      </c>
      <c r="AL1613" s="48" t="str">
        <f aca="false">IF($U1613&gt;=STRUCT_L,MIN(INDEX($H$1363:$H1613,252-STRUCT_L):$H1613),"")</f>
        <v/>
      </c>
      <c r="AM1613" s="46" t="n">
        <f aca="false">IF($A1613&lt;&gt;$A1614,1,0)</f>
        <v>0</v>
      </c>
      <c r="AN1613" s="47" t="str">
        <f aca="false">IF($AM1613=1,$A1613,"")</f>
        <v/>
      </c>
    </row>
    <row r="1614" customFormat="false" ht="15" hidden="false" customHeight="false" outlineLevel="0" collapsed="false">
      <c r="A1614" s="43" t="s">
        <v>162</v>
      </c>
      <c r="B1614" s="44" t="s">
        <v>164</v>
      </c>
      <c r="C1614" s="45" t="n">
        <v>45973</v>
      </c>
      <c r="D1614" s="46" t="n">
        <v>20251112</v>
      </c>
      <c r="E1614" s="47" t="s">
        <v>337</v>
      </c>
      <c r="F1614" s="48" t="n">
        <v>1890</v>
      </c>
      <c r="G1614" s="48" t="n">
        <v>1919</v>
      </c>
      <c r="H1614" s="48" t="n">
        <v>1850</v>
      </c>
      <c r="I1614" s="48" t="n">
        <v>1868</v>
      </c>
      <c r="J1614" s="48" t="n">
        <v>1906</v>
      </c>
      <c r="K1614" s="48" t="n">
        <v>1901</v>
      </c>
      <c r="L1614" s="48" t="n">
        <v>86759610</v>
      </c>
      <c r="M1614" s="48" t="n">
        <v>162066951480</v>
      </c>
      <c r="N1614" s="48" t="n">
        <v>3377</v>
      </c>
      <c r="O1614" s="48" t="n">
        <v>30146160</v>
      </c>
      <c r="P1614" s="48" t="n">
        <v>58877022</v>
      </c>
      <c r="Q1614" s="48" t="n">
        <v>1454</v>
      </c>
      <c r="R1614" s="48" t="n">
        <v>1367</v>
      </c>
      <c r="S1614" s="48" t="n">
        <v>56613450</v>
      </c>
      <c r="T1614" s="48" t="n">
        <v>27882588</v>
      </c>
      <c r="U1614" s="46" t="n">
        <f aca="false">IF($A1614=$A1613,$U1613+1,1)</f>
        <v>50</v>
      </c>
      <c r="V1614" s="48" t="n">
        <f aca="false">IF($U1614&gt;=MA_SHORT,AVERAGE(INDEX($I$1214:$I1614,402-MA_SHORT):$I1614),"")</f>
        <v>1981.1</v>
      </c>
      <c r="W1614" s="48" t="n">
        <f aca="false">IF($U1614&gt;=MA_MED,AVERAGE(INDEX($I$1214:$I1614,402-MA_MED):$I1614),"")</f>
        <v>2005</v>
      </c>
      <c r="X1614" s="48" t="str">
        <f aca="false">IF($U1614&gt;=MA_LONG1,AVERAGE(INDEX($I$1214:$I1614,402-MA_LONG1):$I1614),"")</f>
        <v/>
      </c>
      <c r="Y1614" s="48" t="str">
        <f aca="false">IF($U1614&gt;=MA_LONG2,AVERAGE(INDEX($I$1214:$I1614,402-MA_LONG2):$I1614),"")</f>
        <v/>
      </c>
      <c r="Z1614" s="48" t="n">
        <f aca="false">IF($U1614&gt;=MA_SHORT,AVERAGE(INDEX($L$1494:$L1614,122-MA_SHORT):$L1614),"")</f>
        <v>95034880.75</v>
      </c>
      <c r="AA1614" s="48" t="n">
        <f aca="false">IF($U1614=1,$G1614-$H1614,MAX($G1614-$H1614,ABS($G1614-$I1613),ABS($H1614-$I1613)))</f>
        <v>69</v>
      </c>
      <c r="AB1614" s="48" t="n">
        <f aca="false">IF($U1614&gt;=ATR_PER,AVERAGE(INDEX($AA$1494:$AA1614,122-ATR_PER):$AA1614),"")</f>
        <v>53.8571428571429</v>
      </c>
      <c r="AC1614" s="48" t="n">
        <f aca="false">$O1614-$P1614</f>
        <v>-28730862</v>
      </c>
      <c r="AD1614" s="48" t="n">
        <f aca="false">$AC1614*$I1614</f>
        <v>-53669250216</v>
      </c>
      <c r="AE1614" s="49" t="n">
        <f aca="false">IF($Q1614&gt;0,$O1614*$I1614/$Q1614/1000000,"")</f>
        <v>38.7297296286107</v>
      </c>
      <c r="AF1614" s="49" t="n">
        <f aca="false">IF($R1614&gt;0,$P1614*$I1614/$R1614/1000000,"")</f>
        <v>80.4552136766642</v>
      </c>
      <c r="AG1614" s="50" t="n">
        <f aca="false">IF(AND(ISNUMBER($AE1614),ISNUMBER($AF1614),$AF1614&gt;0),$AE1614/$AF1614,"")</f>
        <v>0.48138247179678</v>
      </c>
      <c r="AH1614" s="48" t="n">
        <f aca="false">IF($U1614&gt;=5,SUM(INDEX($AD$1584:$AD1614,32-5):$AD1614),"")</f>
        <v>-110737364442</v>
      </c>
      <c r="AI1614" s="48" t="n">
        <f aca="false">IF($U1614&gt;=STRUCT_S,MAX(INDEX($G$1464:$G1614,152-STRUCT_S):$G1614),"")</f>
        <v>2094</v>
      </c>
      <c r="AJ1614" s="48" t="n">
        <f aca="false">IF($U1614&gt;=STRUCT_S,MIN(INDEX($H$1464:$H1614,152-STRUCT_S):$H1614),"")</f>
        <v>1850</v>
      </c>
      <c r="AK1614" s="48" t="str">
        <f aca="false">IF($U1614&gt;=STRUCT_L,MAX(INDEX($G$1364:$G1614,252-STRUCT_L):$G1614),"")</f>
        <v/>
      </c>
      <c r="AL1614" s="48" t="str">
        <f aca="false">IF($U1614&gt;=STRUCT_L,MIN(INDEX($H$1364:$H1614,252-STRUCT_L):$H1614),"")</f>
        <v/>
      </c>
      <c r="AM1614" s="46" t="n">
        <f aca="false">IF($A1614&lt;&gt;$A1615,1,0)</f>
        <v>0</v>
      </c>
      <c r="AN1614" s="47" t="str">
        <f aca="false">IF($AM1614=1,$A1614,"")</f>
        <v/>
      </c>
    </row>
    <row r="1615" customFormat="false" ht="15" hidden="false" customHeight="false" outlineLevel="0" collapsed="false">
      <c r="A1615" s="43" t="s">
        <v>162</v>
      </c>
      <c r="B1615" s="44" t="s">
        <v>164</v>
      </c>
      <c r="C1615" s="45" t="n">
        <v>45976</v>
      </c>
      <c r="D1615" s="46" t="n">
        <v>20251115</v>
      </c>
      <c r="E1615" s="47" t="s">
        <v>338</v>
      </c>
      <c r="F1615" s="48" t="n">
        <v>1866</v>
      </c>
      <c r="G1615" s="48" t="n">
        <v>1884</v>
      </c>
      <c r="H1615" s="48" t="n">
        <v>1858</v>
      </c>
      <c r="I1615" s="48" t="n">
        <v>1874</v>
      </c>
      <c r="J1615" s="48" t="n">
        <v>1882</v>
      </c>
      <c r="K1615" s="48" t="n">
        <v>1868</v>
      </c>
      <c r="L1615" s="48" t="n">
        <v>80089825</v>
      </c>
      <c r="M1615" s="48" t="n">
        <v>150088332050</v>
      </c>
      <c r="N1615" s="48" t="n">
        <v>4422</v>
      </c>
      <c r="O1615" s="48" t="n">
        <v>33175634</v>
      </c>
      <c r="P1615" s="48" t="n">
        <v>49122841</v>
      </c>
      <c r="Q1615" s="48" t="n">
        <v>2100</v>
      </c>
      <c r="R1615" s="48" t="n">
        <v>1598</v>
      </c>
      <c r="S1615" s="48" t="n">
        <v>46914191</v>
      </c>
      <c r="T1615" s="48" t="n">
        <v>30966984</v>
      </c>
      <c r="U1615" s="46" t="n">
        <f aca="false">IF($A1615=$A1614,$U1614+1,1)</f>
        <v>51</v>
      </c>
      <c r="V1615" s="48" t="n">
        <f aca="false">IF($U1615&gt;=MA_SHORT,AVERAGE(INDEX($I$1215:$I1615,402-MA_SHORT):$I1615),"")</f>
        <v>1974.1</v>
      </c>
      <c r="W1615" s="48" t="n">
        <f aca="false">IF($U1615&gt;=MA_MED,AVERAGE(INDEX($I$1215:$I1615,402-MA_MED):$I1615),"")</f>
        <v>2001.58</v>
      </c>
      <c r="X1615" s="48" t="str">
        <f aca="false">IF($U1615&gt;=MA_LONG1,AVERAGE(INDEX($I$1215:$I1615,402-MA_LONG1):$I1615),"")</f>
        <v/>
      </c>
      <c r="Y1615" s="48" t="str">
        <f aca="false">IF($U1615&gt;=MA_LONG2,AVERAGE(INDEX($I$1215:$I1615,402-MA_LONG2):$I1615),"")</f>
        <v/>
      </c>
      <c r="Z1615" s="48" t="n">
        <f aca="false">IF($U1615&gt;=MA_SHORT,AVERAGE(INDEX($L$1495:$L1615,122-MA_SHORT):$L1615),"")</f>
        <v>95004783.5</v>
      </c>
      <c r="AA1615" s="48" t="n">
        <f aca="false">IF($U1615=1,$G1615-$H1615,MAX($G1615-$H1615,ABS($G1615-$I1614),ABS($H1615-$I1614)))</f>
        <v>26</v>
      </c>
      <c r="AB1615" s="48" t="n">
        <f aca="false">IF($U1615&gt;=ATR_PER,AVERAGE(INDEX($AA$1495:$AA1615,122-ATR_PER):$AA1615),"")</f>
        <v>53.2142857142857</v>
      </c>
      <c r="AC1615" s="48" t="n">
        <f aca="false">$O1615-$P1615</f>
        <v>-15947207</v>
      </c>
      <c r="AD1615" s="48" t="n">
        <f aca="false">$AC1615*$I1615</f>
        <v>-29885065918</v>
      </c>
      <c r="AE1615" s="49" t="n">
        <f aca="false">IF($Q1615&gt;0,$O1615*$I1615/$Q1615/1000000,"")</f>
        <v>29.6053038647619</v>
      </c>
      <c r="AF1615" s="49" t="n">
        <f aca="false">IF($R1615&gt;0,$P1615*$I1615/$R1615/1000000,"")</f>
        <v>57.6071364418023</v>
      </c>
      <c r="AG1615" s="50" t="n">
        <f aca="false">IF(AND(ISNUMBER($AE1615),ISNUMBER($AF1615),$AF1615&gt;0),$AE1615/$AF1615,"")</f>
        <v>0.51391729728956</v>
      </c>
      <c r="AH1615" s="48" t="n">
        <f aca="false">IF($U1615&gt;=5,SUM(INDEX($AD$1585:$AD1615,32-5):$AD1615),"")</f>
        <v>-152365640625</v>
      </c>
      <c r="AI1615" s="48" t="n">
        <f aca="false">IF($U1615&gt;=STRUCT_S,MAX(INDEX($G$1465:$G1615,152-STRUCT_S):$G1615),"")</f>
        <v>2094</v>
      </c>
      <c r="AJ1615" s="48" t="n">
        <f aca="false">IF($U1615&gt;=STRUCT_S,MIN(INDEX($H$1465:$H1615,152-STRUCT_S):$H1615),"")</f>
        <v>1850</v>
      </c>
      <c r="AK1615" s="48" t="str">
        <f aca="false">IF($U1615&gt;=STRUCT_L,MAX(INDEX($G$1365:$G1615,252-STRUCT_L):$G1615),"")</f>
        <v/>
      </c>
      <c r="AL1615" s="48" t="str">
        <f aca="false">IF($U1615&gt;=STRUCT_L,MIN(INDEX($H$1365:$H1615,252-STRUCT_L):$H1615),"")</f>
        <v/>
      </c>
      <c r="AM1615" s="46" t="n">
        <f aca="false">IF($A1615&lt;&gt;$A1616,1,0)</f>
        <v>0</v>
      </c>
      <c r="AN1615" s="47" t="str">
        <f aca="false">IF($AM1615=1,$A1615,"")</f>
        <v/>
      </c>
    </row>
    <row r="1616" customFormat="false" ht="15" hidden="false" customHeight="false" outlineLevel="0" collapsed="false">
      <c r="A1616" s="43" t="s">
        <v>162</v>
      </c>
      <c r="B1616" s="44" t="s">
        <v>164</v>
      </c>
      <c r="C1616" s="45" t="n">
        <v>45977</v>
      </c>
      <c r="D1616" s="46" t="n">
        <v>20251116</v>
      </c>
      <c r="E1616" s="47" t="s">
        <v>339</v>
      </c>
      <c r="F1616" s="48" t="n">
        <v>1852</v>
      </c>
      <c r="G1616" s="48" t="n">
        <v>1880</v>
      </c>
      <c r="H1616" s="48" t="n">
        <v>1850</v>
      </c>
      <c r="I1616" s="48" t="n">
        <v>1856</v>
      </c>
      <c r="J1616" s="48" t="n">
        <v>1877</v>
      </c>
      <c r="K1616" s="48" t="n">
        <v>1874</v>
      </c>
      <c r="L1616" s="48" t="n">
        <v>83103886</v>
      </c>
      <c r="M1616" s="48" t="n">
        <v>154240812416</v>
      </c>
      <c r="N1616" s="48" t="n">
        <v>3964</v>
      </c>
      <c r="O1616" s="48" t="n">
        <v>37054747</v>
      </c>
      <c r="P1616" s="48" t="n">
        <v>49034922</v>
      </c>
      <c r="Q1616" s="48" t="n">
        <v>1421</v>
      </c>
      <c r="R1616" s="48" t="n">
        <v>1368</v>
      </c>
      <c r="S1616" s="48" t="n">
        <v>46049139</v>
      </c>
      <c r="T1616" s="48" t="n">
        <v>34068964</v>
      </c>
      <c r="U1616" s="46" t="n">
        <f aca="false">IF($A1616=$A1615,$U1615+1,1)</f>
        <v>52</v>
      </c>
      <c r="V1616" s="48" t="n">
        <f aca="false">IF($U1616&gt;=MA_SHORT,AVERAGE(INDEX($I$1216:$I1616,402-MA_SHORT):$I1616),"")</f>
        <v>1964.6</v>
      </c>
      <c r="W1616" s="48" t="n">
        <f aca="false">IF($U1616&gt;=MA_MED,AVERAGE(INDEX($I$1216:$I1616,402-MA_MED):$I1616),"")</f>
        <v>1997.96</v>
      </c>
      <c r="X1616" s="48" t="str">
        <f aca="false">IF($U1616&gt;=MA_LONG1,AVERAGE(INDEX($I$1216:$I1616,402-MA_LONG1):$I1616),"")</f>
        <v/>
      </c>
      <c r="Y1616" s="48" t="str">
        <f aca="false">IF($U1616&gt;=MA_LONG2,AVERAGE(INDEX($I$1216:$I1616,402-MA_LONG2):$I1616),"")</f>
        <v/>
      </c>
      <c r="Z1616" s="48" t="n">
        <f aca="false">IF($U1616&gt;=MA_SHORT,AVERAGE(INDEX($L$1496:$L1616,122-MA_SHORT):$L1616),"")</f>
        <v>93692146.1</v>
      </c>
      <c r="AA1616" s="48" t="n">
        <f aca="false">IF($U1616=1,$G1616-$H1616,MAX($G1616-$H1616,ABS($G1616-$I1615),ABS($H1616-$I1615)))</f>
        <v>30</v>
      </c>
      <c r="AB1616" s="48" t="n">
        <f aca="false">IF($U1616&gt;=ATR_PER,AVERAGE(INDEX($AA$1496:$AA1616,122-ATR_PER):$AA1616),"")</f>
        <v>48.5</v>
      </c>
      <c r="AC1616" s="48" t="n">
        <f aca="false">$O1616-$P1616</f>
        <v>-11980175</v>
      </c>
      <c r="AD1616" s="48" t="n">
        <f aca="false">$AC1616*$I1616</f>
        <v>-22235204800</v>
      </c>
      <c r="AE1616" s="49" t="n">
        <f aca="false">IF($Q1616&gt;0,$O1616*$I1616/$Q1616/1000000,"")</f>
        <v>48.3980368979592</v>
      </c>
      <c r="AF1616" s="49" t="n">
        <f aca="false">IF($R1616&gt;0,$P1616*$I1616/$R1616/1000000,"")</f>
        <v>66.5269117192982</v>
      </c>
      <c r="AG1616" s="50" t="n">
        <f aca="false">IF(AND(ISNUMBER($AE1616),ISNUMBER($AF1616),$AF1616&gt;0),$AE1616/$AF1616,"")</f>
        <v>0.727495620150962</v>
      </c>
      <c r="AH1616" s="48" t="n">
        <f aca="false">IF($U1616&gt;=5,SUM(INDEX($AD$1586:$AD1616,32-5):$AD1616),"")</f>
        <v>-133601224245</v>
      </c>
      <c r="AI1616" s="48" t="n">
        <f aca="false">IF($U1616&gt;=STRUCT_S,MAX(INDEX($G$1466:$G1616,152-STRUCT_S):$G1616),"")</f>
        <v>2094</v>
      </c>
      <c r="AJ1616" s="48" t="n">
        <f aca="false">IF($U1616&gt;=STRUCT_S,MIN(INDEX($H$1466:$H1616,152-STRUCT_S):$H1616),"")</f>
        <v>1850</v>
      </c>
      <c r="AK1616" s="48" t="str">
        <f aca="false">IF($U1616&gt;=STRUCT_L,MAX(INDEX($G$1366:$G1616,252-STRUCT_L):$G1616),"")</f>
        <v/>
      </c>
      <c r="AL1616" s="48" t="str">
        <f aca="false">IF($U1616&gt;=STRUCT_L,MIN(INDEX($H$1366:$H1616,252-STRUCT_L):$H1616),"")</f>
        <v/>
      </c>
      <c r="AM1616" s="46" t="n">
        <f aca="false">IF($A1616&lt;&gt;$A1617,1,0)</f>
        <v>0</v>
      </c>
      <c r="AN1616" s="47" t="str">
        <f aca="false">IF($AM1616=1,$A1616,"")</f>
        <v/>
      </c>
    </row>
    <row r="1617" customFormat="false" ht="15" hidden="false" customHeight="false" outlineLevel="0" collapsed="false">
      <c r="A1617" s="43" t="s">
        <v>162</v>
      </c>
      <c r="B1617" s="44" t="s">
        <v>164</v>
      </c>
      <c r="C1617" s="45" t="n">
        <v>45978</v>
      </c>
      <c r="D1617" s="46" t="n">
        <v>20251117</v>
      </c>
      <c r="E1617" s="47" t="s">
        <v>340</v>
      </c>
      <c r="F1617" s="48" t="n">
        <v>1853</v>
      </c>
      <c r="G1617" s="48" t="n">
        <v>1881</v>
      </c>
      <c r="H1617" s="48" t="n">
        <v>1832</v>
      </c>
      <c r="I1617" s="48" t="n">
        <v>1857</v>
      </c>
      <c r="J1617" s="48" t="n">
        <v>1863</v>
      </c>
      <c r="K1617" s="48" t="n">
        <v>1856</v>
      </c>
      <c r="L1617" s="48" t="n">
        <v>78829537</v>
      </c>
      <c r="M1617" s="48" t="n">
        <v>146386450209</v>
      </c>
      <c r="N1617" s="48" t="n">
        <v>3106</v>
      </c>
      <c r="O1617" s="48" t="n">
        <v>39471622</v>
      </c>
      <c r="P1617" s="48" t="n">
        <v>37450698</v>
      </c>
      <c r="Q1617" s="48" t="n">
        <v>1440</v>
      </c>
      <c r="R1617" s="48" t="n">
        <v>1441</v>
      </c>
      <c r="S1617" s="48" t="n">
        <v>39357915</v>
      </c>
      <c r="T1617" s="48" t="n">
        <v>41378839</v>
      </c>
      <c r="U1617" s="46" t="n">
        <f aca="false">IF($A1617=$A1616,$U1616+1,1)</f>
        <v>53</v>
      </c>
      <c r="V1617" s="48" t="n">
        <f aca="false">IF($U1617&gt;=MA_SHORT,AVERAGE(INDEX($I$1217:$I1617,402-MA_SHORT):$I1617),"")</f>
        <v>1955.7</v>
      </c>
      <c r="W1617" s="48" t="n">
        <f aca="false">IF($U1617&gt;=MA_MED,AVERAGE(INDEX($I$1217:$I1617,402-MA_MED):$I1617),"")</f>
        <v>1994.64</v>
      </c>
      <c r="X1617" s="48" t="str">
        <f aca="false">IF($U1617&gt;=MA_LONG1,AVERAGE(INDEX($I$1217:$I1617,402-MA_LONG1):$I1617),"")</f>
        <v/>
      </c>
      <c r="Y1617" s="48" t="str">
        <f aca="false">IF($U1617&gt;=MA_LONG2,AVERAGE(INDEX($I$1217:$I1617,402-MA_LONG2):$I1617),"")</f>
        <v/>
      </c>
      <c r="Z1617" s="48" t="n">
        <f aca="false">IF($U1617&gt;=MA_SHORT,AVERAGE(INDEX($L$1497:$L1617,122-MA_SHORT):$L1617),"")</f>
        <v>92570719</v>
      </c>
      <c r="AA1617" s="48" t="n">
        <f aca="false">IF($U1617=1,$G1617-$H1617,MAX($G1617-$H1617,ABS($G1617-$I1616),ABS($H1617-$I1616)))</f>
        <v>49</v>
      </c>
      <c r="AB1617" s="48" t="n">
        <f aca="false">IF($U1617&gt;=ATR_PER,AVERAGE(INDEX($AA$1497:$AA1617,122-ATR_PER):$AA1617),"")</f>
        <v>49.1428571428571</v>
      </c>
      <c r="AC1617" s="48" t="n">
        <f aca="false">$O1617-$P1617</f>
        <v>2020924</v>
      </c>
      <c r="AD1617" s="48" t="n">
        <f aca="false">$AC1617*$I1617</f>
        <v>3752855868</v>
      </c>
      <c r="AE1617" s="49" t="n">
        <f aca="false">IF($Q1617&gt;0,$O1617*$I1617/$Q1617/1000000,"")</f>
        <v>50.9019458708333</v>
      </c>
      <c r="AF1617" s="49" t="n">
        <f aca="false">IF($R1617&gt;0,$P1617*$I1617/$R1617/1000000,"")</f>
        <v>48.2622804899375</v>
      </c>
      <c r="AG1617" s="50" t="n">
        <f aca="false">IF(AND(ISNUMBER($AE1617),ISNUMBER($AF1617),$AF1617&gt;0),$AE1617/$AF1617,"")</f>
        <v>1.05469417014901</v>
      </c>
      <c r="AH1617" s="48" t="n">
        <f aca="false">IF($U1617&gt;=5,SUM(INDEX($AD$1587:$AD1617,32-5):$AD1617),"")</f>
        <v>-104263319673</v>
      </c>
      <c r="AI1617" s="48" t="n">
        <f aca="false">IF($U1617&gt;=STRUCT_S,MAX(INDEX($G$1467:$G1617,152-STRUCT_S):$G1617),"")</f>
        <v>2094</v>
      </c>
      <c r="AJ1617" s="48" t="n">
        <f aca="false">IF($U1617&gt;=STRUCT_S,MIN(INDEX($H$1467:$H1617,152-STRUCT_S):$H1617),"")</f>
        <v>1832</v>
      </c>
      <c r="AK1617" s="48" t="str">
        <f aca="false">IF($U1617&gt;=STRUCT_L,MAX(INDEX($G$1367:$G1617,252-STRUCT_L):$G1617),"")</f>
        <v/>
      </c>
      <c r="AL1617" s="48" t="str">
        <f aca="false">IF($U1617&gt;=STRUCT_L,MIN(INDEX($H$1367:$H1617,252-STRUCT_L):$H1617),"")</f>
        <v/>
      </c>
      <c r="AM1617" s="46" t="n">
        <f aca="false">IF($A1617&lt;&gt;$A1618,1,0)</f>
        <v>0</v>
      </c>
      <c r="AN1617" s="47" t="str">
        <f aca="false">IF($AM1617=1,$A1617,"")</f>
        <v/>
      </c>
    </row>
    <row r="1618" customFormat="false" ht="15" hidden="false" customHeight="false" outlineLevel="0" collapsed="false">
      <c r="A1618" s="43" t="s">
        <v>162</v>
      </c>
      <c r="B1618" s="44" t="s">
        <v>164</v>
      </c>
      <c r="C1618" s="45" t="n">
        <v>45979</v>
      </c>
      <c r="D1618" s="46" t="n">
        <v>20251118</v>
      </c>
      <c r="E1618" s="47" t="s">
        <v>341</v>
      </c>
      <c r="F1618" s="48" t="n">
        <v>1869</v>
      </c>
      <c r="G1618" s="48" t="n">
        <v>1918</v>
      </c>
      <c r="H1618" s="48" t="n">
        <v>1837</v>
      </c>
      <c r="I1618" s="48" t="n">
        <v>1898</v>
      </c>
      <c r="J1618" s="48" t="n">
        <v>1865</v>
      </c>
      <c r="K1618" s="48" t="n">
        <v>1857</v>
      </c>
      <c r="L1618" s="48" t="n">
        <v>88984556</v>
      </c>
      <c r="M1618" s="48" t="n">
        <v>168892687288</v>
      </c>
      <c r="N1618" s="48" t="n">
        <v>3380</v>
      </c>
      <c r="O1618" s="48" t="n">
        <v>52277207</v>
      </c>
      <c r="P1618" s="48" t="n">
        <v>39991771</v>
      </c>
      <c r="Q1618" s="48" t="n">
        <v>1116</v>
      </c>
      <c r="R1618" s="48" t="n">
        <v>1416</v>
      </c>
      <c r="S1618" s="48" t="n">
        <v>36707349</v>
      </c>
      <c r="T1618" s="48" t="n">
        <v>48992785</v>
      </c>
      <c r="U1618" s="46" t="n">
        <f aca="false">IF($A1618=$A1617,$U1617+1,1)</f>
        <v>54</v>
      </c>
      <c r="V1618" s="48" t="n">
        <f aca="false">IF($U1618&gt;=MA_SHORT,AVERAGE(INDEX($I$1218:$I1618,402-MA_SHORT):$I1618),"")</f>
        <v>1947.2</v>
      </c>
      <c r="W1618" s="48" t="n">
        <f aca="false">IF($U1618&gt;=MA_MED,AVERAGE(INDEX($I$1218:$I1618,402-MA_MED):$I1618),"")</f>
        <v>1991.76</v>
      </c>
      <c r="X1618" s="48" t="str">
        <f aca="false">IF($U1618&gt;=MA_LONG1,AVERAGE(INDEX($I$1218:$I1618,402-MA_LONG1):$I1618),"")</f>
        <v/>
      </c>
      <c r="Y1618" s="48" t="str">
        <f aca="false">IF($U1618&gt;=MA_LONG2,AVERAGE(INDEX($I$1218:$I1618,402-MA_LONG2):$I1618),"")</f>
        <v/>
      </c>
      <c r="Z1618" s="48" t="n">
        <f aca="false">IF($U1618&gt;=MA_SHORT,AVERAGE(INDEX($L$1498:$L1618,122-MA_SHORT):$L1618),"")</f>
        <v>92123946.65</v>
      </c>
      <c r="AA1618" s="48" t="n">
        <f aca="false">IF($U1618=1,$G1618-$H1618,MAX($G1618-$H1618,ABS($G1618-$I1617),ABS($H1618-$I1617)))</f>
        <v>81</v>
      </c>
      <c r="AB1618" s="48" t="n">
        <f aca="false">IF($U1618&gt;=ATR_PER,AVERAGE(INDEX($AA$1498:$AA1618,122-ATR_PER):$AA1618),"")</f>
        <v>50.5</v>
      </c>
      <c r="AC1618" s="48" t="n">
        <f aca="false">$O1618-$P1618</f>
        <v>12285436</v>
      </c>
      <c r="AD1618" s="48" t="n">
        <f aca="false">$AC1618*$I1618</f>
        <v>23317757528</v>
      </c>
      <c r="AE1618" s="49" t="n">
        <f aca="false">IF($Q1618&gt;0,$O1618*$I1618/$Q1618/1000000,"")</f>
        <v>88.9087266003584</v>
      </c>
      <c r="AF1618" s="49" t="n">
        <f aca="false">IF($R1618&gt;0,$P1618*$I1618/$R1618/1000000,"")</f>
        <v>53.6047890946328</v>
      </c>
      <c r="AG1618" s="50" t="n">
        <f aca="false">IF(AND(ISNUMBER($AE1618),ISNUMBER($AF1618),$AF1618&gt;0),$AE1618/$AF1618,"")</f>
        <v>1.65859670566749</v>
      </c>
      <c r="AH1618" s="48" t="n">
        <f aca="false">IF($U1618&gt;=5,SUM(INDEX($AD$1588:$AD1618,32-5):$AD1618),"")</f>
        <v>-78718907538</v>
      </c>
      <c r="AI1618" s="48" t="n">
        <f aca="false">IF($U1618&gt;=STRUCT_S,MAX(INDEX($G$1468:$G1618,152-STRUCT_S):$G1618),"")</f>
        <v>2092</v>
      </c>
      <c r="AJ1618" s="48" t="n">
        <f aca="false">IF($U1618&gt;=STRUCT_S,MIN(INDEX($H$1468:$H1618,152-STRUCT_S):$H1618),"")</f>
        <v>1832</v>
      </c>
      <c r="AK1618" s="48" t="str">
        <f aca="false">IF($U1618&gt;=STRUCT_L,MAX(INDEX($G$1368:$G1618,252-STRUCT_L):$G1618),"")</f>
        <v/>
      </c>
      <c r="AL1618" s="48" t="str">
        <f aca="false">IF($U1618&gt;=STRUCT_L,MIN(INDEX($H$1368:$H1618,252-STRUCT_L):$H1618),"")</f>
        <v/>
      </c>
      <c r="AM1618" s="46" t="n">
        <f aca="false">IF($A1618&lt;&gt;$A1619,1,0)</f>
        <v>0</v>
      </c>
      <c r="AN1618" s="47" t="str">
        <f aca="false">IF($AM1618=1,$A1618,"")</f>
        <v/>
      </c>
    </row>
    <row r="1619" customFormat="false" ht="15" hidden="false" customHeight="false" outlineLevel="0" collapsed="false">
      <c r="A1619" s="43" t="s">
        <v>162</v>
      </c>
      <c r="B1619" s="44" t="s">
        <v>164</v>
      </c>
      <c r="C1619" s="45" t="n">
        <v>45980</v>
      </c>
      <c r="D1619" s="46" t="n">
        <v>20251119</v>
      </c>
      <c r="E1619" s="47" t="s">
        <v>342</v>
      </c>
      <c r="F1619" s="48" t="n">
        <v>1905</v>
      </c>
      <c r="G1619" s="48" t="n">
        <v>1917</v>
      </c>
      <c r="H1619" s="48" t="n">
        <v>1856</v>
      </c>
      <c r="I1619" s="48" t="n">
        <v>1874</v>
      </c>
      <c r="J1619" s="48" t="n">
        <v>1892</v>
      </c>
      <c r="K1619" s="48" t="n">
        <v>1898</v>
      </c>
      <c r="L1619" s="48" t="n">
        <v>113982390</v>
      </c>
      <c r="M1619" s="48" t="n">
        <v>213602998860</v>
      </c>
      <c r="N1619" s="48" t="n">
        <v>5517</v>
      </c>
      <c r="O1619" s="48" t="n">
        <v>43579115</v>
      </c>
      <c r="P1619" s="48" t="n">
        <v>66464545</v>
      </c>
      <c r="Q1619" s="48" t="n">
        <v>2043</v>
      </c>
      <c r="R1619" s="48" t="n">
        <v>2876</v>
      </c>
      <c r="S1619" s="48" t="n">
        <v>70403275</v>
      </c>
      <c r="T1619" s="48" t="n">
        <v>47517845</v>
      </c>
      <c r="U1619" s="46" t="n">
        <f aca="false">IF($A1619=$A1618,$U1618+1,1)</f>
        <v>55</v>
      </c>
      <c r="V1619" s="48" t="n">
        <f aca="false">IF($U1619&gt;=MA_SHORT,AVERAGE(INDEX($I$1219:$I1619,402-MA_SHORT):$I1619),"")</f>
        <v>1937.3</v>
      </c>
      <c r="W1619" s="48" t="n">
        <f aca="false">IF($U1619&gt;=MA_MED,AVERAGE(INDEX($I$1219:$I1619,402-MA_MED):$I1619),"")</f>
        <v>1987.98</v>
      </c>
      <c r="X1619" s="48" t="str">
        <f aca="false">IF($U1619&gt;=MA_LONG1,AVERAGE(INDEX($I$1219:$I1619,402-MA_LONG1):$I1619),"")</f>
        <v/>
      </c>
      <c r="Y1619" s="48" t="str">
        <f aca="false">IF($U1619&gt;=MA_LONG2,AVERAGE(INDEX($I$1219:$I1619,402-MA_LONG2):$I1619),"")</f>
        <v/>
      </c>
      <c r="Z1619" s="48" t="n">
        <f aca="false">IF($U1619&gt;=MA_SHORT,AVERAGE(INDEX($L$1499:$L1619,122-MA_SHORT):$L1619),"")</f>
        <v>91836997.95</v>
      </c>
      <c r="AA1619" s="48" t="n">
        <f aca="false">IF($U1619=1,$G1619-$H1619,MAX($G1619-$H1619,ABS($G1619-$I1618),ABS($H1619-$I1618)))</f>
        <v>61</v>
      </c>
      <c r="AB1619" s="48" t="n">
        <f aca="false">IF($U1619&gt;=ATR_PER,AVERAGE(INDEX($AA$1499:$AA1619,122-ATR_PER):$AA1619),"")</f>
        <v>51.0714285714286</v>
      </c>
      <c r="AC1619" s="48" t="n">
        <f aca="false">$O1619-$P1619</f>
        <v>-22885430</v>
      </c>
      <c r="AD1619" s="48" t="n">
        <f aca="false">$AC1619*$I1619</f>
        <v>-42887295820</v>
      </c>
      <c r="AE1619" s="49" t="n">
        <f aca="false">IF($Q1619&gt;0,$O1619*$I1619/$Q1619/1000000,"")</f>
        <v>39.9741857611356</v>
      </c>
      <c r="AF1619" s="49" t="n">
        <f aca="false">IF($R1619&gt;0,$P1619*$I1619/$R1619/1000000,"")</f>
        <v>43.3082605458971</v>
      </c>
      <c r="AG1619" s="50" t="n">
        <f aca="false">IF(AND(ISNUMBER($AE1619),ISNUMBER($AF1619),$AF1619&gt;0),$AE1619/$AF1619,"")</f>
        <v>0.923015269079484</v>
      </c>
      <c r="AH1619" s="48" t="n">
        <f aca="false">IF($U1619&gt;=5,SUM(INDEX($AD$1589:$AD1619,32-5):$AD1619),"")</f>
        <v>-67936953142</v>
      </c>
      <c r="AI1619" s="48" t="n">
        <f aca="false">IF($U1619&gt;=STRUCT_S,MAX(INDEX($G$1469:$G1619,152-STRUCT_S):$G1619),"")</f>
        <v>2092</v>
      </c>
      <c r="AJ1619" s="48" t="n">
        <f aca="false">IF($U1619&gt;=STRUCT_S,MIN(INDEX($H$1469:$H1619,152-STRUCT_S):$H1619),"")</f>
        <v>1832</v>
      </c>
      <c r="AK1619" s="48" t="str">
        <f aca="false">IF($U1619&gt;=STRUCT_L,MAX(INDEX($G$1369:$G1619,252-STRUCT_L):$G1619),"")</f>
        <v/>
      </c>
      <c r="AL1619" s="48" t="str">
        <f aca="false">IF($U1619&gt;=STRUCT_L,MIN(INDEX($H$1369:$H1619,252-STRUCT_L):$H1619),"")</f>
        <v/>
      </c>
      <c r="AM1619" s="46" t="n">
        <f aca="false">IF($A1619&lt;&gt;$A1620,1,0)</f>
        <v>0</v>
      </c>
      <c r="AN1619" s="47" t="str">
        <f aca="false">IF($AM1619=1,$A1619,"")</f>
        <v/>
      </c>
    </row>
    <row r="1620" customFormat="false" ht="15" hidden="false" customHeight="false" outlineLevel="0" collapsed="false">
      <c r="A1620" s="43" t="s">
        <v>162</v>
      </c>
      <c r="B1620" s="44" t="s">
        <v>164</v>
      </c>
      <c r="C1620" s="45" t="n">
        <v>45983</v>
      </c>
      <c r="D1620" s="46" t="n">
        <v>20251122</v>
      </c>
      <c r="E1620" s="47" t="s">
        <v>343</v>
      </c>
      <c r="F1620" s="48" t="n">
        <v>1881</v>
      </c>
      <c r="G1620" s="48" t="n">
        <v>1883</v>
      </c>
      <c r="H1620" s="48" t="n">
        <v>1857</v>
      </c>
      <c r="I1620" s="48" t="n">
        <v>1866</v>
      </c>
      <c r="J1620" s="48" t="n">
        <v>1879</v>
      </c>
      <c r="K1620" s="48" t="n">
        <v>1874</v>
      </c>
      <c r="L1620" s="48" t="n">
        <v>104649939</v>
      </c>
      <c r="M1620" s="48" t="n">
        <v>195276786174</v>
      </c>
      <c r="N1620" s="48" t="n">
        <v>6461</v>
      </c>
      <c r="O1620" s="48" t="n">
        <v>41684637</v>
      </c>
      <c r="P1620" s="48" t="n">
        <v>73491437</v>
      </c>
      <c r="Q1620" s="48" t="n">
        <v>3157</v>
      </c>
      <c r="R1620" s="48" t="n">
        <v>3503</v>
      </c>
      <c r="S1620" s="48" t="n">
        <v>62965302</v>
      </c>
      <c r="T1620" s="48" t="n">
        <v>31158502</v>
      </c>
      <c r="U1620" s="46" t="n">
        <f aca="false">IF($A1620=$A1619,$U1619+1,1)</f>
        <v>56</v>
      </c>
      <c r="V1620" s="48" t="n">
        <f aca="false">IF($U1620&gt;=MA_SHORT,AVERAGE(INDEX($I$1220:$I1620,402-MA_SHORT):$I1620),"")</f>
        <v>1928.3</v>
      </c>
      <c r="W1620" s="48" t="n">
        <f aca="false">IF($U1620&gt;=MA_MED,AVERAGE(INDEX($I$1220:$I1620,402-MA_MED):$I1620),"")</f>
        <v>1984.92</v>
      </c>
      <c r="X1620" s="48" t="str">
        <f aca="false">IF($U1620&gt;=MA_LONG1,AVERAGE(INDEX($I$1220:$I1620,402-MA_LONG1):$I1620),"")</f>
        <v/>
      </c>
      <c r="Y1620" s="48" t="str">
        <f aca="false">IF($U1620&gt;=MA_LONG2,AVERAGE(INDEX($I$1220:$I1620,402-MA_LONG2):$I1620),"")</f>
        <v/>
      </c>
      <c r="Z1620" s="48" t="n">
        <f aca="false">IF($U1620&gt;=MA_SHORT,AVERAGE(INDEX($L$1500:$L1620,122-MA_SHORT):$L1620),"")</f>
        <v>92730639.75</v>
      </c>
      <c r="AA1620" s="48" t="n">
        <f aca="false">IF($U1620=1,$G1620-$H1620,MAX($G1620-$H1620,ABS($G1620-$I1619),ABS($H1620-$I1619)))</f>
        <v>26</v>
      </c>
      <c r="AB1620" s="48" t="n">
        <f aca="false">IF($U1620&gt;=ATR_PER,AVERAGE(INDEX($AA$1500:$AA1620,122-ATR_PER):$AA1620),"")</f>
        <v>50.5714285714286</v>
      </c>
      <c r="AC1620" s="48" t="n">
        <f aca="false">$O1620-$P1620</f>
        <v>-31806800</v>
      </c>
      <c r="AD1620" s="48" t="n">
        <f aca="false">$AC1620*$I1620</f>
        <v>-59351488800</v>
      </c>
      <c r="AE1620" s="49" t="n">
        <f aca="false">IF($Q1620&gt;0,$O1620*$I1620/$Q1620/1000000,"")</f>
        <v>24.6384328926196</v>
      </c>
      <c r="AF1620" s="49" t="n">
        <f aca="false">IF($R1620&gt;0,$P1620*$I1620/$R1620/1000000,"")</f>
        <v>39.1478793725378</v>
      </c>
      <c r="AG1620" s="50" t="n">
        <f aca="false">IF(AND(ISNUMBER($AE1620),ISNUMBER($AF1620),$AF1620&gt;0),$AE1620/$AF1620,"")</f>
        <v>0.629368264322981</v>
      </c>
      <c r="AH1620" s="48" t="n">
        <f aca="false">IF($U1620&gt;=5,SUM(INDEX($AD$1590:$AD1620,32-5):$AD1620),"")</f>
        <v>-97403376024</v>
      </c>
      <c r="AI1620" s="48" t="n">
        <f aca="false">IF($U1620&gt;=STRUCT_S,MAX(INDEX($G$1470:$G1620,152-STRUCT_S):$G1620),"")</f>
        <v>2092</v>
      </c>
      <c r="AJ1620" s="48" t="n">
        <f aca="false">IF($U1620&gt;=STRUCT_S,MIN(INDEX($H$1470:$H1620,152-STRUCT_S):$H1620),"")</f>
        <v>1832</v>
      </c>
      <c r="AK1620" s="48" t="str">
        <f aca="false">IF($U1620&gt;=STRUCT_L,MAX(INDEX($G$1370:$G1620,252-STRUCT_L):$G1620),"")</f>
        <v/>
      </c>
      <c r="AL1620" s="48" t="str">
        <f aca="false">IF($U1620&gt;=STRUCT_L,MIN(INDEX($H$1370:$H1620,252-STRUCT_L):$H1620),"")</f>
        <v/>
      </c>
      <c r="AM1620" s="46" t="n">
        <f aca="false">IF($A1620&lt;&gt;$A1621,1,0)</f>
        <v>0</v>
      </c>
      <c r="AN1620" s="47" t="str">
        <f aca="false">IF($AM1620=1,$A1620,"")</f>
        <v/>
      </c>
    </row>
    <row r="1621" customFormat="false" ht="15" hidden="false" customHeight="false" outlineLevel="0" collapsed="false">
      <c r="A1621" s="43" t="s">
        <v>162</v>
      </c>
      <c r="B1621" s="44" t="s">
        <v>164</v>
      </c>
      <c r="C1621" s="45" t="n">
        <v>45984</v>
      </c>
      <c r="D1621" s="46" t="n">
        <v>20251123</v>
      </c>
      <c r="E1621" s="47" t="s">
        <v>344</v>
      </c>
      <c r="F1621" s="48" t="n">
        <v>1867</v>
      </c>
      <c r="G1621" s="48" t="n">
        <v>1876</v>
      </c>
      <c r="H1621" s="48" t="n">
        <v>1860</v>
      </c>
      <c r="I1621" s="48" t="n">
        <v>1870</v>
      </c>
      <c r="J1621" s="48" t="n">
        <v>1863</v>
      </c>
      <c r="K1621" s="48" t="n">
        <v>1866</v>
      </c>
      <c r="L1621" s="48" t="n">
        <v>83944538</v>
      </c>
      <c r="M1621" s="48" t="n">
        <v>156976286060</v>
      </c>
      <c r="N1621" s="48" t="n">
        <v>2755</v>
      </c>
      <c r="O1621" s="48" t="n">
        <v>38164116</v>
      </c>
      <c r="P1621" s="48" t="n">
        <v>47230431</v>
      </c>
      <c r="Q1621" s="48" t="n">
        <v>1075</v>
      </c>
      <c r="R1621" s="48" t="n">
        <v>1295</v>
      </c>
      <c r="S1621" s="48" t="n">
        <v>45780422</v>
      </c>
      <c r="T1621" s="48" t="n">
        <v>36714107</v>
      </c>
      <c r="U1621" s="46" t="n">
        <f aca="false">IF($A1621=$A1620,$U1620+1,1)</f>
        <v>57</v>
      </c>
      <c r="V1621" s="48" t="n">
        <f aca="false">IF($U1621&gt;=MA_SHORT,AVERAGE(INDEX($I$1221:$I1621,402-MA_SHORT):$I1621),"")</f>
        <v>1918.55</v>
      </c>
      <c r="W1621" s="48" t="n">
        <f aca="false">IF($U1621&gt;=MA_MED,AVERAGE(INDEX($I$1221:$I1621,402-MA_MED):$I1621),"")</f>
        <v>1982.88</v>
      </c>
      <c r="X1621" s="48" t="str">
        <f aca="false">IF($U1621&gt;=MA_LONG1,AVERAGE(INDEX($I$1221:$I1621,402-MA_LONG1):$I1621),"")</f>
        <v/>
      </c>
      <c r="Y1621" s="48" t="str">
        <f aca="false">IF($U1621&gt;=MA_LONG2,AVERAGE(INDEX($I$1221:$I1621,402-MA_LONG2):$I1621),"")</f>
        <v/>
      </c>
      <c r="Z1621" s="48" t="n">
        <f aca="false">IF($U1621&gt;=MA_SHORT,AVERAGE(INDEX($L$1501:$L1621,122-MA_SHORT):$L1621),"")</f>
        <v>91621078.85</v>
      </c>
      <c r="AA1621" s="48" t="n">
        <f aca="false">IF($U1621=1,$G1621-$H1621,MAX($G1621-$H1621,ABS($G1621-$I1620),ABS($H1621-$I1620)))</f>
        <v>16</v>
      </c>
      <c r="AB1621" s="48" t="n">
        <f aca="false">IF($U1621&gt;=ATR_PER,AVERAGE(INDEX($AA$1501:$AA1621,122-ATR_PER):$AA1621),"")</f>
        <v>49.3571428571429</v>
      </c>
      <c r="AC1621" s="48" t="n">
        <f aca="false">$O1621-$P1621</f>
        <v>-9066315</v>
      </c>
      <c r="AD1621" s="48" t="n">
        <f aca="false">$AC1621*$I1621</f>
        <v>-16954009050</v>
      </c>
      <c r="AE1621" s="49" t="n">
        <f aca="false">IF($Q1621&gt;0,$O1621*$I1621/$Q1621/1000000,"")</f>
        <v>66.3878110883721</v>
      </c>
      <c r="AF1621" s="49" t="n">
        <f aca="false">IF($R1621&gt;0,$P1621*$I1621/$R1621/1000000,"")</f>
        <v>68.2014717915058</v>
      </c>
      <c r="AG1621" s="50" t="n">
        <f aca="false">IF(AND(ISNUMBER($AE1621),ISNUMBER($AF1621),$AF1621&gt;0),$AE1621/$AF1621,"")</f>
        <v>0.973407308442285</v>
      </c>
      <c r="AH1621" s="48" t="n">
        <f aca="false">IF($U1621&gt;=5,SUM(INDEX($AD$1591:$AD1621,32-5):$AD1621),"")</f>
        <v>-92122180274</v>
      </c>
      <c r="AI1621" s="48" t="n">
        <f aca="false">IF($U1621&gt;=STRUCT_S,MAX(INDEX($G$1471:$G1621,152-STRUCT_S):$G1621),"")</f>
        <v>2092</v>
      </c>
      <c r="AJ1621" s="48" t="n">
        <f aca="false">IF($U1621&gt;=STRUCT_S,MIN(INDEX($H$1471:$H1621,152-STRUCT_S):$H1621),"")</f>
        <v>1832</v>
      </c>
      <c r="AK1621" s="48" t="str">
        <f aca="false">IF($U1621&gt;=STRUCT_L,MAX(INDEX($G$1371:$G1621,252-STRUCT_L):$G1621),"")</f>
        <v/>
      </c>
      <c r="AL1621" s="48" t="str">
        <f aca="false">IF($U1621&gt;=STRUCT_L,MIN(INDEX($H$1371:$H1621,252-STRUCT_L):$H1621),"")</f>
        <v/>
      </c>
      <c r="AM1621" s="46" t="n">
        <f aca="false">IF($A1621&lt;&gt;$A1622,1,0)</f>
        <v>0</v>
      </c>
      <c r="AN1621" s="47" t="str">
        <f aca="false">IF($AM1621=1,$A1621,"")</f>
        <v/>
      </c>
    </row>
    <row r="1622" customFormat="false" ht="15" hidden="false" customHeight="false" outlineLevel="0" collapsed="false">
      <c r="A1622" s="43" t="s">
        <v>162</v>
      </c>
      <c r="B1622" s="44" t="s">
        <v>164</v>
      </c>
      <c r="C1622" s="45" t="n">
        <v>45985</v>
      </c>
      <c r="D1622" s="46" t="n">
        <v>20251124</v>
      </c>
      <c r="E1622" s="47" t="s">
        <v>345</v>
      </c>
      <c r="F1622" s="48" t="n">
        <v>1854</v>
      </c>
      <c r="G1622" s="48" t="n">
        <v>1894</v>
      </c>
      <c r="H1622" s="48" t="n">
        <v>1850</v>
      </c>
      <c r="I1622" s="48" t="n">
        <v>1874</v>
      </c>
      <c r="J1622" s="48" t="n">
        <v>1864</v>
      </c>
      <c r="K1622" s="48" t="n">
        <v>1870</v>
      </c>
      <c r="L1622" s="48" t="n">
        <v>79583977</v>
      </c>
      <c r="M1622" s="48" t="n">
        <v>149140372898</v>
      </c>
      <c r="N1622" s="48" t="n">
        <v>4234</v>
      </c>
      <c r="O1622" s="48" t="n">
        <v>36446312</v>
      </c>
      <c r="P1622" s="48" t="n">
        <v>40013811</v>
      </c>
      <c r="Q1622" s="48" t="n">
        <v>1711</v>
      </c>
      <c r="R1622" s="48" t="n">
        <v>1723</v>
      </c>
      <c r="S1622" s="48" t="n">
        <v>43137665</v>
      </c>
      <c r="T1622" s="48" t="n">
        <v>39570166</v>
      </c>
      <c r="U1622" s="46" t="n">
        <f aca="false">IF($A1622=$A1621,$U1621+1,1)</f>
        <v>58</v>
      </c>
      <c r="V1622" s="48" t="n">
        <f aca="false">IF($U1622&gt;=MA_SHORT,AVERAGE(INDEX($I$1222:$I1622,402-MA_SHORT):$I1622),"")</f>
        <v>1911.1</v>
      </c>
      <c r="W1622" s="48" t="n">
        <f aca="false">IF($U1622&gt;=MA_MED,AVERAGE(INDEX($I$1222:$I1622,402-MA_MED):$I1622),"")</f>
        <v>1980.44</v>
      </c>
      <c r="X1622" s="48" t="str">
        <f aca="false">IF($U1622&gt;=MA_LONG1,AVERAGE(INDEX($I$1222:$I1622,402-MA_LONG1):$I1622),"")</f>
        <v/>
      </c>
      <c r="Y1622" s="48" t="str">
        <f aca="false">IF($U1622&gt;=MA_LONG2,AVERAGE(INDEX($I$1222:$I1622,402-MA_LONG2):$I1622),"")</f>
        <v/>
      </c>
      <c r="Z1622" s="48" t="n">
        <f aca="false">IF($U1622&gt;=MA_SHORT,AVERAGE(INDEX($L$1502:$L1622,122-MA_SHORT):$L1622),"")</f>
        <v>91192057.8</v>
      </c>
      <c r="AA1622" s="48" t="n">
        <f aca="false">IF($U1622=1,$G1622-$H1622,MAX($G1622-$H1622,ABS($G1622-$I1621),ABS($H1622-$I1621)))</f>
        <v>44</v>
      </c>
      <c r="AB1622" s="48" t="n">
        <f aca="false">IF($U1622&gt;=ATR_PER,AVERAGE(INDEX($AA$1502:$AA1622,122-ATR_PER):$AA1622),"")</f>
        <v>48.6428571428571</v>
      </c>
      <c r="AC1622" s="48" t="n">
        <f aca="false">$O1622-$P1622</f>
        <v>-3567499</v>
      </c>
      <c r="AD1622" s="48" t="n">
        <f aca="false">$AC1622*$I1622</f>
        <v>-6685493126</v>
      </c>
      <c r="AE1622" s="49" t="n">
        <f aca="false">IF($Q1622&gt;0,$O1622*$I1622/$Q1622/1000000,"")</f>
        <v>39.9184036750438</v>
      </c>
      <c r="AF1622" s="49" t="n">
        <f aca="false">IF($R1622&gt;0,$P1622*$I1622/$R1622/1000000,"")</f>
        <v>43.5205350052234</v>
      </c>
      <c r="AG1622" s="50" t="n">
        <f aca="false">IF(AND(ISNUMBER($AE1622),ISNUMBER($AF1622),$AF1622&gt;0),$AE1622/$AF1622,"")</f>
        <v>0.917231455685293</v>
      </c>
      <c r="AH1622" s="48" t="n">
        <f aca="false">IF($U1622&gt;=5,SUM(INDEX($AD$1592:$AD1622,32-5):$AD1622),"")</f>
        <v>-102560529268</v>
      </c>
      <c r="AI1622" s="48" t="n">
        <f aca="false">IF($U1622&gt;=STRUCT_S,MAX(INDEX($G$1472:$G1622,152-STRUCT_S):$G1622),"")</f>
        <v>2047</v>
      </c>
      <c r="AJ1622" s="48" t="n">
        <f aca="false">IF($U1622&gt;=STRUCT_S,MIN(INDEX($H$1472:$H1622,152-STRUCT_S):$H1622),"")</f>
        <v>1832</v>
      </c>
      <c r="AK1622" s="48" t="str">
        <f aca="false">IF($U1622&gt;=STRUCT_L,MAX(INDEX($G$1372:$G1622,252-STRUCT_L):$G1622),"")</f>
        <v/>
      </c>
      <c r="AL1622" s="48" t="str">
        <f aca="false">IF($U1622&gt;=STRUCT_L,MIN(INDEX($H$1372:$H1622,252-STRUCT_L):$H1622),"")</f>
        <v/>
      </c>
      <c r="AM1622" s="46" t="n">
        <f aca="false">IF($A1622&lt;&gt;$A1623,1,0)</f>
        <v>0</v>
      </c>
      <c r="AN1622" s="47" t="str">
        <f aca="false">IF($AM1622=1,$A1622,"")</f>
        <v/>
      </c>
    </row>
    <row r="1623" customFormat="false" ht="15" hidden="false" customHeight="false" outlineLevel="0" collapsed="false">
      <c r="A1623" s="43" t="s">
        <v>162</v>
      </c>
      <c r="B1623" s="44" t="s">
        <v>164</v>
      </c>
      <c r="C1623" s="45" t="n">
        <v>45986</v>
      </c>
      <c r="D1623" s="46" t="n">
        <v>20251125</v>
      </c>
      <c r="E1623" s="47" t="s">
        <v>346</v>
      </c>
      <c r="F1623" s="48" t="n">
        <v>1892</v>
      </c>
      <c r="G1623" s="48" t="n">
        <v>1898</v>
      </c>
      <c r="H1623" s="48" t="n">
        <v>1859</v>
      </c>
      <c r="I1623" s="48" t="n">
        <v>1883</v>
      </c>
      <c r="J1623" s="48" t="n">
        <v>1892</v>
      </c>
      <c r="K1623" s="48" t="n">
        <v>1874</v>
      </c>
      <c r="L1623" s="48" t="n">
        <v>165258841</v>
      </c>
      <c r="M1623" s="48" t="n">
        <v>311182397603</v>
      </c>
      <c r="N1623" s="48" t="n">
        <v>8479</v>
      </c>
      <c r="O1623" s="48" t="n">
        <v>79271664</v>
      </c>
      <c r="P1623" s="48" t="n">
        <v>96583897</v>
      </c>
      <c r="Q1623" s="48" t="n">
        <v>3823</v>
      </c>
      <c r="R1623" s="48" t="n">
        <v>4061</v>
      </c>
      <c r="S1623" s="48" t="n">
        <v>85987177</v>
      </c>
      <c r="T1623" s="48" t="n">
        <v>68674944</v>
      </c>
      <c r="U1623" s="46" t="n">
        <f aca="false">IF($A1623=$A1622,$U1622+1,1)</f>
        <v>59</v>
      </c>
      <c r="V1623" s="48" t="n">
        <f aca="false">IF($U1623&gt;=MA_SHORT,AVERAGE(INDEX($I$1223:$I1623,402-MA_SHORT):$I1623),"")</f>
        <v>1903.7</v>
      </c>
      <c r="W1623" s="48" t="n">
        <f aca="false">IF($U1623&gt;=MA_MED,AVERAGE(INDEX($I$1223:$I1623,402-MA_MED):$I1623),"")</f>
        <v>1978.6</v>
      </c>
      <c r="X1623" s="48" t="str">
        <f aca="false">IF($U1623&gt;=MA_LONG1,AVERAGE(INDEX($I$1223:$I1623,402-MA_LONG1):$I1623),"")</f>
        <v/>
      </c>
      <c r="Y1623" s="48" t="str">
        <f aca="false">IF($U1623&gt;=MA_LONG2,AVERAGE(INDEX($I$1223:$I1623,402-MA_LONG2):$I1623),"")</f>
        <v/>
      </c>
      <c r="Z1623" s="48" t="n">
        <f aca="false">IF($U1623&gt;=MA_SHORT,AVERAGE(INDEX($L$1503:$L1623,122-MA_SHORT):$L1623),"")</f>
        <v>95433005.2</v>
      </c>
      <c r="AA1623" s="48" t="n">
        <f aca="false">IF($U1623=1,$G1623-$H1623,MAX($G1623-$H1623,ABS($G1623-$I1622),ABS($H1623-$I1622)))</f>
        <v>39</v>
      </c>
      <c r="AB1623" s="48" t="n">
        <f aca="false">IF($U1623&gt;=ATR_PER,AVERAGE(INDEX($AA$1503:$AA1623,122-ATR_PER):$AA1623),"")</f>
        <v>48.0714285714286</v>
      </c>
      <c r="AC1623" s="48" t="n">
        <f aca="false">$O1623-$P1623</f>
        <v>-17312233</v>
      </c>
      <c r="AD1623" s="48" t="n">
        <f aca="false">$AC1623*$I1623</f>
        <v>-32598934739</v>
      </c>
      <c r="AE1623" s="49" t="n">
        <f aca="false">IF($Q1623&gt;0,$O1623*$I1623/$Q1623/1000000,"")</f>
        <v>39.044871386869</v>
      </c>
      <c r="AF1623" s="49" t="n">
        <f aca="false">IF($R1623&gt;0,$P1623*$I1623/$R1623/1000000,"")</f>
        <v>44.783914811869</v>
      </c>
      <c r="AG1623" s="50" t="n">
        <f aca="false">IF(AND(ISNUMBER($AE1623),ISNUMBER($AF1623),$AF1623&gt;0),$AE1623/$AF1623,"")</f>
        <v>0.871850340705832</v>
      </c>
      <c r="AH1623" s="48" t="n">
        <f aca="false">IF($U1623&gt;=5,SUM(INDEX($AD$1593:$AD1623,32-5):$AD1623),"")</f>
        <v>-158477221535</v>
      </c>
      <c r="AI1623" s="48" t="n">
        <f aca="false">IF($U1623&gt;=STRUCT_S,MAX(INDEX($G$1473:$G1623,152-STRUCT_S):$G1623),"")</f>
        <v>2041</v>
      </c>
      <c r="AJ1623" s="48" t="n">
        <f aca="false">IF($U1623&gt;=STRUCT_S,MIN(INDEX($H$1473:$H1623,152-STRUCT_S):$H1623),"")</f>
        <v>1832</v>
      </c>
      <c r="AK1623" s="48" t="str">
        <f aca="false">IF($U1623&gt;=STRUCT_L,MAX(INDEX($G$1373:$G1623,252-STRUCT_L):$G1623),"")</f>
        <v/>
      </c>
      <c r="AL1623" s="48" t="str">
        <f aca="false">IF($U1623&gt;=STRUCT_L,MIN(INDEX($H$1373:$H1623,252-STRUCT_L):$H1623),"")</f>
        <v/>
      </c>
      <c r="AM1623" s="46" t="n">
        <f aca="false">IF($A1623&lt;&gt;$A1624,1,0)</f>
        <v>0</v>
      </c>
      <c r="AN1623" s="47" t="str">
        <f aca="false">IF($AM1623=1,$A1623,"")</f>
        <v/>
      </c>
    </row>
    <row r="1624" customFormat="false" ht="15" hidden="false" customHeight="false" outlineLevel="0" collapsed="false">
      <c r="A1624" s="43" t="s">
        <v>162</v>
      </c>
      <c r="B1624" s="44" t="s">
        <v>164</v>
      </c>
      <c r="C1624" s="45" t="n">
        <v>45987</v>
      </c>
      <c r="D1624" s="46" t="n">
        <v>20251126</v>
      </c>
      <c r="E1624" s="47" t="s">
        <v>347</v>
      </c>
      <c r="F1624" s="48" t="n">
        <v>1883</v>
      </c>
      <c r="G1624" s="48" t="n">
        <v>1961</v>
      </c>
      <c r="H1624" s="48" t="n">
        <v>1855</v>
      </c>
      <c r="I1624" s="48" t="n">
        <v>1932</v>
      </c>
      <c r="J1624" s="48" t="n">
        <v>1893</v>
      </c>
      <c r="K1624" s="48" t="n">
        <v>1883</v>
      </c>
      <c r="L1624" s="48" t="n">
        <v>93899145</v>
      </c>
      <c r="M1624" s="48" t="n">
        <v>181413148140</v>
      </c>
      <c r="N1624" s="48" t="n">
        <v>2512</v>
      </c>
      <c r="O1624" s="48" t="n">
        <v>62126327</v>
      </c>
      <c r="P1624" s="48" t="n">
        <v>35230578</v>
      </c>
      <c r="Q1624" s="48" t="n">
        <v>1195</v>
      </c>
      <c r="R1624" s="48" t="n">
        <v>1216</v>
      </c>
      <c r="S1624" s="48" t="n">
        <v>31772818</v>
      </c>
      <c r="T1624" s="48" t="n">
        <v>58668567</v>
      </c>
      <c r="U1624" s="46" t="n">
        <f aca="false">IF($A1624=$A1623,$U1623+1,1)</f>
        <v>60</v>
      </c>
      <c r="V1624" s="48" t="n">
        <f aca="false">IF($U1624&gt;=MA_SHORT,AVERAGE(INDEX($I$1224:$I1624,402-MA_SHORT):$I1624),"")</f>
        <v>1900.85</v>
      </c>
      <c r="W1624" s="48" t="n">
        <f aca="false">IF($U1624&gt;=MA_MED,AVERAGE(INDEX($I$1224:$I1624,402-MA_MED):$I1624),"")</f>
        <v>1977.26</v>
      </c>
      <c r="X1624" s="48" t="str">
        <f aca="false">IF($U1624&gt;=MA_LONG1,AVERAGE(INDEX($I$1224:$I1624,402-MA_LONG1):$I1624),"")</f>
        <v/>
      </c>
      <c r="Y1624" s="48" t="str">
        <f aca="false">IF($U1624&gt;=MA_LONG2,AVERAGE(INDEX($I$1224:$I1624,402-MA_LONG2):$I1624),"")</f>
        <v/>
      </c>
      <c r="Z1624" s="48" t="n">
        <f aca="false">IF($U1624&gt;=MA_SHORT,AVERAGE(INDEX($L$1504:$L1624,122-MA_SHORT):$L1624),"")</f>
        <v>94501842.3</v>
      </c>
      <c r="AA1624" s="48" t="n">
        <f aca="false">IF($U1624=1,$G1624-$H1624,MAX($G1624-$H1624,ABS($G1624-$I1623),ABS($H1624-$I1623)))</f>
        <v>106</v>
      </c>
      <c r="AB1624" s="48" t="n">
        <f aca="false">IF($U1624&gt;=ATR_PER,AVERAGE(INDEX($AA$1504:$AA1624,122-ATR_PER):$AA1624),"")</f>
        <v>50.1428571428571</v>
      </c>
      <c r="AC1624" s="48" t="n">
        <f aca="false">$O1624-$P1624</f>
        <v>26895749</v>
      </c>
      <c r="AD1624" s="48" t="n">
        <f aca="false">$AC1624*$I1624</f>
        <v>51962587068</v>
      </c>
      <c r="AE1624" s="49" t="n">
        <f aca="false">IF($Q1624&gt;0,$O1624*$I1624/$Q1624/1000000,"")</f>
        <v>100.44189436318</v>
      </c>
      <c r="AF1624" s="49" t="n">
        <f aca="false">IF($R1624&gt;0,$P1624*$I1624/$R1624/1000000,"")</f>
        <v>55.9748985986842</v>
      </c>
      <c r="AG1624" s="50" t="n">
        <f aca="false">IF(AND(ISNUMBER($AE1624),ISNUMBER($AF1624),$AF1624&gt;0),$AE1624/$AF1624,"")</f>
        <v>1.79440958139656</v>
      </c>
      <c r="AH1624" s="48" t="n">
        <f aca="false">IF($U1624&gt;=5,SUM(INDEX($AD$1594:$AD1624,32-5):$AD1624),"")</f>
        <v>-63627338647</v>
      </c>
      <c r="AI1624" s="48" t="n">
        <f aca="false">IF($U1624&gt;=STRUCT_S,MAX(INDEX($G$1474:$G1624,152-STRUCT_S):$G1624),"")</f>
        <v>1999</v>
      </c>
      <c r="AJ1624" s="48" t="n">
        <f aca="false">IF($U1624&gt;=STRUCT_S,MIN(INDEX($H$1474:$H1624,152-STRUCT_S):$H1624),"")</f>
        <v>1832</v>
      </c>
      <c r="AK1624" s="48" t="n">
        <f aca="false">IF($U1624&gt;=STRUCT_L,MAX(INDEX($G$1374:$G1624,252-STRUCT_L):$G1624),"")</f>
        <v>2113</v>
      </c>
      <c r="AL1624" s="48" t="n">
        <f aca="false">IF($U1624&gt;=STRUCT_L,MIN(INDEX($H$1374:$H1624,252-STRUCT_L):$H1624),"")</f>
        <v>1832</v>
      </c>
      <c r="AM1624" s="46" t="n">
        <f aca="false">IF($A1624&lt;&gt;$A1625,1,0)</f>
        <v>0</v>
      </c>
      <c r="AN1624" s="47" t="str">
        <f aca="false">IF($AM1624=1,$A1624,"")</f>
        <v/>
      </c>
    </row>
    <row r="1625" customFormat="false" ht="15" hidden="false" customHeight="false" outlineLevel="0" collapsed="false">
      <c r="A1625" s="43" t="s">
        <v>162</v>
      </c>
      <c r="B1625" s="44" t="s">
        <v>164</v>
      </c>
      <c r="C1625" s="45" t="n">
        <v>45990</v>
      </c>
      <c r="D1625" s="46" t="n">
        <v>20251129</v>
      </c>
      <c r="E1625" s="47" t="s">
        <v>348</v>
      </c>
      <c r="F1625" s="48" t="n">
        <v>1928</v>
      </c>
      <c r="G1625" s="48" t="n">
        <v>1963</v>
      </c>
      <c r="H1625" s="48" t="n">
        <v>1896</v>
      </c>
      <c r="I1625" s="48" t="n">
        <v>1927</v>
      </c>
      <c r="J1625" s="48" t="n">
        <v>1899</v>
      </c>
      <c r="K1625" s="48" t="n">
        <v>1932</v>
      </c>
      <c r="L1625" s="48" t="n">
        <v>100727765</v>
      </c>
      <c r="M1625" s="48" t="n">
        <v>194102403155</v>
      </c>
      <c r="N1625" s="48" t="n">
        <v>5646</v>
      </c>
      <c r="O1625" s="48" t="n">
        <v>40641560</v>
      </c>
      <c r="P1625" s="48" t="n">
        <v>52459683</v>
      </c>
      <c r="Q1625" s="48" t="n">
        <v>1786</v>
      </c>
      <c r="R1625" s="48" t="n">
        <v>2558</v>
      </c>
      <c r="S1625" s="48" t="n">
        <v>60086205</v>
      </c>
      <c r="T1625" s="48" t="n">
        <v>48268082</v>
      </c>
      <c r="U1625" s="46" t="n">
        <f aca="false">IF($A1625=$A1624,$U1624+1,1)</f>
        <v>61</v>
      </c>
      <c r="V1625" s="48" t="n">
        <f aca="false">IF($U1625&gt;=MA_SHORT,AVERAGE(INDEX($I$1225:$I1625,402-MA_SHORT):$I1625),"")</f>
        <v>1899.4</v>
      </c>
      <c r="W1625" s="48" t="n">
        <f aca="false">IF($U1625&gt;=MA_MED,AVERAGE(INDEX($I$1225:$I1625,402-MA_MED):$I1625),"")</f>
        <v>1976.1</v>
      </c>
      <c r="X1625" s="48" t="str">
        <f aca="false">IF($U1625&gt;=MA_LONG1,AVERAGE(INDEX($I$1225:$I1625,402-MA_LONG1):$I1625),"")</f>
        <v/>
      </c>
      <c r="Y1625" s="48" t="str">
        <f aca="false">IF($U1625&gt;=MA_LONG2,AVERAGE(INDEX($I$1225:$I1625,402-MA_LONG2):$I1625),"")</f>
        <v/>
      </c>
      <c r="Z1625" s="48" t="n">
        <f aca="false">IF($U1625&gt;=MA_SHORT,AVERAGE(INDEX($L$1505:$L1625,122-MA_SHORT):$L1625),"")</f>
        <v>94567557.4</v>
      </c>
      <c r="AA1625" s="48" t="n">
        <f aca="false">IF($U1625=1,$G1625-$H1625,MAX($G1625-$H1625,ABS($G1625-$I1624),ABS($H1625-$I1624)))</f>
        <v>67</v>
      </c>
      <c r="AB1625" s="48" t="n">
        <f aca="false">IF($U1625&gt;=ATR_PER,AVERAGE(INDEX($AA$1505:$AA1625,122-ATR_PER):$AA1625),"")</f>
        <v>50.2142857142857</v>
      </c>
      <c r="AC1625" s="48" t="n">
        <f aca="false">$O1625-$P1625</f>
        <v>-11818123</v>
      </c>
      <c r="AD1625" s="48" t="n">
        <f aca="false">$AC1625*$I1625</f>
        <v>-22773523021</v>
      </c>
      <c r="AE1625" s="49" t="n">
        <f aca="false">IF($Q1625&gt;0,$O1625*$I1625/$Q1625/1000000,"")</f>
        <v>43.8501042105263</v>
      </c>
      <c r="AF1625" s="49" t="n">
        <f aca="false">IF($R1625&gt;0,$P1625*$I1625/$R1625/1000000,"")</f>
        <v>39.519080977717</v>
      </c>
      <c r="AG1625" s="50" t="n">
        <f aca="false">IF(AND(ISNUMBER($AE1625),ISNUMBER($AF1625),$AF1625&gt;0),$AE1625/$AF1625,"")</f>
        <v>1.10959321739419</v>
      </c>
      <c r="AH1625" s="48" t="n">
        <f aca="false">IF($U1625&gt;=5,SUM(INDEX($AD$1595:$AD1625,32-5):$AD1625),"")</f>
        <v>-27049372868</v>
      </c>
      <c r="AI1625" s="48" t="n">
        <f aca="false">IF($U1625&gt;=STRUCT_S,MAX(INDEX($G$1475:$G1625,152-STRUCT_S):$G1625),"")</f>
        <v>1983</v>
      </c>
      <c r="AJ1625" s="48" t="n">
        <f aca="false">IF($U1625&gt;=STRUCT_S,MIN(INDEX($H$1475:$H1625,152-STRUCT_S):$H1625),"")</f>
        <v>1832</v>
      </c>
      <c r="AK1625" s="48" t="n">
        <f aca="false">IF($U1625&gt;=STRUCT_L,MAX(INDEX($G$1375:$G1625,252-STRUCT_L):$G1625),"")</f>
        <v>2113</v>
      </c>
      <c r="AL1625" s="48" t="n">
        <f aca="false">IF($U1625&gt;=STRUCT_L,MIN(INDEX($H$1375:$H1625,252-STRUCT_L):$H1625),"")</f>
        <v>1832</v>
      </c>
      <c r="AM1625" s="46" t="n">
        <f aca="false">IF($A1625&lt;&gt;$A1626,1,0)</f>
        <v>0</v>
      </c>
      <c r="AN1625" s="47" t="str">
        <f aca="false">IF($AM1625=1,$A1625,"")</f>
        <v/>
      </c>
    </row>
    <row r="1626" customFormat="false" ht="15" hidden="false" customHeight="false" outlineLevel="0" collapsed="false">
      <c r="A1626" s="43" t="s">
        <v>162</v>
      </c>
      <c r="B1626" s="44" t="s">
        <v>164</v>
      </c>
      <c r="C1626" s="45" t="n">
        <v>45991</v>
      </c>
      <c r="D1626" s="46" t="n">
        <v>20251130</v>
      </c>
      <c r="E1626" s="47" t="s">
        <v>349</v>
      </c>
      <c r="F1626" s="48" t="n">
        <v>1923</v>
      </c>
      <c r="G1626" s="48" t="n">
        <v>1946</v>
      </c>
      <c r="H1626" s="48" t="n">
        <v>1898</v>
      </c>
      <c r="I1626" s="48" t="n">
        <v>1917</v>
      </c>
      <c r="J1626" s="48" t="n">
        <v>1903</v>
      </c>
      <c r="K1626" s="48" t="n">
        <v>1927</v>
      </c>
      <c r="L1626" s="48" t="n">
        <v>107221007</v>
      </c>
      <c r="M1626" s="48" t="n">
        <v>205542670419</v>
      </c>
      <c r="N1626" s="48" t="n">
        <v>7119</v>
      </c>
      <c r="O1626" s="48" t="n">
        <v>45803605</v>
      </c>
      <c r="P1626" s="48" t="n">
        <v>59633798</v>
      </c>
      <c r="Q1626" s="48" t="n">
        <v>2691</v>
      </c>
      <c r="R1626" s="48" t="n">
        <v>2871</v>
      </c>
      <c r="S1626" s="48" t="n">
        <v>61417402</v>
      </c>
      <c r="T1626" s="48" t="n">
        <v>47587209</v>
      </c>
      <c r="U1626" s="46" t="n">
        <f aca="false">IF($A1626=$A1625,$U1625+1,1)</f>
        <v>62</v>
      </c>
      <c r="V1626" s="48" t="n">
        <f aca="false">IF($U1626&gt;=MA_SHORT,AVERAGE(INDEX($I$1226:$I1626,402-MA_SHORT):$I1626),"")</f>
        <v>1898</v>
      </c>
      <c r="W1626" s="48" t="n">
        <f aca="false">IF($U1626&gt;=MA_MED,AVERAGE(INDEX($I$1226:$I1626,402-MA_MED):$I1626),"")</f>
        <v>1974.2</v>
      </c>
      <c r="X1626" s="48" t="str">
        <f aca="false">IF($U1626&gt;=MA_LONG1,AVERAGE(INDEX($I$1226:$I1626,402-MA_LONG1):$I1626),"")</f>
        <v/>
      </c>
      <c r="Y1626" s="48" t="str">
        <f aca="false">IF($U1626&gt;=MA_LONG2,AVERAGE(INDEX($I$1226:$I1626,402-MA_LONG2):$I1626),"")</f>
        <v/>
      </c>
      <c r="Z1626" s="48" t="n">
        <f aca="false">IF($U1626&gt;=MA_SHORT,AVERAGE(INDEX($L$1506:$L1626,122-MA_SHORT):$L1626),"")</f>
        <v>95867265.65</v>
      </c>
      <c r="AA1626" s="48" t="n">
        <f aca="false">IF($U1626=1,$G1626-$H1626,MAX($G1626-$H1626,ABS($G1626-$I1625),ABS($H1626-$I1625)))</f>
        <v>48</v>
      </c>
      <c r="AB1626" s="48" t="n">
        <f aca="false">IF($U1626&gt;=ATR_PER,AVERAGE(INDEX($AA$1506:$AA1626,122-ATR_PER):$AA1626),"")</f>
        <v>52.5714285714286</v>
      </c>
      <c r="AC1626" s="48" t="n">
        <f aca="false">$O1626-$P1626</f>
        <v>-13830193</v>
      </c>
      <c r="AD1626" s="48" t="n">
        <f aca="false">$AC1626*$I1626</f>
        <v>-26512479981</v>
      </c>
      <c r="AE1626" s="49" t="n">
        <f aca="false">IF($Q1626&gt;0,$O1626*$I1626/$Q1626/1000000,"")</f>
        <v>32.6293239632107</v>
      </c>
      <c r="AF1626" s="49" t="n">
        <f aca="false">IF($R1626&gt;0,$P1626*$I1626/$R1626/1000000,"")</f>
        <v>39.8181786018809</v>
      </c>
      <c r="AG1626" s="50" t="n">
        <f aca="false">IF(AND(ISNUMBER($AE1626),ISNUMBER($AF1626),$AF1626&gt;0),$AE1626/$AF1626,"")</f>
        <v>0.819457973943323</v>
      </c>
      <c r="AH1626" s="48" t="n">
        <f aca="false">IF($U1626&gt;=5,SUM(INDEX($AD$1596:$AD1626,32-5):$AD1626),"")</f>
        <v>-36607843799</v>
      </c>
      <c r="AI1626" s="48" t="n">
        <f aca="false">IF($U1626&gt;=STRUCT_S,MAX(INDEX($G$1476:$G1626,152-STRUCT_S):$G1626),"")</f>
        <v>1983</v>
      </c>
      <c r="AJ1626" s="48" t="n">
        <f aca="false">IF($U1626&gt;=STRUCT_S,MIN(INDEX($H$1476:$H1626,152-STRUCT_S):$H1626),"")</f>
        <v>1832</v>
      </c>
      <c r="AK1626" s="48" t="n">
        <f aca="false">IF($U1626&gt;=STRUCT_L,MAX(INDEX($G$1376:$G1626,252-STRUCT_L):$G1626),"")</f>
        <v>2113</v>
      </c>
      <c r="AL1626" s="48" t="n">
        <f aca="false">IF($U1626&gt;=STRUCT_L,MIN(INDEX($H$1376:$H1626,252-STRUCT_L):$H1626),"")</f>
        <v>1832</v>
      </c>
      <c r="AM1626" s="46" t="n">
        <f aca="false">IF($A1626&lt;&gt;$A1627,1,0)</f>
        <v>0</v>
      </c>
      <c r="AN1626" s="47" t="str">
        <f aca="false">IF($AM1626=1,$A1626,"")</f>
        <v/>
      </c>
    </row>
    <row r="1627" customFormat="false" ht="15" hidden="false" customHeight="false" outlineLevel="0" collapsed="false">
      <c r="A1627" s="43" t="s">
        <v>162</v>
      </c>
      <c r="B1627" s="44" t="s">
        <v>164</v>
      </c>
      <c r="C1627" s="45" t="n">
        <v>45992</v>
      </c>
      <c r="D1627" s="46" t="n">
        <v>20251201</v>
      </c>
      <c r="E1627" s="47" t="s">
        <v>350</v>
      </c>
      <c r="F1627" s="48" t="n">
        <v>1922</v>
      </c>
      <c r="G1627" s="48" t="n">
        <v>1968</v>
      </c>
      <c r="H1627" s="48" t="n">
        <v>1893</v>
      </c>
      <c r="I1627" s="48" t="n">
        <v>1944</v>
      </c>
      <c r="J1627" s="48" t="n">
        <v>1927</v>
      </c>
      <c r="K1627" s="48" t="n">
        <v>1917</v>
      </c>
      <c r="L1627" s="48" t="n">
        <v>85215706</v>
      </c>
      <c r="M1627" s="48" t="n">
        <v>165659332464</v>
      </c>
      <c r="N1627" s="48" t="n">
        <v>9272</v>
      </c>
      <c r="O1627" s="48" t="n">
        <v>52046064</v>
      </c>
      <c r="P1627" s="48" t="n">
        <v>34397860</v>
      </c>
      <c r="Q1627" s="48" t="n">
        <v>4094</v>
      </c>
      <c r="R1627" s="48" t="n">
        <v>4160</v>
      </c>
      <c r="S1627" s="48" t="n">
        <v>33169642</v>
      </c>
      <c r="T1627" s="48" t="n">
        <v>50817846</v>
      </c>
      <c r="U1627" s="46" t="n">
        <f aca="false">IF($A1627=$A1626,$U1626+1,1)</f>
        <v>63</v>
      </c>
      <c r="V1627" s="48" t="n">
        <f aca="false">IF($U1627&gt;=MA_SHORT,AVERAGE(INDEX($I$1227:$I1627,402-MA_SHORT):$I1627),"")</f>
        <v>1897.2</v>
      </c>
      <c r="W1627" s="48" t="n">
        <f aca="false">IF($U1627&gt;=MA_MED,AVERAGE(INDEX($I$1227:$I1627,402-MA_MED):$I1627),"")</f>
        <v>1973.18</v>
      </c>
      <c r="X1627" s="48" t="str">
        <f aca="false">IF($U1627&gt;=MA_LONG1,AVERAGE(INDEX($I$1227:$I1627,402-MA_LONG1):$I1627),"")</f>
        <v/>
      </c>
      <c r="Y1627" s="48" t="str">
        <f aca="false">IF($U1627&gt;=MA_LONG2,AVERAGE(INDEX($I$1227:$I1627,402-MA_LONG2):$I1627),"")</f>
        <v/>
      </c>
      <c r="Z1627" s="48" t="n">
        <f aca="false">IF($U1627&gt;=MA_SHORT,AVERAGE(INDEX($L$1507:$L1627,122-MA_SHORT):$L1627),"")</f>
        <v>95473093.35</v>
      </c>
      <c r="AA1627" s="48" t="n">
        <f aca="false">IF($U1627=1,$G1627-$H1627,MAX($G1627-$H1627,ABS($G1627-$I1626),ABS($H1627-$I1626)))</f>
        <v>75</v>
      </c>
      <c r="AB1627" s="48" t="n">
        <f aca="false">IF($U1627&gt;=ATR_PER,AVERAGE(INDEX($AA$1507:$AA1627,122-ATR_PER):$AA1627),"")</f>
        <v>52.6428571428571</v>
      </c>
      <c r="AC1627" s="48" t="n">
        <f aca="false">$O1627-$P1627</f>
        <v>17648204</v>
      </c>
      <c r="AD1627" s="48" t="n">
        <f aca="false">$AC1627*$I1627</f>
        <v>34308108576</v>
      </c>
      <c r="AE1627" s="49" t="n">
        <f aca="false">IF($Q1627&gt;0,$O1627*$I1627/$Q1627/1000000,"")</f>
        <v>24.7136171021006</v>
      </c>
      <c r="AF1627" s="49" t="n">
        <f aca="false">IF($R1627&gt;0,$P1627*$I1627/$R1627/1000000,"")</f>
        <v>16.0743845769231</v>
      </c>
      <c r="AG1627" s="50" t="n">
        <f aca="false">IF(AND(ISNUMBER($AE1627),ISNUMBER($AF1627),$AF1627&gt;0),$AE1627/$AF1627,"")</f>
        <v>1.53745339262197</v>
      </c>
      <c r="AH1627" s="48" t="n">
        <f aca="false">IF($U1627&gt;=5,SUM(INDEX($AD$1597:$AD1627,32-5):$AD1627),"")</f>
        <v>4385757903</v>
      </c>
      <c r="AI1627" s="48" t="n">
        <f aca="false">IF($U1627&gt;=STRUCT_S,MAX(INDEX($G$1477:$G1627,152-STRUCT_S):$G1627),"")</f>
        <v>1983</v>
      </c>
      <c r="AJ1627" s="48" t="n">
        <f aca="false">IF($U1627&gt;=STRUCT_S,MIN(INDEX($H$1477:$H1627,152-STRUCT_S):$H1627),"")</f>
        <v>1832</v>
      </c>
      <c r="AK1627" s="48" t="n">
        <f aca="false">IF($U1627&gt;=STRUCT_L,MAX(INDEX($G$1377:$G1627,252-STRUCT_L):$G1627),"")</f>
        <v>2113</v>
      </c>
      <c r="AL1627" s="48" t="n">
        <f aca="false">IF($U1627&gt;=STRUCT_L,MIN(INDEX($H$1377:$H1627,252-STRUCT_L):$H1627),"")</f>
        <v>1832</v>
      </c>
      <c r="AM1627" s="46" t="n">
        <f aca="false">IF($A1627&lt;&gt;$A1628,1,0)</f>
        <v>0</v>
      </c>
      <c r="AN1627" s="47" t="str">
        <f aca="false">IF($AM1627=1,$A1627,"")</f>
        <v/>
      </c>
    </row>
    <row r="1628" customFormat="false" ht="15" hidden="false" customHeight="false" outlineLevel="0" collapsed="false">
      <c r="A1628" s="43" t="s">
        <v>162</v>
      </c>
      <c r="B1628" s="44" t="s">
        <v>164</v>
      </c>
      <c r="C1628" s="45" t="n">
        <v>45993</v>
      </c>
      <c r="D1628" s="46" t="n">
        <v>20251202</v>
      </c>
      <c r="E1628" s="47" t="s">
        <v>351</v>
      </c>
      <c r="F1628" s="48" t="n">
        <v>1998</v>
      </c>
      <c r="G1628" s="48" t="n">
        <v>2051</v>
      </c>
      <c r="H1628" s="48" t="n">
        <v>1905</v>
      </c>
      <c r="I1628" s="48" t="n">
        <v>2011</v>
      </c>
      <c r="J1628" s="48" t="n">
        <v>1964</v>
      </c>
      <c r="K1628" s="48" t="n">
        <v>1944</v>
      </c>
      <c r="L1628" s="48" t="n">
        <v>94824163</v>
      </c>
      <c r="M1628" s="48" t="n">
        <v>190691391793</v>
      </c>
      <c r="N1628" s="48" t="n">
        <v>2352</v>
      </c>
      <c r="O1628" s="48" t="n">
        <v>53930196</v>
      </c>
      <c r="P1628" s="48" t="n">
        <v>38073693</v>
      </c>
      <c r="Q1628" s="48" t="n">
        <v>1049</v>
      </c>
      <c r="R1628" s="48" t="n">
        <v>1062</v>
      </c>
      <c r="S1628" s="48" t="n">
        <v>40893967</v>
      </c>
      <c r="T1628" s="48" t="n">
        <v>56750470</v>
      </c>
      <c r="U1628" s="46" t="n">
        <f aca="false">IF($A1628=$A1627,$U1627+1,1)</f>
        <v>64</v>
      </c>
      <c r="V1628" s="48" t="n">
        <f aca="false">IF($U1628&gt;=MA_SHORT,AVERAGE(INDEX($I$1228:$I1628,402-MA_SHORT):$I1628),"")</f>
        <v>1900.15</v>
      </c>
      <c r="W1628" s="48" t="n">
        <f aca="false">IF($U1628&gt;=MA_MED,AVERAGE(INDEX($I$1228:$I1628,402-MA_MED):$I1628),"")</f>
        <v>1973.7</v>
      </c>
      <c r="X1628" s="48" t="str">
        <f aca="false">IF($U1628&gt;=MA_LONG1,AVERAGE(INDEX($I$1228:$I1628,402-MA_LONG1):$I1628),"")</f>
        <v/>
      </c>
      <c r="Y1628" s="48" t="str">
        <f aca="false">IF($U1628&gt;=MA_LONG2,AVERAGE(INDEX($I$1228:$I1628,402-MA_LONG2):$I1628),"")</f>
        <v/>
      </c>
      <c r="Z1628" s="48" t="n">
        <f aca="false">IF($U1628&gt;=MA_SHORT,AVERAGE(INDEX($L$1508:$L1628,122-MA_SHORT):$L1628),"")</f>
        <v>94065772.35</v>
      </c>
      <c r="AA1628" s="48" t="n">
        <f aca="false">IF($U1628=1,$G1628-$H1628,MAX($G1628-$H1628,ABS($G1628-$I1627),ABS($H1628-$I1627)))</f>
        <v>146</v>
      </c>
      <c r="AB1628" s="48" t="n">
        <f aca="false">IF($U1628&gt;=ATR_PER,AVERAGE(INDEX($AA$1508:$AA1628,122-ATR_PER):$AA1628),"")</f>
        <v>58.1428571428571</v>
      </c>
      <c r="AC1628" s="48" t="n">
        <f aca="false">$O1628-$P1628</f>
        <v>15856503</v>
      </c>
      <c r="AD1628" s="48" t="n">
        <f aca="false">$AC1628*$I1628</f>
        <v>31887427533</v>
      </c>
      <c r="AE1628" s="49" t="n">
        <f aca="false">IF($Q1628&gt;0,$O1628*$I1628/$Q1628/1000000,"")</f>
        <v>103.387630272641</v>
      </c>
      <c r="AF1628" s="49" t="n">
        <f aca="false">IF($R1628&gt;0,$P1628*$I1628/$R1628/1000000,"")</f>
        <v>72.0962303418079</v>
      </c>
      <c r="AG1628" s="50" t="n">
        <f aca="false">IF(AND(ISNUMBER($AE1628),ISNUMBER($AF1628),$AF1628&gt;0),$AE1628/$AF1628,"")</f>
        <v>1.43402269137346</v>
      </c>
      <c r="AH1628" s="48" t="n">
        <f aca="false">IF($U1628&gt;=5,SUM(INDEX($AD$1598:$AD1628,32-5):$AD1628),"")</f>
        <v>68872120175</v>
      </c>
      <c r="AI1628" s="48" t="n">
        <f aca="false">IF($U1628&gt;=STRUCT_S,MAX(INDEX($G$1478:$G1628,152-STRUCT_S):$G1628),"")</f>
        <v>2051</v>
      </c>
      <c r="AJ1628" s="48" t="n">
        <f aca="false">IF($U1628&gt;=STRUCT_S,MIN(INDEX($H$1478:$H1628,152-STRUCT_S):$H1628),"")</f>
        <v>1832</v>
      </c>
      <c r="AK1628" s="48" t="n">
        <f aca="false">IF($U1628&gt;=STRUCT_L,MAX(INDEX($G$1378:$G1628,252-STRUCT_L):$G1628),"")</f>
        <v>2113</v>
      </c>
      <c r="AL1628" s="48" t="n">
        <f aca="false">IF($U1628&gt;=STRUCT_L,MIN(INDEX($H$1378:$H1628,252-STRUCT_L):$H1628),"")</f>
        <v>1832</v>
      </c>
      <c r="AM1628" s="46" t="n">
        <f aca="false">IF($A1628&lt;&gt;$A1629,1,0)</f>
        <v>0</v>
      </c>
      <c r="AN1628" s="47" t="str">
        <f aca="false">IF($AM1628=1,$A1628,"")</f>
        <v/>
      </c>
    </row>
    <row r="1629" customFormat="false" ht="15" hidden="false" customHeight="false" outlineLevel="0" collapsed="false">
      <c r="A1629" s="43" t="s">
        <v>162</v>
      </c>
      <c r="B1629" s="44" t="s">
        <v>164</v>
      </c>
      <c r="C1629" s="45" t="n">
        <v>45994</v>
      </c>
      <c r="D1629" s="46" t="n">
        <v>20251203</v>
      </c>
      <c r="E1629" s="47" t="s">
        <v>352</v>
      </c>
      <c r="F1629" s="48" t="n">
        <v>1994</v>
      </c>
      <c r="G1629" s="48" t="n">
        <v>2031</v>
      </c>
      <c r="H1629" s="48" t="n">
        <v>1981</v>
      </c>
      <c r="I1629" s="48" t="n">
        <v>2001</v>
      </c>
      <c r="J1629" s="48" t="n">
        <v>2001</v>
      </c>
      <c r="K1629" s="48" t="n">
        <v>2011</v>
      </c>
      <c r="L1629" s="48" t="n">
        <v>95244098</v>
      </c>
      <c r="M1629" s="48" t="n">
        <v>190583440098</v>
      </c>
      <c r="N1629" s="48" t="n">
        <v>6105</v>
      </c>
      <c r="O1629" s="48" t="n">
        <v>47105367</v>
      </c>
      <c r="P1629" s="48" t="n">
        <v>44439078</v>
      </c>
      <c r="Q1629" s="48" t="n">
        <v>2695</v>
      </c>
      <c r="R1629" s="48" t="n">
        <v>3102</v>
      </c>
      <c r="S1629" s="48" t="n">
        <v>48138731</v>
      </c>
      <c r="T1629" s="48" t="n">
        <v>50805020</v>
      </c>
      <c r="U1629" s="46" t="n">
        <f aca="false">IF($A1629=$A1628,$U1628+1,1)</f>
        <v>65</v>
      </c>
      <c r="V1629" s="48" t="n">
        <f aca="false">IF($U1629&gt;=MA_SHORT,AVERAGE(INDEX($I$1229:$I1629,402-MA_SHORT):$I1629),"")</f>
        <v>1904.35</v>
      </c>
      <c r="W1629" s="48" t="n">
        <f aca="false">IF($U1629&gt;=MA_MED,AVERAGE(INDEX($I$1229:$I1629,402-MA_MED):$I1629),"")</f>
        <v>1973.32</v>
      </c>
      <c r="X1629" s="48" t="str">
        <f aca="false">IF($U1629&gt;=MA_LONG1,AVERAGE(INDEX($I$1229:$I1629,402-MA_LONG1):$I1629),"")</f>
        <v/>
      </c>
      <c r="Y1629" s="48" t="str">
        <f aca="false">IF($U1629&gt;=MA_LONG2,AVERAGE(INDEX($I$1229:$I1629,402-MA_LONG2):$I1629),"")</f>
        <v/>
      </c>
      <c r="Z1629" s="48" t="n">
        <f aca="false">IF($U1629&gt;=MA_SHORT,AVERAGE(INDEX($L$1509:$L1629,122-MA_SHORT):$L1629),"")</f>
        <v>94139284.75</v>
      </c>
      <c r="AA1629" s="48" t="n">
        <f aca="false">IF($U1629=1,$G1629-$H1629,MAX($G1629-$H1629,ABS($G1629-$I1628),ABS($H1629-$I1628)))</f>
        <v>50</v>
      </c>
      <c r="AB1629" s="48" t="n">
        <f aca="false">IF($U1629&gt;=ATR_PER,AVERAGE(INDEX($AA$1509:$AA1629,122-ATR_PER):$AA1629),"")</f>
        <v>59.8571428571429</v>
      </c>
      <c r="AC1629" s="48" t="n">
        <f aca="false">$O1629-$P1629</f>
        <v>2666289</v>
      </c>
      <c r="AD1629" s="48" t="n">
        <f aca="false">$AC1629*$I1629</f>
        <v>5335244289</v>
      </c>
      <c r="AE1629" s="49" t="n">
        <f aca="false">IF($Q1629&gt;0,$O1629*$I1629/$Q1629/1000000,"")</f>
        <v>34.9750795424861</v>
      </c>
      <c r="AF1629" s="49" t="n">
        <f aca="false">IF($R1629&gt;0,$P1629*$I1629/$R1629/1000000,"")</f>
        <v>28.6662137582205</v>
      </c>
      <c r="AG1629" s="50" t="n">
        <f aca="false">IF(AND(ISNUMBER($AE1629),ISNUMBER($AF1629),$AF1629&gt;0),$AE1629/$AF1629,"")</f>
        <v>1.22008019048056</v>
      </c>
      <c r="AH1629" s="48" t="n">
        <f aca="false">IF($U1629&gt;=5,SUM(INDEX($AD$1599:$AD1629,32-5):$AD1629),"")</f>
        <v>22244777396</v>
      </c>
      <c r="AI1629" s="48" t="n">
        <f aca="false">IF($U1629&gt;=STRUCT_S,MAX(INDEX($G$1479:$G1629,152-STRUCT_S):$G1629),"")</f>
        <v>2051</v>
      </c>
      <c r="AJ1629" s="48" t="n">
        <f aca="false">IF($U1629&gt;=STRUCT_S,MIN(INDEX($H$1479:$H1629,152-STRUCT_S):$H1629),"")</f>
        <v>1832</v>
      </c>
      <c r="AK1629" s="48" t="n">
        <f aca="false">IF($U1629&gt;=STRUCT_L,MAX(INDEX($G$1379:$G1629,252-STRUCT_L):$G1629),"")</f>
        <v>2113</v>
      </c>
      <c r="AL1629" s="48" t="n">
        <f aca="false">IF($U1629&gt;=STRUCT_L,MIN(INDEX($H$1379:$H1629,252-STRUCT_L):$H1629),"")</f>
        <v>1832</v>
      </c>
      <c r="AM1629" s="46" t="n">
        <f aca="false">IF($A1629&lt;&gt;$A1630,1,0)</f>
        <v>0</v>
      </c>
      <c r="AN1629" s="47" t="str">
        <f aca="false">IF($AM1629=1,$A1629,"")</f>
        <v/>
      </c>
    </row>
    <row r="1630" customFormat="false" ht="15" hidden="false" customHeight="false" outlineLevel="0" collapsed="false">
      <c r="A1630" s="43" t="s">
        <v>162</v>
      </c>
      <c r="B1630" s="44" t="s">
        <v>164</v>
      </c>
      <c r="C1630" s="45" t="n">
        <v>45997</v>
      </c>
      <c r="D1630" s="46" t="n">
        <v>20251206</v>
      </c>
      <c r="E1630" s="47" t="s">
        <v>353</v>
      </c>
      <c r="F1630" s="48" t="n">
        <v>1996</v>
      </c>
      <c r="G1630" s="48" t="n">
        <v>2041</v>
      </c>
      <c r="H1630" s="48" t="n">
        <v>1990</v>
      </c>
      <c r="I1630" s="48" t="n">
        <v>2030</v>
      </c>
      <c r="J1630" s="48" t="n">
        <v>1994</v>
      </c>
      <c r="K1630" s="48" t="n">
        <v>2001</v>
      </c>
      <c r="L1630" s="48" t="n">
        <v>136936014</v>
      </c>
      <c r="M1630" s="48" t="n">
        <v>277980108420</v>
      </c>
      <c r="N1630" s="48" t="n">
        <v>4361</v>
      </c>
      <c r="O1630" s="48" t="n">
        <v>83057697</v>
      </c>
      <c r="P1630" s="48" t="n">
        <v>54617620</v>
      </c>
      <c r="Q1630" s="48" t="n">
        <v>1374</v>
      </c>
      <c r="R1630" s="48" t="n">
        <v>1276</v>
      </c>
      <c r="S1630" s="48" t="n">
        <v>53878317</v>
      </c>
      <c r="T1630" s="48" t="n">
        <v>82318394</v>
      </c>
      <c r="U1630" s="46" t="n">
        <f aca="false">IF($A1630=$A1629,$U1629+1,1)</f>
        <v>66</v>
      </c>
      <c r="V1630" s="48" t="n">
        <f aca="false">IF($U1630&gt;=MA_SHORT,AVERAGE(INDEX($I$1230:$I1630,402-MA_SHORT):$I1630),"")</f>
        <v>1908.7</v>
      </c>
      <c r="W1630" s="48" t="n">
        <f aca="false">IF($U1630&gt;=MA_MED,AVERAGE(INDEX($I$1230:$I1630,402-MA_MED):$I1630),"")</f>
        <v>1974.66</v>
      </c>
      <c r="X1630" s="48" t="str">
        <f aca="false">IF($U1630&gt;=MA_LONG1,AVERAGE(INDEX($I$1230:$I1630,402-MA_LONG1):$I1630),"")</f>
        <v/>
      </c>
      <c r="Y1630" s="48" t="str">
        <f aca="false">IF($U1630&gt;=MA_LONG2,AVERAGE(INDEX($I$1230:$I1630,402-MA_LONG2):$I1630),"")</f>
        <v/>
      </c>
      <c r="Z1630" s="48" t="n">
        <f aca="false">IF($U1630&gt;=MA_SHORT,AVERAGE(INDEX($L$1510:$L1630,122-MA_SHORT):$L1630),"")</f>
        <v>96737596.8</v>
      </c>
      <c r="AA1630" s="48" t="n">
        <f aca="false">IF($U1630=1,$G1630-$H1630,MAX($G1630-$H1630,ABS($G1630-$I1629),ABS($H1630-$I1629)))</f>
        <v>51</v>
      </c>
      <c r="AB1630" s="48" t="n">
        <f aca="false">IF($U1630&gt;=ATR_PER,AVERAGE(INDEX($AA$1510:$AA1630,122-ATR_PER):$AA1630),"")</f>
        <v>61.3571428571429</v>
      </c>
      <c r="AC1630" s="48" t="n">
        <f aca="false">$O1630-$P1630</f>
        <v>28440077</v>
      </c>
      <c r="AD1630" s="48" t="n">
        <f aca="false">$AC1630*$I1630</f>
        <v>57733356310</v>
      </c>
      <c r="AE1630" s="49" t="n">
        <f aca="false">IF($Q1630&gt;0,$O1630*$I1630/$Q1630/1000000,"")</f>
        <v>122.712609104803</v>
      </c>
      <c r="AF1630" s="49" t="n">
        <f aca="false">IF($R1630&gt;0,$P1630*$I1630/$R1630/1000000,"")</f>
        <v>86.8916681818182</v>
      </c>
      <c r="AG1630" s="50" t="n">
        <f aca="false">IF(AND(ISNUMBER($AE1630),ISNUMBER($AF1630),$AF1630&gt;0),$AE1630/$AF1630,"")</f>
        <v>1.4122482819415</v>
      </c>
      <c r="AH1630" s="48" t="n">
        <f aca="false">IF($U1630&gt;=5,SUM(INDEX($AD$1600:$AD1630,32-5):$AD1630),"")</f>
        <v>102751656727</v>
      </c>
      <c r="AI1630" s="48" t="n">
        <f aca="false">IF($U1630&gt;=STRUCT_S,MAX(INDEX($G$1480:$G1630,152-STRUCT_S):$G1630),"")</f>
        <v>2051</v>
      </c>
      <c r="AJ1630" s="48" t="n">
        <f aca="false">IF($U1630&gt;=STRUCT_S,MIN(INDEX($H$1480:$H1630,152-STRUCT_S):$H1630),"")</f>
        <v>1832</v>
      </c>
      <c r="AK1630" s="48" t="n">
        <f aca="false">IF($U1630&gt;=STRUCT_L,MAX(INDEX($G$1380:$G1630,252-STRUCT_L):$G1630),"")</f>
        <v>2113</v>
      </c>
      <c r="AL1630" s="48" t="n">
        <f aca="false">IF($U1630&gt;=STRUCT_L,MIN(INDEX($H$1380:$H1630,252-STRUCT_L):$H1630),"")</f>
        <v>1832</v>
      </c>
      <c r="AM1630" s="46" t="n">
        <f aca="false">IF($A1630&lt;&gt;$A1631,1,0)</f>
        <v>0</v>
      </c>
      <c r="AN1630" s="47" t="str">
        <f aca="false">IF($AM1630=1,$A1630,"")</f>
        <v/>
      </c>
    </row>
    <row r="1631" customFormat="false" ht="15" hidden="false" customHeight="false" outlineLevel="0" collapsed="false">
      <c r="A1631" s="43" t="s">
        <v>162</v>
      </c>
      <c r="B1631" s="44" t="s">
        <v>164</v>
      </c>
      <c r="C1631" s="45" t="n">
        <v>45998</v>
      </c>
      <c r="D1631" s="46" t="n">
        <v>20251207</v>
      </c>
      <c r="E1631" s="47" t="s">
        <v>354</v>
      </c>
      <c r="F1631" s="48" t="n">
        <v>2028</v>
      </c>
      <c r="G1631" s="48" t="n">
        <v>2051</v>
      </c>
      <c r="H1631" s="48" t="n">
        <v>2005</v>
      </c>
      <c r="I1631" s="48" t="n">
        <v>2026</v>
      </c>
      <c r="J1631" s="48" t="n">
        <v>2041</v>
      </c>
      <c r="K1631" s="48" t="n">
        <v>2030</v>
      </c>
      <c r="L1631" s="48" t="n">
        <v>360782106</v>
      </c>
      <c r="M1631" s="48" t="n">
        <v>730944546756</v>
      </c>
      <c r="N1631" s="48" t="n">
        <v>30473</v>
      </c>
      <c r="O1631" s="48" t="n">
        <v>174563828</v>
      </c>
      <c r="P1631" s="48" t="n">
        <v>179320506</v>
      </c>
      <c r="Q1631" s="48" t="n">
        <v>13664</v>
      </c>
      <c r="R1631" s="48" t="n">
        <v>12930</v>
      </c>
      <c r="S1631" s="48" t="n">
        <v>186218278</v>
      </c>
      <c r="T1631" s="48" t="n">
        <v>181461600</v>
      </c>
      <c r="U1631" s="46" t="n">
        <f aca="false">IF($A1631=$A1630,$U1630+1,1)</f>
        <v>67</v>
      </c>
      <c r="V1631" s="48" t="n">
        <f aca="false">IF($U1631&gt;=MA_SHORT,AVERAGE(INDEX($I$1231:$I1631,402-MA_SHORT):$I1631),"")</f>
        <v>1915.25</v>
      </c>
      <c r="W1631" s="48" t="n">
        <f aca="false">IF($U1631&gt;=MA_MED,AVERAGE(INDEX($I$1231:$I1631,402-MA_MED):$I1631),"")</f>
        <v>1974.62</v>
      </c>
      <c r="X1631" s="48" t="str">
        <f aca="false">IF($U1631&gt;=MA_LONG1,AVERAGE(INDEX($I$1231:$I1631,402-MA_LONG1):$I1631),"")</f>
        <v/>
      </c>
      <c r="Y1631" s="48" t="str">
        <f aca="false">IF($U1631&gt;=MA_LONG2,AVERAGE(INDEX($I$1231:$I1631,402-MA_LONG2):$I1631),"")</f>
        <v/>
      </c>
      <c r="Z1631" s="48" t="n">
        <f aca="false">IF($U1631&gt;=MA_SHORT,AVERAGE(INDEX($L$1511:$L1631,122-MA_SHORT):$L1631),"")</f>
        <v>110265585.6</v>
      </c>
      <c r="AA1631" s="48" t="n">
        <f aca="false">IF($U1631=1,$G1631-$H1631,MAX($G1631-$H1631,ABS($G1631-$I1630),ABS($H1631-$I1630)))</f>
        <v>46</v>
      </c>
      <c r="AB1631" s="48" t="n">
        <f aca="false">IF($U1631&gt;=ATR_PER,AVERAGE(INDEX($AA$1511:$AA1631,122-ATR_PER):$AA1631),"")</f>
        <v>61.1428571428571</v>
      </c>
      <c r="AC1631" s="48" t="n">
        <f aca="false">$O1631-$P1631</f>
        <v>-4756678</v>
      </c>
      <c r="AD1631" s="48" t="n">
        <f aca="false">$AC1631*$I1631</f>
        <v>-9637029628</v>
      </c>
      <c r="AE1631" s="49" t="n">
        <f aca="false">IF($Q1631&gt;0,$O1631*$I1631/$Q1631/1000000,"")</f>
        <v>25.8830734432084</v>
      </c>
      <c r="AF1631" s="49" t="n">
        <f aca="false">IF($R1631&gt;0,$P1631*$I1631/$R1631/1000000,"")</f>
        <v>28.0977065085847</v>
      </c>
      <c r="AG1631" s="50" t="n">
        <f aca="false">IF(AND(ISNUMBER($AE1631),ISNUMBER($AF1631),$AF1631&gt;0),$AE1631/$AF1631,"")</f>
        <v>0.921181002275057</v>
      </c>
      <c r="AH1631" s="48" t="n">
        <f aca="false">IF($U1631&gt;=5,SUM(INDEX($AD$1601:$AD1631,32-5):$AD1631),"")</f>
        <v>119627107080</v>
      </c>
      <c r="AI1631" s="48" t="n">
        <f aca="false">IF($U1631&gt;=STRUCT_S,MAX(INDEX($G$1481:$G1631,152-STRUCT_S):$G1631),"")</f>
        <v>2051</v>
      </c>
      <c r="AJ1631" s="48" t="n">
        <f aca="false">IF($U1631&gt;=STRUCT_S,MIN(INDEX($H$1481:$H1631,152-STRUCT_S):$H1631),"")</f>
        <v>1832</v>
      </c>
      <c r="AK1631" s="48" t="n">
        <f aca="false">IF($U1631&gt;=STRUCT_L,MAX(INDEX($G$1381:$G1631,252-STRUCT_L):$G1631),"")</f>
        <v>2113</v>
      </c>
      <c r="AL1631" s="48" t="n">
        <f aca="false">IF($U1631&gt;=STRUCT_L,MIN(INDEX($H$1381:$H1631,252-STRUCT_L):$H1631),"")</f>
        <v>1832</v>
      </c>
      <c r="AM1631" s="46" t="n">
        <f aca="false">IF($A1631&lt;&gt;$A1632,1,0)</f>
        <v>0</v>
      </c>
      <c r="AN1631" s="47" t="str">
        <f aca="false">IF($AM1631=1,$A1631,"")</f>
        <v/>
      </c>
    </row>
    <row r="1632" customFormat="false" ht="15" hidden="false" customHeight="false" outlineLevel="0" collapsed="false">
      <c r="A1632" s="43" t="s">
        <v>162</v>
      </c>
      <c r="B1632" s="44" t="s">
        <v>164</v>
      </c>
      <c r="C1632" s="45" t="n">
        <v>45999</v>
      </c>
      <c r="D1632" s="46" t="n">
        <v>20251208</v>
      </c>
      <c r="E1632" s="47" t="s">
        <v>355</v>
      </c>
      <c r="F1632" s="48" t="n">
        <v>1956</v>
      </c>
      <c r="G1632" s="48" t="n">
        <v>2045</v>
      </c>
      <c r="H1632" s="48" t="n">
        <v>1945</v>
      </c>
      <c r="I1632" s="48" t="n">
        <v>1964</v>
      </c>
      <c r="J1632" s="48" t="n">
        <v>1989</v>
      </c>
      <c r="K1632" s="48" t="n">
        <v>2026</v>
      </c>
      <c r="L1632" s="48" t="n">
        <v>93003011</v>
      </c>
      <c r="M1632" s="48" t="n">
        <v>182657913604</v>
      </c>
      <c r="N1632" s="48" t="n">
        <v>4815</v>
      </c>
      <c r="O1632" s="48" t="n">
        <v>31219639</v>
      </c>
      <c r="P1632" s="48" t="n">
        <v>57838395</v>
      </c>
      <c r="Q1632" s="48" t="n">
        <v>2033</v>
      </c>
      <c r="R1632" s="48" t="n">
        <v>2262</v>
      </c>
      <c r="S1632" s="48" t="n">
        <v>61783372</v>
      </c>
      <c r="T1632" s="48" t="n">
        <v>35164616</v>
      </c>
      <c r="U1632" s="46" t="n">
        <f aca="false">IF($A1632=$A1631,$U1631+1,1)</f>
        <v>68</v>
      </c>
      <c r="V1632" s="48" t="n">
        <f aca="false">IF($U1632&gt;=MA_SHORT,AVERAGE(INDEX($I$1232:$I1632,402-MA_SHORT):$I1632),"")</f>
        <v>1918.65</v>
      </c>
      <c r="W1632" s="48" t="n">
        <f aca="false">IF($U1632&gt;=MA_MED,AVERAGE(INDEX($I$1232:$I1632,402-MA_MED):$I1632),"")</f>
        <v>1973.94</v>
      </c>
      <c r="X1632" s="48" t="str">
        <f aca="false">IF($U1632&gt;=MA_LONG1,AVERAGE(INDEX($I$1232:$I1632,402-MA_LONG1):$I1632),"")</f>
        <v/>
      </c>
      <c r="Y1632" s="48" t="str">
        <f aca="false">IF($U1632&gt;=MA_LONG2,AVERAGE(INDEX($I$1232:$I1632,402-MA_LONG2):$I1632),"")</f>
        <v/>
      </c>
      <c r="Z1632" s="48" t="n">
        <f aca="false">IF($U1632&gt;=MA_SHORT,AVERAGE(INDEX($L$1512:$L1632,122-MA_SHORT):$L1632),"")</f>
        <v>110642945.95</v>
      </c>
      <c r="AA1632" s="48" t="n">
        <f aca="false">IF($U1632=1,$G1632-$H1632,MAX($G1632-$H1632,ABS($G1632-$I1631),ABS($H1632-$I1631)))</f>
        <v>100</v>
      </c>
      <c r="AB1632" s="48" t="n">
        <f aca="false">IF($U1632&gt;=ATR_PER,AVERAGE(INDEX($AA$1512:$AA1632,122-ATR_PER):$AA1632),"")</f>
        <v>62.5</v>
      </c>
      <c r="AC1632" s="48" t="n">
        <f aca="false">$O1632-$P1632</f>
        <v>-26618756</v>
      </c>
      <c r="AD1632" s="48" t="n">
        <f aca="false">$AC1632*$I1632</f>
        <v>-52279236784</v>
      </c>
      <c r="AE1632" s="49" t="n">
        <f aca="false">IF($Q1632&gt;0,$O1632*$I1632/$Q1632/1000000,"")</f>
        <v>30.1600447594688</v>
      </c>
      <c r="AF1632" s="49" t="n">
        <f aca="false">IF($R1632&gt;0,$P1632*$I1632/$R1632/1000000,"")</f>
        <v>50.2186594960212</v>
      </c>
      <c r="AG1632" s="50" t="n">
        <f aca="false">IF(AND(ISNUMBER($AE1632),ISNUMBER($AF1632),$AF1632&gt;0),$AE1632/$AF1632,"")</f>
        <v>0.600574468975189</v>
      </c>
      <c r="AH1632" s="48" t="n">
        <f aca="false">IF($U1632&gt;=5,SUM(INDEX($AD$1602:$AD1632,32-5):$AD1632),"")</f>
        <v>33039761720</v>
      </c>
      <c r="AI1632" s="48" t="n">
        <f aca="false">IF($U1632&gt;=STRUCT_S,MAX(INDEX($G$1482:$G1632,152-STRUCT_S):$G1632),"")</f>
        <v>2051</v>
      </c>
      <c r="AJ1632" s="48" t="n">
        <f aca="false">IF($U1632&gt;=STRUCT_S,MIN(INDEX($H$1482:$H1632,152-STRUCT_S):$H1632),"")</f>
        <v>1832</v>
      </c>
      <c r="AK1632" s="48" t="n">
        <f aca="false">IF($U1632&gt;=STRUCT_L,MAX(INDEX($G$1382:$G1632,252-STRUCT_L):$G1632),"")</f>
        <v>2113</v>
      </c>
      <c r="AL1632" s="48" t="n">
        <f aca="false">IF($U1632&gt;=STRUCT_L,MIN(INDEX($H$1382:$H1632,252-STRUCT_L):$H1632),"")</f>
        <v>1832</v>
      </c>
      <c r="AM1632" s="46" t="n">
        <f aca="false">IF($A1632&lt;&gt;$A1633,1,0)</f>
        <v>0</v>
      </c>
      <c r="AN1632" s="47" t="str">
        <f aca="false">IF($AM1632=1,$A1632,"")</f>
        <v/>
      </c>
    </row>
    <row r="1633" customFormat="false" ht="15" hidden="false" customHeight="false" outlineLevel="0" collapsed="false">
      <c r="A1633" s="43" t="s">
        <v>162</v>
      </c>
      <c r="B1633" s="44" t="s">
        <v>164</v>
      </c>
      <c r="C1633" s="45" t="n">
        <v>46000</v>
      </c>
      <c r="D1633" s="46" t="n">
        <v>20251209</v>
      </c>
      <c r="E1633" s="47" t="s">
        <v>356</v>
      </c>
      <c r="F1633" s="48" t="n">
        <v>1997</v>
      </c>
      <c r="G1633" s="48" t="n">
        <v>2004</v>
      </c>
      <c r="H1633" s="48" t="n">
        <v>1940</v>
      </c>
      <c r="I1633" s="48" t="n">
        <v>1979</v>
      </c>
      <c r="J1633" s="48" t="n">
        <v>1983</v>
      </c>
      <c r="K1633" s="48" t="n">
        <v>1964</v>
      </c>
      <c r="L1633" s="48" t="n">
        <v>86786313</v>
      </c>
      <c r="M1633" s="48" t="n">
        <v>171750113427</v>
      </c>
      <c r="N1633" s="48" t="n">
        <v>2692</v>
      </c>
      <c r="O1633" s="48" t="n">
        <v>48543453</v>
      </c>
      <c r="P1633" s="48" t="n">
        <v>42717860</v>
      </c>
      <c r="Q1633" s="48" t="n">
        <v>884</v>
      </c>
      <c r="R1633" s="48" t="n">
        <v>865</v>
      </c>
      <c r="S1633" s="48" t="n">
        <v>38242860</v>
      </c>
      <c r="T1633" s="48" t="n">
        <v>44068453</v>
      </c>
      <c r="U1633" s="46" t="n">
        <f aca="false">IF($A1633=$A1632,$U1632+1,1)</f>
        <v>69</v>
      </c>
      <c r="V1633" s="48" t="n">
        <f aca="false">IF($U1633&gt;=MA_SHORT,AVERAGE(INDEX($I$1233:$I1633,402-MA_SHORT):$I1633),"")</f>
        <v>1922.55</v>
      </c>
      <c r="W1633" s="48" t="n">
        <f aca="false">IF($U1633&gt;=MA_MED,AVERAGE(INDEX($I$1233:$I1633,402-MA_MED):$I1633),"")</f>
        <v>1972.96</v>
      </c>
      <c r="X1633" s="48" t="str">
        <f aca="false">IF($U1633&gt;=MA_LONG1,AVERAGE(INDEX($I$1233:$I1633,402-MA_LONG1):$I1633),"")</f>
        <v/>
      </c>
      <c r="Y1633" s="48" t="str">
        <f aca="false">IF($U1633&gt;=MA_LONG2,AVERAGE(INDEX($I$1233:$I1633,402-MA_LONG2):$I1633),"")</f>
        <v/>
      </c>
      <c r="Z1633" s="48" t="n">
        <f aca="false">IF($U1633&gt;=MA_SHORT,AVERAGE(INDEX($L$1513:$L1633,122-MA_SHORT):$L1633),"")</f>
        <v>110991321.35</v>
      </c>
      <c r="AA1633" s="48" t="n">
        <f aca="false">IF($U1633=1,$G1633-$H1633,MAX($G1633-$H1633,ABS($G1633-$I1632),ABS($H1633-$I1632)))</f>
        <v>64</v>
      </c>
      <c r="AB1633" s="48" t="n">
        <f aca="false">IF($U1633&gt;=ATR_PER,AVERAGE(INDEX($AA$1513:$AA1633,122-ATR_PER):$AA1633),"")</f>
        <v>62.7142857142857</v>
      </c>
      <c r="AC1633" s="48" t="n">
        <f aca="false">$O1633-$P1633</f>
        <v>5825593</v>
      </c>
      <c r="AD1633" s="48" t="n">
        <f aca="false">$AC1633*$I1633</f>
        <v>11528848547</v>
      </c>
      <c r="AE1633" s="49" t="n">
        <f aca="false">IF($Q1633&gt;0,$O1633*$I1633/$Q1633/1000000,"")</f>
        <v>108.67363516629</v>
      </c>
      <c r="AF1633" s="49" t="n">
        <f aca="false">IF($R1633&gt;0,$P1633*$I1633/$R1633/1000000,"")</f>
        <v>97.7325375028902</v>
      </c>
      <c r="AG1633" s="50" t="n">
        <f aca="false">IF(AND(ISNUMBER($AE1633),ISNUMBER($AF1633),$AF1633&gt;0),$AE1633/$AF1633,"")</f>
        <v>1.11194938699996</v>
      </c>
      <c r="AH1633" s="48" t="n">
        <f aca="false">IF($U1633&gt;=5,SUM(INDEX($AD$1603:$AD1633,32-5):$AD1633),"")</f>
        <v>12681182734</v>
      </c>
      <c r="AI1633" s="48" t="n">
        <f aca="false">IF($U1633&gt;=STRUCT_S,MAX(INDEX($G$1483:$G1633,152-STRUCT_S):$G1633),"")</f>
        <v>2051</v>
      </c>
      <c r="AJ1633" s="48" t="n">
        <f aca="false">IF($U1633&gt;=STRUCT_S,MIN(INDEX($H$1483:$H1633,152-STRUCT_S):$H1633),"")</f>
        <v>1832</v>
      </c>
      <c r="AK1633" s="48" t="n">
        <f aca="false">IF($U1633&gt;=STRUCT_L,MAX(INDEX($G$1383:$G1633,252-STRUCT_L):$G1633),"")</f>
        <v>2113</v>
      </c>
      <c r="AL1633" s="48" t="n">
        <f aca="false">IF($U1633&gt;=STRUCT_L,MIN(INDEX($H$1383:$H1633,252-STRUCT_L):$H1633),"")</f>
        <v>1832</v>
      </c>
      <c r="AM1633" s="46" t="n">
        <f aca="false">IF($A1633&lt;&gt;$A1634,1,0)</f>
        <v>0</v>
      </c>
      <c r="AN1633" s="47" t="str">
        <f aca="false">IF($AM1633=1,$A1633,"")</f>
        <v/>
      </c>
    </row>
    <row r="1634" customFormat="false" ht="15" hidden="false" customHeight="false" outlineLevel="0" collapsed="false">
      <c r="A1634" s="43" t="s">
        <v>162</v>
      </c>
      <c r="B1634" s="44" t="s">
        <v>164</v>
      </c>
      <c r="C1634" s="45" t="n">
        <v>46001</v>
      </c>
      <c r="D1634" s="46" t="n">
        <v>20251210</v>
      </c>
      <c r="E1634" s="47" t="s">
        <v>357</v>
      </c>
      <c r="F1634" s="48" t="n">
        <v>1986</v>
      </c>
      <c r="G1634" s="48" t="n">
        <v>2001</v>
      </c>
      <c r="H1634" s="48" t="n">
        <v>1970</v>
      </c>
      <c r="I1634" s="48" t="n">
        <v>1992</v>
      </c>
      <c r="J1634" s="48" t="n">
        <v>1992</v>
      </c>
      <c r="K1634" s="48" t="n">
        <v>1979</v>
      </c>
      <c r="L1634" s="48" t="n">
        <v>81672485</v>
      </c>
      <c r="M1634" s="48" t="n">
        <v>162691590120</v>
      </c>
      <c r="N1634" s="48" t="n">
        <v>5676</v>
      </c>
      <c r="O1634" s="48" t="n">
        <v>47472878</v>
      </c>
      <c r="P1634" s="48" t="n">
        <v>33944229</v>
      </c>
      <c r="Q1634" s="48" t="n">
        <v>2014</v>
      </c>
      <c r="R1634" s="48" t="n">
        <v>2693</v>
      </c>
      <c r="S1634" s="48" t="n">
        <v>34199607</v>
      </c>
      <c r="T1634" s="48" t="n">
        <v>47728256</v>
      </c>
      <c r="U1634" s="46" t="n">
        <f aca="false">IF($A1634=$A1633,$U1633+1,1)</f>
        <v>70</v>
      </c>
      <c r="V1634" s="48" t="n">
        <f aca="false">IF($U1634&gt;=MA_SHORT,AVERAGE(INDEX($I$1234:$I1634,402-MA_SHORT):$I1634),"")</f>
        <v>1928.75</v>
      </c>
      <c r="W1634" s="48" t="n">
        <f aca="false">IF($U1634&gt;=MA_MED,AVERAGE(INDEX($I$1234:$I1634,402-MA_MED):$I1634),"")</f>
        <v>1972.6</v>
      </c>
      <c r="X1634" s="48" t="str">
        <f aca="false">IF($U1634&gt;=MA_LONG1,AVERAGE(INDEX($I$1234:$I1634,402-MA_LONG1):$I1634),"")</f>
        <v/>
      </c>
      <c r="Y1634" s="48" t="str">
        <f aca="false">IF($U1634&gt;=MA_LONG2,AVERAGE(INDEX($I$1234:$I1634,402-MA_LONG2):$I1634),"")</f>
        <v/>
      </c>
      <c r="Z1634" s="48" t="n">
        <f aca="false">IF($U1634&gt;=MA_SHORT,AVERAGE(INDEX($L$1514:$L1634,122-MA_SHORT):$L1634),"")</f>
        <v>110736965.1</v>
      </c>
      <c r="AA1634" s="48" t="n">
        <f aca="false">IF($U1634=1,$G1634-$H1634,MAX($G1634-$H1634,ABS($G1634-$I1633),ABS($H1634-$I1633)))</f>
        <v>31</v>
      </c>
      <c r="AB1634" s="48" t="n">
        <f aca="false">IF($U1634&gt;=ATR_PER,AVERAGE(INDEX($AA$1514:$AA1634,122-ATR_PER):$AA1634),"")</f>
        <v>63.0714285714286</v>
      </c>
      <c r="AC1634" s="48" t="n">
        <f aca="false">$O1634-$P1634</f>
        <v>13528649</v>
      </c>
      <c r="AD1634" s="48" t="n">
        <f aca="false">$AC1634*$I1634</f>
        <v>26949068808</v>
      </c>
      <c r="AE1634" s="49" t="n">
        <f aca="false">IF($Q1634&gt;0,$O1634*$I1634/$Q1634/1000000,"")</f>
        <v>46.9543063435948</v>
      </c>
      <c r="AF1634" s="49" t="n">
        <f aca="false">IF($R1634&gt;0,$P1634*$I1634/$R1634/1000000,"")</f>
        <v>25.1083936754549</v>
      </c>
      <c r="AG1634" s="50" t="n">
        <f aca="false">IF(AND(ISNUMBER($AE1634),ISNUMBER($AF1634),$AF1634&gt;0),$AE1634/$AF1634,"")</f>
        <v>1.87006412877363</v>
      </c>
      <c r="AH1634" s="48" t="n">
        <f aca="false">IF($U1634&gt;=5,SUM(INDEX($AD$1604:$AD1634,32-5):$AD1634),"")</f>
        <v>34295007253</v>
      </c>
      <c r="AI1634" s="48" t="n">
        <f aca="false">IF($U1634&gt;=STRUCT_S,MAX(INDEX($G$1484:$G1634,152-STRUCT_S):$G1634),"")</f>
        <v>2051</v>
      </c>
      <c r="AJ1634" s="48" t="n">
        <f aca="false">IF($U1634&gt;=STRUCT_S,MIN(INDEX($H$1484:$H1634,152-STRUCT_S):$H1634),"")</f>
        <v>1832</v>
      </c>
      <c r="AK1634" s="48" t="n">
        <f aca="false">IF($U1634&gt;=STRUCT_L,MAX(INDEX($G$1384:$G1634,252-STRUCT_L):$G1634),"")</f>
        <v>2113</v>
      </c>
      <c r="AL1634" s="48" t="n">
        <f aca="false">IF($U1634&gt;=STRUCT_L,MIN(INDEX($H$1384:$H1634,252-STRUCT_L):$H1634),"")</f>
        <v>1832</v>
      </c>
      <c r="AM1634" s="46" t="n">
        <f aca="false">IF($A1634&lt;&gt;$A1635,1,0)</f>
        <v>0</v>
      </c>
      <c r="AN1634" s="47" t="str">
        <f aca="false">IF($AM1634=1,$A1634,"")</f>
        <v/>
      </c>
    </row>
    <row r="1635" customFormat="false" ht="15" hidden="false" customHeight="false" outlineLevel="0" collapsed="false">
      <c r="A1635" s="43" t="s">
        <v>162</v>
      </c>
      <c r="B1635" s="44" t="s">
        <v>164</v>
      </c>
      <c r="C1635" s="45" t="n">
        <v>46004</v>
      </c>
      <c r="D1635" s="46" t="n">
        <v>20251213</v>
      </c>
      <c r="E1635" s="47" t="s">
        <v>358</v>
      </c>
      <c r="F1635" s="48" t="n">
        <v>1989</v>
      </c>
      <c r="G1635" s="48" t="n">
        <v>2007</v>
      </c>
      <c r="H1635" s="48" t="n">
        <v>1982</v>
      </c>
      <c r="I1635" s="48" t="n">
        <v>1997</v>
      </c>
      <c r="J1635" s="48" t="n">
        <v>1993</v>
      </c>
      <c r="K1635" s="48" t="n">
        <v>1992</v>
      </c>
      <c r="L1635" s="48" t="n">
        <v>79758887</v>
      </c>
      <c r="M1635" s="48" t="n">
        <v>159278497339</v>
      </c>
      <c r="N1635" s="48" t="n">
        <v>1806</v>
      </c>
      <c r="O1635" s="48" t="n">
        <v>42474429</v>
      </c>
      <c r="P1635" s="48" t="n">
        <v>31886850</v>
      </c>
      <c r="Q1635" s="48" t="n">
        <v>804</v>
      </c>
      <c r="R1635" s="48" t="n">
        <v>568</v>
      </c>
      <c r="S1635" s="48" t="n">
        <v>37284458</v>
      </c>
      <c r="T1635" s="48" t="n">
        <v>47872037</v>
      </c>
      <c r="U1635" s="46" t="n">
        <f aca="false">IF($A1635=$A1634,$U1634+1,1)</f>
        <v>71</v>
      </c>
      <c r="V1635" s="48" t="n">
        <f aca="false">IF($U1635&gt;=MA_SHORT,AVERAGE(INDEX($I$1235:$I1635,402-MA_SHORT):$I1635),"")</f>
        <v>1934.9</v>
      </c>
      <c r="W1635" s="48" t="n">
        <f aca="false">IF($U1635&gt;=MA_MED,AVERAGE(INDEX($I$1235:$I1635,402-MA_MED):$I1635),"")</f>
        <v>1972.2</v>
      </c>
      <c r="X1635" s="48" t="str">
        <f aca="false">IF($U1635&gt;=MA_LONG1,AVERAGE(INDEX($I$1235:$I1635,402-MA_LONG1):$I1635),"")</f>
        <v/>
      </c>
      <c r="Y1635" s="48" t="str">
        <f aca="false">IF($U1635&gt;=MA_LONG2,AVERAGE(INDEX($I$1235:$I1635,402-MA_LONG2):$I1635),"")</f>
        <v/>
      </c>
      <c r="Z1635" s="48" t="n">
        <f aca="false">IF($U1635&gt;=MA_SHORT,AVERAGE(INDEX($L$1515:$L1635,122-MA_SHORT):$L1635),"")</f>
        <v>110720418.2</v>
      </c>
      <c r="AA1635" s="48" t="n">
        <f aca="false">IF($U1635=1,$G1635-$H1635,MAX($G1635-$H1635,ABS($G1635-$I1634),ABS($H1635-$I1634)))</f>
        <v>25</v>
      </c>
      <c r="AB1635" s="48" t="n">
        <f aca="false">IF($U1635&gt;=ATR_PER,AVERAGE(INDEX($AA$1515:$AA1635,122-ATR_PER):$AA1635),"")</f>
        <v>63.7142857142857</v>
      </c>
      <c r="AC1635" s="48" t="n">
        <f aca="false">$O1635-$P1635</f>
        <v>10587579</v>
      </c>
      <c r="AD1635" s="48" t="n">
        <f aca="false">$AC1635*$I1635</f>
        <v>21143395263</v>
      </c>
      <c r="AE1635" s="49" t="n">
        <f aca="false">IF($Q1635&gt;0,$O1635*$I1635/$Q1635/1000000,"")</f>
        <v>105.499296906716</v>
      </c>
      <c r="AF1635" s="49" t="n">
        <f aca="false">IF($R1635&gt;0,$P1635*$I1635/$R1635/1000000,"")</f>
        <v>112.109224383803</v>
      </c>
      <c r="AG1635" s="50" t="n">
        <f aca="false">IF(AND(ISNUMBER($AE1635),ISNUMBER($AF1635),$AF1635&gt;0),$AE1635/$AF1635,"")</f>
        <v>0.941040288937711</v>
      </c>
      <c r="AH1635" s="48" t="n">
        <f aca="false">IF($U1635&gt;=5,SUM(INDEX($AD$1605:$AD1635,32-5):$AD1635),"")</f>
        <v>-2294953794</v>
      </c>
      <c r="AI1635" s="48" t="n">
        <f aca="false">IF($U1635&gt;=STRUCT_S,MAX(INDEX($G$1485:$G1635,152-STRUCT_S):$G1635),"")</f>
        <v>2051</v>
      </c>
      <c r="AJ1635" s="48" t="n">
        <f aca="false">IF($U1635&gt;=STRUCT_S,MIN(INDEX($H$1485:$H1635,152-STRUCT_S):$H1635),"")</f>
        <v>1832</v>
      </c>
      <c r="AK1635" s="48" t="n">
        <f aca="false">IF($U1635&gt;=STRUCT_L,MAX(INDEX($G$1385:$G1635,252-STRUCT_L):$G1635),"")</f>
        <v>2113</v>
      </c>
      <c r="AL1635" s="48" t="n">
        <f aca="false">IF($U1635&gt;=STRUCT_L,MIN(INDEX($H$1385:$H1635,252-STRUCT_L):$H1635),"")</f>
        <v>1832</v>
      </c>
      <c r="AM1635" s="46" t="n">
        <f aca="false">IF($A1635&lt;&gt;$A1636,1,0)</f>
        <v>0</v>
      </c>
      <c r="AN1635" s="47" t="str">
        <f aca="false">IF($AM1635=1,$A1635,"")</f>
        <v/>
      </c>
    </row>
    <row r="1636" customFormat="false" ht="15" hidden="false" customHeight="false" outlineLevel="0" collapsed="false">
      <c r="A1636" s="43" t="s">
        <v>162</v>
      </c>
      <c r="B1636" s="44" t="s">
        <v>164</v>
      </c>
      <c r="C1636" s="45" t="n">
        <v>46005</v>
      </c>
      <c r="D1636" s="46" t="n">
        <v>20251214</v>
      </c>
      <c r="E1636" s="47" t="s">
        <v>359</v>
      </c>
      <c r="F1636" s="48" t="n">
        <v>1959</v>
      </c>
      <c r="G1636" s="48" t="n">
        <v>2005</v>
      </c>
      <c r="H1636" s="48" t="n">
        <v>1954</v>
      </c>
      <c r="I1636" s="48" t="n">
        <v>1962</v>
      </c>
      <c r="J1636" s="48" t="n">
        <v>1986</v>
      </c>
      <c r="K1636" s="48" t="n">
        <v>1997</v>
      </c>
      <c r="L1636" s="48" t="n">
        <v>86838345</v>
      </c>
      <c r="M1636" s="48" t="n">
        <v>170376832890</v>
      </c>
      <c r="N1636" s="48" t="n">
        <v>2003</v>
      </c>
      <c r="O1636" s="48" t="n">
        <v>34345618</v>
      </c>
      <c r="P1636" s="48" t="n">
        <v>56463095</v>
      </c>
      <c r="Q1636" s="48" t="n">
        <v>620</v>
      </c>
      <c r="R1636" s="48" t="n">
        <v>917</v>
      </c>
      <c r="S1636" s="48" t="n">
        <v>52492727</v>
      </c>
      <c r="T1636" s="48" t="n">
        <v>30375250</v>
      </c>
      <c r="U1636" s="46" t="n">
        <f aca="false">IF($A1636=$A1635,$U1635+1,1)</f>
        <v>72</v>
      </c>
      <c r="V1636" s="48" t="n">
        <f aca="false">IF($U1636&gt;=MA_SHORT,AVERAGE(INDEX($I$1236:$I1636,402-MA_SHORT):$I1636),"")</f>
        <v>1940.2</v>
      </c>
      <c r="W1636" s="48" t="n">
        <f aca="false">IF($U1636&gt;=MA_MED,AVERAGE(INDEX($I$1236:$I1636,402-MA_MED):$I1636),"")</f>
        <v>1970.96</v>
      </c>
      <c r="X1636" s="48" t="str">
        <f aca="false">IF($U1636&gt;=MA_LONG1,AVERAGE(INDEX($I$1236:$I1636,402-MA_LONG1):$I1636),"")</f>
        <v/>
      </c>
      <c r="Y1636" s="48" t="str">
        <f aca="false">IF($U1636&gt;=MA_LONG2,AVERAGE(INDEX($I$1236:$I1636,402-MA_LONG2):$I1636),"")</f>
        <v/>
      </c>
      <c r="Z1636" s="48" t="n">
        <f aca="false">IF($U1636&gt;=MA_SHORT,AVERAGE(INDEX($L$1516:$L1636,122-MA_SHORT):$L1636),"")</f>
        <v>110907141.15</v>
      </c>
      <c r="AA1636" s="48" t="n">
        <f aca="false">IF($U1636=1,$G1636-$H1636,MAX($G1636-$H1636,ABS($G1636-$I1635),ABS($H1636-$I1635)))</f>
        <v>51</v>
      </c>
      <c r="AB1636" s="48" t="n">
        <f aca="false">IF($U1636&gt;=ATR_PER,AVERAGE(INDEX($AA$1516:$AA1636,122-ATR_PER):$AA1636),"")</f>
        <v>64.2142857142857</v>
      </c>
      <c r="AC1636" s="48" t="n">
        <f aca="false">$O1636-$P1636</f>
        <v>-22117477</v>
      </c>
      <c r="AD1636" s="48" t="n">
        <f aca="false">$AC1636*$I1636</f>
        <v>-43394489874</v>
      </c>
      <c r="AE1636" s="49" t="n">
        <f aca="false">IF($Q1636&gt;0,$O1636*$I1636/$Q1636/1000000,"")</f>
        <v>108.687262122581</v>
      </c>
      <c r="AF1636" s="49" t="n">
        <f aca="false">IF($R1636&gt;0,$P1636*$I1636/$R1636/1000000,"")</f>
        <v>120.807625288986</v>
      </c>
      <c r="AG1636" s="50" t="n">
        <f aca="false">IF(AND(ISNUMBER($AE1636),ISNUMBER($AF1636),$AF1636&gt;0),$AE1636/$AF1636,"")</f>
        <v>0.89967220084484</v>
      </c>
      <c r="AH1636" s="48" t="n">
        <f aca="false">IF($U1636&gt;=5,SUM(INDEX($AD$1606:$AD1636,32-5):$AD1636),"")</f>
        <v>-36052414040</v>
      </c>
      <c r="AI1636" s="48" t="n">
        <f aca="false">IF($U1636&gt;=STRUCT_S,MAX(INDEX($G$1486:$G1636,152-STRUCT_S):$G1636),"")</f>
        <v>2051</v>
      </c>
      <c r="AJ1636" s="48" t="n">
        <f aca="false">IF($U1636&gt;=STRUCT_S,MIN(INDEX($H$1486:$H1636,152-STRUCT_S):$H1636),"")</f>
        <v>1832</v>
      </c>
      <c r="AK1636" s="48" t="n">
        <f aca="false">IF($U1636&gt;=STRUCT_L,MAX(INDEX($G$1386:$G1636,252-STRUCT_L):$G1636),"")</f>
        <v>2113</v>
      </c>
      <c r="AL1636" s="48" t="n">
        <f aca="false">IF($U1636&gt;=STRUCT_L,MIN(INDEX($H$1386:$H1636,252-STRUCT_L):$H1636),"")</f>
        <v>1832</v>
      </c>
      <c r="AM1636" s="46" t="n">
        <f aca="false">IF($A1636&lt;&gt;$A1637,1,0)</f>
        <v>0</v>
      </c>
      <c r="AN1636" s="47" t="str">
        <f aca="false">IF($AM1636=1,$A1636,"")</f>
        <v/>
      </c>
    </row>
    <row r="1637" customFormat="false" ht="15" hidden="false" customHeight="false" outlineLevel="0" collapsed="false">
      <c r="A1637" s="43" t="s">
        <v>162</v>
      </c>
      <c r="B1637" s="44" t="s">
        <v>164</v>
      </c>
      <c r="C1637" s="45" t="n">
        <v>46006</v>
      </c>
      <c r="D1637" s="46" t="n">
        <v>20251215</v>
      </c>
      <c r="E1637" s="47" t="s">
        <v>360</v>
      </c>
      <c r="F1637" s="48" t="n">
        <v>1964</v>
      </c>
      <c r="G1637" s="48" t="n">
        <v>2015</v>
      </c>
      <c r="H1637" s="48" t="n">
        <v>1881</v>
      </c>
      <c r="I1637" s="48" t="n">
        <v>1933</v>
      </c>
      <c r="J1637" s="48" t="n">
        <v>1937</v>
      </c>
      <c r="K1637" s="48" t="n">
        <v>1962</v>
      </c>
      <c r="L1637" s="48" t="n">
        <v>112195415</v>
      </c>
      <c r="M1637" s="48" t="n">
        <v>216873737195</v>
      </c>
      <c r="N1637" s="48" t="n">
        <v>7451</v>
      </c>
      <c r="O1637" s="48" t="n">
        <v>48122172</v>
      </c>
      <c r="P1637" s="48" t="n">
        <v>63063400</v>
      </c>
      <c r="Q1637" s="48" t="n">
        <v>3172</v>
      </c>
      <c r="R1637" s="48" t="n">
        <v>3751</v>
      </c>
      <c r="S1637" s="48" t="n">
        <v>64073243</v>
      </c>
      <c r="T1637" s="48" t="n">
        <v>49132015</v>
      </c>
      <c r="U1637" s="46" t="n">
        <f aca="false">IF($A1637=$A1636,$U1636+1,1)</f>
        <v>73</v>
      </c>
      <c r="V1637" s="48" t="n">
        <f aca="false">IF($U1637&gt;=MA_SHORT,AVERAGE(INDEX($I$1237:$I1637,402-MA_SHORT):$I1637),"")</f>
        <v>1944</v>
      </c>
      <c r="W1637" s="48" t="n">
        <f aca="false">IF($U1637&gt;=MA_MED,AVERAGE(INDEX($I$1237:$I1637,402-MA_MED):$I1637),"")</f>
        <v>1968.76</v>
      </c>
      <c r="X1637" s="48" t="str">
        <f aca="false">IF($U1637&gt;=MA_LONG1,AVERAGE(INDEX($I$1237:$I1637,402-MA_LONG1):$I1637),"")</f>
        <v/>
      </c>
      <c r="Y1637" s="48" t="str">
        <f aca="false">IF($U1637&gt;=MA_LONG2,AVERAGE(INDEX($I$1237:$I1637,402-MA_LONG2):$I1637),"")</f>
        <v/>
      </c>
      <c r="Z1637" s="48" t="n">
        <f aca="false">IF($U1637&gt;=MA_SHORT,AVERAGE(INDEX($L$1517:$L1637,122-MA_SHORT):$L1637),"")</f>
        <v>112575435.05</v>
      </c>
      <c r="AA1637" s="48" t="n">
        <f aca="false">IF($U1637=1,$G1637-$H1637,MAX($G1637-$H1637,ABS($G1637-$I1636),ABS($H1637-$I1636)))</f>
        <v>134</v>
      </c>
      <c r="AB1637" s="48" t="n">
        <f aca="false">IF($U1637&gt;=ATR_PER,AVERAGE(INDEX($AA$1517:$AA1637,122-ATR_PER):$AA1637),"")</f>
        <v>71</v>
      </c>
      <c r="AC1637" s="48" t="n">
        <f aca="false">$O1637-$P1637</f>
        <v>-14941228</v>
      </c>
      <c r="AD1637" s="48" t="n">
        <f aca="false">$AC1637*$I1637</f>
        <v>-28881393724</v>
      </c>
      <c r="AE1637" s="49" t="n">
        <f aca="false">IF($Q1637&gt;0,$O1637*$I1637/$Q1637/1000000,"")</f>
        <v>29.3253967452711</v>
      </c>
      <c r="AF1637" s="49" t="n">
        <f aca="false">IF($R1637&gt;0,$P1637*$I1637/$R1637/1000000,"")</f>
        <v>32.4984143428419</v>
      </c>
      <c r="AG1637" s="50" t="n">
        <f aca="false">IF(AND(ISNUMBER($AE1637),ISNUMBER($AF1637),$AF1637&gt;0),$AE1637/$AF1637,"")</f>
        <v>0.902363925695049</v>
      </c>
      <c r="AH1637" s="48" t="n">
        <f aca="false">IF($U1637&gt;=5,SUM(INDEX($AD$1607:$AD1637,32-5):$AD1637),"")</f>
        <v>-12654570980</v>
      </c>
      <c r="AI1637" s="48" t="n">
        <f aca="false">IF($U1637&gt;=STRUCT_S,MAX(INDEX($G$1487:$G1637,152-STRUCT_S):$G1637),"")</f>
        <v>2051</v>
      </c>
      <c r="AJ1637" s="48" t="n">
        <f aca="false">IF($U1637&gt;=STRUCT_S,MIN(INDEX($H$1487:$H1637,152-STRUCT_S):$H1637),"")</f>
        <v>1837</v>
      </c>
      <c r="AK1637" s="48" t="n">
        <f aca="false">IF($U1637&gt;=STRUCT_L,MAX(INDEX($G$1387:$G1637,252-STRUCT_L):$G1637),"")</f>
        <v>2113</v>
      </c>
      <c r="AL1637" s="48" t="n">
        <f aca="false">IF($U1637&gt;=STRUCT_L,MIN(INDEX($H$1387:$H1637,252-STRUCT_L):$H1637),"")</f>
        <v>1832</v>
      </c>
      <c r="AM1637" s="46" t="n">
        <f aca="false">IF($A1637&lt;&gt;$A1638,1,0)</f>
        <v>0</v>
      </c>
      <c r="AN1637" s="47" t="str">
        <f aca="false">IF($AM1637=1,$A1637,"")</f>
        <v/>
      </c>
    </row>
    <row r="1638" customFormat="false" ht="15" hidden="false" customHeight="false" outlineLevel="0" collapsed="false">
      <c r="A1638" s="43" t="s">
        <v>162</v>
      </c>
      <c r="B1638" s="44" t="s">
        <v>164</v>
      </c>
      <c r="C1638" s="45" t="n">
        <v>46007</v>
      </c>
      <c r="D1638" s="46" t="n">
        <v>20251216</v>
      </c>
      <c r="E1638" s="47" t="s">
        <v>361</v>
      </c>
      <c r="F1638" s="48" t="n">
        <v>1979</v>
      </c>
      <c r="G1638" s="48" t="n">
        <v>1985</v>
      </c>
      <c r="H1638" s="48" t="n">
        <v>1889</v>
      </c>
      <c r="I1638" s="48" t="n">
        <v>1941</v>
      </c>
      <c r="J1638" s="48" t="n">
        <v>1983</v>
      </c>
      <c r="K1638" s="48" t="n">
        <v>1933</v>
      </c>
      <c r="L1638" s="48" t="n">
        <v>109485757</v>
      </c>
      <c r="M1638" s="48" t="n">
        <v>212511854337</v>
      </c>
      <c r="N1638" s="48" t="n">
        <v>6568</v>
      </c>
      <c r="O1638" s="48" t="n">
        <v>42779020</v>
      </c>
      <c r="P1638" s="48" t="n">
        <v>74804133</v>
      </c>
      <c r="Q1638" s="48" t="n">
        <v>3046</v>
      </c>
      <c r="R1638" s="48" t="n">
        <v>2163</v>
      </c>
      <c r="S1638" s="48" t="n">
        <v>66706737</v>
      </c>
      <c r="T1638" s="48" t="n">
        <v>34681624</v>
      </c>
      <c r="U1638" s="46" t="n">
        <f aca="false">IF($A1638=$A1637,$U1637+1,1)</f>
        <v>74</v>
      </c>
      <c r="V1638" s="48" t="n">
        <f aca="false">IF($U1638&gt;=MA_SHORT,AVERAGE(INDEX($I$1238:$I1638,402-MA_SHORT):$I1638),"")</f>
        <v>1946.15</v>
      </c>
      <c r="W1638" s="48" t="n">
        <f aca="false">IF($U1638&gt;=MA_MED,AVERAGE(INDEX($I$1238:$I1638,402-MA_MED):$I1638),"")</f>
        <v>1966.3</v>
      </c>
      <c r="X1638" s="48" t="str">
        <f aca="false">IF($U1638&gt;=MA_LONG1,AVERAGE(INDEX($I$1238:$I1638,402-MA_LONG1):$I1638),"")</f>
        <v/>
      </c>
      <c r="Y1638" s="48" t="str">
        <f aca="false">IF($U1638&gt;=MA_LONG2,AVERAGE(INDEX($I$1238:$I1638,402-MA_LONG2):$I1638),"")</f>
        <v/>
      </c>
      <c r="Z1638" s="48" t="n">
        <f aca="false">IF($U1638&gt;=MA_SHORT,AVERAGE(INDEX($L$1518:$L1638,122-MA_SHORT):$L1638),"")</f>
        <v>113600495.1</v>
      </c>
      <c r="AA1638" s="48" t="n">
        <f aca="false">IF($U1638=1,$G1638-$H1638,MAX($G1638-$H1638,ABS($G1638-$I1637),ABS($H1638-$I1637)))</f>
        <v>96</v>
      </c>
      <c r="AB1638" s="48" t="n">
        <f aca="false">IF($U1638&gt;=ATR_PER,AVERAGE(INDEX($AA$1518:$AA1638,122-ATR_PER):$AA1638),"")</f>
        <v>70.2857142857143</v>
      </c>
      <c r="AC1638" s="48" t="n">
        <f aca="false">$O1638-$P1638</f>
        <v>-32025113</v>
      </c>
      <c r="AD1638" s="48" t="n">
        <f aca="false">$AC1638*$I1638</f>
        <v>-62160744333</v>
      </c>
      <c r="AE1638" s="49" t="n">
        <f aca="false">IF($Q1638&gt;0,$O1638*$I1638/$Q1638/1000000,"")</f>
        <v>27.2600386802364</v>
      </c>
      <c r="AF1638" s="49" t="n">
        <f aca="false">IF($R1638&gt;0,$P1638*$I1638/$R1638/1000000,"")</f>
        <v>67.1265936907074</v>
      </c>
      <c r="AG1638" s="50" t="n">
        <f aca="false">IF(AND(ISNUMBER($AE1638),ISNUMBER($AF1638),$AF1638&gt;0),$AE1638/$AF1638,"")</f>
        <v>0.4060989420354</v>
      </c>
      <c r="AH1638" s="48" t="n">
        <f aca="false">IF($U1638&gt;=5,SUM(INDEX($AD$1608:$AD1638,32-5):$AD1638),"")</f>
        <v>-86344163860</v>
      </c>
      <c r="AI1638" s="48" t="n">
        <f aca="false">IF($U1638&gt;=STRUCT_S,MAX(INDEX($G$1488:$G1638,152-STRUCT_S):$G1638),"")</f>
        <v>2051</v>
      </c>
      <c r="AJ1638" s="48" t="n">
        <f aca="false">IF($U1638&gt;=STRUCT_S,MIN(INDEX($H$1488:$H1638,152-STRUCT_S):$H1638),"")</f>
        <v>1850</v>
      </c>
      <c r="AK1638" s="48" t="n">
        <f aca="false">IF($U1638&gt;=STRUCT_L,MAX(INDEX($G$1388:$G1638,252-STRUCT_L):$G1638),"")</f>
        <v>2113</v>
      </c>
      <c r="AL1638" s="48" t="n">
        <f aca="false">IF($U1638&gt;=STRUCT_L,MIN(INDEX($H$1388:$H1638,252-STRUCT_L):$H1638),"")</f>
        <v>1832</v>
      </c>
      <c r="AM1638" s="46" t="n">
        <f aca="false">IF($A1638&lt;&gt;$A1639,1,0)</f>
        <v>0</v>
      </c>
      <c r="AN1638" s="47" t="str">
        <f aca="false">IF($AM1638=1,$A1638,"")</f>
        <v/>
      </c>
    </row>
    <row r="1639" customFormat="false" ht="15" hidden="false" customHeight="false" outlineLevel="0" collapsed="false">
      <c r="A1639" s="43" t="s">
        <v>162</v>
      </c>
      <c r="B1639" s="44" t="s">
        <v>164</v>
      </c>
      <c r="C1639" s="45" t="n">
        <v>46008</v>
      </c>
      <c r="D1639" s="46" t="n">
        <v>20251217</v>
      </c>
      <c r="E1639" s="47" t="s">
        <v>362</v>
      </c>
      <c r="F1639" s="48" t="n">
        <v>1934</v>
      </c>
      <c r="G1639" s="48" t="n">
        <v>2006</v>
      </c>
      <c r="H1639" s="48" t="n">
        <v>1910</v>
      </c>
      <c r="I1639" s="48" t="n">
        <v>1975</v>
      </c>
      <c r="J1639" s="48" t="n">
        <v>1988</v>
      </c>
      <c r="K1639" s="48" t="n">
        <v>1941</v>
      </c>
      <c r="L1639" s="48" t="n">
        <v>138037077</v>
      </c>
      <c r="M1639" s="48" t="n">
        <v>272623227075</v>
      </c>
      <c r="N1639" s="48" t="n">
        <v>3244</v>
      </c>
      <c r="O1639" s="48" t="n">
        <v>85754727</v>
      </c>
      <c r="P1639" s="48" t="n">
        <v>58068333</v>
      </c>
      <c r="Q1639" s="48" t="n">
        <v>1607</v>
      </c>
      <c r="R1639" s="48" t="n">
        <v>1631</v>
      </c>
      <c r="S1639" s="48" t="n">
        <v>52282350</v>
      </c>
      <c r="T1639" s="48" t="n">
        <v>79968744</v>
      </c>
      <c r="U1639" s="46" t="n">
        <f aca="false">IF($A1639=$A1638,$U1638+1,1)</f>
        <v>75</v>
      </c>
      <c r="V1639" s="48" t="n">
        <f aca="false">IF($U1639&gt;=MA_SHORT,AVERAGE(INDEX($I$1239:$I1639,402-MA_SHORT):$I1639),"")</f>
        <v>1951.2</v>
      </c>
      <c r="W1639" s="48" t="n">
        <f aca="false">IF($U1639&gt;=MA_MED,AVERAGE(INDEX($I$1239:$I1639,402-MA_MED):$I1639),"")</f>
        <v>1964.02</v>
      </c>
      <c r="X1639" s="48" t="str">
        <f aca="false">IF($U1639&gt;=MA_LONG1,AVERAGE(INDEX($I$1239:$I1639,402-MA_LONG1):$I1639),"")</f>
        <v/>
      </c>
      <c r="Y1639" s="48" t="str">
        <f aca="false">IF($U1639&gt;=MA_LONG2,AVERAGE(INDEX($I$1239:$I1639,402-MA_LONG2):$I1639),"")</f>
        <v/>
      </c>
      <c r="Z1639" s="48" t="n">
        <f aca="false">IF($U1639&gt;=MA_SHORT,AVERAGE(INDEX($L$1519:$L1639,122-MA_SHORT):$L1639),"")</f>
        <v>114803229.45</v>
      </c>
      <c r="AA1639" s="48" t="n">
        <f aca="false">IF($U1639=1,$G1639-$H1639,MAX($G1639-$H1639,ABS($G1639-$I1638),ABS($H1639-$I1638)))</f>
        <v>96</v>
      </c>
      <c r="AB1639" s="48" t="n">
        <f aca="false">IF($U1639&gt;=ATR_PER,AVERAGE(INDEX($AA$1519:$AA1639,122-ATR_PER):$AA1639),"")</f>
        <v>72.3571428571429</v>
      </c>
      <c r="AC1639" s="48" t="n">
        <f aca="false">$O1639-$P1639</f>
        <v>27686394</v>
      </c>
      <c r="AD1639" s="48" t="n">
        <f aca="false">$AC1639*$I1639</f>
        <v>54680628150</v>
      </c>
      <c r="AE1639" s="49" t="n">
        <f aca="false">IF($Q1639&gt;0,$O1639*$I1639/$Q1639/1000000,"")</f>
        <v>105.392399393279</v>
      </c>
      <c r="AF1639" s="49" t="n">
        <f aca="false">IF($R1639&gt;0,$P1639*$I1639/$R1639/1000000,"")</f>
        <v>70.315731253832</v>
      </c>
      <c r="AG1639" s="50" t="n">
        <f aca="false">IF(AND(ISNUMBER($AE1639),ISNUMBER($AF1639),$AF1639&gt;0),$AE1639/$AF1639,"")</f>
        <v>1.49884524435684</v>
      </c>
      <c r="AH1639" s="48" t="n">
        <f aca="false">IF($U1639&gt;=5,SUM(INDEX($AD$1609:$AD1639,32-5):$AD1639),"")</f>
        <v>-58612604518</v>
      </c>
      <c r="AI1639" s="48" t="n">
        <f aca="false">IF($U1639&gt;=STRUCT_S,MAX(INDEX($G$1489:$G1639,152-STRUCT_S):$G1639),"")</f>
        <v>2051</v>
      </c>
      <c r="AJ1639" s="48" t="n">
        <f aca="false">IF($U1639&gt;=STRUCT_S,MIN(INDEX($H$1489:$H1639,152-STRUCT_S):$H1639),"")</f>
        <v>1850</v>
      </c>
      <c r="AK1639" s="48" t="n">
        <f aca="false">IF($U1639&gt;=STRUCT_L,MAX(INDEX($G$1389:$G1639,252-STRUCT_L):$G1639),"")</f>
        <v>2113</v>
      </c>
      <c r="AL1639" s="48" t="n">
        <f aca="false">IF($U1639&gt;=STRUCT_L,MIN(INDEX($H$1389:$H1639,252-STRUCT_L):$H1639),"")</f>
        <v>1832</v>
      </c>
      <c r="AM1639" s="46" t="n">
        <f aca="false">IF($A1639&lt;&gt;$A1640,1,0)</f>
        <v>0</v>
      </c>
      <c r="AN1639" s="47" t="str">
        <f aca="false">IF($AM1639=1,$A1639,"")</f>
        <v/>
      </c>
    </row>
    <row r="1640" customFormat="false" ht="15" hidden="false" customHeight="false" outlineLevel="0" collapsed="false">
      <c r="A1640" s="43" t="s">
        <v>162</v>
      </c>
      <c r="B1640" s="44" t="s">
        <v>164</v>
      </c>
      <c r="C1640" s="45" t="n">
        <v>46011</v>
      </c>
      <c r="D1640" s="46" t="n">
        <v>20251220</v>
      </c>
      <c r="E1640" s="47" t="s">
        <v>363</v>
      </c>
      <c r="F1640" s="48" t="n">
        <v>1967</v>
      </c>
      <c r="G1640" s="48" t="n">
        <v>2012</v>
      </c>
      <c r="H1640" s="48" t="n">
        <v>1928</v>
      </c>
      <c r="I1640" s="48" t="n">
        <v>1964</v>
      </c>
      <c r="J1640" s="48" t="n">
        <v>1977</v>
      </c>
      <c r="K1640" s="48" t="n">
        <v>1975</v>
      </c>
      <c r="L1640" s="48" t="n">
        <v>208866599</v>
      </c>
      <c r="M1640" s="48" t="n">
        <v>410214000436</v>
      </c>
      <c r="N1640" s="48" t="n">
        <v>4964</v>
      </c>
      <c r="O1640" s="48" t="n">
        <v>86835493</v>
      </c>
      <c r="P1640" s="48" t="n">
        <v>124130646</v>
      </c>
      <c r="Q1640" s="48" t="n">
        <v>1971</v>
      </c>
      <c r="R1640" s="48" t="n">
        <v>2600</v>
      </c>
      <c r="S1640" s="48" t="n">
        <v>122031106</v>
      </c>
      <c r="T1640" s="48" t="n">
        <v>84735953</v>
      </c>
      <c r="U1640" s="46" t="n">
        <f aca="false">IF($A1640=$A1639,$U1639+1,1)</f>
        <v>76</v>
      </c>
      <c r="V1640" s="48" t="n">
        <f aca="false">IF($U1640&gt;=MA_SHORT,AVERAGE(INDEX($I$1240:$I1640,402-MA_SHORT):$I1640),"")</f>
        <v>1956.1</v>
      </c>
      <c r="W1640" s="48" t="n">
        <f aca="false">IF($U1640&gt;=MA_MED,AVERAGE(INDEX($I$1240:$I1640,402-MA_MED):$I1640),"")</f>
        <v>1962.14</v>
      </c>
      <c r="X1640" s="48" t="str">
        <f aca="false">IF($U1640&gt;=MA_LONG1,AVERAGE(INDEX($I$1240:$I1640,402-MA_LONG1):$I1640),"")</f>
        <v/>
      </c>
      <c r="Y1640" s="48" t="str">
        <f aca="false">IF($U1640&gt;=MA_LONG2,AVERAGE(INDEX($I$1240:$I1640,402-MA_LONG2):$I1640),"")</f>
        <v/>
      </c>
      <c r="Z1640" s="48" t="n">
        <f aca="false">IF($U1640&gt;=MA_SHORT,AVERAGE(INDEX($L$1520:$L1640,122-MA_SHORT):$L1640),"")</f>
        <v>120014062.45</v>
      </c>
      <c r="AA1640" s="48" t="n">
        <f aca="false">IF($U1640=1,$G1640-$H1640,MAX($G1640-$H1640,ABS($G1640-$I1639),ABS($H1640-$I1639)))</f>
        <v>84</v>
      </c>
      <c r="AB1640" s="48" t="n">
        <f aca="false">IF($U1640&gt;=ATR_PER,AVERAGE(INDEX($AA$1520:$AA1640,122-ATR_PER):$AA1640),"")</f>
        <v>74.9285714285714</v>
      </c>
      <c r="AC1640" s="48" t="n">
        <f aca="false">$O1640-$P1640</f>
        <v>-37295153</v>
      </c>
      <c r="AD1640" s="48" t="n">
        <f aca="false">$AC1640*$I1640</f>
        <v>-73247680492</v>
      </c>
      <c r="AE1640" s="49" t="n">
        <f aca="false">IF($Q1640&gt;0,$O1640*$I1640/$Q1640/1000000,"")</f>
        <v>86.5270970329782</v>
      </c>
      <c r="AF1640" s="49" t="n">
        <f aca="false">IF($R1640&gt;0,$P1640*$I1640/$R1640/1000000,"")</f>
        <v>93.7663802861539</v>
      </c>
      <c r="AG1640" s="50" t="n">
        <f aca="false">IF(AND(ISNUMBER($AE1640),ISNUMBER($AF1640),$AF1640&gt;0),$AE1640/$AF1640,"")</f>
        <v>0.922794468218961</v>
      </c>
      <c r="AH1640" s="48" t="n">
        <f aca="false">IF($U1640&gt;=5,SUM(INDEX($AD$1610:$AD1640,32-5):$AD1640),"")</f>
        <v>-153003680273</v>
      </c>
      <c r="AI1640" s="48" t="n">
        <f aca="false">IF($U1640&gt;=STRUCT_S,MAX(INDEX($G$1490:$G1640,152-STRUCT_S):$G1640),"")</f>
        <v>2051</v>
      </c>
      <c r="AJ1640" s="48" t="n">
        <f aca="false">IF($U1640&gt;=STRUCT_S,MIN(INDEX($H$1490:$H1640,152-STRUCT_S):$H1640),"")</f>
        <v>1850</v>
      </c>
      <c r="AK1640" s="48" t="n">
        <f aca="false">IF($U1640&gt;=STRUCT_L,MAX(INDEX($G$1390:$G1640,252-STRUCT_L):$G1640),"")</f>
        <v>2113</v>
      </c>
      <c r="AL1640" s="48" t="n">
        <f aca="false">IF($U1640&gt;=STRUCT_L,MIN(INDEX($H$1390:$H1640,252-STRUCT_L):$H1640),"")</f>
        <v>1832</v>
      </c>
      <c r="AM1640" s="46" t="n">
        <f aca="false">IF($A1640&lt;&gt;$A1641,1,0)</f>
        <v>0</v>
      </c>
      <c r="AN1640" s="47" t="str">
        <f aca="false">IF($AM1640=1,$A1640,"")</f>
        <v/>
      </c>
    </row>
    <row r="1641" customFormat="false" ht="15" hidden="false" customHeight="false" outlineLevel="0" collapsed="false">
      <c r="A1641" s="43" t="s">
        <v>162</v>
      </c>
      <c r="B1641" s="44" t="s">
        <v>164</v>
      </c>
      <c r="C1641" s="45" t="n">
        <v>46012</v>
      </c>
      <c r="D1641" s="46" t="n">
        <v>20251221</v>
      </c>
      <c r="E1641" s="47" t="s">
        <v>364</v>
      </c>
      <c r="F1641" s="48" t="n">
        <v>1977</v>
      </c>
      <c r="G1641" s="48" t="n">
        <v>1990</v>
      </c>
      <c r="H1641" s="48" t="n">
        <v>1956</v>
      </c>
      <c r="I1641" s="48" t="n">
        <v>1982</v>
      </c>
      <c r="J1641" s="48" t="n">
        <v>1982</v>
      </c>
      <c r="K1641" s="48" t="n">
        <v>1964</v>
      </c>
      <c r="L1641" s="48" t="n">
        <v>82896375</v>
      </c>
      <c r="M1641" s="48" t="n">
        <v>164300615250</v>
      </c>
      <c r="N1641" s="48" t="n">
        <v>2861</v>
      </c>
      <c r="O1641" s="48" t="n">
        <v>46011080</v>
      </c>
      <c r="P1641" s="48" t="n">
        <v>44270071</v>
      </c>
      <c r="Q1641" s="48" t="n">
        <v>1290</v>
      </c>
      <c r="R1641" s="48" t="n">
        <v>1098</v>
      </c>
      <c r="S1641" s="48" t="n">
        <v>36885295</v>
      </c>
      <c r="T1641" s="48" t="n">
        <v>38626304</v>
      </c>
      <c r="U1641" s="46" t="n">
        <f aca="false">IF($A1641=$A1640,$U1640+1,1)</f>
        <v>77</v>
      </c>
      <c r="V1641" s="48" t="n">
        <f aca="false">IF($U1641&gt;=MA_SHORT,AVERAGE(INDEX($I$1241:$I1641,402-MA_SHORT):$I1641),"")</f>
        <v>1961.7</v>
      </c>
      <c r="W1641" s="48" t="n">
        <f aca="false">IF($U1641&gt;=MA_MED,AVERAGE(INDEX($I$1241:$I1641,402-MA_MED):$I1641),"")</f>
        <v>1961.06</v>
      </c>
      <c r="X1641" s="48" t="str">
        <f aca="false">IF($U1641&gt;=MA_LONG1,AVERAGE(INDEX($I$1241:$I1641,402-MA_LONG1):$I1641),"")</f>
        <v/>
      </c>
      <c r="Y1641" s="48" t="str">
        <f aca="false">IF($U1641&gt;=MA_LONG2,AVERAGE(INDEX($I$1241:$I1641,402-MA_LONG2):$I1641),"")</f>
        <v/>
      </c>
      <c r="Z1641" s="48" t="n">
        <f aca="false">IF($U1641&gt;=MA_SHORT,AVERAGE(INDEX($L$1521:$L1641,122-MA_SHORT):$L1641),"")</f>
        <v>119961654.3</v>
      </c>
      <c r="AA1641" s="48" t="n">
        <f aca="false">IF($U1641=1,$G1641-$H1641,MAX($G1641-$H1641,ABS($G1641-$I1640),ABS($H1641-$I1640)))</f>
        <v>34</v>
      </c>
      <c r="AB1641" s="48" t="n">
        <f aca="false">IF($U1641&gt;=ATR_PER,AVERAGE(INDEX($AA$1521:$AA1641,122-ATR_PER):$AA1641),"")</f>
        <v>72</v>
      </c>
      <c r="AC1641" s="48" t="n">
        <f aca="false">$O1641-$P1641</f>
        <v>1741009</v>
      </c>
      <c r="AD1641" s="48" t="n">
        <f aca="false">$AC1641*$I1641</f>
        <v>3450679838</v>
      </c>
      <c r="AE1641" s="49" t="n">
        <f aca="false">IF($Q1641&gt;0,$O1641*$I1641/$Q1641/1000000,"")</f>
        <v>70.6929926821705</v>
      </c>
      <c r="AF1641" s="49" t="n">
        <f aca="false">IF($R1641&gt;0,$P1641*$I1641/$R1641/1000000,"")</f>
        <v>79.9119132258652</v>
      </c>
      <c r="AG1641" s="50" t="n">
        <f aca="false">IF(AND(ISNUMBER($AE1641),ISNUMBER($AF1641),$AF1641&gt;0),$AE1641/$AF1641,"")</f>
        <v>0.884636468186689</v>
      </c>
      <c r="AH1641" s="48" t="n">
        <f aca="false">IF($U1641&gt;=5,SUM(INDEX($AD$1611:$AD1641,32-5):$AD1641),"")</f>
        <v>-106158510561</v>
      </c>
      <c r="AI1641" s="48" t="n">
        <f aca="false">IF($U1641&gt;=STRUCT_S,MAX(INDEX($G$1491:$G1641,152-STRUCT_S):$G1641),"")</f>
        <v>2051</v>
      </c>
      <c r="AJ1641" s="48" t="n">
        <f aca="false">IF($U1641&gt;=STRUCT_S,MIN(INDEX($H$1491:$H1641,152-STRUCT_S):$H1641),"")</f>
        <v>1850</v>
      </c>
      <c r="AK1641" s="48" t="n">
        <f aca="false">IF($U1641&gt;=STRUCT_L,MAX(INDEX($G$1391:$G1641,252-STRUCT_L):$G1641),"")</f>
        <v>2113</v>
      </c>
      <c r="AL1641" s="48" t="n">
        <f aca="false">IF($U1641&gt;=STRUCT_L,MIN(INDEX($H$1391:$H1641,252-STRUCT_L):$H1641),"")</f>
        <v>1832</v>
      </c>
      <c r="AM1641" s="46" t="n">
        <f aca="false">IF($A1641&lt;&gt;$A1642,1,0)</f>
        <v>0</v>
      </c>
      <c r="AN1641" s="47" t="str">
        <f aca="false">IF($AM1641=1,$A1641,"")</f>
        <v/>
      </c>
    </row>
    <row r="1642" customFormat="false" ht="15" hidden="false" customHeight="false" outlineLevel="0" collapsed="false">
      <c r="A1642" s="43" t="s">
        <v>162</v>
      </c>
      <c r="B1642" s="44" t="s">
        <v>164</v>
      </c>
      <c r="C1642" s="45" t="n">
        <v>46013</v>
      </c>
      <c r="D1642" s="46" t="n">
        <v>20251222</v>
      </c>
      <c r="E1642" s="47" t="s">
        <v>365</v>
      </c>
      <c r="F1642" s="48" t="n">
        <v>1996</v>
      </c>
      <c r="G1642" s="48" t="n">
        <v>2033</v>
      </c>
      <c r="H1642" s="48" t="n">
        <v>1966</v>
      </c>
      <c r="I1642" s="48" t="n">
        <v>2017</v>
      </c>
      <c r="J1642" s="48" t="n">
        <v>1997</v>
      </c>
      <c r="K1642" s="48" t="n">
        <v>1982</v>
      </c>
      <c r="L1642" s="48" t="n">
        <v>101354656</v>
      </c>
      <c r="M1642" s="48" t="n">
        <v>204432341152</v>
      </c>
      <c r="N1642" s="48" t="n">
        <v>7728</v>
      </c>
      <c r="O1642" s="48" t="n">
        <v>64310264</v>
      </c>
      <c r="P1642" s="48" t="n">
        <v>32328217</v>
      </c>
      <c r="Q1642" s="48" t="n">
        <v>4024</v>
      </c>
      <c r="R1642" s="48" t="n">
        <v>2435</v>
      </c>
      <c r="S1642" s="48" t="n">
        <v>37044392</v>
      </c>
      <c r="T1642" s="48" t="n">
        <v>69026439</v>
      </c>
      <c r="U1642" s="46" t="n">
        <f aca="false">IF($A1642=$A1641,$U1641+1,1)</f>
        <v>78</v>
      </c>
      <c r="V1642" s="48" t="n">
        <f aca="false">IF($U1642&gt;=MA_SHORT,AVERAGE(INDEX($I$1242:$I1642,402-MA_SHORT):$I1642),"")</f>
        <v>1968.85</v>
      </c>
      <c r="W1642" s="48" t="n">
        <f aca="false">IF($U1642&gt;=MA_MED,AVERAGE(INDEX($I$1242:$I1642,402-MA_MED):$I1642),"")</f>
        <v>1960.82</v>
      </c>
      <c r="X1642" s="48" t="str">
        <f aca="false">IF($U1642&gt;=MA_LONG1,AVERAGE(INDEX($I$1242:$I1642,402-MA_LONG1):$I1642),"")</f>
        <v/>
      </c>
      <c r="Y1642" s="48" t="str">
        <f aca="false">IF($U1642&gt;=MA_LONG2,AVERAGE(INDEX($I$1242:$I1642,402-MA_LONG2):$I1642),"")</f>
        <v/>
      </c>
      <c r="Z1642" s="48" t="n">
        <f aca="false">IF($U1642&gt;=MA_SHORT,AVERAGE(INDEX($L$1522:$L1642,122-MA_SHORT):$L1642),"")</f>
        <v>121050188.25</v>
      </c>
      <c r="AA1642" s="48" t="n">
        <f aca="false">IF($U1642=1,$G1642-$H1642,MAX($G1642-$H1642,ABS($G1642-$I1641),ABS($H1642-$I1641)))</f>
        <v>67</v>
      </c>
      <c r="AB1642" s="48" t="n">
        <f aca="false">IF($U1642&gt;=ATR_PER,AVERAGE(INDEX($AA$1522:$AA1642,122-ATR_PER):$AA1642),"")</f>
        <v>66.3571428571429</v>
      </c>
      <c r="AC1642" s="48" t="n">
        <f aca="false">$O1642-$P1642</f>
        <v>31982047</v>
      </c>
      <c r="AD1642" s="48" t="n">
        <f aca="false">$AC1642*$I1642</f>
        <v>64507788799</v>
      </c>
      <c r="AE1642" s="49" t="n">
        <f aca="false">IF($Q1642&gt;0,$O1642*$I1642/$Q1642/1000000,"")</f>
        <v>32.2350403797217</v>
      </c>
      <c r="AF1642" s="49" t="n">
        <f aca="false">IF($R1642&gt;0,$P1642*$I1642/$R1642/1000000,"")</f>
        <v>26.7786503856263</v>
      </c>
      <c r="AG1642" s="50" t="n">
        <f aca="false">IF(AND(ISNUMBER($AE1642),ISNUMBER($AF1642),$AF1642&gt;0),$AE1642/$AF1642,"")</f>
        <v>1.20375896154289</v>
      </c>
      <c r="AH1642" s="48" t="n">
        <f aca="false">IF($U1642&gt;=5,SUM(INDEX($AD$1612:$AD1642,32-5):$AD1642),"")</f>
        <v>-12769328038</v>
      </c>
      <c r="AI1642" s="48" t="n">
        <f aca="false">IF($U1642&gt;=STRUCT_S,MAX(INDEX($G$1492:$G1642,152-STRUCT_S):$G1642),"")</f>
        <v>2051</v>
      </c>
      <c r="AJ1642" s="48" t="n">
        <f aca="false">IF($U1642&gt;=STRUCT_S,MIN(INDEX($H$1492:$H1642,152-STRUCT_S):$H1642),"")</f>
        <v>1855</v>
      </c>
      <c r="AK1642" s="48" t="n">
        <f aca="false">IF($U1642&gt;=STRUCT_L,MAX(INDEX($G$1392:$G1642,252-STRUCT_L):$G1642),"")</f>
        <v>2113</v>
      </c>
      <c r="AL1642" s="48" t="n">
        <f aca="false">IF($U1642&gt;=STRUCT_L,MIN(INDEX($H$1392:$H1642,252-STRUCT_L):$H1642),"")</f>
        <v>1832</v>
      </c>
      <c r="AM1642" s="46" t="n">
        <f aca="false">IF($A1642&lt;&gt;$A1643,1,0)</f>
        <v>0</v>
      </c>
      <c r="AN1642" s="47" t="str">
        <f aca="false">IF($AM1642=1,$A1642,"")</f>
        <v/>
      </c>
    </row>
    <row r="1643" customFormat="false" ht="15" hidden="false" customHeight="false" outlineLevel="0" collapsed="false">
      <c r="A1643" s="43" t="s">
        <v>162</v>
      </c>
      <c r="B1643" s="44" t="s">
        <v>164</v>
      </c>
      <c r="C1643" s="45" t="n">
        <v>46014</v>
      </c>
      <c r="D1643" s="46" t="n">
        <v>20251223</v>
      </c>
      <c r="E1643" s="47" t="s">
        <v>366</v>
      </c>
      <c r="F1643" s="48" t="n">
        <v>1990</v>
      </c>
      <c r="G1643" s="48" t="n">
        <v>2082</v>
      </c>
      <c r="H1643" s="48" t="n">
        <v>1969</v>
      </c>
      <c r="I1643" s="48" t="n">
        <v>2033</v>
      </c>
      <c r="J1643" s="48" t="n">
        <v>2077</v>
      </c>
      <c r="K1643" s="48" t="n">
        <v>2017</v>
      </c>
      <c r="L1643" s="48" t="n">
        <v>98696749</v>
      </c>
      <c r="M1643" s="48" t="n">
        <v>200650490717</v>
      </c>
      <c r="N1643" s="48" t="n">
        <v>5910</v>
      </c>
      <c r="O1643" s="48" t="n">
        <v>57044997</v>
      </c>
      <c r="P1643" s="48" t="n">
        <v>39266121</v>
      </c>
      <c r="Q1643" s="48" t="n">
        <v>2409</v>
      </c>
      <c r="R1643" s="48" t="n">
        <v>3013</v>
      </c>
      <c r="S1643" s="48" t="n">
        <v>41651752</v>
      </c>
      <c r="T1643" s="48" t="n">
        <v>59430628</v>
      </c>
      <c r="U1643" s="46" t="n">
        <f aca="false">IF($A1643=$A1642,$U1642+1,1)</f>
        <v>79</v>
      </c>
      <c r="V1643" s="48" t="n">
        <f aca="false">IF($U1643&gt;=MA_SHORT,AVERAGE(INDEX($I$1243:$I1643,402-MA_SHORT):$I1643),"")</f>
        <v>1976.35</v>
      </c>
      <c r="W1643" s="48" t="n">
        <f aca="false">IF($U1643&gt;=MA_MED,AVERAGE(INDEX($I$1243:$I1643,402-MA_MED):$I1643),"")</f>
        <v>1960.12</v>
      </c>
      <c r="X1643" s="48" t="str">
        <f aca="false">IF($U1643&gt;=MA_LONG1,AVERAGE(INDEX($I$1243:$I1643,402-MA_LONG1):$I1643),"")</f>
        <v/>
      </c>
      <c r="Y1643" s="48" t="str">
        <f aca="false">IF($U1643&gt;=MA_LONG2,AVERAGE(INDEX($I$1243:$I1643,402-MA_LONG2):$I1643),"")</f>
        <v/>
      </c>
      <c r="Z1643" s="48" t="n">
        <f aca="false">IF($U1643&gt;=MA_SHORT,AVERAGE(INDEX($L$1523:$L1643,122-MA_SHORT):$L1643),"")</f>
        <v>117722083.65</v>
      </c>
      <c r="AA1643" s="48" t="n">
        <f aca="false">IF($U1643=1,$G1643-$H1643,MAX($G1643-$H1643,ABS($G1643-$I1642),ABS($H1643-$I1642)))</f>
        <v>113</v>
      </c>
      <c r="AB1643" s="48" t="n">
        <f aca="false">IF($U1643&gt;=ATR_PER,AVERAGE(INDEX($AA$1523:$AA1643,122-ATR_PER):$AA1643),"")</f>
        <v>70.8571428571429</v>
      </c>
      <c r="AC1643" s="48" t="n">
        <f aca="false">$O1643-$P1643</f>
        <v>17778876</v>
      </c>
      <c r="AD1643" s="48" t="n">
        <f aca="false">$AC1643*$I1643</f>
        <v>36144454908</v>
      </c>
      <c r="AE1643" s="49" t="n">
        <f aca="false">IF($Q1643&gt;0,$O1643*$I1643/$Q1643/1000000,"")</f>
        <v>48.1413361980075</v>
      </c>
      <c r="AF1643" s="49" t="n">
        <f aca="false">IF($R1643&gt;0,$P1643*$I1643/$R1643/1000000,"")</f>
        <v>26.4945316936608</v>
      </c>
      <c r="AG1643" s="50" t="n">
        <f aca="false">IF(AND(ISNUMBER($AE1643),ISNUMBER($AF1643),$AF1643&gt;0),$AE1643/$AF1643,"")</f>
        <v>1.81702914226357</v>
      </c>
      <c r="AH1643" s="48" t="n">
        <f aca="false">IF($U1643&gt;=5,SUM(INDEX($AD$1613:$AD1643,32-5):$AD1643),"")</f>
        <v>85535871203</v>
      </c>
      <c r="AI1643" s="48" t="n">
        <f aca="false">IF($U1643&gt;=STRUCT_S,MAX(INDEX($G$1493:$G1643,152-STRUCT_S):$G1643),"")</f>
        <v>2082</v>
      </c>
      <c r="AJ1643" s="48" t="n">
        <f aca="false">IF($U1643&gt;=STRUCT_S,MIN(INDEX($H$1493:$H1643,152-STRUCT_S):$H1643),"")</f>
        <v>1855</v>
      </c>
      <c r="AK1643" s="48" t="n">
        <f aca="false">IF($U1643&gt;=STRUCT_L,MAX(INDEX($G$1393:$G1643,252-STRUCT_L):$G1643),"")</f>
        <v>2113</v>
      </c>
      <c r="AL1643" s="48" t="n">
        <f aca="false">IF($U1643&gt;=STRUCT_L,MIN(INDEX($H$1393:$H1643,252-STRUCT_L):$H1643),"")</f>
        <v>1832</v>
      </c>
      <c r="AM1643" s="46" t="n">
        <f aca="false">IF($A1643&lt;&gt;$A1644,1,0)</f>
        <v>0</v>
      </c>
      <c r="AN1643" s="47" t="str">
        <f aca="false">IF($AM1643=1,$A1643,"")</f>
        <v/>
      </c>
    </row>
    <row r="1644" customFormat="false" ht="15" hidden="false" customHeight="false" outlineLevel="0" collapsed="false">
      <c r="A1644" s="43" t="s">
        <v>162</v>
      </c>
      <c r="B1644" s="44" t="s">
        <v>164</v>
      </c>
      <c r="C1644" s="45" t="n">
        <v>46015</v>
      </c>
      <c r="D1644" s="46" t="n">
        <v>20251224</v>
      </c>
      <c r="E1644" s="47" t="s">
        <v>367</v>
      </c>
      <c r="F1644" s="48" t="n">
        <v>2031</v>
      </c>
      <c r="G1644" s="48" t="n">
        <v>2039</v>
      </c>
      <c r="H1644" s="48" t="n">
        <v>2018</v>
      </c>
      <c r="I1644" s="48" t="n">
        <v>2024</v>
      </c>
      <c r="J1644" s="48" t="n">
        <v>2038</v>
      </c>
      <c r="K1644" s="48" t="n">
        <v>2033</v>
      </c>
      <c r="L1644" s="48" t="n">
        <v>90556132</v>
      </c>
      <c r="M1644" s="48" t="n">
        <v>183285611168</v>
      </c>
      <c r="N1644" s="48" t="n">
        <v>2782</v>
      </c>
      <c r="O1644" s="48" t="n">
        <v>42507475</v>
      </c>
      <c r="P1644" s="48" t="n">
        <v>51276939</v>
      </c>
      <c r="Q1644" s="48" t="n">
        <v>1455</v>
      </c>
      <c r="R1644" s="48" t="n">
        <v>949</v>
      </c>
      <c r="S1644" s="48" t="n">
        <v>48048657</v>
      </c>
      <c r="T1644" s="48" t="n">
        <v>39279193</v>
      </c>
      <c r="U1644" s="46" t="n">
        <f aca="false">IF($A1644=$A1643,$U1643+1,1)</f>
        <v>80</v>
      </c>
      <c r="V1644" s="48" t="n">
        <f aca="false">IF($U1644&gt;=MA_SHORT,AVERAGE(INDEX($I$1244:$I1644,402-MA_SHORT):$I1644),"")</f>
        <v>1980.95</v>
      </c>
      <c r="W1644" s="48" t="n">
        <f aca="false">IF($U1644&gt;=MA_MED,AVERAGE(INDEX($I$1244:$I1644,402-MA_MED):$I1644),"")</f>
        <v>1960.5</v>
      </c>
      <c r="X1644" s="48" t="str">
        <f aca="false">IF($U1644&gt;=MA_LONG1,AVERAGE(INDEX($I$1244:$I1644,402-MA_LONG1):$I1644),"")</f>
        <v/>
      </c>
      <c r="Y1644" s="48" t="str">
        <f aca="false">IF($U1644&gt;=MA_LONG2,AVERAGE(INDEX($I$1244:$I1644,402-MA_LONG2):$I1644),"")</f>
        <v/>
      </c>
      <c r="Z1644" s="48" t="n">
        <f aca="false">IF($U1644&gt;=MA_SHORT,AVERAGE(INDEX($L$1524:$L1644,122-MA_SHORT):$L1644),"")</f>
        <v>117554933</v>
      </c>
      <c r="AA1644" s="48" t="n">
        <f aca="false">IF($U1644=1,$G1644-$H1644,MAX($G1644-$H1644,ABS($G1644-$I1643),ABS($H1644-$I1643)))</f>
        <v>21</v>
      </c>
      <c r="AB1644" s="48" t="n">
        <f aca="false">IF($U1644&gt;=ATR_PER,AVERAGE(INDEX($AA$1524:$AA1644,122-ATR_PER):$AA1644),"")</f>
        <v>68.7142857142857</v>
      </c>
      <c r="AC1644" s="48" t="n">
        <f aca="false">$O1644-$P1644</f>
        <v>-8769464</v>
      </c>
      <c r="AD1644" s="48" t="n">
        <f aca="false">$AC1644*$I1644</f>
        <v>-17749395136</v>
      </c>
      <c r="AE1644" s="49" t="n">
        <f aca="false">IF($Q1644&gt;0,$O1644*$I1644/$Q1644/1000000,"")</f>
        <v>59.1306731271478</v>
      </c>
      <c r="AF1644" s="49" t="n">
        <f aca="false">IF($R1644&gt;0,$P1644*$I1644/$R1644/1000000,"")</f>
        <v>109.361985812434</v>
      </c>
      <c r="AG1644" s="50" t="n">
        <f aca="false">IF(AND(ISNUMBER($AE1644),ISNUMBER($AF1644),$AF1644&gt;0),$AE1644/$AF1644,"")</f>
        <v>0.540687631884833</v>
      </c>
      <c r="AH1644" s="48" t="n">
        <f aca="false">IF($U1644&gt;=5,SUM(INDEX($AD$1614:$AD1644,32-5):$AD1644),"")</f>
        <v>13105847917</v>
      </c>
      <c r="AI1644" s="48" t="n">
        <f aca="false">IF($U1644&gt;=STRUCT_S,MAX(INDEX($G$1494:$G1644,152-STRUCT_S):$G1644),"")</f>
        <v>2082</v>
      </c>
      <c r="AJ1644" s="48" t="n">
        <f aca="false">IF($U1644&gt;=STRUCT_S,MIN(INDEX($H$1494:$H1644,152-STRUCT_S):$H1644),"")</f>
        <v>1881</v>
      </c>
      <c r="AK1644" s="48" t="n">
        <f aca="false">IF($U1644&gt;=STRUCT_L,MAX(INDEX($G$1394:$G1644,252-STRUCT_L):$G1644),"")</f>
        <v>2113</v>
      </c>
      <c r="AL1644" s="48" t="n">
        <f aca="false">IF($U1644&gt;=STRUCT_L,MIN(INDEX($H$1394:$H1644,252-STRUCT_L):$H1644),"")</f>
        <v>1832</v>
      </c>
      <c r="AM1644" s="46" t="n">
        <f aca="false">IF($A1644&lt;&gt;$A1645,1,0)</f>
        <v>0</v>
      </c>
      <c r="AN1644" s="47" t="str">
        <f aca="false">IF($AM1644=1,$A1644,"")</f>
        <v/>
      </c>
    </row>
    <row r="1645" customFormat="false" ht="15" hidden="false" customHeight="false" outlineLevel="0" collapsed="false">
      <c r="A1645" s="43" t="s">
        <v>162</v>
      </c>
      <c r="B1645" s="44" t="s">
        <v>164</v>
      </c>
      <c r="C1645" s="45" t="n">
        <v>46018</v>
      </c>
      <c r="D1645" s="46" t="n">
        <v>20251227</v>
      </c>
      <c r="E1645" s="47" t="s">
        <v>368</v>
      </c>
      <c r="F1645" s="48" t="n">
        <v>2017</v>
      </c>
      <c r="G1645" s="48" t="n">
        <v>2067</v>
      </c>
      <c r="H1645" s="48" t="n">
        <v>1990</v>
      </c>
      <c r="I1645" s="48" t="n">
        <v>2033</v>
      </c>
      <c r="J1645" s="48" t="n">
        <v>2021</v>
      </c>
      <c r="K1645" s="48" t="n">
        <v>2024</v>
      </c>
      <c r="L1645" s="48" t="n">
        <v>112393127</v>
      </c>
      <c r="M1645" s="48" t="n">
        <v>228495227191</v>
      </c>
      <c r="N1645" s="48" t="n">
        <v>5345</v>
      </c>
      <c r="O1645" s="48" t="n">
        <v>61153143</v>
      </c>
      <c r="P1645" s="48" t="n">
        <v>62655622</v>
      </c>
      <c r="Q1645" s="48" t="n">
        <v>1786</v>
      </c>
      <c r="R1645" s="48" t="n">
        <v>2185</v>
      </c>
      <c r="S1645" s="48" t="n">
        <v>51239984</v>
      </c>
      <c r="T1645" s="48" t="n">
        <v>49737505</v>
      </c>
      <c r="U1645" s="46" t="n">
        <f aca="false">IF($A1645=$A1644,$U1644+1,1)</f>
        <v>81</v>
      </c>
      <c r="V1645" s="48" t="n">
        <f aca="false">IF($U1645&gt;=MA_SHORT,AVERAGE(INDEX($I$1245:$I1645,402-MA_SHORT):$I1645),"")</f>
        <v>1986.25</v>
      </c>
      <c r="W1645" s="48" t="n">
        <f aca="false">IF($U1645&gt;=MA_MED,AVERAGE(INDEX($I$1245:$I1645,402-MA_MED):$I1645),"")</f>
        <v>1960.88</v>
      </c>
      <c r="X1645" s="48" t="str">
        <f aca="false">IF($U1645&gt;=MA_LONG1,AVERAGE(INDEX($I$1245:$I1645,402-MA_LONG1):$I1645),"")</f>
        <v/>
      </c>
      <c r="Y1645" s="48" t="str">
        <f aca="false">IF($U1645&gt;=MA_LONG2,AVERAGE(INDEX($I$1245:$I1645,402-MA_LONG2):$I1645),"")</f>
        <v/>
      </c>
      <c r="Z1645" s="48" t="n">
        <f aca="false">IF($U1645&gt;=MA_SHORT,AVERAGE(INDEX($L$1525:$L1645,122-MA_SHORT):$L1645),"")</f>
        <v>118138201.1</v>
      </c>
      <c r="AA1645" s="48" t="n">
        <f aca="false">IF($U1645=1,$G1645-$H1645,MAX($G1645-$H1645,ABS($G1645-$I1644),ABS($H1645-$I1644)))</f>
        <v>77</v>
      </c>
      <c r="AB1645" s="48" t="n">
        <f aca="false">IF($U1645&gt;=ATR_PER,AVERAGE(INDEX($AA$1525:$AA1645,122-ATR_PER):$AA1645),"")</f>
        <v>70.9285714285714</v>
      </c>
      <c r="AC1645" s="48" t="n">
        <f aca="false">$O1645-$P1645</f>
        <v>-1502479</v>
      </c>
      <c r="AD1645" s="48" t="n">
        <f aca="false">$AC1645*$I1645</f>
        <v>-3054539807</v>
      </c>
      <c r="AE1645" s="49" t="n">
        <f aca="false">IF($Q1645&gt;0,$O1645*$I1645/$Q1645/1000000,"")</f>
        <v>69.6104925638298</v>
      </c>
      <c r="AF1645" s="49" t="n">
        <f aca="false">IF($R1645&gt;0,$P1645*$I1645/$R1645/1000000,"")</f>
        <v>58.2969700347826</v>
      </c>
      <c r="AG1645" s="50" t="n">
        <f aca="false">IF(AND(ISNUMBER($AE1645),ISNUMBER($AF1645),$AF1645&gt;0),$AE1645/$AF1645,"")</f>
        <v>1.1940670762528</v>
      </c>
      <c r="AH1645" s="48" t="n">
        <f aca="false">IF($U1645&gt;=5,SUM(INDEX($AD$1615:$AD1645,32-5):$AD1645),"")</f>
        <v>83298988602</v>
      </c>
      <c r="AI1645" s="48" t="n">
        <f aca="false">IF($U1645&gt;=STRUCT_S,MAX(INDEX($G$1495:$G1645,152-STRUCT_S):$G1645),"")</f>
        <v>2082</v>
      </c>
      <c r="AJ1645" s="48" t="n">
        <f aca="false">IF($U1645&gt;=STRUCT_S,MIN(INDEX($H$1495:$H1645,152-STRUCT_S):$H1645),"")</f>
        <v>1881</v>
      </c>
      <c r="AK1645" s="48" t="n">
        <f aca="false">IF($U1645&gt;=STRUCT_L,MAX(INDEX($G$1395:$G1645,252-STRUCT_L):$G1645),"")</f>
        <v>2113</v>
      </c>
      <c r="AL1645" s="48" t="n">
        <f aca="false">IF($U1645&gt;=STRUCT_L,MIN(INDEX($H$1395:$H1645,252-STRUCT_L):$H1645),"")</f>
        <v>1832</v>
      </c>
      <c r="AM1645" s="46" t="n">
        <f aca="false">IF($A1645&lt;&gt;$A1646,1,0)</f>
        <v>0</v>
      </c>
      <c r="AN1645" s="47" t="str">
        <f aca="false">IF($AM1645=1,$A1645,"")</f>
        <v/>
      </c>
    </row>
    <row r="1646" customFormat="false" ht="15" hidden="false" customHeight="false" outlineLevel="0" collapsed="false">
      <c r="A1646" s="43" t="s">
        <v>162</v>
      </c>
      <c r="B1646" s="44" t="s">
        <v>164</v>
      </c>
      <c r="C1646" s="45" t="n">
        <v>46019</v>
      </c>
      <c r="D1646" s="46" t="n">
        <v>20251228</v>
      </c>
      <c r="E1646" s="47" t="s">
        <v>369</v>
      </c>
      <c r="F1646" s="48" t="n">
        <v>2020</v>
      </c>
      <c r="G1646" s="48" t="n">
        <v>2046</v>
      </c>
      <c r="H1646" s="48" t="n">
        <v>2020</v>
      </c>
      <c r="I1646" s="48" t="n">
        <v>2033</v>
      </c>
      <c r="J1646" s="48" t="n">
        <v>2037</v>
      </c>
      <c r="K1646" s="48" t="n">
        <v>2033</v>
      </c>
      <c r="L1646" s="48" t="n">
        <v>80622109</v>
      </c>
      <c r="M1646" s="48" t="n">
        <v>163904747597</v>
      </c>
      <c r="N1646" s="48" t="n">
        <v>1846</v>
      </c>
      <c r="O1646" s="48" t="n">
        <v>42471092</v>
      </c>
      <c r="P1646" s="48" t="n">
        <v>40625972</v>
      </c>
      <c r="Q1646" s="48" t="n">
        <v>723</v>
      </c>
      <c r="R1646" s="48" t="n">
        <v>956</v>
      </c>
      <c r="S1646" s="48" t="n">
        <v>38151017</v>
      </c>
      <c r="T1646" s="48" t="n">
        <v>39996137</v>
      </c>
      <c r="U1646" s="46" t="n">
        <f aca="false">IF($A1646=$A1645,$U1645+1,1)</f>
        <v>82</v>
      </c>
      <c r="V1646" s="48" t="n">
        <f aca="false">IF($U1646&gt;=MA_SHORT,AVERAGE(INDEX($I$1246:$I1646,402-MA_SHORT):$I1646),"")</f>
        <v>1992.05</v>
      </c>
      <c r="W1646" s="48" t="n">
        <f aca="false">IF($U1646&gt;=MA_MED,AVERAGE(INDEX($I$1246:$I1646,402-MA_MED):$I1646),"")</f>
        <v>1960.62</v>
      </c>
      <c r="X1646" s="48" t="str">
        <f aca="false">IF($U1646&gt;=MA_LONG1,AVERAGE(INDEX($I$1246:$I1646,402-MA_LONG1):$I1646),"")</f>
        <v/>
      </c>
      <c r="Y1646" s="48" t="str">
        <f aca="false">IF($U1646&gt;=MA_LONG2,AVERAGE(INDEX($I$1246:$I1646,402-MA_LONG2):$I1646),"")</f>
        <v/>
      </c>
      <c r="Z1646" s="48" t="n">
        <f aca="false">IF($U1646&gt;=MA_SHORT,AVERAGE(INDEX($L$1526:$L1646,122-MA_SHORT):$L1646),"")</f>
        <v>116808256.2</v>
      </c>
      <c r="AA1646" s="48" t="n">
        <f aca="false">IF($U1646=1,$G1646-$H1646,MAX($G1646-$H1646,ABS($G1646-$I1645),ABS($H1646-$I1645)))</f>
        <v>26</v>
      </c>
      <c r="AB1646" s="48" t="n">
        <f aca="false">IF($U1646&gt;=ATR_PER,AVERAGE(INDEX($AA$1526:$AA1646,122-ATR_PER):$AA1646),"")</f>
        <v>65.6428571428571</v>
      </c>
      <c r="AC1646" s="48" t="n">
        <f aca="false">$O1646-$P1646</f>
        <v>1845120</v>
      </c>
      <c r="AD1646" s="48" t="n">
        <f aca="false">$AC1646*$I1646</f>
        <v>3751128960</v>
      </c>
      <c r="AE1646" s="49" t="n">
        <f aca="false">IF($Q1646&gt;0,$O1646*$I1646/$Q1646/1000000,"")</f>
        <v>119.424246246196</v>
      </c>
      <c r="AF1646" s="49" t="n">
        <f aca="false">IF($R1646&gt;0,$P1646*$I1646/$R1646/1000000,"")</f>
        <v>86.3939341799163</v>
      </c>
      <c r="AG1646" s="50" t="n">
        <f aca="false">IF(AND(ISNUMBER($AE1646),ISNUMBER($AF1646),$AF1646&gt;0),$AE1646/$AF1646,"")</f>
        <v>1.38232211994761</v>
      </c>
      <c r="AH1646" s="48" t="n">
        <f aca="false">IF($U1646&gt;=5,SUM(INDEX($AD$1616:$AD1646,32-5):$AD1646),"")</f>
        <v>83599437724</v>
      </c>
      <c r="AI1646" s="48" t="n">
        <f aca="false">IF($U1646&gt;=STRUCT_S,MAX(INDEX($G$1496:$G1646,152-STRUCT_S):$G1646),"")</f>
        <v>2082</v>
      </c>
      <c r="AJ1646" s="48" t="n">
        <f aca="false">IF($U1646&gt;=STRUCT_S,MIN(INDEX($H$1496:$H1646,152-STRUCT_S):$H1646),"")</f>
        <v>1881</v>
      </c>
      <c r="AK1646" s="48" t="n">
        <f aca="false">IF($U1646&gt;=STRUCT_L,MAX(INDEX($G$1396:$G1646,252-STRUCT_L):$G1646),"")</f>
        <v>2113</v>
      </c>
      <c r="AL1646" s="48" t="n">
        <f aca="false">IF($U1646&gt;=STRUCT_L,MIN(INDEX($H$1396:$H1646,252-STRUCT_L):$H1646),"")</f>
        <v>1832</v>
      </c>
      <c r="AM1646" s="46" t="n">
        <f aca="false">IF($A1646&lt;&gt;$A1647,1,0)</f>
        <v>0</v>
      </c>
      <c r="AN1646" s="47" t="str">
        <f aca="false">IF($AM1646=1,$A1646,"")</f>
        <v/>
      </c>
    </row>
    <row r="1647" customFormat="false" ht="15" hidden="false" customHeight="false" outlineLevel="0" collapsed="false">
      <c r="A1647" s="43" t="s">
        <v>162</v>
      </c>
      <c r="B1647" s="44" t="s">
        <v>164</v>
      </c>
      <c r="C1647" s="45" t="n">
        <v>46020</v>
      </c>
      <c r="D1647" s="46" t="n">
        <v>20251229</v>
      </c>
      <c r="E1647" s="47" t="s">
        <v>370</v>
      </c>
      <c r="F1647" s="48" t="n">
        <v>2019</v>
      </c>
      <c r="G1647" s="48" t="n">
        <v>2057</v>
      </c>
      <c r="H1647" s="48" t="n">
        <v>1988</v>
      </c>
      <c r="I1647" s="48" t="n">
        <v>2012</v>
      </c>
      <c r="J1647" s="48" t="n">
        <v>1994</v>
      </c>
      <c r="K1647" s="48" t="n">
        <v>2033</v>
      </c>
      <c r="L1647" s="48" t="n">
        <v>112646645</v>
      </c>
      <c r="M1647" s="48" t="n">
        <v>226645049740</v>
      </c>
      <c r="N1647" s="48" t="n">
        <v>3452</v>
      </c>
      <c r="O1647" s="48" t="n">
        <v>50457798</v>
      </c>
      <c r="P1647" s="48" t="n">
        <v>68712574</v>
      </c>
      <c r="Q1647" s="48" t="n">
        <v>1723</v>
      </c>
      <c r="R1647" s="48" t="n">
        <v>1702</v>
      </c>
      <c r="S1647" s="48" t="n">
        <v>62188847</v>
      </c>
      <c r="T1647" s="48" t="n">
        <v>43934071</v>
      </c>
      <c r="U1647" s="46" t="n">
        <f aca="false">IF($A1647=$A1646,$U1646+1,1)</f>
        <v>83</v>
      </c>
      <c r="V1647" s="48" t="n">
        <f aca="false">IF($U1647&gt;=MA_SHORT,AVERAGE(INDEX($I$1247:$I1647,402-MA_SHORT):$I1647),"")</f>
        <v>1995.45</v>
      </c>
      <c r="W1647" s="48" t="n">
        <f aca="false">IF($U1647&gt;=MA_MED,AVERAGE(INDEX($I$1247:$I1647,402-MA_MED):$I1647),"")</f>
        <v>1960.16</v>
      </c>
      <c r="X1647" s="48" t="str">
        <f aca="false">IF($U1647&gt;=MA_LONG1,AVERAGE(INDEX($I$1247:$I1647,402-MA_LONG1):$I1647),"")</f>
        <v/>
      </c>
      <c r="Y1647" s="48" t="str">
        <f aca="false">IF($U1647&gt;=MA_LONG2,AVERAGE(INDEX($I$1247:$I1647,402-MA_LONG2):$I1647),"")</f>
        <v/>
      </c>
      <c r="Z1647" s="48" t="n">
        <f aca="false">IF($U1647&gt;=MA_SHORT,AVERAGE(INDEX($L$1527:$L1647,122-MA_SHORT):$L1647),"")</f>
        <v>118179803.15</v>
      </c>
      <c r="AA1647" s="48" t="n">
        <f aca="false">IF($U1647=1,$G1647-$H1647,MAX($G1647-$H1647,ABS($G1647-$I1646),ABS($H1647-$I1646)))</f>
        <v>69</v>
      </c>
      <c r="AB1647" s="48" t="n">
        <f aca="false">IF($U1647&gt;=ATR_PER,AVERAGE(INDEX($AA$1527:$AA1647,122-ATR_PER):$AA1647),"")</f>
        <v>66</v>
      </c>
      <c r="AC1647" s="48" t="n">
        <f aca="false">$O1647-$P1647</f>
        <v>-18254776</v>
      </c>
      <c r="AD1647" s="48" t="n">
        <f aca="false">$AC1647*$I1647</f>
        <v>-36728609312</v>
      </c>
      <c r="AE1647" s="49" t="n">
        <f aca="false">IF($Q1647&gt;0,$O1647*$I1647/$Q1647/1000000,"")</f>
        <v>58.9211198932095</v>
      </c>
      <c r="AF1647" s="49" t="n">
        <f aca="false">IF($R1647&gt;0,$P1647*$I1647/$R1647/1000000,"")</f>
        <v>81.2277901809636</v>
      </c>
      <c r="AG1647" s="50" t="n">
        <f aca="false">IF(AND(ISNUMBER($AE1647),ISNUMBER($AF1647),$AF1647&gt;0),$AE1647/$AF1647,"")</f>
        <v>0.725381298222467</v>
      </c>
      <c r="AH1647" s="48" t="n">
        <f aca="false">IF($U1647&gt;=5,SUM(INDEX($AD$1617:$AD1647,32-5):$AD1647),"")</f>
        <v>-17636960387</v>
      </c>
      <c r="AI1647" s="48" t="n">
        <f aca="false">IF($U1647&gt;=STRUCT_S,MAX(INDEX($G$1497:$G1647,152-STRUCT_S):$G1647),"")</f>
        <v>2082</v>
      </c>
      <c r="AJ1647" s="48" t="n">
        <f aca="false">IF($U1647&gt;=STRUCT_S,MIN(INDEX($H$1497:$H1647,152-STRUCT_S):$H1647),"")</f>
        <v>1881</v>
      </c>
      <c r="AK1647" s="48" t="n">
        <f aca="false">IF($U1647&gt;=STRUCT_L,MAX(INDEX($G$1397:$G1647,252-STRUCT_L):$G1647),"")</f>
        <v>2113</v>
      </c>
      <c r="AL1647" s="48" t="n">
        <f aca="false">IF($U1647&gt;=STRUCT_L,MIN(INDEX($H$1397:$H1647,252-STRUCT_L):$H1647),"")</f>
        <v>1832</v>
      </c>
      <c r="AM1647" s="46" t="n">
        <f aca="false">IF($A1647&lt;&gt;$A1648,1,0)</f>
        <v>0</v>
      </c>
      <c r="AN1647" s="47" t="str">
        <f aca="false">IF($AM1647=1,$A1647,"")</f>
        <v/>
      </c>
    </row>
    <row r="1648" customFormat="false" ht="15" hidden="false" customHeight="false" outlineLevel="0" collapsed="false">
      <c r="A1648" s="43" t="s">
        <v>162</v>
      </c>
      <c r="B1648" s="44" t="s">
        <v>164</v>
      </c>
      <c r="C1648" s="45" t="n">
        <v>46021</v>
      </c>
      <c r="D1648" s="46" t="n">
        <v>20251230</v>
      </c>
      <c r="E1648" s="47" t="s">
        <v>371</v>
      </c>
      <c r="F1648" s="48" t="n">
        <v>1993</v>
      </c>
      <c r="G1648" s="48" t="n">
        <v>2019</v>
      </c>
      <c r="H1648" s="48" t="n">
        <v>1946</v>
      </c>
      <c r="I1648" s="48" t="n">
        <v>1952</v>
      </c>
      <c r="J1648" s="48" t="n">
        <v>2019</v>
      </c>
      <c r="K1648" s="48" t="n">
        <v>2012</v>
      </c>
      <c r="L1648" s="48" t="n">
        <v>92634760</v>
      </c>
      <c r="M1648" s="48" t="n">
        <v>180823051520</v>
      </c>
      <c r="N1648" s="48" t="n">
        <v>5428</v>
      </c>
      <c r="O1648" s="48" t="n">
        <v>31189200</v>
      </c>
      <c r="P1648" s="48" t="n">
        <v>58175762</v>
      </c>
      <c r="Q1648" s="48" t="n">
        <v>1782</v>
      </c>
      <c r="R1648" s="48" t="n">
        <v>2260</v>
      </c>
      <c r="S1648" s="48" t="n">
        <v>61445560</v>
      </c>
      <c r="T1648" s="48" t="n">
        <v>34458998</v>
      </c>
      <c r="U1648" s="46" t="n">
        <f aca="false">IF($A1648=$A1647,$U1647+1,1)</f>
        <v>84</v>
      </c>
      <c r="V1648" s="48" t="n">
        <f aca="false">IF($U1648&gt;=MA_SHORT,AVERAGE(INDEX($I$1248:$I1648,402-MA_SHORT):$I1648),"")</f>
        <v>1992.5</v>
      </c>
      <c r="W1648" s="48" t="n">
        <f aca="false">IF($U1648&gt;=MA_MED,AVERAGE(INDEX($I$1248:$I1648,402-MA_MED):$I1648),"")</f>
        <v>1957.84</v>
      </c>
      <c r="X1648" s="48" t="str">
        <f aca="false">IF($U1648&gt;=MA_LONG1,AVERAGE(INDEX($I$1248:$I1648,402-MA_LONG1):$I1648),"")</f>
        <v/>
      </c>
      <c r="Y1648" s="48" t="str">
        <f aca="false">IF($U1648&gt;=MA_LONG2,AVERAGE(INDEX($I$1248:$I1648,402-MA_LONG2):$I1648),"")</f>
        <v/>
      </c>
      <c r="Z1648" s="48" t="n">
        <f aca="false">IF($U1648&gt;=MA_SHORT,AVERAGE(INDEX($L$1528:$L1648,122-MA_SHORT):$L1648),"")</f>
        <v>118070333</v>
      </c>
      <c r="AA1648" s="48" t="n">
        <f aca="false">IF($U1648=1,$G1648-$H1648,MAX($G1648-$H1648,ABS($G1648-$I1647),ABS($H1648-$I1647)))</f>
        <v>73</v>
      </c>
      <c r="AB1648" s="48" t="n">
        <f aca="false">IF($U1648&gt;=ATR_PER,AVERAGE(INDEX($AA$1528:$AA1648,122-ATR_PER):$AA1648),"")</f>
        <v>69</v>
      </c>
      <c r="AC1648" s="48" t="n">
        <f aca="false">$O1648-$P1648</f>
        <v>-26986562</v>
      </c>
      <c r="AD1648" s="48" t="n">
        <f aca="false">$AC1648*$I1648</f>
        <v>-52677769024</v>
      </c>
      <c r="AE1648" s="49" t="n">
        <f aca="false">IF($Q1648&gt;0,$O1648*$I1648/$Q1648/1000000,"")</f>
        <v>34.1646006734007</v>
      </c>
      <c r="AF1648" s="49" t="n">
        <f aca="false">IF($R1648&gt;0,$P1648*$I1648/$R1648/1000000,"")</f>
        <v>50.2473838159292</v>
      </c>
      <c r="AG1648" s="50" t="n">
        <f aca="false">IF(AND(ISNUMBER($AE1648),ISNUMBER($AF1648),$AF1648&gt;0),$AE1648/$AF1648,"")</f>
        <v>0.679927950051202</v>
      </c>
      <c r="AH1648" s="48" t="n">
        <f aca="false">IF($U1648&gt;=5,SUM(INDEX($AD$1618:$AD1648,32-5):$AD1648),"")</f>
        <v>-106459184319</v>
      </c>
      <c r="AI1648" s="48" t="n">
        <f aca="false">IF($U1648&gt;=STRUCT_S,MAX(INDEX($G$1498:$G1648,152-STRUCT_S):$G1648),"")</f>
        <v>2082</v>
      </c>
      <c r="AJ1648" s="48" t="n">
        <f aca="false">IF($U1648&gt;=STRUCT_S,MIN(INDEX($H$1498:$H1648,152-STRUCT_S):$H1648),"")</f>
        <v>1881</v>
      </c>
      <c r="AK1648" s="48" t="n">
        <f aca="false">IF($U1648&gt;=STRUCT_L,MAX(INDEX($G$1398:$G1648,252-STRUCT_L):$G1648),"")</f>
        <v>2113</v>
      </c>
      <c r="AL1648" s="48" t="n">
        <f aca="false">IF($U1648&gt;=STRUCT_L,MIN(INDEX($H$1398:$H1648,252-STRUCT_L):$H1648),"")</f>
        <v>1832</v>
      </c>
      <c r="AM1648" s="46" t="n">
        <f aca="false">IF($A1648&lt;&gt;$A1649,1,0)</f>
        <v>0</v>
      </c>
      <c r="AN1648" s="47" t="str">
        <f aca="false">IF($AM1648=1,$A1648,"")</f>
        <v/>
      </c>
    </row>
    <row r="1649" customFormat="false" ht="15" hidden="false" customHeight="false" outlineLevel="0" collapsed="false">
      <c r="A1649" s="43" t="s">
        <v>162</v>
      </c>
      <c r="B1649" s="44" t="s">
        <v>164</v>
      </c>
      <c r="C1649" s="45" t="n">
        <v>46022</v>
      </c>
      <c r="D1649" s="46" t="n">
        <v>20251231</v>
      </c>
      <c r="E1649" s="47" t="s">
        <v>372</v>
      </c>
      <c r="F1649" s="48" t="n">
        <v>2000</v>
      </c>
      <c r="G1649" s="48" t="n">
        <v>2007</v>
      </c>
      <c r="H1649" s="48" t="n">
        <v>1933</v>
      </c>
      <c r="I1649" s="48" t="n">
        <v>1987</v>
      </c>
      <c r="J1649" s="48" t="n">
        <v>1943</v>
      </c>
      <c r="K1649" s="48" t="n">
        <v>1952</v>
      </c>
      <c r="L1649" s="48" t="n">
        <v>87955051</v>
      </c>
      <c r="M1649" s="48" t="n">
        <v>174766686337</v>
      </c>
      <c r="N1649" s="48" t="n">
        <v>2209</v>
      </c>
      <c r="O1649" s="48" t="n">
        <v>51965238</v>
      </c>
      <c r="P1649" s="48" t="n">
        <v>36581986</v>
      </c>
      <c r="Q1649" s="48" t="n">
        <v>735</v>
      </c>
      <c r="R1649" s="48" t="n">
        <v>1172</v>
      </c>
      <c r="S1649" s="48" t="n">
        <v>35989813</v>
      </c>
      <c r="T1649" s="48" t="n">
        <v>51373065</v>
      </c>
      <c r="U1649" s="46" t="n">
        <f aca="false">IF($A1649=$A1648,$U1648+1,1)</f>
        <v>85</v>
      </c>
      <c r="V1649" s="48" t="n">
        <f aca="false">IF($U1649&gt;=MA_SHORT,AVERAGE(INDEX($I$1249:$I1649,402-MA_SHORT):$I1649),"")</f>
        <v>1991.8</v>
      </c>
      <c r="W1649" s="48" t="n">
        <f aca="false">IF($U1649&gt;=MA_MED,AVERAGE(INDEX($I$1249:$I1649,402-MA_MED):$I1649),"")</f>
        <v>1956.14</v>
      </c>
      <c r="X1649" s="48" t="str">
        <f aca="false">IF($U1649&gt;=MA_LONG1,AVERAGE(INDEX($I$1249:$I1649,402-MA_LONG1):$I1649),"")</f>
        <v/>
      </c>
      <c r="Y1649" s="48" t="str">
        <f aca="false">IF($U1649&gt;=MA_LONG2,AVERAGE(INDEX($I$1249:$I1649,402-MA_LONG2):$I1649),"")</f>
        <v/>
      </c>
      <c r="Z1649" s="48" t="n">
        <f aca="false">IF($U1649&gt;=MA_SHORT,AVERAGE(INDEX($L$1529:$L1649,122-MA_SHORT):$L1649),"")</f>
        <v>117705880.65</v>
      </c>
      <c r="AA1649" s="48" t="n">
        <f aca="false">IF($U1649=1,$G1649-$H1649,MAX($G1649-$H1649,ABS($G1649-$I1648),ABS($H1649-$I1648)))</f>
        <v>74</v>
      </c>
      <c r="AB1649" s="48" t="n">
        <f aca="false">IF($U1649&gt;=ATR_PER,AVERAGE(INDEX($AA$1529:$AA1649,122-ATR_PER):$AA1649),"")</f>
        <v>72.5</v>
      </c>
      <c r="AC1649" s="48" t="n">
        <f aca="false">$O1649-$P1649</f>
        <v>15383252</v>
      </c>
      <c r="AD1649" s="48" t="n">
        <f aca="false">$AC1649*$I1649</f>
        <v>30566521724</v>
      </c>
      <c r="AE1649" s="49" t="n">
        <f aca="false">IF($Q1649&gt;0,$O1649*$I1649/$Q1649/1000000,"")</f>
        <v>140.482895110204</v>
      </c>
      <c r="AF1649" s="49" t="n">
        <f aca="false">IF($R1649&gt;0,$P1649*$I1649/$R1649/1000000,"")</f>
        <v>62.020824387372</v>
      </c>
      <c r="AG1649" s="50" t="n">
        <f aca="false">IF(AND(ISNUMBER($AE1649),ISNUMBER($AF1649),$AF1649&gt;0),$AE1649/$AF1649,"")</f>
        <v>2.26509235402565</v>
      </c>
      <c r="AH1649" s="48" t="n">
        <f aca="false">IF($U1649&gt;=5,SUM(INDEX($AD$1619:$AD1649,32-5):$AD1649),"")</f>
        <v>-58143267459</v>
      </c>
      <c r="AI1649" s="48" t="n">
        <f aca="false">IF($U1649&gt;=STRUCT_S,MAX(INDEX($G$1499:$G1649,152-STRUCT_S):$G1649),"")</f>
        <v>2082</v>
      </c>
      <c r="AJ1649" s="48" t="n">
        <f aca="false">IF($U1649&gt;=STRUCT_S,MIN(INDEX($H$1499:$H1649,152-STRUCT_S):$H1649),"")</f>
        <v>1881</v>
      </c>
      <c r="AK1649" s="48" t="n">
        <f aca="false">IF($U1649&gt;=STRUCT_L,MAX(INDEX($G$1399:$G1649,252-STRUCT_L):$G1649),"")</f>
        <v>2113</v>
      </c>
      <c r="AL1649" s="48" t="n">
        <f aca="false">IF($U1649&gt;=STRUCT_L,MIN(INDEX($H$1399:$H1649,252-STRUCT_L):$H1649),"")</f>
        <v>1832</v>
      </c>
      <c r="AM1649" s="46" t="n">
        <f aca="false">IF($A1649&lt;&gt;$A1650,1,0)</f>
        <v>0</v>
      </c>
      <c r="AN1649" s="47" t="str">
        <f aca="false">IF($AM1649=1,$A1649,"")</f>
        <v/>
      </c>
    </row>
    <row r="1650" customFormat="false" ht="15" hidden="false" customHeight="false" outlineLevel="0" collapsed="false">
      <c r="A1650" s="43" t="s">
        <v>162</v>
      </c>
      <c r="B1650" s="44" t="s">
        <v>164</v>
      </c>
      <c r="C1650" s="45" t="n">
        <v>46025</v>
      </c>
      <c r="D1650" s="46" t="n">
        <v>20260103</v>
      </c>
      <c r="E1650" s="47" t="s">
        <v>373</v>
      </c>
      <c r="F1650" s="48" t="n">
        <v>1990</v>
      </c>
      <c r="G1650" s="48" t="n">
        <v>1995</v>
      </c>
      <c r="H1650" s="48" t="n">
        <v>1966</v>
      </c>
      <c r="I1650" s="48" t="n">
        <v>1974</v>
      </c>
      <c r="J1650" s="48" t="n">
        <v>1987</v>
      </c>
      <c r="K1650" s="48" t="n">
        <v>1987</v>
      </c>
      <c r="L1650" s="48" t="n">
        <v>189873644</v>
      </c>
      <c r="M1650" s="48" t="n">
        <v>374810573256</v>
      </c>
      <c r="N1650" s="48" t="n">
        <v>5245</v>
      </c>
      <c r="O1650" s="48" t="n">
        <v>95990519</v>
      </c>
      <c r="P1650" s="48" t="n">
        <v>82716057</v>
      </c>
      <c r="Q1650" s="48" t="n">
        <v>2742</v>
      </c>
      <c r="R1650" s="48" t="n">
        <v>2051</v>
      </c>
      <c r="S1650" s="48" t="n">
        <v>93883125</v>
      </c>
      <c r="T1650" s="48" t="n">
        <v>107157587</v>
      </c>
      <c r="U1650" s="46" t="n">
        <f aca="false">IF($A1650=$A1649,$U1649+1,1)</f>
        <v>86</v>
      </c>
      <c r="V1650" s="48" t="n">
        <f aca="false">IF($U1650&gt;=MA_SHORT,AVERAGE(INDEX($I$1250:$I1650,402-MA_SHORT):$I1650),"")</f>
        <v>1989</v>
      </c>
      <c r="W1650" s="48" t="n">
        <f aca="false">IF($U1650&gt;=MA_MED,AVERAGE(INDEX($I$1250:$I1650,402-MA_MED):$I1650),"")</f>
        <v>1954.7</v>
      </c>
      <c r="X1650" s="48" t="str">
        <f aca="false">IF($U1650&gt;=MA_LONG1,AVERAGE(INDEX($I$1250:$I1650,402-MA_LONG1):$I1650),"")</f>
        <v/>
      </c>
      <c r="Y1650" s="48" t="str">
        <f aca="false">IF($U1650&gt;=MA_LONG2,AVERAGE(INDEX($I$1250:$I1650,402-MA_LONG2):$I1650),"")</f>
        <v/>
      </c>
      <c r="Z1650" s="48" t="n">
        <f aca="false">IF($U1650&gt;=MA_SHORT,AVERAGE(INDEX($L$1530:$L1650,122-MA_SHORT):$L1650),"")</f>
        <v>120352762.15</v>
      </c>
      <c r="AA1650" s="48" t="n">
        <f aca="false">IF($U1650=1,$G1650-$H1650,MAX($G1650-$H1650,ABS($G1650-$I1649),ABS($H1650-$I1649)))</f>
        <v>29</v>
      </c>
      <c r="AB1650" s="48" t="n">
        <f aca="false">IF($U1650&gt;=ATR_PER,AVERAGE(INDEX($AA$1530:$AA1650,122-ATR_PER):$AA1650),"")</f>
        <v>70.9285714285714</v>
      </c>
      <c r="AC1650" s="48" t="n">
        <f aca="false">$O1650-$P1650</f>
        <v>13274462</v>
      </c>
      <c r="AD1650" s="48" t="n">
        <f aca="false">$AC1650*$I1650</f>
        <v>26203787988</v>
      </c>
      <c r="AE1650" s="49" t="n">
        <f aca="false">IF($Q1650&gt;0,$O1650*$I1650/$Q1650/1000000,"")</f>
        <v>69.1047718840263</v>
      </c>
      <c r="AF1650" s="49" t="n">
        <f aca="false">IF($R1650&gt;0,$P1650*$I1650/$R1650/1000000,"")</f>
        <v>79.6106760204778</v>
      </c>
      <c r="AG1650" s="50" t="n">
        <f aca="false">IF(AND(ISNUMBER($AE1650),ISNUMBER($AF1650),$AF1650&gt;0),$AE1650/$AF1650,"")</f>
        <v>0.868033979089071</v>
      </c>
      <c r="AH1650" s="48" t="n">
        <f aca="false">IF($U1650&gt;=5,SUM(INDEX($AD$1620:$AD1650,32-5):$AD1650),"")</f>
        <v>-28884939664</v>
      </c>
      <c r="AI1650" s="48" t="n">
        <f aca="false">IF($U1650&gt;=STRUCT_S,MAX(INDEX($G$1500:$G1650,152-STRUCT_S):$G1650),"")</f>
        <v>2082</v>
      </c>
      <c r="AJ1650" s="48" t="n">
        <f aca="false">IF($U1650&gt;=STRUCT_S,MIN(INDEX($H$1500:$H1650,152-STRUCT_S):$H1650),"")</f>
        <v>1881</v>
      </c>
      <c r="AK1650" s="48" t="n">
        <f aca="false">IF($U1650&gt;=STRUCT_L,MAX(INDEX($G$1400:$G1650,252-STRUCT_L):$G1650),"")</f>
        <v>2094</v>
      </c>
      <c r="AL1650" s="48" t="n">
        <f aca="false">IF($U1650&gt;=STRUCT_L,MIN(INDEX($H$1400:$H1650,252-STRUCT_L):$H1650),"")</f>
        <v>1832</v>
      </c>
      <c r="AM1650" s="46" t="n">
        <f aca="false">IF($A1650&lt;&gt;$A1651,1,0)</f>
        <v>0</v>
      </c>
      <c r="AN1650" s="47" t="str">
        <f aca="false">IF($AM1650=1,$A1650,"")</f>
        <v/>
      </c>
    </row>
    <row r="1651" customFormat="false" ht="15" hidden="false" customHeight="false" outlineLevel="0" collapsed="false">
      <c r="A1651" s="43" t="s">
        <v>162</v>
      </c>
      <c r="B1651" s="44" t="s">
        <v>164</v>
      </c>
      <c r="C1651" s="45" t="n">
        <v>46026</v>
      </c>
      <c r="D1651" s="46" t="n">
        <v>20260104</v>
      </c>
      <c r="E1651" s="47" t="s">
        <v>374</v>
      </c>
      <c r="F1651" s="48" t="n">
        <v>1980</v>
      </c>
      <c r="G1651" s="48" t="n">
        <v>1986</v>
      </c>
      <c r="H1651" s="48" t="n">
        <v>1931</v>
      </c>
      <c r="I1651" s="48" t="n">
        <v>1943</v>
      </c>
      <c r="J1651" s="48" t="n">
        <v>1967</v>
      </c>
      <c r="K1651" s="48" t="n">
        <v>1974</v>
      </c>
      <c r="L1651" s="48" t="n">
        <v>132238625</v>
      </c>
      <c r="M1651" s="48" t="n">
        <v>256939648375</v>
      </c>
      <c r="N1651" s="48" t="n">
        <v>10358</v>
      </c>
      <c r="O1651" s="48" t="n">
        <v>52563066</v>
      </c>
      <c r="P1651" s="48" t="n">
        <v>80274965</v>
      </c>
      <c r="Q1651" s="48" t="n">
        <v>4542</v>
      </c>
      <c r="R1651" s="48" t="n">
        <v>3855</v>
      </c>
      <c r="S1651" s="48" t="n">
        <v>79675559</v>
      </c>
      <c r="T1651" s="48" t="n">
        <v>51963660</v>
      </c>
      <c r="U1651" s="46" t="n">
        <f aca="false">IF($A1651=$A1650,$U1650+1,1)</f>
        <v>87</v>
      </c>
      <c r="V1651" s="48" t="n">
        <f aca="false">IF($U1651&gt;=MA_SHORT,AVERAGE(INDEX($I$1251:$I1651,402-MA_SHORT):$I1651),"")</f>
        <v>1984.85</v>
      </c>
      <c r="W1651" s="48" t="n">
        <f aca="false">IF($U1651&gt;=MA_MED,AVERAGE(INDEX($I$1251:$I1651,402-MA_MED):$I1651),"")</f>
        <v>1952.26</v>
      </c>
      <c r="X1651" s="48" t="str">
        <f aca="false">IF($U1651&gt;=MA_LONG1,AVERAGE(INDEX($I$1251:$I1651,402-MA_LONG1):$I1651),"")</f>
        <v/>
      </c>
      <c r="Y1651" s="48" t="str">
        <f aca="false">IF($U1651&gt;=MA_LONG2,AVERAGE(INDEX($I$1251:$I1651,402-MA_LONG2):$I1651),"")</f>
        <v/>
      </c>
      <c r="Z1651" s="48" t="n">
        <f aca="false">IF($U1651&gt;=MA_SHORT,AVERAGE(INDEX($L$1531:$L1651,122-MA_SHORT):$L1651),"")</f>
        <v>108925588.1</v>
      </c>
      <c r="AA1651" s="48" t="n">
        <f aca="false">IF($U1651=1,$G1651-$H1651,MAX($G1651-$H1651,ABS($G1651-$I1650),ABS($H1651-$I1650)))</f>
        <v>55</v>
      </c>
      <c r="AB1651" s="48" t="n">
        <f aca="false">IF($U1651&gt;=ATR_PER,AVERAGE(INDEX($AA$1531:$AA1651,122-ATR_PER):$AA1651),"")</f>
        <v>65.2857142857143</v>
      </c>
      <c r="AC1651" s="48" t="n">
        <f aca="false">$O1651-$P1651</f>
        <v>-27711899</v>
      </c>
      <c r="AD1651" s="48" t="n">
        <f aca="false">$AC1651*$I1651</f>
        <v>-53844219757</v>
      </c>
      <c r="AE1651" s="49" t="n">
        <f aca="false">IF($Q1651&gt;0,$O1651*$I1651/$Q1651/1000000,"")</f>
        <v>22.485697322325</v>
      </c>
      <c r="AF1651" s="49" t="n">
        <f aca="false">IF($R1651&gt;0,$P1651*$I1651/$R1651/1000000,"")</f>
        <v>40.4602482477302</v>
      </c>
      <c r="AG1651" s="50" t="n">
        <f aca="false">IF(AND(ISNUMBER($AE1651),ISNUMBER($AF1651),$AF1651&gt;0),$AE1651/$AF1651,"")</f>
        <v>0.555747883321166</v>
      </c>
      <c r="AH1651" s="48" t="n">
        <f aca="false">IF($U1651&gt;=5,SUM(INDEX($AD$1621:$AD1651,32-5):$AD1651),"")</f>
        <v>-86480288381</v>
      </c>
      <c r="AI1651" s="48" t="n">
        <f aca="false">IF($U1651&gt;=STRUCT_S,MAX(INDEX($G$1501:$G1651,152-STRUCT_S):$G1651),"")</f>
        <v>2082</v>
      </c>
      <c r="AJ1651" s="48" t="n">
        <f aca="false">IF($U1651&gt;=STRUCT_S,MIN(INDEX($H$1501:$H1651,152-STRUCT_S):$H1651),"")</f>
        <v>1881</v>
      </c>
      <c r="AK1651" s="48" t="n">
        <f aca="false">IF($U1651&gt;=STRUCT_L,MAX(INDEX($G$1401:$G1651,252-STRUCT_L):$G1651),"")</f>
        <v>2094</v>
      </c>
      <c r="AL1651" s="48" t="n">
        <f aca="false">IF($U1651&gt;=STRUCT_L,MIN(INDEX($H$1401:$H1651,252-STRUCT_L):$H1651),"")</f>
        <v>1832</v>
      </c>
      <c r="AM1651" s="46" t="n">
        <f aca="false">IF($A1651&lt;&gt;$A1652,1,0)</f>
        <v>0</v>
      </c>
      <c r="AN1651" s="47" t="str">
        <f aca="false">IF($AM1651=1,$A1651,"")</f>
        <v/>
      </c>
    </row>
    <row r="1652" customFormat="false" ht="15" hidden="false" customHeight="false" outlineLevel="0" collapsed="false">
      <c r="A1652" s="43" t="s">
        <v>162</v>
      </c>
      <c r="B1652" s="44" t="s">
        <v>164</v>
      </c>
      <c r="C1652" s="45" t="n">
        <v>46027</v>
      </c>
      <c r="D1652" s="46" t="n">
        <v>20260105</v>
      </c>
      <c r="E1652" s="47" t="s">
        <v>375</v>
      </c>
      <c r="F1652" s="48" t="n">
        <v>1924</v>
      </c>
      <c r="G1652" s="48" t="n">
        <v>1965</v>
      </c>
      <c r="H1652" s="48" t="n">
        <v>1904</v>
      </c>
      <c r="I1652" s="48" t="n">
        <v>1926</v>
      </c>
      <c r="J1652" s="48" t="n">
        <v>1964</v>
      </c>
      <c r="K1652" s="48" t="n">
        <v>1943</v>
      </c>
      <c r="L1652" s="48" t="n">
        <v>95350720</v>
      </c>
      <c r="M1652" s="48" t="n">
        <v>183645486720</v>
      </c>
      <c r="N1652" s="48" t="n">
        <v>2425</v>
      </c>
      <c r="O1652" s="48" t="n">
        <v>44525218</v>
      </c>
      <c r="P1652" s="48" t="n">
        <v>50848860</v>
      </c>
      <c r="Q1652" s="48" t="n">
        <v>854</v>
      </c>
      <c r="R1652" s="48" t="n">
        <v>1085</v>
      </c>
      <c r="S1652" s="48" t="n">
        <v>50825502</v>
      </c>
      <c r="T1652" s="48" t="n">
        <v>44501860</v>
      </c>
      <c r="U1652" s="46" t="n">
        <f aca="false">IF($A1652=$A1651,$U1651+1,1)</f>
        <v>88</v>
      </c>
      <c r="V1652" s="48" t="n">
        <f aca="false">IF($U1652&gt;=MA_SHORT,AVERAGE(INDEX($I$1252:$I1652,402-MA_SHORT):$I1652),"")</f>
        <v>1982.95</v>
      </c>
      <c r="W1652" s="48" t="n">
        <f aca="false">IF($U1652&gt;=MA_MED,AVERAGE(INDEX($I$1252:$I1652,402-MA_MED):$I1652),"")</f>
        <v>1950.32</v>
      </c>
      <c r="X1652" s="48" t="str">
        <f aca="false">IF($U1652&gt;=MA_LONG1,AVERAGE(INDEX($I$1252:$I1652,402-MA_LONG1):$I1652),"")</f>
        <v/>
      </c>
      <c r="Y1652" s="48" t="str">
        <f aca="false">IF($U1652&gt;=MA_LONG2,AVERAGE(INDEX($I$1252:$I1652,402-MA_LONG2):$I1652),"")</f>
        <v/>
      </c>
      <c r="Z1652" s="48" t="n">
        <f aca="false">IF($U1652&gt;=MA_SHORT,AVERAGE(INDEX($L$1532:$L1652,122-MA_SHORT):$L1652),"")</f>
        <v>109042973.55</v>
      </c>
      <c r="AA1652" s="48" t="n">
        <f aca="false">IF($U1652=1,$G1652-$H1652,MAX($G1652-$H1652,ABS($G1652-$I1651),ABS($H1652-$I1651)))</f>
        <v>61</v>
      </c>
      <c r="AB1652" s="48" t="n">
        <f aca="false">IF($U1652&gt;=ATR_PER,AVERAGE(INDEX($AA$1532:$AA1652,122-ATR_PER):$AA1652),"")</f>
        <v>62.7857142857143</v>
      </c>
      <c r="AC1652" s="48" t="n">
        <f aca="false">$O1652-$P1652</f>
        <v>-6323642</v>
      </c>
      <c r="AD1652" s="48" t="n">
        <f aca="false">$AC1652*$I1652</f>
        <v>-12179334492</v>
      </c>
      <c r="AE1652" s="49" t="n">
        <f aca="false">IF($Q1652&gt;0,$O1652*$I1652/$Q1652/1000000,"")</f>
        <v>100.416358159251</v>
      </c>
      <c r="AF1652" s="49" t="n">
        <f aca="false">IF($R1652&gt;0,$P1652*$I1652/$R1652/1000000,"")</f>
        <v>90.2625846635945</v>
      </c>
      <c r="AG1652" s="50" t="n">
        <f aca="false">IF(AND(ISNUMBER($AE1652),ISNUMBER($AF1652),$AF1652&gt;0),$AE1652/$AF1652,"")</f>
        <v>1.11249149947898</v>
      </c>
      <c r="AH1652" s="48" t="n">
        <f aca="false">IF($U1652&gt;=5,SUM(INDEX($AD$1622:$AD1652,32-5):$AD1652),"")</f>
        <v>-61931013561</v>
      </c>
      <c r="AI1652" s="48" t="n">
        <f aca="false">IF($U1652&gt;=STRUCT_S,MAX(INDEX($G$1502:$G1652,152-STRUCT_S):$G1652),"")</f>
        <v>2082</v>
      </c>
      <c r="AJ1652" s="48" t="n">
        <f aca="false">IF($U1652&gt;=STRUCT_S,MIN(INDEX($H$1502:$H1652,152-STRUCT_S):$H1652),"")</f>
        <v>1881</v>
      </c>
      <c r="AK1652" s="48" t="n">
        <f aca="false">IF($U1652&gt;=STRUCT_L,MAX(INDEX($G$1402:$G1652,252-STRUCT_L):$G1652),"")</f>
        <v>2094</v>
      </c>
      <c r="AL1652" s="48" t="n">
        <f aca="false">IF($U1652&gt;=STRUCT_L,MIN(INDEX($H$1402:$H1652,252-STRUCT_L):$H1652),"")</f>
        <v>1832</v>
      </c>
      <c r="AM1652" s="46" t="n">
        <f aca="false">IF($A1652&lt;&gt;$A1653,1,0)</f>
        <v>0</v>
      </c>
      <c r="AN1652" s="47" t="str">
        <f aca="false">IF($AM1652=1,$A1652,"")</f>
        <v/>
      </c>
    </row>
    <row r="1653" customFormat="false" ht="15" hidden="false" customHeight="false" outlineLevel="0" collapsed="false">
      <c r="A1653" s="43" t="s">
        <v>162</v>
      </c>
      <c r="B1653" s="44" t="s">
        <v>164</v>
      </c>
      <c r="C1653" s="45" t="n">
        <v>46028</v>
      </c>
      <c r="D1653" s="46" t="n">
        <v>20260106</v>
      </c>
      <c r="E1653" s="47" t="s">
        <v>376</v>
      </c>
      <c r="F1653" s="48" t="n">
        <v>1916</v>
      </c>
      <c r="G1653" s="48" t="n">
        <v>1932</v>
      </c>
      <c r="H1653" s="48" t="n">
        <v>1895</v>
      </c>
      <c r="I1653" s="48" t="n">
        <v>1901</v>
      </c>
      <c r="J1653" s="48" t="n">
        <v>1926</v>
      </c>
      <c r="K1653" s="48" t="n">
        <v>1926</v>
      </c>
      <c r="L1653" s="48" t="n">
        <v>84695110</v>
      </c>
      <c r="M1653" s="48" t="n">
        <v>161005404110</v>
      </c>
      <c r="N1653" s="48" t="n">
        <v>1894</v>
      </c>
      <c r="O1653" s="48" t="n">
        <v>28751392</v>
      </c>
      <c r="P1653" s="48" t="n">
        <v>54665661</v>
      </c>
      <c r="Q1653" s="48" t="n">
        <v>591</v>
      </c>
      <c r="R1653" s="48" t="n">
        <v>783</v>
      </c>
      <c r="S1653" s="48" t="n">
        <v>55943718</v>
      </c>
      <c r="T1653" s="48" t="n">
        <v>30029449</v>
      </c>
      <c r="U1653" s="46" t="n">
        <f aca="false">IF($A1653=$A1652,$U1652+1,1)</f>
        <v>89</v>
      </c>
      <c r="V1653" s="48" t="n">
        <f aca="false">IF($U1653&gt;=MA_SHORT,AVERAGE(INDEX($I$1253:$I1653,402-MA_SHORT):$I1653),"")</f>
        <v>1979.05</v>
      </c>
      <c r="W1653" s="48" t="n">
        <f aca="false">IF($U1653&gt;=MA_MED,AVERAGE(INDEX($I$1253:$I1653,402-MA_MED):$I1653),"")</f>
        <v>1947.72</v>
      </c>
      <c r="X1653" s="48" t="str">
        <f aca="false">IF($U1653&gt;=MA_LONG1,AVERAGE(INDEX($I$1253:$I1653,402-MA_LONG1):$I1653),"")</f>
        <v/>
      </c>
      <c r="Y1653" s="48" t="str">
        <f aca="false">IF($U1653&gt;=MA_LONG2,AVERAGE(INDEX($I$1253:$I1653,402-MA_LONG2):$I1653),"")</f>
        <v/>
      </c>
      <c r="Z1653" s="48" t="n">
        <f aca="false">IF($U1653&gt;=MA_SHORT,AVERAGE(INDEX($L$1533:$L1653,122-MA_SHORT):$L1653),"")</f>
        <v>108938413.4</v>
      </c>
      <c r="AA1653" s="48" t="n">
        <f aca="false">IF($U1653=1,$G1653-$H1653,MAX($G1653-$H1653,ABS($G1653-$I1652),ABS($H1653-$I1652)))</f>
        <v>37</v>
      </c>
      <c r="AB1653" s="48" t="n">
        <f aca="false">IF($U1653&gt;=ATR_PER,AVERAGE(INDEX($AA$1533:$AA1653,122-ATR_PER):$AA1653),"")</f>
        <v>58.5714285714286</v>
      </c>
      <c r="AC1653" s="48" t="n">
        <f aca="false">$O1653-$P1653</f>
        <v>-25914269</v>
      </c>
      <c r="AD1653" s="48" t="n">
        <f aca="false">$AC1653*$I1653</f>
        <v>-49263025369</v>
      </c>
      <c r="AE1653" s="49" t="n">
        <f aca="false">IF($Q1653&gt;0,$O1653*$I1653/$Q1653/1000000,"")</f>
        <v>92.4812118307953</v>
      </c>
      <c r="AF1653" s="49" t="n">
        <f aca="false">IF($R1653&gt;0,$P1653*$I1653/$R1653/1000000,"")</f>
        <v>132.719567766284</v>
      </c>
      <c r="AG1653" s="50" t="n">
        <f aca="false">IF(AND(ISNUMBER($AE1653),ISNUMBER($AF1653),$AF1653&gt;0),$AE1653/$AF1653,"")</f>
        <v>0.696816704479123</v>
      </c>
      <c r="AH1653" s="48" t="n">
        <f aca="false">IF($U1653&gt;=5,SUM(INDEX($AD$1623:$AD1653,32-5):$AD1653),"")</f>
        <v>-58516269906</v>
      </c>
      <c r="AI1653" s="48" t="n">
        <f aca="false">IF($U1653&gt;=STRUCT_S,MAX(INDEX($G$1503:$G1653,152-STRUCT_S):$G1653),"")</f>
        <v>2082</v>
      </c>
      <c r="AJ1653" s="48" t="n">
        <f aca="false">IF($U1653&gt;=STRUCT_S,MIN(INDEX($H$1503:$H1653,152-STRUCT_S):$H1653),"")</f>
        <v>1881</v>
      </c>
      <c r="AK1653" s="48" t="n">
        <f aca="false">IF($U1653&gt;=STRUCT_L,MAX(INDEX($G$1403:$G1653,252-STRUCT_L):$G1653),"")</f>
        <v>2094</v>
      </c>
      <c r="AL1653" s="48" t="n">
        <f aca="false">IF($U1653&gt;=STRUCT_L,MIN(INDEX($H$1403:$H1653,252-STRUCT_L):$H1653),"")</f>
        <v>1832</v>
      </c>
      <c r="AM1653" s="46" t="n">
        <f aca="false">IF($A1653&lt;&gt;$A1654,1,0)</f>
        <v>0</v>
      </c>
      <c r="AN1653" s="47" t="str">
        <f aca="false">IF($AM1653=1,$A1653,"")</f>
        <v/>
      </c>
    </row>
    <row r="1654" customFormat="false" ht="15" hidden="false" customHeight="false" outlineLevel="0" collapsed="false">
      <c r="A1654" s="43" t="s">
        <v>162</v>
      </c>
      <c r="B1654" s="44" t="s">
        <v>164</v>
      </c>
      <c r="C1654" s="45" t="n">
        <v>46029</v>
      </c>
      <c r="D1654" s="46" t="n">
        <v>20260107</v>
      </c>
      <c r="E1654" s="47" t="s">
        <v>377</v>
      </c>
      <c r="F1654" s="48" t="n">
        <v>1890</v>
      </c>
      <c r="G1654" s="48" t="n">
        <v>1909</v>
      </c>
      <c r="H1654" s="48" t="n">
        <v>1879</v>
      </c>
      <c r="I1654" s="48" t="n">
        <v>1887</v>
      </c>
      <c r="J1654" s="48" t="n">
        <v>1904</v>
      </c>
      <c r="K1654" s="48" t="n">
        <v>1901</v>
      </c>
      <c r="L1654" s="48" t="n">
        <v>87519404</v>
      </c>
      <c r="M1654" s="48" t="n">
        <v>165149115348</v>
      </c>
      <c r="N1654" s="48" t="n">
        <v>6846</v>
      </c>
      <c r="O1654" s="48" t="n">
        <v>41212007</v>
      </c>
      <c r="P1654" s="48" t="n">
        <v>44264924</v>
      </c>
      <c r="Q1654" s="48" t="n">
        <v>2970</v>
      </c>
      <c r="R1654" s="48" t="n">
        <v>2256</v>
      </c>
      <c r="S1654" s="48" t="n">
        <v>46307397</v>
      </c>
      <c r="T1654" s="48" t="n">
        <v>43254480</v>
      </c>
      <c r="U1654" s="46" t="n">
        <f aca="false">IF($A1654=$A1653,$U1653+1,1)</f>
        <v>90</v>
      </c>
      <c r="V1654" s="48" t="n">
        <f aca="false">IF($U1654&gt;=MA_SHORT,AVERAGE(INDEX($I$1254:$I1654,402-MA_SHORT):$I1654),"")</f>
        <v>1973.8</v>
      </c>
      <c r="W1654" s="48" t="n">
        <f aca="false">IF($U1654&gt;=MA_MED,AVERAGE(INDEX($I$1254:$I1654,402-MA_MED):$I1654),"")</f>
        <v>1945.68</v>
      </c>
      <c r="X1654" s="48" t="str">
        <f aca="false">IF($U1654&gt;=MA_LONG1,AVERAGE(INDEX($I$1254:$I1654,402-MA_LONG1):$I1654),"")</f>
        <v/>
      </c>
      <c r="Y1654" s="48" t="str">
        <f aca="false">IF($U1654&gt;=MA_LONG2,AVERAGE(INDEX($I$1254:$I1654,402-MA_LONG2):$I1654),"")</f>
        <v/>
      </c>
      <c r="Z1654" s="48" t="n">
        <f aca="false">IF($U1654&gt;=MA_SHORT,AVERAGE(INDEX($L$1534:$L1654,122-MA_SHORT):$L1654),"")</f>
        <v>109230759.35</v>
      </c>
      <c r="AA1654" s="48" t="n">
        <f aca="false">IF($U1654=1,$G1654-$H1654,MAX($G1654-$H1654,ABS($G1654-$I1653),ABS($H1654-$I1653)))</f>
        <v>30</v>
      </c>
      <c r="AB1654" s="48" t="n">
        <f aca="false">IF($U1654&gt;=ATR_PER,AVERAGE(INDEX($AA$1534:$AA1654,122-ATR_PER):$AA1654),"")</f>
        <v>54.7142857142857</v>
      </c>
      <c r="AC1654" s="48" t="n">
        <f aca="false">$O1654-$P1654</f>
        <v>-3052917</v>
      </c>
      <c r="AD1654" s="48" t="n">
        <f aca="false">$AC1654*$I1654</f>
        <v>-5760854379</v>
      </c>
      <c r="AE1654" s="49" t="n">
        <f aca="false">IF($Q1654&gt;0,$O1654*$I1654/$Q1654/1000000,"")</f>
        <v>26.1841943464646</v>
      </c>
      <c r="AF1654" s="49" t="n">
        <f aca="false">IF($R1654&gt;0,$P1654*$I1654/$R1654/1000000,"")</f>
        <v>37.0247835053192</v>
      </c>
      <c r="AG1654" s="50" t="n">
        <f aca="false">IF(AND(ISNUMBER($AE1654),ISNUMBER($AF1654),$AF1654&gt;0),$AE1654/$AF1654,"")</f>
        <v>0.707207223580468</v>
      </c>
      <c r="AH1654" s="48" t="n">
        <f aca="false">IF($U1654&gt;=5,SUM(INDEX($AD$1624:$AD1654,32-5):$AD1654),"")</f>
        <v>-94843646009</v>
      </c>
      <c r="AI1654" s="48" t="n">
        <f aca="false">IF($U1654&gt;=STRUCT_S,MAX(INDEX($G$1504:$G1654,152-STRUCT_S):$G1654),"")</f>
        <v>2082</v>
      </c>
      <c r="AJ1654" s="48" t="n">
        <f aca="false">IF($U1654&gt;=STRUCT_S,MIN(INDEX($H$1504:$H1654,152-STRUCT_S):$H1654),"")</f>
        <v>1879</v>
      </c>
      <c r="AK1654" s="48" t="n">
        <f aca="false">IF($U1654&gt;=STRUCT_L,MAX(INDEX($G$1404:$G1654,252-STRUCT_L):$G1654),"")</f>
        <v>2094</v>
      </c>
      <c r="AL1654" s="48" t="n">
        <f aca="false">IF($U1654&gt;=STRUCT_L,MIN(INDEX($H$1404:$H1654,252-STRUCT_L):$H1654),"")</f>
        <v>1832</v>
      </c>
      <c r="AM1654" s="46" t="n">
        <f aca="false">IF($A1654&lt;&gt;$A1655,1,0)</f>
        <v>0</v>
      </c>
      <c r="AN1654" s="47" t="str">
        <f aca="false">IF($AM1654=1,$A1654,"")</f>
        <v/>
      </c>
    </row>
    <row r="1655" customFormat="false" ht="15" hidden="false" customHeight="false" outlineLevel="0" collapsed="false">
      <c r="A1655" s="43" t="s">
        <v>162</v>
      </c>
      <c r="B1655" s="44" t="s">
        <v>164</v>
      </c>
      <c r="C1655" s="45" t="n">
        <v>46032</v>
      </c>
      <c r="D1655" s="46" t="n">
        <v>20260110</v>
      </c>
      <c r="E1655" s="47" t="s">
        <v>378</v>
      </c>
      <c r="F1655" s="48" t="n">
        <v>1883</v>
      </c>
      <c r="G1655" s="48" t="n">
        <v>1921</v>
      </c>
      <c r="H1655" s="48" t="n">
        <v>1880</v>
      </c>
      <c r="I1655" s="48" t="n">
        <v>1914</v>
      </c>
      <c r="J1655" s="48" t="n">
        <v>1918</v>
      </c>
      <c r="K1655" s="48" t="n">
        <v>1887</v>
      </c>
      <c r="L1655" s="48" t="n">
        <v>85321273</v>
      </c>
      <c r="M1655" s="48" t="n">
        <v>163304916522</v>
      </c>
      <c r="N1655" s="48" t="n">
        <v>3260</v>
      </c>
      <c r="O1655" s="48" t="n">
        <v>39649366</v>
      </c>
      <c r="P1655" s="48" t="n">
        <v>43277988</v>
      </c>
      <c r="Q1655" s="48" t="n">
        <v>1141</v>
      </c>
      <c r="R1655" s="48" t="n">
        <v>1285</v>
      </c>
      <c r="S1655" s="48" t="n">
        <v>45671907</v>
      </c>
      <c r="T1655" s="48" t="n">
        <v>42043285</v>
      </c>
      <c r="U1655" s="46" t="n">
        <f aca="false">IF($A1655=$A1654,$U1654+1,1)</f>
        <v>91</v>
      </c>
      <c r="V1655" s="48" t="n">
        <f aca="false">IF($U1655&gt;=MA_SHORT,AVERAGE(INDEX($I$1255:$I1655,402-MA_SHORT):$I1655),"")</f>
        <v>1969.65</v>
      </c>
      <c r="W1655" s="48" t="n">
        <f aca="false">IF($U1655&gt;=MA_MED,AVERAGE(INDEX($I$1255:$I1655,402-MA_MED):$I1655),"")</f>
        <v>1944.84</v>
      </c>
      <c r="X1655" s="48" t="str">
        <f aca="false">IF($U1655&gt;=MA_LONG1,AVERAGE(INDEX($I$1255:$I1655,402-MA_LONG1):$I1655),"")</f>
        <v/>
      </c>
      <c r="Y1655" s="48" t="str">
        <f aca="false">IF($U1655&gt;=MA_LONG2,AVERAGE(INDEX($I$1255:$I1655,402-MA_LONG2):$I1655),"")</f>
        <v/>
      </c>
      <c r="Z1655" s="48" t="n">
        <f aca="false">IF($U1655&gt;=MA_SHORT,AVERAGE(INDEX($L$1535:$L1655,122-MA_SHORT):$L1655),"")</f>
        <v>109508878.65</v>
      </c>
      <c r="AA1655" s="48" t="n">
        <f aca="false">IF($U1655=1,$G1655-$H1655,MAX($G1655-$H1655,ABS($G1655-$I1654),ABS($H1655-$I1654)))</f>
        <v>41</v>
      </c>
      <c r="AB1655" s="48" t="n">
        <f aca="false">IF($U1655&gt;=ATR_PER,AVERAGE(INDEX($AA$1535:$AA1655,122-ATR_PER):$AA1655),"")</f>
        <v>55.2142857142857</v>
      </c>
      <c r="AC1655" s="48" t="n">
        <f aca="false">$O1655-$P1655</f>
        <v>-3628622</v>
      </c>
      <c r="AD1655" s="48" t="n">
        <f aca="false">$AC1655*$I1655</f>
        <v>-6945182508</v>
      </c>
      <c r="AE1655" s="49" t="n">
        <f aca="false">IF($Q1655&gt;0,$O1655*$I1655/$Q1655/1000000,"")</f>
        <v>66.510855849255</v>
      </c>
      <c r="AF1655" s="49" t="n">
        <f aca="false">IF($R1655&gt;0,$P1655*$I1655/$R1655/1000000,"")</f>
        <v>64.4623105307393</v>
      </c>
      <c r="AG1655" s="50" t="n">
        <f aca="false">IF(AND(ISNUMBER($AE1655),ISNUMBER($AF1655),$AF1655&gt;0),$AE1655/$AF1655,"")</f>
        <v>1.03177896202679</v>
      </c>
      <c r="AH1655" s="48" t="n">
        <f aca="false">IF($U1655&gt;=5,SUM(INDEX($AD$1625:$AD1655,32-5):$AD1655),"")</f>
        <v>-127992616505</v>
      </c>
      <c r="AI1655" s="48" t="n">
        <f aca="false">IF($U1655&gt;=STRUCT_S,MAX(INDEX($G$1505:$G1655,152-STRUCT_S):$G1655),"")</f>
        <v>2082</v>
      </c>
      <c r="AJ1655" s="48" t="n">
        <f aca="false">IF($U1655&gt;=STRUCT_S,MIN(INDEX($H$1505:$H1655,152-STRUCT_S):$H1655),"")</f>
        <v>1879</v>
      </c>
      <c r="AK1655" s="48" t="n">
        <f aca="false">IF($U1655&gt;=STRUCT_L,MAX(INDEX($G$1405:$G1655,252-STRUCT_L):$G1655),"")</f>
        <v>2094</v>
      </c>
      <c r="AL1655" s="48" t="n">
        <f aca="false">IF($U1655&gt;=STRUCT_L,MIN(INDEX($H$1405:$H1655,252-STRUCT_L):$H1655),"")</f>
        <v>1832</v>
      </c>
      <c r="AM1655" s="46" t="n">
        <f aca="false">IF($A1655&lt;&gt;$A1656,1,0)</f>
        <v>0</v>
      </c>
      <c r="AN1655" s="47" t="str">
        <f aca="false">IF($AM1655=1,$A1655,"")</f>
        <v/>
      </c>
    </row>
    <row r="1656" customFormat="false" ht="15" hidden="false" customHeight="false" outlineLevel="0" collapsed="false">
      <c r="A1656" s="43" t="s">
        <v>162</v>
      </c>
      <c r="B1656" s="44" t="s">
        <v>164</v>
      </c>
      <c r="C1656" s="45" t="n">
        <v>46033</v>
      </c>
      <c r="D1656" s="46" t="n">
        <v>20260111</v>
      </c>
      <c r="E1656" s="47" t="s">
        <v>379</v>
      </c>
      <c r="F1656" s="48" t="n">
        <v>1895</v>
      </c>
      <c r="G1656" s="48" t="n">
        <v>1958</v>
      </c>
      <c r="H1656" s="48" t="n">
        <v>1894</v>
      </c>
      <c r="I1656" s="48" t="n">
        <v>1937</v>
      </c>
      <c r="J1656" s="48" t="n">
        <v>1912</v>
      </c>
      <c r="K1656" s="48" t="n">
        <v>1914</v>
      </c>
      <c r="L1656" s="48" t="n">
        <v>101442555</v>
      </c>
      <c r="M1656" s="48" t="n">
        <v>196494229035</v>
      </c>
      <c r="N1656" s="48" t="n">
        <v>10258</v>
      </c>
      <c r="O1656" s="48" t="n">
        <v>58787605</v>
      </c>
      <c r="P1656" s="48" t="n">
        <v>42235371</v>
      </c>
      <c r="Q1656" s="48" t="n">
        <v>4625</v>
      </c>
      <c r="R1656" s="48" t="n">
        <v>4529</v>
      </c>
      <c r="S1656" s="48" t="n">
        <v>42654950</v>
      </c>
      <c r="T1656" s="48" t="n">
        <v>59207184</v>
      </c>
      <c r="U1656" s="46" t="n">
        <f aca="false">IF($A1656=$A1655,$U1655+1,1)</f>
        <v>92</v>
      </c>
      <c r="V1656" s="48" t="n">
        <f aca="false">IF($U1656&gt;=MA_SHORT,AVERAGE(INDEX($I$1256:$I1656,402-MA_SHORT):$I1656),"")</f>
        <v>1968.4</v>
      </c>
      <c r="W1656" s="48" t="n">
        <f aca="false">IF($U1656&gt;=MA_MED,AVERAGE(INDEX($I$1256:$I1656,402-MA_MED):$I1656),"")</f>
        <v>1944.68</v>
      </c>
      <c r="X1656" s="48" t="str">
        <f aca="false">IF($U1656&gt;=MA_LONG1,AVERAGE(INDEX($I$1256:$I1656,402-MA_LONG1):$I1656),"")</f>
        <v/>
      </c>
      <c r="Y1656" s="48" t="str">
        <f aca="false">IF($U1656&gt;=MA_LONG2,AVERAGE(INDEX($I$1256:$I1656,402-MA_LONG2):$I1656),"")</f>
        <v/>
      </c>
      <c r="Z1656" s="48" t="n">
        <f aca="false">IF($U1656&gt;=MA_SHORT,AVERAGE(INDEX($L$1536:$L1656,122-MA_SHORT):$L1656),"")</f>
        <v>110239089.15</v>
      </c>
      <c r="AA1656" s="48" t="n">
        <f aca="false">IF($U1656=1,$G1656-$H1656,MAX($G1656-$H1656,ABS($G1656-$I1655),ABS($H1656-$I1655)))</f>
        <v>64</v>
      </c>
      <c r="AB1656" s="48" t="n">
        <f aca="false">IF($U1656&gt;=ATR_PER,AVERAGE(INDEX($AA$1536:$AA1656,122-ATR_PER):$AA1656),"")</f>
        <v>55</v>
      </c>
      <c r="AC1656" s="48" t="n">
        <f aca="false">$O1656-$P1656</f>
        <v>16552234</v>
      </c>
      <c r="AD1656" s="48" t="n">
        <f aca="false">$AC1656*$I1656</f>
        <v>32061677258</v>
      </c>
      <c r="AE1656" s="49" t="n">
        <f aca="false">IF($Q1656&gt;0,$O1656*$I1656/$Q1656/1000000,"")</f>
        <v>24.6208845156757</v>
      </c>
      <c r="AF1656" s="49" t="n">
        <f aca="false">IF($R1656&gt;0,$P1656*$I1656/$R1656/1000000,"")</f>
        <v>18.063571125414</v>
      </c>
      <c r="AG1656" s="50" t="n">
        <f aca="false">IF(AND(ISNUMBER($AE1656),ISNUMBER($AF1656),$AF1656&gt;0),$AE1656/$AF1656,"")</f>
        <v>1.36301312430055</v>
      </c>
      <c r="AH1656" s="48" t="n">
        <f aca="false">IF($U1656&gt;=5,SUM(INDEX($AD$1626:$AD1656,32-5):$AD1656),"")</f>
        <v>-42086719490</v>
      </c>
      <c r="AI1656" s="48" t="n">
        <f aca="false">IF($U1656&gt;=STRUCT_S,MAX(INDEX($G$1506:$G1656,152-STRUCT_S):$G1656),"")</f>
        <v>2082</v>
      </c>
      <c r="AJ1656" s="48" t="n">
        <f aca="false">IF($U1656&gt;=STRUCT_S,MIN(INDEX($H$1506:$H1656,152-STRUCT_S):$H1656),"")</f>
        <v>1879</v>
      </c>
      <c r="AK1656" s="48" t="n">
        <f aca="false">IF($U1656&gt;=STRUCT_L,MAX(INDEX($G$1406:$G1656,252-STRUCT_L):$G1656),"")</f>
        <v>2094</v>
      </c>
      <c r="AL1656" s="48" t="n">
        <f aca="false">IF($U1656&gt;=STRUCT_L,MIN(INDEX($H$1406:$H1656,252-STRUCT_L):$H1656),"")</f>
        <v>1832</v>
      </c>
      <c r="AM1656" s="46" t="n">
        <f aca="false">IF($A1656&lt;&gt;$A1657,1,0)</f>
        <v>0</v>
      </c>
      <c r="AN1656" s="47" t="str">
        <f aca="false">IF($AM1656=1,$A1656,"")</f>
        <v/>
      </c>
    </row>
    <row r="1657" customFormat="false" ht="15" hidden="false" customHeight="false" outlineLevel="0" collapsed="false">
      <c r="A1657" s="43" t="s">
        <v>162</v>
      </c>
      <c r="B1657" s="44" t="s">
        <v>164</v>
      </c>
      <c r="C1657" s="45" t="n">
        <v>46034</v>
      </c>
      <c r="D1657" s="46" t="n">
        <v>20260112</v>
      </c>
      <c r="E1657" s="47" t="s">
        <v>380</v>
      </c>
      <c r="F1657" s="48" t="n">
        <v>1949</v>
      </c>
      <c r="G1657" s="48" t="n">
        <v>1952</v>
      </c>
      <c r="H1657" s="48" t="n">
        <v>1916</v>
      </c>
      <c r="I1657" s="48" t="n">
        <v>1931</v>
      </c>
      <c r="J1657" s="48" t="n">
        <v>1944</v>
      </c>
      <c r="K1657" s="48" t="n">
        <v>1937</v>
      </c>
      <c r="L1657" s="48" t="n">
        <v>92130417</v>
      </c>
      <c r="M1657" s="48" t="n">
        <v>177903835227</v>
      </c>
      <c r="N1657" s="48" t="n">
        <v>9671</v>
      </c>
      <c r="O1657" s="48" t="n">
        <v>40648051</v>
      </c>
      <c r="P1657" s="48" t="n">
        <v>53309017</v>
      </c>
      <c r="Q1657" s="48" t="n">
        <v>4864</v>
      </c>
      <c r="R1657" s="48" t="n">
        <v>5358</v>
      </c>
      <c r="S1657" s="48" t="n">
        <v>51482366</v>
      </c>
      <c r="T1657" s="48" t="n">
        <v>38821400</v>
      </c>
      <c r="U1657" s="46" t="n">
        <f aca="false">IF($A1657=$A1656,$U1656+1,1)</f>
        <v>93</v>
      </c>
      <c r="V1657" s="48" t="n">
        <f aca="false">IF($U1657&gt;=MA_SHORT,AVERAGE(INDEX($I$1257:$I1657,402-MA_SHORT):$I1657),"")</f>
        <v>1968.3</v>
      </c>
      <c r="W1657" s="48" t="n">
        <f aca="false">IF($U1657&gt;=MA_MED,AVERAGE(INDEX($I$1257:$I1657,402-MA_MED):$I1657),"")</f>
        <v>1944.1</v>
      </c>
      <c r="X1657" s="48" t="str">
        <f aca="false">IF($U1657&gt;=MA_LONG1,AVERAGE(INDEX($I$1257:$I1657,402-MA_LONG1):$I1657),"")</f>
        <v/>
      </c>
      <c r="Y1657" s="48" t="str">
        <f aca="false">IF($U1657&gt;=MA_LONG2,AVERAGE(INDEX($I$1257:$I1657,402-MA_LONG2):$I1657),"")</f>
        <v/>
      </c>
      <c r="Z1657" s="48" t="n">
        <f aca="false">IF($U1657&gt;=MA_SHORT,AVERAGE(INDEX($L$1537:$L1657,122-MA_SHORT):$L1657),"")</f>
        <v>109235839.25</v>
      </c>
      <c r="AA1657" s="48" t="n">
        <f aca="false">IF($U1657=1,$G1657-$H1657,MAX($G1657-$H1657,ABS($G1657-$I1656),ABS($H1657-$I1656)))</f>
        <v>36</v>
      </c>
      <c r="AB1657" s="48" t="n">
        <f aca="false">IF($U1657&gt;=ATR_PER,AVERAGE(INDEX($AA$1537:$AA1657,122-ATR_PER):$AA1657),"")</f>
        <v>49.5</v>
      </c>
      <c r="AC1657" s="48" t="n">
        <f aca="false">$O1657-$P1657</f>
        <v>-12660966</v>
      </c>
      <c r="AD1657" s="48" t="n">
        <f aca="false">$AC1657*$I1657</f>
        <v>-24448325346</v>
      </c>
      <c r="AE1657" s="49" t="n">
        <f aca="false">IF($Q1657&gt;0,$O1657*$I1657/$Q1657/1000000,"")</f>
        <v>16.137209391653</v>
      </c>
      <c r="AF1657" s="49" t="n">
        <f aca="false">IF($R1657&gt;0,$P1657*$I1657/$R1657/1000000,"")</f>
        <v>19.2123389001493</v>
      </c>
      <c r="AG1657" s="50" t="n">
        <f aca="false">IF(AND(ISNUMBER($AE1657),ISNUMBER($AF1657),$AF1657&gt;0),$AE1657/$AF1657,"")</f>
        <v>0.83993986757789</v>
      </c>
      <c r="AH1657" s="48" t="n">
        <f aca="false">IF($U1657&gt;=5,SUM(INDEX($AD$1627:$AD1657,32-5):$AD1657),"")</f>
        <v>-54355710344</v>
      </c>
      <c r="AI1657" s="48" t="n">
        <f aca="false">IF($U1657&gt;=STRUCT_S,MAX(INDEX($G$1507:$G1657,152-STRUCT_S):$G1657),"")</f>
        <v>2082</v>
      </c>
      <c r="AJ1657" s="48" t="n">
        <f aca="false">IF($U1657&gt;=STRUCT_S,MIN(INDEX($H$1507:$H1657,152-STRUCT_S):$H1657),"")</f>
        <v>1879</v>
      </c>
      <c r="AK1657" s="48" t="n">
        <f aca="false">IF($U1657&gt;=STRUCT_L,MAX(INDEX($G$1407:$G1657,252-STRUCT_L):$G1657),"")</f>
        <v>2094</v>
      </c>
      <c r="AL1657" s="48" t="n">
        <f aca="false">IF($U1657&gt;=STRUCT_L,MIN(INDEX($H$1407:$H1657,252-STRUCT_L):$H1657),"")</f>
        <v>1832</v>
      </c>
      <c r="AM1657" s="46" t="n">
        <f aca="false">IF($A1657&lt;&gt;$A1658,1,0)</f>
        <v>0</v>
      </c>
      <c r="AN1657" s="47" t="str">
        <f aca="false">IF($AM1657=1,$A1657,"")</f>
        <v/>
      </c>
    </row>
    <row r="1658" customFormat="false" ht="15" hidden="false" customHeight="false" outlineLevel="0" collapsed="false">
      <c r="A1658" s="43" t="s">
        <v>162</v>
      </c>
      <c r="B1658" s="44" t="s">
        <v>164</v>
      </c>
      <c r="C1658" s="45" t="n">
        <v>46035</v>
      </c>
      <c r="D1658" s="46" t="n">
        <v>20260113</v>
      </c>
      <c r="E1658" s="47" t="s">
        <v>381</v>
      </c>
      <c r="F1658" s="48" t="n">
        <v>1904</v>
      </c>
      <c r="G1658" s="48" t="n">
        <v>1939</v>
      </c>
      <c r="H1658" s="48" t="n">
        <v>1886</v>
      </c>
      <c r="I1658" s="48" t="n">
        <v>1894</v>
      </c>
      <c r="J1658" s="48" t="n">
        <v>1914</v>
      </c>
      <c r="K1658" s="48" t="n">
        <v>1931</v>
      </c>
      <c r="L1658" s="48" t="n">
        <v>94419430</v>
      </c>
      <c r="M1658" s="48" t="n">
        <v>178830400420</v>
      </c>
      <c r="N1658" s="48" t="n">
        <v>2948</v>
      </c>
      <c r="O1658" s="48" t="n">
        <v>33753199</v>
      </c>
      <c r="P1658" s="48" t="n">
        <v>62023416</v>
      </c>
      <c r="Q1658" s="48" t="n">
        <v>1113</v>
      </c>
      <c r="R1658" s="48" t="n">
        <v>1535</v>
      </c>
      <c r="S1658" s="48" t="n">
        <v>60666231</v>
      </c>
      <c r="T1658" s="48" t="n">
        <v>32396014</v>
      </c>
      <c r="U1658" s="46" t="n">
        <f aca="false">IF($A1658=$A1657,$U1657+1,1)</f>
        <v>94</v>
      </c>
      <c r="V1658" s="48" t="n">
        <f aca="false">IF($U1658&gt;=MA_SHORT,AVERAGE(INDEX($I$1258:$I1658,402-MA_SHORT):$I1658),"")</f>
        <v>1965.95</v>
      </c>
      <c r="W1658" s="48" t="n">
        <f aca="false">IF($U1658&gt;=MA_MED,AVERAGE(INDEX($I$1258:$I1658,402-MA_MED):$I1658),"")</f>
        <v>1942.94</v>
      </c>
      <c r="X1658" s="48" t="str">
        <f aca="false">IF($U1658&gt;=MA_LONG1,AVERAGE(INDEX($I$1258:$I1658,402-MA_LONG1):$I1658),"")</f>
        <v/>
      </c>
      <c r="Y1658" s="48" t="str">
        <f aca="false">IF($U1658&gt;=MA_LONG2,AVERAGE(INDEX($I$1258:$I1658,402-MA_LONG2):$I1658),"")</f>
        <v/>
      </c>
      <c r="Z1658" s="48" t="n">
        <f aca="false">IF($U1658&gt;=MA_SHORT,AVERAGE(INDEX($L$1538:$L1658,122-MA_SHORT):$L1658),"")</f>
        <v>108482522.9</v>
      </c>
      <c r="AA1658" s="48" t="n">
        <f aca="false">IF($U1658=1,$G1658-$H1658,MAX($G1658-$H1658,ABS($G1658-$I1657),ABS($H1658-$I1657)))</f>
        <v>53</v>
      </c>
      <c r="AB1658" s="48" t="n">
        <f aca="false">IF($U1658&gt;=ATR_PER,AVERAGE(INDEX($AA$1538:$AA1658,122-ATR_PER):$AA1658),"")</f>
        <v>51.7857142857143</v>
      </c>
      <c r="AC1658" s="48" t="n">
        <f aca="false">$O1658-$P1658</f>
        <v>-28270217</v>
      </c>
      <c r="AD1658" s="48" t="n">
        <f aca="false">$AC1658*$I1658</f>
        <v>-53543790998</v>
      </c>
      <c r="AE1658" s="49" t="n">
        <f aca="false">IF($Q1658&gt;0,$O1658*$I1658/$Q1658/1000000,"")</f>
        <v>57.4380583162624</v>
      </c>
      <c r="AF1658" s="49" t="n">
        <f aca="false">IF($R1658&gt;0,$P1658*$I1658/$R1658/1000000,"")</f>
        <v>76.5292181785016</v>
      </c>
      <c r="AG1658" s="50" t="n">
        <f aca="false">IF(AND(ISNUMBER($AE1658),ISNUMBER($AF1658),$AF1658&gt;0),$AE1658/$AF1658,"")</f>
        <v>0.750537633643273</v>
      </c>
      <c r="AH1658" s="48" t="n">
        <f aca="false">IF($U1658&gt;=5,SUM(INDEX($AD$1628:$AD1658,32-5):$AD1658),"")</f>
        <v>-58636475973</v>
      </c>
      <c r="AI1658" s="48" t="n">
        <f aca="false">IF($U1658&gt;=STRUCT_S,MAX(INDEX($G$1508:$G1658,152-STRUCT_S):$G1658),"")</f>
        <v>2082</v>
      </c>
      <c r="AJ1658" s="48" t="n">
        <f aca="false">IF($U1658&gt;=STRUCT_S,MIN(INDEX($H$1508:$H1658,152-STRUCT_S):$H1658),"")</f>
        <v>1879</v>
      </c>
      <c r="AK1658" s="48" t="n">
        <f aca="false">IF($U1658&gt;=STRUCT_L,MAX(INDEX($G$1408:$G1658,252-STRUCT_L):$G1658),"")</f>
        <v>2092</v>
      </c>
      <c r="AL1658" s="48" t="n">
        <f aca="false">IF($U1658&gt;=STRUCT_L,MIN(INDEX($H$1408:$H1658,252-STRUCT_L):$H1658),"")</f>
        <v>1832</v>
      </c>
      <c r="AM1658" s="46" t="n">
        <f aca="false">IF($A1658&lt;&gt;$A1659,1,0)</f>
        <v>0</v>
      </c>
      <c r="AN1658" s="47" t="str">
        <f aca="false">IF($AM1658=1,$A1658,"")</f>
        <v/>
      </c>
    </row>
    <row r="1659" customFormat="false" ht="15" hidden="false" customHeight="false" outlineLevel="0" collapsed="false">
      <c r="A1659" s="43" t="s">
        <v>162</v>
      </c>
      <c r="B1659" s="44" t="s">
        <v>164</v>
      </c>
      <c r="C1659" s="45" t="n">
        <v>46036</v>
      </c>
      <c r="D1659" s="46" t="n">
        <v>20260114</v>
      </c>
      <c r="E1659" s="47" t="s">
        <v>382</v>
      </c>
      <c r="F1659" s="48" t="n">
        <v>1903</v>
      </c>
      <c r="G1659" s="48" t="n">
        <v>1918</v>
      </c>
      <c r="H1659" s="48" t="n">
        <v>1848</v>
      </c>
      <c r="I1659" s="48" t="n">
        <v>1872</v>
      </c>
      <c r="J1659" s="48" t="n">
        <v>1908</v>
      </c>
      <c r="K1659" s="48" t="n">
        <v>1894</v>
      </c>
      <c r="L1659" s="48" t="n">
        <v>100174585</v>
      </c>
      <c r="M1659" s="48" t="n">
        <v>187526823120</v>
      </c>
      <c r="N1659" s="48" t="n">
        <v>5107</v>
      </c>
      <c r="O1659" s="48" t="n">
        <v>39469038</v>
      </c>
      <c r="P1659" s="48" t="n">
        <v>63567549</v>
      </c>
      <c r="Q1659" s="48" t="n">
        <v>2403</v>
      </c>
      <c r="R1659" s="48" t="n">
        <v>2405</v>
      </c>
      <c r="S1659" s="48" t="n">
        <v>60705547</v>
      </c>
      <c r="T1659" s="48" t="n">
        <v>36607036</v>
      </c>
      <c r="U1659" s="46" t="n">
        <f aca="false">IF($A1659=$A1658,$U1658+1,1)</f>
        <v>95</v>
      </c>
      <c r="V1659" s="48" t="n">
        <f aca="false">IF($U1659&gt;=MA_SHORT,AVERAGE(INDEX($I$1259:$I1659,402-MA_SHORT):$I1659),"")</f>
        <v>1960.8</v>
      </c>
      <c r="W1659" s="48" t="n">
        <f aca="false">IF($U1659&gt;=MA_MED,AVERAGE(INDEX($I$1259:$I1659,402-MA_MED):$I1659),"")</f>
        <v>1942.04</v>
      </c>
      <c r="X1659" s="48" t="str">
        <f aca="false">IF($U1659&gt;=MA_LONG1,AVERAGE(INDEX($I$1259:$I1659,402-MA_LONG1):$I1659),"")</f>
        <v/>
      </c>
      <c r="Y1659" s="48" t="str">
        <f aca="false">IF($U1659&gt;=MA_LONG2,AVERAGE(INDEX($I$1259:$I1659,402-MA_LONG2):$I1659),"")</f>
        <v/>
      </c>
      <c r="Z1659" s="48" t="n">
        <f aca="false">IF($U1659&gt;=MA_SHORT,AVERAGE(INDEX($L$1539:$L1659,122-MA_SHORT):$L1659),"")</f>
        <v>106589398.3</v>
      </c>
      <c r="AA1659" s="48" t="n">
        <f aca="false">IF($U1659=1,$G1659-$H1659,MAX($G1659-$H1659,ABS($G1659-$I1658),ABS($H1659-$I1658)))</f>
        <v>70</v>
      </c>
      <c r="AB1659" s="48" t="n">
        <f aca="false">IF($U1659&gt;=ATR_PER,AVERAGE(INDEX($AA$1539:$AA1659,122-ATR_PER):$AA1659),"")</f>
        <v>51.2857142857143</v>
      </c>
      <c r="AC1659" s="48" t="n">
        <f aca="false">$O1659-$P1659</f>
        <v>-24098511</v>
      </c>
      <c r="AD1659" s="48" t="n">
        <f aca="false">$AC1659*$I1659</f>
        <v>-45112412592</v>
      </c>
      <c r="AE1659" s="49" t="n">
        <f aca="false">IF($Q1659&gt;0,$O1659*$I1659/$Q1659/1000000,"")</f>
        <v>30.7474153707865</v>
      </c>
      <c r="AF1659" s="49" t="n">
        <f aca="false">IF($R1659&gt;0,$P1659*$I1659/$R1659/1000000,"")</f>
        <v>49.4796057081081</v>
      </c>
      <c r="AG1659" s="50" t="n">
        <f aca="false">IF(AND(ISNUMBER($AE1659),ISNUMBER($AF1659),$AF1659&gt;0),$AE1659/$AF1659,"")</f>
        <v>0.621415933509511</v>
      </c>
      <c r="AH1659" s="48" t="n">
        <f aca="false">IF($U1659&gt;=5,SUM(INDEX($AD$1629:$AD1659,32-5):$AD1659),"")</f>
        <v>-97988034186</v>
      </c>
      <c r="AI1659" s="48" t="n">
        <f aca="false">IF($U1659&gt;=STRUCT_S,MAX(INDEX($G$1509:$G1659,152-STRUCT_S):$G1659),"")</f>
        <v>2082</v>
      </c>
      <c r="AJ1659" s="48" t="n">
        <f aca="false">IF($U1659&gt;=STRUCT_S,MIN(INDEX($H$1509:$H1659,152-STRUCT_S):$H1659),"")</f>
        <v>1848</v>
      </c>
      <c r="AK1659" s="48" t="n">
        <f aca="false">IF($U1659&gt;=STRUCT_L,MAX(INDEX($G$1409:$G1659,252-STRUCT_L):$G1659),"")</f>
        <v>2092</v>
      </c>
      <c r="AL1659" s="48" t="n">
        <f aca="false">IF($U1659&gt;=STRUCT_L,MIN(INDEX($H$1409:$H1659,252-STRUCT_L):$H1659),"")</f>
        <v>1832</v>
      </c>
      <c r="AM1659" s="46" t="n">
        <f aca="false">IF($A1659&lt;&gt;$A1660,1,0)</f>
        <v>0</v>
      </c>
      <c r="AN1659" s="47" t="str">
        <f aca="false">IF($AM1659=1,$A1659,"")</f>
        <v/>
      </c>
    </row>
    <row r="1660" customFormat="false" ht="15" hidden="false" customHeight="false" outlineLevel="0" collapsed="false">
      <c r="A1660" s="43" t="s">
        <v>162</v>
      </c>
      <c r="B1660" s="44" t="s">
        <v>164</v>
      </c>
      <c r="C1660" s="45" t="n">
        <v>46039</v>
      </c>
      <c r="D1660" s="46" t="n">
        <v>20260117</v>
      </c>
      <c r="E1660" s="47" t="s">
        <v>383</v>
      </c>
      <c r="F1660" s="48" t="n">
        <v>1880</v>
      </c>
      <c r="G1660" s="48" t="n">
        <v>1906</v>
      </c>
      <c r="H1660" s="48" t="n">
        <v>1844</v>
      </c>
      <c r="I1660" s="48" t="n">
        <v>1877</v>
      </c>
      <c r="J1660" s="48" t="n">
        <v>1856</v>
      </c>
      <c r="K1660" s="48" t="n">
        <v>1872</v>
      </c>
      <c r="L1660" s="48" t="n">
        <v>79834744</v>
      </c>
      <c r="M1660" s="48" t="n">
        <v>149849814488</v>
      </c>
      <c r="N1660" s="48" t="n">
        <v>6344</v>
      </c>
      <c r="O1660" s="48" t="n">
        <v>39153164</v>
      </c>
      <c r="P1660" s="48" t="n">
        <v>41272531</v>
      </c>
      <c r="Q1660" s="48" t="n">
        <v>2249</v>
      </c>
      <c r="R1660" s="48" t="n">
        <v>2525</v>
      </c>
      <c r="S1660" s="48" t="n">
        <v>40681580</v>
      </c>
      <c r="T1660" s="48" t="n">
        <v>38562213</v>
      </c>
      <c r="U1660" s="46" t="n">
        <f aca="false">IF($A1660=$A1659,$U1659+1,1)</f>
        <v>96</v>
      </c>
      <c r="V1660" s="48" t="n">
        <f aca="false">IF($U1660&gt;=MA_SHORT,AVERAGE(INDEX($I$1260:$I1660,402-MA_SHORT):$I1660),"")</f>
        <v>1956.45</v>
      </c>
      <c r="W1660" s="48" t="n">
        <f aca="false">IF($U1660&gt;=MA_MED,AVERAGE(INDEX($I$1260:$I1660,402-MA_MED):$I1660),"")</f>
        <v>1940.72</v>
      </c>
      <c r="X1660" s="48" t="str">
        <f aca="false">IF($U1660&gt;=MA_LONG1,AVERAGE(INDEX($I$1260:$I1660,402-MA_LONG1):$I1660),"")</f>
        <v/>
      </c>
      <c r="Y1660" s="48" t="str">
        <f aca="false">IF($U1660&gt;=MA_LONG2,AVERAGE(INDEX($I$1260:$I1660,402-MA_LONG2):$I1660),"")</f>
        <v/>
      </c>
      <c r="Z1660" s="48" t="n">
        <f aca="false">IF($U1660&gt;=MA_SHORT,AVERAGE(INDEX($L$1540:$L1660,122-MA_SHORT):$L1660),"")</f>
        <v>100137805.55</v>
      </c>
      <c r="AA1660" s="48" t="n">
        <f aca="false">IF($U1660=1,$G1660-$H1660,MAX($G1660-$H1660,ABS($G1660-$I1659),ABS($H1660-$I1659)))</f>
        <v>62</v>
      </c>
      <c r="AB1660" s="48" t="n">
        <f aca="false">IF($U1660&gt;=ATR_PER,AVERAGE(INDEX($AA$1540:$AA1660,122-ATR_PER):$AA1660),"")</f>
        <v>53.8571428571429</v>
      </c>
      <c r="AC1660" s="48" t="n">
        <f aca="false">$O1660-$P1660</f>
        <v>-2119367</v>
      </c>
      <c r="AD1660" s="48" t="n">
        <f aca="false">$AC1660*$I1660</f>
        <v>-3978051859</v>
      </c>
      <c r="AE1660" s="49" t="n">
        <f aca="false">IF($Q1660&gt;0,$O1660*$I1660/$Q1660/1000000,"")</f>
        <v>32.6769625735883</v>
      </c>
      <c r="AF1660" s="49" t="n">
        <f aca="false">IF($R1660&gt;0,$P1660*$I1660/$R1660/1000000,"")</f>
        <v>30.6806101730693</v>
      </c>
      <c r="AG1660" s="50" t="n">
        <f aca="false">IF(AND(ISNUMBER($AE1660),ISNUMBER($AF1660),$AF1660&gt;0),$AE1660/$AF1660,"")</f>
        <v>1.06506886236152</v>
      </c>
      <c r="AH1660" s="48" t="n">
        <f aca="false">IF($U1660&gt;=5,SUM(INDEX($AD$1630:$AD1660,32-5):$AD1660),"")</f>
        <v>-95020903537</v>
      </c>
      <c r="AI1660" s="48" t="n">
        <f aca="false">IF($U1660&gt;=STRUCT_S,MAX(INDEX($G$1510:$G1660,152-STRUCT_S):$G1660),"")</f>
        <v>2082</v>
      </c>
      <c r="AJ1660" s="48" t="n">
        <f aca="false">IF($U1660&gt;=STRUCT_S,MIN(INDEX($H$1510:$H1660,152-STRUCT_S):$H1660),"")</f>
        <v>1844</v>
      </c>
      <c r="AK1660" s="48" t="n">
        <f aca="false">IF($U1660&gt;=STRUCT_L,MAX(INDEX($G$1410:$G1660,252-STRUCT_L):$G1660),"")</f>
        <v>2092</v>
      </c>
      <c r="AL1660" s="48" t="n">
        <f aca="false">IF($U1660&gt;=STRUCT_L,MIN(INDEX($H$1410:$H1660,252-STRUCT_L):$H1660),"")</f>
        <v>1832</v>
      </c>
      <c r="AM1660" s="46" t="n">
        <f aca="false">IF($A1660&lt;&gt;$A1661,1,0)</f>
        <v>0</v>
      </c>
      <c r="AN1660" s="47" t="str">
        <f aca="false">IF($AM1660=1,$A1660,"")</f>
        <v/>
      </c>
    </row>
    <row r="1661" customFormat="false" ht="15" hidden="false" customHeight="false" outlineLevel="0" collapsed="false">
      <c r="A1661" s="43" t="s">
        <v>162</v>
      </c>
      <c r="B1661" s="44" t="s">
        <v>164</v>
      </c>
      <c r="C1661" s="45" t="n">
        <v>46040</v>
      </c>
      <c r="D1661" s="46" t="n">
        <v>20260118</v>
      </c>
      <c r="E1661" s="47" t="s">
        <v>384</v>
      </c>
      <c r="F1661" s="48" t="n">
        <v>1861</v>
      </c>
      <c r="G1661" s="48" t="n">
        <v>1886</v>
      </c>
      <c r="H1661" s="48" t="n">
        <v>1849</v>
      </c>
      <c r="I1661" s="48" t="n">
        <v>1857</v>
      </c>
      <c r="J1661" s="48" t="n">
        <v>1872</v>
      </c>
      <c r="K1661" s="48" t="n">
        <v>1877</v>
      </c>
      <c r="L1661" s="48" t="n">
        <v>103749549</v>
      </c>
      <c r="M1661" s="48" t="n">
        <v>192662912493</v>
      </c>
      <c r="N1661" s="48" t="n">
        <v>7557</v>
      </c>
      <c r="O1661" s="48" t="n">
        <v>41722551</v>
      </c>
      <c r="P1661" s="48" t="n">
        <v>63674183</v>
      </c>
      <c r="Q1661" s="48" t="n">
        <v>2601</v>
      </c>
      <c r="R1661" s="48" t="n">
        <v>3634</v>
      </c>
      <c r="S1661" s="48" t="n">
        <v>62026998</v>
      </c>
      <c r="T1661" s="48" t="n">
        <v>40075366</v>
      </c>
      <c r="U1661" s="46" t="n">
        <f aca="false">IF($A1661=$A1660,$U1660+1,1)</f>
        <v>97</v>
      </c>
      <c r="V1661" s="48" t="n">
        <f aca="false">IF($U1661&gt;=MA_SHORT,AVERAGE(INDEX($I$1261:$I1661,402-MA_SHORT):$I1661),"")</f>
        <v>1950.2</v>
      </c>
      <c r="W1661" s="48" t="n">
        <f aca="false">IF($U1661&gt;=MA_MED,AVERAGE(INDEX($I$1261:$I1661,402-MA_MED):$I1661),"")</f>
        <v>1939.96</v>
      </c>
      <c r="X1661" s="48" t="str">
        <f aca="false">IF($U1661&gt;=MA_LONG1,AVERAGE(INDEX($I$1261:$I1661,402-MA_LONG1):$I1661),"")</f>
        <v/>
      </c>
      <c r="Y1661" s="48" t="str">
        <f aca="false">IF($U1661&gt;=MA_LONG2,AVERAGE(INDEX($I$1261:$I1661,402-MA_LONG2):$I1661),"")</f>
        <v/>
      </c>
      <c r="Z1661" s="48" t="n">
        <f aca="false">IF($U1661&gt;=MA_SHORT,AVERAGE(INDEX($L$1541:$L1661,122-MA_SHORT):$L1661),"")</f>
        <v>101180464.25</v>
      </c>
      <c r="AA1661" s="48" t="n">
        <f aca="false">IF($U1661=1,$G1661-$H1661,MAX($G1661-$H1661,ABS($G1661-$I1660),ABS($H1661-$I1660)))</f>
        <v>37</v>
      </c>
      <c r="AB1661" s="48" t="n">
        <f aca="false">IF($U1661&gt;=ATR_PER,AVERAGE(INDEX($AA$1541:$AA1661,122-ATR_PER):$AA1661),"")</f>
        <v>51.5714285714286</v>
      </c>
      <c r="AC1661" s="48" t="n">
        <f aca="false">$O1661-$P1661</f>
        <v>-21951632</v>
      </c>
      <c r="AD1661" s="48" t="n">
        <f aca="false">$AC1661*$I1661</f>
        <v>-40764180624</v>
      </c>
      <c r="AE1661" s="49" t="n">
        <f aca="false">IF($Q1661&gt;0,$O1661*$I1661/$Q1661/1000000,"")</f>
        <v>29.7880727439446</v>
      </c>
      <c r="AF1661" s="49" t="n">
        <f aca="false">IF($R1661&gt;0,$P1661*$I1661/$R1661/1000000,"")</f>
        <v>32.5379630795267</v>
      </c>
      <c r="AG1661" s="50" t="n">
        <f aca="false">IF(AND(ISNUMBER($AE1661),ISNUMBER($AF1661),$AF1661&gt;0),$AE1661/$AF1661,"")</f>
        <v>0.915486709206074</v>
      </c>
      <c r="AH1661" s="48" t="n">
        <f aca="false">IF($U1661&gt;=5,SUM(INDEX($AD$1631:$AD1661,32-5):$AD1661),"")</f>
        <v>-167846761419</v>
      </c>
      <c r="AI1661" s="48" t="n">
        <f aca="false">IF($U1661&gt;=STRUCT_S,MAX(INDEX($G$1511:$G1661,152-STRUCT_S):$G1661),"")</f>
        <v>2082</v>
      </c>
      <c r="AJ1661" s="48" t="n">
        <f aca="false">IF($U1661&gt;=STRUCT_S,MIN(INDEX($H$1511:$H1661,152-STRUCT_S):$H1661),"")</f>
        <v>1844</v>
      </c>
      <c r="AK1661" s="48" t="n">
        <f aca="false">IF($U1661&gt;=STRUCT_L,MAX(INDEX($G$1411:$G1661,252-STRUCT_L):$G1661),"")</f>
        <v>2092</v>
      </c>
      <c r="AL1661" s="48" t="n">
        <f aca="false">IF($U1661&gt;=STRUCT_L,MIN(INDEX($H$1411:$H1661,252-STRUCT_L):$H1661),"")</f>
        <v>1832</v>
      </c>
      <c r="AM1661" s="46" t="n">
        <f aca="false">IF($A1661&lt;&gt;$A1662,1,0)</f>
        <v>0</v>
      </c>
      <c r="AN1661" s="47" t="str">
        <f aca="false">IF($AM1661=1,$A1661,"")</f>
        <v/>
      </c>
    </row>
    <row r="1662" customFormat="false" ht="15" hidden="false" customHeight="false" outlineLevel="0" collapsed="false">
      <c r="A1662" s="43" t="s">
        <v>162</v>
      </c>
      <c r="B1662" s="44" t="s">
        <v>164</v>
      </c>
      <c r="C1662" s="45" t="n">
        <v>46041</v>
      </c>
      <c r="D1662" s="46" t="n">
        <v>20260119</v>
      </c>
      <c r="E1662" s="47" t="s">
        <v>385</v>
      </c>
      <c r="F1662" s="48" t="n">
        <v>1845</v>
      </c>
      <c r="G1662" s="48" t="n">
        <v>1870</v>
      </c>
      <c r="H1662" s="48" t="n">
        <v>1818</v>
      </c>
      <c r="I1662" s="48" t="n">
        <v>1831</v>
      </c>
      <c r="J1662" s="48" t="n">
        <v>1827</v>
      </c>
      <c r="K1662" s="48" t="n">
        <v>1857</v>
      </c>
      <c r="L1662" s="48" t="n">
        <v>85176373</v>
      </c>
      <c r="M1662" s="48" t="n">
        <v>155957938963</v>
      </c>
      <c r="N1662" s="48" t="n">
        <v>2326</v>
      </c>
      <c r="O1662" s="48" t="n">
        <v>38031400</v>
      </c>
      <c r="P1662" s="48" t="n">
        <v>43721989</v>
      </c>
      <c r="Q1662" s="48" t="n">
        <v>700</v>
      </c>
      <c r="R1662" s="48" t="n">
        <v>970</v>
      </c>
      <c r="S1662" s="48" t="n">
        <v>47144973</v>
      </c>
      <c r="T1662" s="48" t="n">
        <v>41454384</v>
      </c>
      <c r="U1662" s="46" t="n">
        <f aca="false">IF($A1662=$A1661,$U1661+1,1)</f>
        <v>98</v>
      </c>
      <c r="V1662" s="48" t="n">
        <f aca="false">IF($U1662&gt;=MA_SHORT,AVERAGE(INDEX($I$1262:$I1662,402-MA_SHORT):$I1662),"")</f>
        <v>1940.9</v>
      </c>
      <c r="W1662" s="48" t="n">
        <f aca="false">IF($U1662&gt;=MA_MED,AVERAGE(INDEX($I$1262:$I1662,402-MA_MED):$I1662),"")</f>
        <v>1938.66</v>
      </c>
      <c r="X1662" s="48" t="str">
        <f aca="false">IF($U1662&gt;=MA_LONG1,AVERAGE(INDEX($I$1262:$I1662,402-MA_LONG1):$I1662),"")</f>
        <v/>
      </c>
      <c r="Y1662" s="48" t="str">
        <f aca="false">IF($U1662&gt;=MA_LONG2,AVERAGE(INDEX($I$1262:$I1662,402-MA_LONG2):$I1662),"")</f>
        <v/>
      </c>
      <c r="Z1662" s="48" t="n">
        <f aca="false">IF($U1662&gt;=MA_SHORT,AVERAGE(INDEX($L$1542:$L1662,122-MA_SHORT):$L1662),"")</f>
        <v>100371550.1</v>
      </c>
      <c r="AA1662" s="48" t="n">
        <f aca="false">IF($U1662=1,$G1662-$H1662,MAX($G1662-$H1662,ABS($G1662-$I1661),ABS($H1662-$I1661)))</f>
        <v>52</v>
      </c>
      <c r="AB1662" s="48" t="n">
        <f aca="false">IF($U1662&gt;=ATR_PER,AVERAGE(INDEX($AA$1542:$AA1662,122-ATR_PER):$AA1662),"")</f>
        <v>50.0714285714286</v>
      </c>
      <c r="AC1662" s="48" t="n">
        <f aca="false">$O1662-$P1662</f>
        <v>-5690589</v>
      </c>
      <c r="AD1662" s="48" t="n">
        <f aca="false">$AC1662*$I1662</f>
        <v>-10419468459</v>
      </c>
      <c r="AE1662" s="49" t="n">
        <f aca="false">IF($Q1662&gt;0,$O1662*$I1662/$Q1662/1000000,"")</f>
        <v>99.4792762857143</v>
      </c>
      <c r="AF1662" s="49" t="n">
        <f aca="false">IF($R1662&gt;0,$P1662*$I1662/$R1662/1000000,"")</f>
        <v>82.530888514433</v>
      </c>
      <c r="AG1662" s="50" t="n">
        <f aca="false">IF(AND(ISNUMBER($AE1662),ISNUMBER($AF1662),$AF1662&gt;0),$AE1662/$AF1662,"")</f>
        <v>1.20535811592913</v>
      </c>
      <c r="AH1662" s="48" t="n">
        <f aca="false">IF($U1662&gt;=5,SUM(INDEX($AD$1632:$AD1662,32-5):$AD1662),"")</f>
        <v>-153817904532</v>
      </c>
      <c r="AI1662" s="48" t="n">
        <f aca="false">IF($U1662&gt;=STRUCT_S,MAX(INDEX($G$1512:$G1662,152-STRUCT_S):$G1662),"")</f>
        <v>2082</v>
      </c>
      <c r="AJ1662" s="48" t="n">
        <f aca="false">IF($U1662&gt;=STRUCT_S,MIN(INDEX($H$1512:$H1662,152-STRUCT_S):$H1662),"")</f>
        <v>1818</v>
      </c>
      <c r="AK1662" s="48" t="n">
        <f aca="false">IF($U1662&gt;=STRUCT_L,MAX(INDEX($G$1412:$G1662,252-STRUCT_L):$G1662),"")</f>
        <v>2082</v>
      </c>
      <c r="AL1662" s="48" t="n">
        <f aca="false">IF($U1662&gt;=STRUCT_L,MIN(INDEX($H$1412:$H1662,252-STRUCT_L):$H1662),"")</f>
        <v>1818</v>
      </c>
      <c r="AM1662" s="46" t="n">
        <f aca="false">IF($A1662&lt;&gt;$A1663,1,0)</f>
        <v>0</v>
      </c>
      <c r="AN1662" s="47" t="str">
        <f aca="false">IF($AM1662=1,$A1662,"")</f>
        <v/>
      </c>
    </row>
    <row r="1663" customFormat="false" ht="15" hidden="false" customHeight="false" outlineLevel="0" collapsed="false">
      <c r="A1663" s="43" t="s">
        <v>162</v>
      </c>
      <c r="B1663" s="44" t="s">
        <v>164</v>
      </c>
      <c r="C1663" s="45" t="n">
        <v>46042</v>
      </c>
      <c r="D1663" s="46" t="n">
        <v>20260120</v>
      </c>
      <c r="E1663" s="47" t="s">
        <v>386</v>
      </c>
      <c r="F1663" s="48" t="n">
        <v>1820</v>
      </c>
      <c r="G1663" s="48" t="n">
        <v>1855</v>
      </c>
      <c r="H1663" s="48" t="n">
        <v>1819</v>
      </c>
      <c r="I1663" s="48" t="n">
        <v>1843</v>
      </c>
      <c r="J1663" s="48" t="n">
        <v>1837</v>
      </c>
      <c r="K1663" s="48" t="n">
        <v>1831</v>
      </c>
      <c r="L1663" s="48" t="n">
        <v>81665329</v>
      </c>
      <c r="M1663" s="48" t="n">
        <v>150509201347</v>
      </c>
      <c r="N1663" s="48" t="n">
        <v>3397</v>
      </c>
      <c r="O1663" s="48" t="n">
        <v>44132819</v>
      </c>
      <c r="P1663" s="48" t="n">
        <v>35695303</v>
      </c>
      <c r="Q1663" s="48" t="n">
        <v>1670</v>
      </c>
      <c r="R1663" s="48" t="n">
        <v>1109</v>
      </c>
      <c r="S1663" s="48" t="n">
        <v>37532510</v>
      </c>
      <c r="T1663" s="48" t="n">
        <v>45970026</v>
      </c>
      <c r="U1663" s="46" t="n">
        <f aca="false">IF($A1663=$A1662,$U1662+1,1)</f>
        <v>99</v>
      </c>
      <c r="V1663" s="48" t="n">
        <f aca="false">IF($U1663&gt;=MA_SHORT,AVERAGE(INDEX($I$1263:$I1663,402-MA_SHORT):$I1663),"")</f>
        <v>1931.4</v>
      </c>
      <c r="W1663" s="48" t="n">
        <f aca="false">IF($U1663&gt;=MA_MED,AVERAGE(INDEX($I$1263:$I1663,402-MA_MED):$I1663),"")</f>
        <v>1937.5</v>
      </c>
      <c r="X1663" s="48" t="str">
        <f aca="false">IF($U1663&gt;=MA_LONG1,AVERAGE(INDEX($I$1263:$I1663,402-MA_LONG1):$I1663),"")</f>
        <v/>
      </c>
      <c r="Y1663" s="48" t="str">
        <f aca="false">IF($U1663&gt;=MA_LONG2,AVERAGE(INDEX($I$1263:$I1663,402-MA_LONG2):$I1663),"")</f>
        <v/>
      </c>
      <c r="Z1663" s="48" t="n">
        <f aca="false">IF($U1663&gt;=MA_SHORT,AVERAGE(INDEX($L$1543:$L1663,122-MA_SHORT):$L1663),"")</f>
        <v>99519979.1</v>
      </c>
      <c r="AA1663" s="48" t="n">
        <f aca="false">IF($U1663=1,$G1663-$H1663,MAX($G1663-$H1663,ABS($G1663-$I1662),ABS($H1663-$I1662)))</f>
        <v>36</v>
      </c>
      <c r="AB1663" s="48" t="n">
        <f aca="false">IF($U1663&gt;=ATR_PER,AVERAGE(INDEX($AA$1543:$AA1663,122-ATR_PER):$AA1663),"")</f>
        <v>47.3571428571429</v>
      </c>
      <c r="AC1663" s="48" t="n">
        <f aca="false">$O1663-$P1663</f>
        <v>8437516</v>
      </c>
      <c r="AD1663" s="48" t="n">
        <f aca="false">$AC1663*$I1663</f>
        <v>15550341988</v>
      </c>
      <c r="AE1663" s="49" t="n">
        <f aca="false">IF($Q1663&gt;0,$O1663*$I1663/$Q1663/1000000,"")</f>
        <v>48.7046619263473</v>
      </c>
      <c r="AF1663" s="49" t="n">
        <f aca="false">IF($R1663&gt;0,$P1663*$I1663/$R1663/1000000,"")</f>
        <v>59.3205080513977</v>
      </c>
      <c r="AG1663" s="50" t="n">
        <f aca="false">IF(AND(ISNUMBER($AE1663),ISNUMBER($AF1663),$AF1663&gt;0),$AE1663/$AF1663,"")</f>
        <v>0.821042562281288</v>
      </c>
      <c r="AH1663" s="48" t="n">
        <f aca="false">IF($U1663&gt;=5,SUM(INDEX($AD$1633:$AD1663,32-5):$AD1663),"")</f>
        <v>-84723771546</v>
      </c>
      <c r="AI1663" s="48" t="n">
        <f aca="false">IF($U1663&gt;=STRUCT_S,MAX(INDEX($G$1513:$G1663,152-STRUCT_S):$G1663),"")</f>
        <v>2067</v>
      </c>
      <c r="AJ1663" s="48" t="n">
        <f aca="false">IF($U1663&gt;=STRUCT_S,MIN(INDEX($H$1513:$H1663,152-STRUCT_S):$H1663),"")</f>
        <v>1818</v>
      </c>
      <c r="AK1663" s="48" t="n">
        <f aca="false">IF($U1663&gt;=STRUCT_L,MAX(INDEX($G$1413:$G1663,252-STRUCT_L):$G1663),"")</f>
        <v>2082</v>
      </c>
      <c r="AL1663" s="48" t="n">
        <f aca="false">IF($U1663&gt;=STRUCT_L,MIN(INDEX($H$1413:$H1663,252-STRUCT_L):$H1663),"")</f>
        <v>1818</v>
      </c>
      <c r="AM1663" s="46" t="n">
        <f aca="false">IF($A1663&lt;&gt;$A1664,1,0)</f>
        <v>0</v>
      </c>
      <c r="AN1663" s="47" t="str">
        <f aca="false">IF($AM1663=1,$A1663,"")</f>
        <v/>
      </c>
    </row>
    <row r="1664" customFormat="false" ht="15" hidden="false" customHeight="false" outlineLevel="0" collapsed="false">
      <c r="A1664" s="43" t="s">
        <v>162</v>
      </c>
      <c r="B1664" s="44" t="s">
        <v>164</v>
      </c>
      <c r="C1664" s="45" t="n">
        <v>46043</v>
      </c>
      <c r="D1664" s="46" t="n">
        <v>20260121</v>
      </c>
      <c r="E1664" s="47" t="s">
        <v>387</v>
      </c>
      <c r="F1664" s="48" t="n">
        <v>1844</v>
      </c>
      <c r="G1664" s="48" t="n">
        <v>1866</v>
      </c>
      <c r="H1664" s="48" t="n">
        <v>1801</v>
      </c>
      <c r="I1664" s="48" t="n">
        <v>1824</v>
      </c>
      <c r="J1664" s="48" t="n">
        <v>1823</v>
      </c>
      <c r="K1664" s="48" t="n">
        <v>1843</v>
      </c>
      <c r="L1664" s="48" t="n">
        <v>94238067</v>
      </c>
      <c r="M1664" s="48" t="n">
        <v>171890234208</v>
      </c>
      <c r="N1664" s="48" t="n">
        <v>3948</v>
      </c>
      <c r="O1664" s="48" t="n">
        <v>47493896</v>
      </c>
      <c r="P1664" s="48" t="n">
        <v>41450204</v>
      </c>
      <c r="Q1664" s="48" t="n">
        <v>1891</v>
      </c>
      <c r="R1664" s="48" t="n">
        <v>1756</v>
      </c>
      <c r="S1664" s="48" t="n">
        <v>46744171</v>
      </c>
      <c r="T1664" s="48" t="n">
        <v>52787863</v>
      </c>
      <c r="U1664" s="46" t="n">
        <f aca="false">IF($A1664=$A1663,$U1663+1,1)</f>
        <v>100</v>
      </c>
      <c r="V1664" s="48" t="n">
        <f aca="false">IF($U1664&gt;=MA_SHORT,AVERAGE(INDEX($I$1264:$I1664,402-MA_SHORT):$I1664),"")</f>
        <v>1921.4</v>
      </c>
      <c r="W1664" s="48" t="n">
        <f aca="false">IF($U1664&gt;=MA_MED,AVERAGE(INDEX($I$1264:$I1664,402-MA_MED):$I1664),"")</f>
        <v>1936.62</v>
      </c>
      <c r="X1664" s="48" t="n">
        <f aca="false">IF($U1664&gt;=MA_LONG1,AVERAGE(INDEX($I$1264:$I1664,402-MA_LONG1):$I1664),"")</f>
        <v>1970.81</v>
      </c>
      <c r="Y1664" s="48" t="str">
        <f aca="false">IF($U1664&gt;=MA_LONG2,AVERAGE(INDEX($I$1264:$I1664,402-MA_LONG2):$I1664),"")</f>
        <v/>
      </c>
      <c r="Z1664" s="48" t="n">
        <f aca="false">IF($U1664&gt;=MA_SHORT,AVERAGE(INDEX($L$1544:$L1664,122-MA_SHORT):$L1664),"")</f>
        <v>99704075.85</v>
      </c>
      <c r="AA1664" s="48" t="n">
        <f aca="false">IF($U1664=1,$G1664-$H1664,MAX($G1664-$H1664,ABS($G1664-$I1663),ABS($H1664-$I1663)))</f>
        <v>65</v>
      </c>
      <c r="AB1664" s="48" t="n">
        <f aca="false">IF($U1664&gt;=ATR_PER,AVERAGE(INDEX($AA$1544:$AA1664,122-ATR_PER):$AA1664),"")</f>
        <v>49.9285714285714</v>
      </c>
      <c r="AC1664" s="48" t="n">
        <f aca="false">$O1664-$P1664</f>
        <v>6043692</v>
      </c>
      <c r="AD1664" s="48" t="n">
        <f aca="false">$AC1664*$I1664</f>
        <v>11023694208</v>
      </c>
      <c r="AE1664" s="49" t="n">
        <f aca="false">IF($Q1664&gt;0,$O1664*$I1664/$Q1664/1000000,"")</f>
        <v>45.8111402982549</v>
      </c>
      <c r="AF1664" s="49" t="n">
        <f aca="false">IF($R1664&gt;0,$P1664*$I1664/$R1664/1000000,"")</f>
        <v>43.0553371845103</v>
      </c>
      <c r="AG1664" s="50" t="n">
        <f aca="false">IF(AND(ISNUMBER($AE1664),ISNUMBER($AF1664),$AF1664&gt;0),$AE1664/$AF1664,"")</f>
        <v>1.06400607436739</v>
      </c>
      <c r="AH1664" s="48" t="n">
        <f aca="false">IF($U1664&gt;=5,SUM(INDEX($AD$1634:$AD1664,32-5):$AD1664),"")</f>
        <v>-28587664746</v>
      </c>
      <c r="AI1664" s="48" t="n">
        <f aca="false">IF($U1664&gt;=STRUCT_S,MAX(INDEX($G$1514:$G1664,152-STRUCT_S):$G1664),"")</f>
        <v>2067</v>
      </c>
      <c r="AJ1664" s="48" t="n">
        <f aca="false">IF($U1664&gt;=STRUCT_S,MIN(INDEX($H$1514:$H1664,152-STRUCT_S):$H1664),"")</f>
        <v>1801</v>
      </c>
      <c r="AK1664" s="48" t="n">
        <f aca="false">IF($U1664&gt;=STRUCT_L,MAX(INDEX($G$1414:$G1664,252-STRUCT_L):$G1664),"")</f>
        <v>2082</v>
      </c>
      <c r="AL1664" s="48" t="n">
        <f aca="false">IF($U1664&gt;=STRUCT_L,MIN(INDEX($H$1414:$H1664,252-STRUCT_L):$H1664),"")</f>
        <v>1801</v>
      </c>
      <c r="AM1664" s="46" t="n">
        <f aca="false">IF($A1664&lt;&gt;$A1665,1,0)</f>
        <v>0</v>
      </c>
      <c r="AN1664" s="47" t="str">
        <f aca="false">IF($AM1664=1,$A1664,"")</f>
        <v/>
      </c>
    </row>
    <row r="1665" customFormat="false" ht="15" hidden="false" customHeight="false" outlineLevel="0" collapsed="false">
      <c r="A1665" s="43" t="s">
        <v>162</v>
      </c>
      <c r="B1665" s="44" t="s">
        <v>164</v>
      </c>
      <c r="C1665" s="45" t="n">
        <v>46046</v>
      </c>
      <c r="D1665" s="46" t="n">
        <v>20260124</v>
      </c>
      <c r="E1665" s="47" t="s">
        <v>388</v>
      </c>
      <c r="F1665" s="48" t="n">
        <v>1833</v>
      </c>
      <c r="G1665" s="48" t="n">
        <v>1854</v>
      </c>
      <c r="H1665" s="48" t="n">
        <v>1818</v>
      </c>
      <c r="I1665" s="48" t="n">
        <v>1848</v>
      </c>
      <c r="J1665" s="48" t="n">
        <v>1827</v>
      </c>
      <c r="K1665" s="48" t="n">
        <v>1824</v>
      </c>
      <c r="L1665" s="48" t="n">
        <v>193249012</v>
      </c>
      <c r="M1665" s="48" t="n">
        <v>357124174176</v>
      </c>
      <c r="N1665" s="48" t="n">
        <v>9214</v>
      </c>
      <c r="O1665" s="48" t="n">
        <v>94695831</v>
      </c>
      <c r="P1665" s="48" t="n">
        <v>87033046</v>
      </c>
      <c r="Q1665" s="48" t="n">
        <v>4218</v>
      </c>
      <c r="R1665" s="48" t="n">
        <v>3507</v>
      </c>
      <c r="S1665" s="48" t="n">
        <v>98553181</v>
      </c>
      <c r="T1665" s="48" t="n">
        <v>106215966</v>
      </c>
      <c r="U1665" s="46" t="n">
        <f aca="false">IF($A1665=$A1664,$U1664+1,1)</f>
        <v>101</v>
      </c>
      <c r="V1665" s="48" t="n">
        <f aca="false">IF($U1665&gt;=MA_SHORT,AVERAGE(INDEX($I$1265:$I1665,402-MA_SHORT):$I1665),"")</f>
        <v>1912.15</v>
      </c>
      <c r="W1665" s="48" t="n">
        <f aca="false">IF($U1665&gt;=MA_MED,AVERAGE(INDEX($I$1265:$I1665,402-MA_MED):$I1665),"")</f>
        <v>1936.1</v>
      </c>
      <c r="X1665" s="48" t="n">
        <f aca="false">IF($U1665&gt;=MA_LONG1,AVERAGE(INDEX($I$1265:$I1665,402-MA_LONG1):$I1665),"")</f>
        <v>1968.84</v>
      </c>
      <c r="Y1665" s="48" t="str">
        <f aca="false">IF($U1665&gt;=MA_LONG2,AVERAGE(INDEX($I$1265:$I1665,402-MA_LONG2):$I1665),"")</f>
        <v/>
      </c>
      <c r="Z1665" s="48" t="n">
        <f aca="false">IF($U1665&gt;=MA_SHORT,AVERAGE(INDEX($L$1545:$L1665,122-MA_SHORT):$L1665),"")</f>
        <v>103746870.1</v>
      </c>
      <c r="AA1665" s="48" t="n">
        <f aca="false">IF($U1665=1,$G1665-$H1665,MAX($G1665-$H1665,ABS($G1665-$I1664),ABS($H1665-$I1664)))</f>
        <v>36</v>
      </c>
      <c r="AB1665" s="48" t="n">
        <f aca="false">IF($U1665&gt;=ATR_PER,AVERAGE(INDEX($AA$1545:$AA1665,122-ATR_PER):$AA1665),"")</f>
        <v>48.5714285714286</v>
      </c>
      <c r="AC1665" s="48" t="n">
        <f aca="false">$O1665-$P1665</f>
        <v>7662785</v>
      </c>
      <c r="AD1665" s="48" t="n">
        <f aca="false">$AC1665*$I1665</f>
        <v>14160826680</v>
      </c>
      <c r="AE1665" s="49" t="n">
        <f aca="false">IF($Q1665&gt;0,$O1665*$I1665/$Q1665/1000000,"")</f>
        <v>41.4883583897582</v>
      </c>
      <c r="AF1665" s="49" t="n">
        <f aca="false">IF($R1665&gt;0,$P1665*$I1665/$R1665/1000000,"")</f>
        <v>45.8617248383234</v>
      </c>
      <c r="AG1665" s="50" t="n">
        <f aca="false">IF(AND(ISNUMBER($AE1665),ISNUMBER($AF1665),$AF1665&gt;0),$AE1665/$AF1665,"")</f>
        <v>0.904640166413657</v>
      </c>
      <c r="AH1665" s="48" t="n">
        <f aca="false">IF($U1665&gt;=5,SUM(INDEX($AD$1635:$AD1665,32-5):$AD1665),"")</f>
        <v>-10448786207</v>
      </c>
      <c r="AI1665" s="48" t="n">
        <f aca="false">IF($U1665&gt;=STRUCT_S,MAX(INDEX($G$1515:$G1665,152-STRUCT_S):$G1665),"")</f>
        <v>2057</v>
      </c>
      <c r="AJ1665" s="48" t="n">
        <f aca="false">IF($U1665&gt;=STRUCT_S,MIN(INDEX($H$1515:$H1665,152-STRUCT_S):$H1665),"")</f>
        <v>1801</v>
      </c>
      <c r="AK1665" s="48" t="n">
        <f aca="false">IF($U1665&gt;=STRUCT_L,MAX(INDEX($G$1415:$G1665,252-STRUCT_L):$G1665),"")</f>
        <v>2082</v>
      </c>
      <c r="AL1665" s="48" t="n">
        <f aca="false">IF($U1665&gt;=STRUCT_L,MIN(INDEX($H$1415:$H1665,252-STRUCT_L):$H1665),"")</f>
        <v>1801</v>
      </c>
      <c r="AM1665" s="46" t="n">
        <f aca="false">IF($A1665&lt;&gt;$A1666,1,0)</f>
        <v>0</v>
      </c>
      <c r="AN1665" s="47" t="str">
        <f aca="false">IF($AM1665=1,$A1665,"")</f>
        <v/>
      </c>
    </row>
    <row r="1666" customFormat="false" ht="15" hidden="false" customHeight="false" outlineLevel="0" collapsed="false">
      <c r="A1666" s="43" t="s">
        <v>162</v>
      </c>
      <c r="B1666" s="44" t="s">
        <v>164</v>
      </c>
      <c r="C1666" s="45" t="n">
        <v>46047</v>
      </c>
      <c r="D1666" s="46" t="n">
        <v>20260125</v>
      </c>
      <c r="E1666" s="47" t="s">
        <v>389</v>
      </c>
      <c r="F1666" s="48" t="n">
        <v>1846</v>
      </c>
      <c r="G1666" s="48" t="n">
        <v>1863</v>
      </c>
      <c r="H1666" s="48" t="n">
        <v>1829</v>
      </c>
      <c r="I1666" s="48" t="n">
        <v>1844</v>
      </c>
      <c r="J1666" s="48" t="n">
        <v>1848</v>
      </c>
      <c r="K1666" s="48" t="n">
        <v>1848</v>
      </c>
      <c r="L1666" s="48" t="n">
        <v>79595982</v>
      </c>
      <c r="M1666" s="48" t="n">
        <v>146774990808</v>
      </c>
      <c r="N1666" s="48" t="n">
        <v>2112</v>
      </c>
      <c r="O1666" s="48" t="n">
        <v>39310738</v>
      </c>
      <c r="P1666" s="48" t="n">
        <v>39117785</v>
      </c>
      <c r="Q1666" s="48" t="n">
        <v>931</v>
      </c>
      <c r="R1666" s="48" t="n">
        <v>849</v>
      </c>
      <c r="S1666" s="48" t="n">
        <v>40285244</v>
      </c>
      <c r="T1666" s="48" t="n">
        <v>40478197</v>
      </c>
      <c r="U1666" s="46" t="n">
        <f aca="false">IF($A1666=$A1665,$U1665+1,1)</f>
        <v>102</v>
      </c>
      <c r="V1666" s="48" t="n">
        <f aca="false">IF($U1666&gt;=MA_SHORT,AVERAGE(INDEX($I$1266:$I1666,402-MA_SHORT):$I1666),"")</f>
        <v>1902.7</v>
      </c>
      <c r="W1666" s="48" t="n">
        <f aca="false">IF($U1666&gt;=MA_MED,AVERAGE(INDEX($I$1266:$I1666,402-MA_MED):$I1666),"")</f>
        <v>1935.86</v>
      </c>
      <c r="X1666" s="48" t="n">
        <f aca="false">IF($U1666&gt;=MA_LONG1,AVERAGE(INDEX($I$1266:$I1666,402-MA_LONG1):$I1666),"")</f>
        <v>1966.91</v>
      </c>
      <c r="Y1666" s="48" t="str">
        <f aca="false">IF($U1666&gt;=MA_LONG2,AVERAGE(INDEX($I$1266:$I1666,402-MA_LONG2):$I1666),"")</f>
        <v/>
      </c>
      <c r="Z1666" s="48" t="n">
        <f aca="false">IF($U1666&gt;=MA_SHORT,AVERAGE(INDEX($L$1546:$L1666,122-MA_SHORT):$L1666),"")</f>
        <v>103695563.75</v>
      </c>
      <c r="AA1666" s="48" t="n">
        <f aca="false">IF($U1666=1,$G1666-$H1666,MAX($G1666-$H1666,ABS($G1666-$I1665),ABS($H1666-$I1665)))</f>
        <v>34</v>
      </c>
      <c r="AB1666" s="48" t="n">
        <f aca="false">IF($U1666&gt;=ATR_PER,AVERAGE(INDEX($AA$1546:$AA1666,122-ATR_PER):$AA1666),"")</f>
        <v>46.6428571428571</v>
      </c>
      <c r="AC1666" s="48" t="n">
        <f aca="false">$O1666-$P1666</f>
        <v>192953</v>
      </c>
      <c r="AD1666" s="48" t="n">
        <f aca="false">$AC1666*$I1666</f>
        <v>355805332</v>
      </c>
      <c r="AE1666" s="49" t="n">
        <f aca="false">IF($Q1666&gt;0,$O1666*$I1666/$Q1666/1000000,"")</f>
        <v>77.8614402491944</v>
      </c>
      <c r="AF1666" s="49" t="n">
        <f aca="false">IF($R1666&gt;0,$P1666*$I1666/$R1666/1000000,"")</f>
        <v>84.9625389163722</v>
      </c>
      <c r="AG1666" s="50" t="n">
        <f aca="false">IF(AND(ISNUMBER($AE1666),ISNUMBER($AF1666),$AF1666&gt;0),$AE1666/$AF1666,"")</f>
        <v>0.916420827840758</v>
      </c>
      <c r="AH1666" s="48" t="n">
        <f aca="false">IF($U1666&gt;=5,SUM(INDEX($AD$1636:$AD1666,32-5):$AD1666),"")</f>
        <v>30671199749</v>
      </c>
      <c r="AI1666" s="48" t="n">
        <f aca="false">IF($U1666&gt;=STRUCT_S,MAX(INDEX($G$1516:$G1666,152-STRUCT_S):$G1666),"")</f>
        <v>2057</v>
      </c>
      <c r="AJ1666" s="48" t="n">
        <f aca="false">IF($U1666&gt;=STRUCT_S,MIN(INDEX($H$1516:$H1666,152-STRUCT_S):$H1666),"")</f>
        <v>1801</v>
      </c>
      <c r="AK1666" s="48" t="n">
        <f aca="false">IF($U1666&gt;=STRUCT_L,MAX(INDEX($G$1416:$G1666,252-STRUCT_L):$G1666),"")</f>
        <v>2082</v>
      </c>
      <c r="AL1666" s="48" t="n">
        <f aca="false">IF($U1666&gt;=STRUCT_L,MIN(INDEX($H$1416:$H1666,252-STRUCT_L):$H1666),"")</f>
        <v>1801</v>
      </c>
      <c r="AM1666" s="46" t="n">
        <f aca="false">IF($A1666&lt;&gt;$A1667,1,0)</f>
        <v>0</v>
      </c>
      <c r="AN1666" s="47" t="str">
        <f aca="false">IF($AM1666=1,$A1666,"")</f>
        <v/>
      </c>
    </row>
    <row r="1667" customFormat="false" ht="15" hidden="false" customHeight="false" outlineLevel="0" collapsed="false">
      <c r="A1667" s="43" t="s">
        <v>162</v>
      </c>
      <c r="B1667" s="44" t="s">
        <v>164</v>
      </c>
      <c r="C1667" s="45" t="n">
        <v>46048</v>
      </c>
      <c r="D1667" s="46" t="n">
        <v>20260126</v>
      </c>
      <c r="E1667" s="47" t="s">
        <v>390</v>
      </c>
      <c r="F1667" s="48" t="n">
        <v>1845</v>
      </c>
      <c r="G1667" s="48" t="n">
        <v>1862</v>
      </c>
      <c r="H1667" s="48" t="n">
        <v>1799</v>
      </c>
      <c r="I1667" s="48" t="n">
        <v>1817</v>
      </c>
      <c r="J1667" s="48" t="n">
        <v>1855</v>
      </c>
      <c r="K1667" s="48" t="n">
        <v>1844</v>
      </c>
      <c r="L1667" s="48" t="n">
        <v>85478577</v>
      </c>
      <c r="M1667" s="48" t="n">
        <v>155314574409</v>
      </c>
      <c r="N1667" s="48" t="n">
        <v>3285</v>
      </c>
      <c r="O1667" s="48" t="n">
        <v>31856505</v>
      </c>
      <c r="P1667" s="48" t="n">
        <v>53366020</v>
      </c>
      <c r="Q1667" s="48" t="n">
        <v>1548</v>
      </c>
      <c r="R1667" s="48" t="n">
        <v>1070</v>
      </c>
      <c r="S1667" s="48" t="n">
        <v>53622072</v>
      </c>
      <c r="T1667" s="48" t="n">
        <v>32112557</v>
      </c>
      <c r="U1667" s="46" t="n">
        <f aca="false">IF($A1667=$A1666,$U1666+1,1)</f>
        <v>103</v>
      </c>
      <c r="V1667" s="48" t="n">
        <f aca="false">IF($U1667&gt;=MA_SHORT,AVERAGE(INDEX($I$1267:$I1667,402-MA_SHORT):$I1667),"")</f>
        <v>1892.95</v>
      </c>
      <c r="W1667" s="48" t="n">
        <f aca="false">IF($U1667&gt;=MA_MED,AVERAGE(INDEX($I$1267:$I1667,402-MA_MED):$I1667),"")</f>
        <v>1935.06</v>
      </c>
      <c r="X1667" s="48" t="n">
        <f aca="false">IF($U1667&gt;=MA_LONG1,AVERAGE(INDEX($I$1267:$I1667,402-MA_LONG1):$I1667),"")</f>
        <v>1964.85</v>
      </c>
      <c r="Y1667" s="48" t="str">
        <f aca="false">IF($U1667&gt;=MA_LONG2,AVERAGE(INDEX($I$1267:$I1667,402-MA_LONG2):$I1667),"")</f>
        <v/>
      </c>
      <c r="Z1667" s="48" t="n">
        <f aca="false">IF($U1667&gt;=MA_SHORT,AVERAGE(INDEX($L$1547:$L1667,122-MA_SHORT):$L1667),"")</f>
        <v>102337160.35</v>
      </c>
      <c r="AA1667" s="48" t="n">
        <f aca="false">IF($U1667=1,$G1667-$H1667,MAX($G1667-$H1667,ABS($G1667-$I1666),ABS($H1667-$I1666)))</f>
        <v>63</v>
      </c>
      <c r="AB1667" s="48" t="n">
        <f aca="false">IF($U1667&gt;=ATR_PER,AVERAGE(INDEX($AA$1547:$AA1667,122-ATR_PER):$AA1667),"")</f>
        <v>48.5</v>
      </c>
      <c r="AC1667" s="48" t="n">
        <f aca="false">$O1667-$P1667</f>
        <v>-21509515</v>
      </c>
      <c r="AD1667" s="48" t="n">
        <f aca="false">$AC1667*$I1667</f>
        <v>-39082788755</v>
      </c>
      <c r="AE1667" s="49" t="n">
        <f aca="false">IF($Q1667&gt;0,$O1667*$I1667/$Q1667/1000000,"")</f>
        <v>37.3922930135659</v>
      </c>
      <c r="AF1667" s="49" t="n">
        <f aca="false">IF($R1667&gt;0,$P1667*$I1667/$R1667/1000000,"")</f>
        <v>90.6224844299066</v>
      </c>
      <c r="AG1667" s="50" t="n">
        <f aca="false">IF(AND(ISNUMBER($AE1667),ISNUMBER($AF1667),$AF1667&gt;0),$AE1667/$AF1667,"")</f>
        <v>0.412616065966362</v>
      </c>
      <c r="AH1667" s="48" t="n">
        <f aca="false">IF($U1667&gt;=5,SUM(INDEX($AD$1637:$AD1667,32-5):$AD1667),"")</f>
        <v>2007879453</v>
      </c>
      <c r="AI1667" s="48" t="n">
        <f aca="false">IF($U1667&gt;=STRUCT_S,MAX(INDEX($G$1517:$G1667,152-STRUCT_S):$G1667),"")</f>
        <v>2019</v>
      </c>
      <c r="AJ1667" s="48" t="n">
        <f aca="false">IF($U1667&gt;=STRUCT_S,MIN(INDEX($H$1517:$H1667,152-STRUCT_S):$H1667),"")</f>
        <v>1799</v>
      </c>
      <c r="AK1667" s="48" t="n">
        <f aca="false">IF($U1667&gt;=STRUCT_L,MAX(INDEX($G$1417:$G1667,252-STRUCT_L):$G1667),"")</f>
        <v>2082</v>
      </c>
      <c r="AL1667" s="48" t="n">
        <f aca="false">IF($U1667&gt;=STRUCT_L,MIN(INDEX($H$1417:$H1667,252-STRUCT_L):$H1667),"")</f>
        <v>1799</v>
      </c>
      <c r="AM1667" s="46" t="n">
        <f aca="false">IF($A1667&lt;&gt;$A1668,1,0)</f>
        <v>0</v>
      </c>
      <c r="AN1667" s="47" t="str">
        <f aca="false">IF($AM1667=1,$A1667,"")</f>
        <v/>
      </c>
    </row>
    <row r="1668" customFormat="false" ht="15" hidden="false" customHeight="false" outlineLevel="0" collapsed="false">
      <c r="A1668" s="43" t="s">
        <v>162</v>
      </c>
      <c r="B1668" s="44" t="s">
        <v>164</v>
      </c>
      <c r="C1668" s="45" t="n">
        <v>46049</v>
      </c>
      <c r="D1668" s="46" t="n">
        <v>20260127</v>
      </c>
      <c r="E1668" s="47" t="s">
        <v>391</v>
      </c>
      <c r="F1668" s="48" t="n">
        <v>1855</v>
      </c>
      <c r="G1668" s="48" t="n">
        <v>1867</v>
      </c>
      <c r="H1668" s="48" t="n">
        <v>1780</v>
      </c>
      <c r="I1668" s="48" t="n">
        <v>1830</v>
      </c>
      <c r="J1668" s="48" t="n">
        <v>1820</v>
      </c>
      <c r="K1668" s="48" t="n">
        <v>1817</v>
      </c>
      <c r="L1668" s="48" t="n">
        <v>81948604</v>
      </c>
      <c r="M1668" s="48" t="n">
        <v>149965945320</v>
      </c>
      <c r="N1668" s="48" t="n">
        <v>2233</v>
      </c>
      <c r="O1668" s="48" t="n">
        <v>41624093</v>
      </c>
      <c r="P1668" s="48" t="n">
        <v>46381164</v>
      </c>
      <c r="Q1668" s="48" t="n">
        <v>1246</v>
      </c>
      <c r="R1668" s="48" t="n">
        <v>1098</v>
      </c>
      <c r="S1668" s="48" t="n">
        <v>40324511</v>
      </c>
      <c r="T1668" s="48" t="n">
        <v>35567440</v>
      </c>
      <c r="U1668" s="46" t="n">
        <f aca="false">IF($A1668=$A1667,$U1667+1,1)</f>
        <v>104</v>
      </c>
      <c r="V1668" s="48" t="n">
        <f aca="false">IF($U1668&gt;=MA_SHORT,AVERAGE(INDEX($I$1268:$I1668,402-MA_SHORT):$I1668),"")</f>
        <v>1886.85</v>
      </c>
      <c r="W1668" s="48" t="n">
        <f aca="false">IF($U1668&gt;=MA_MED,AVERAGE(INDEX($I$1268:$I1668,402-MA_MED):$I1668),"")</f>
        <v>1933.7</v>
      </c>
      <c r="X1668" s="48" t="n">
        <f aca="false">IF($U1668&gt;=MA_LONG1,AVERAGE(INDEX($I$1268:$I1668,402-MA_LONG1):$I1668),"")</f>
        <v>1962.73</v>
      </c>
      <c r="Y1668" s="48" t="str">
        <f aca="false">IF($U1668&gt;=MA_LONG2,AVERAGE(INDEX($I$1268:$I1668,402-MA_LONG2):$I1668),"")</f>
        <v/>
      </c>
      <c r="Z1668" s="48" t="n">
        <f aca="false">IF($U1668&gt;=MA_SHORT,AVERAGE(INDEX($L$1548:$L1668,122-MA_SHORT):$L1668),"")</f>
        <v>101802852.55</v>
      </c>
      <c r="AA1668" s="48" t="n">
        <f aca="false">IF($U1668=1,$G1668-$H1668,MAX($G1668-$H1668,ABS($G1668-$I1667),ABS($H1668-$I1667)))</f>
        <v>87</v>
      </c>
      <c r="AB1668" s="48" t="n">
        <f aca="false">IF($U1668&gt;=ATR_PER,AVERAGE(INDEX($AA$1548:$AA1668,122-ATR_PER):$AA1668),"")</f>
        <v>52.5714285714286</v>
      </c>
      <c r="AC1668" s="48" t="n">
        <f aca="false">$O1668-$P1668</f>
        <v>-4757071</v>
      </c>
      <c r="AD1668" s="48" t="n">
        <f aca="false">$AC1668*$I1668</f>
        <v>-8705439930</v>
      </c>
      <c r="AE1668" s="49" t="n">
        <f aca="false">IF($Q1668&gt;0,$O1668*$I1668/$Q1668/1000000,"")</f>
        <v>61.1332987078652</v>
      </c>
      <c r="AF1668" s="49" t="n">
        <f aca="false">IF($R1668&gt;0,$P1668*$I1668/$R1668/1000000,"")</f>
        <v>77.30194</v>
      </c>
      <c r="AG1668" s="50" t="n">
        <f aca="false">IF(AND(ISNUMBER($AE1668),ISNUMBER($AF1668),$AF1668&gt;0),$AE1668/$AF1668,"")</f>
        <v>0.790837832890936</v>
      </c>
      <c r="AH1668" s="48" t="n">
        <f aca="false">IF($U1668&gt;=5,SUM(INDEX($AD$1638:$AD1668,32-5):$AD1668),"")</f>
        <v>-22247902465</v>
      </c>
      <c r="AI1668" s="48" t="n">
        <f aca="false">IF($U1668&gt;=STRUCT_S,MAX(INDEX($G$1518:$G1668,152-STRUCT_S):$G1668),"")</f>
        <v>2007</v>
      </c>
      <c r="AJ1668" s="48" t="n">
        <f aca="false">IF($U1668&gt;=STRUCT_S,MIN(INDEX($H$1518:$H1668,152-STRUCT_S):$H1668),"")</f>
        <v>1780</v>
      </c>
      <c r="AK1668" s="48" t="n">
        <f aca="false">IF($U1668&gt;=STRUCT_L,MAX(INDEX($G$1418:$G1668,252-STRUCT_L):$G1668),"")</f>
        <v>2082</v>
      </c>
      <c r="AL1668" s="48" t="n">
        <f aca="false">IF($U1668&gt;=STRUCT_L,MIN(INDEX($H$1418:$H1668,252-STRUCT_L):$H1668),"")</f>
        <v>1780</v>
      </c>
      <c r="AM1668" s="46" t="n">
        <f aca="false">IF($A1668&lt;&gt;$A1669,1,0)</f>
        <v>0</v>
      </c>
      <c r="AN1668" s="47" t="str">
        <f aca="false">IF($AM1668=1,$A1668,"")</f>
        <v/>
      </c>
    </row>
    <row r="1669" customFormat="false" ht="15" hidden="false" customHeight="false" outlineLevel="0" collapsed="false">
      <c r="A1669" s="43" t="s">
        <v>162</v>
      </c>
      <c r="B1669" s="44" t="s">
        <v>164</v>
      </c>
      <c r="C1669" s="45" t="n">
        <v>46050</v>
      </c>
      <c r="D1669" s="46" t="n">
        <v>20260128</v>
      </c>
      <c r="E1669" s="47" t="s">
        <v>392</v>
      </c>
      <c r="F1669" s="48" t="n">
        <v>1817</v>
      </c>
      <c r="G1669" s="48" t="n">
        <v>1842</v>
      </c>
      <c r="H1669" s="48" t="n">
        <v>1809</v>
      </c>
      <c r="I1669" s="48" t="n">
        <v>1821</v>
      </c>
      <c r="J1669" s="48" t="n">
        <v>1814</v>
      </c>
      <c r="K1669" s="48" t="n">
        <v>1830</v>
      </c>
      <c r="L1669" s="48" t="n">
        <v>80894143</v>
      </c>
      <c r="M1669" s="48" t="n">
        <v>147308234403</v>
      </c>
      <c r="N1669" s="48" t="n">
        <v>5722</v>
      </c>
      <c r="O1669" s="48" t="n">
        <v>38755288</v>
      </c>
      <c r="P1669" s="48" t="n">
        <v>39323536</v>
      </c>
      <c r="Q1669" s="48" t="n">
        <v>2016</v>
      </c>
      <c r="R1669" s="48" t="n">
        <v>2792</v>
      </c>
      <c r="S1669" s="48" t="n">
        <v>42138855</v>
      </c>
      <c r="T1669" s="48" t="n">
        <v>41570607</v>
      </c>
      <c r="U1669" s="46" t="n">
        <f aca="false">IF($A1669=$A1668,$U1668+1,1)</f>
        <v>105</v>
      </c>
      <c r="V1669" s="48" t="n">
        <f aca="false">IF($U1669&gt;=MA_SHORT,AVERAGE(INDEX($I$1269:$I1669,402-MA_SHORT):$I1669),"")</f>
        <v>1878.55</v>
      </c>
      <c r="W1669" s="48" t="n">
        <f aca="false">IF($U1669&gt;=MA_MED,AVERAGE(INDEX($I$1269:$I1669,402-MA_MED):$I1669),"")</f>
        <v>1932.64</v>
      </c>
      <c r="X1669" s="48" t="n">
        <f aca="false">IF($U1669&gt;=MA_LONG1,AVERAGE(INDEX($I$1269:$I1669,402-MA_LONG1):$I1669),"")</f>
        <v>1960.31</v>
      </c>
      <c r="Y1669" s="48" t="str">
        <f aca="false">IF($U1669&gt;=MA_LONG2,AVERAGE(INDEX($I$1269:$I1669,402-MA_LONG2):$I1669),"")</f>
        <v/>
      </c>
      <c r="Z1669" s="48" t="n">
        <f aca="false">IF($U1669&gt;=MA_SHORT,AVERAGE(INDEX($L$1549:$L1669,122-MA_SHORT):$L1669),"")</f>
        <v>101449807.15</v>
      </c>
      <c r="AA1669" s="48" t="n">
        <f aca="false">IF($U1669=1,$G1669-$H1669,MAX($G1669-$H1669,ABS($G1669-$I1668),ABS($H1669-$I1668)))</f>
        <v>33</v>
      </c>
      <c r="AB1669" s="48" t="n">
        <f aca="false">IF($U1669&gt;=ATR_PER,AVERAGE(INDEX($AA$1549:$AA1669,122-ATR_PER):$AA1669),"")</f>
        <v>52</v>
      </c>
      <c r="AC1669" s="48" t="n">
        <f aca="false">$O1669-$P1669</f>
        <v>-568248</v>
      </c>
      <c r="AD1669" s="48" t="n">
        <f aca="false">$AC1669*$I1669</f>
        <v>-1034779608</v>
      </c>
      <c r="AE1669" s="49" t="n">
        <f aca="false">IF($Q1669&gt;0,$O1669*$I1669/$Q1669/1000000,"")</f>
        <v>35.0066366309524</v>
      </c>
      <c r="AF1669" s="49" t="n">
        <f aca="false">IF($R1669&gt;0,$P1669*$I1669/$R1669/1000000,"")</f>
        <v>25.6476214383954</v>
      </c>
      <c r="AG1669" s="50" t="n">
        <f aca="false">IF(AND(ISNUMBER($AE1669),ISNUMBER($AF1669),$AF1669&gt;0),$AE1669/$AF1669,"")</f>
        <v>1.36490772507061</v>
      </c>
      <c r="AH1669" s="48" t="n">
        <f aca="false">IF($U1669&gt;=5,SUM(INDEX($AD$1639:$AD1669,32-5):$AD1669),"")</f>
        <v>-34306376281</v>
      </c>
      <c r="AI1669" s="48" t="n">
        <f aca="false">IF($U1669&gt;=STRUCT_S,MAX(INDEX($G$1519:$G1669,152-STRUCT_S):$G1669),"")</f>
        <v>1995</v>
      </c>
      <c r="AJ1669" s="48" t="n">
        <f aca="false">IF($U1669&gt;=STRUCT_S,MIN(INDEX($H$1519:$H1669,152-STRUCT_S):$H1669),"")</f>
        <v>1780</v>
      </c>
      <c r="AK1669" s="48" t="n">
        <f aca="false">IF($U1669&gt;=STRUCT_L,MAX(INDEX($G$1419:$G1669,252-STRUCT_L):$G1669),"")</f>
        <v>2082</v>
      </c>
      <c r="AL1669" s="48" t="n">
        <f aca="false">IF($U1669&gt;=STRUCT_L,MIN(INDEX($H$1419:$H1669,252-STRUCT_L):$H1669),"")</f>
        <v>1780</v>
      </c>
      <c r="AM1669" s="46" t="n">
        <f aca="false">IF($A1669&lt;&gt;$A1670,1,0)</f>
        <v>0</v>
      </c>
      <c r="AN1669" s="47" t="str">
        <f aca="false">IF($AM1669=1,$A1669,"")</f>
        <v/>
      </c>
    </row>
    <row r="1670" customFormat="false" ht="15" hidden="false" customHeight="false" outlineLevel="0" collapsed="false">
      <c r="A1670" s="43" t="s">
        <v>162</v>
      </c>
      <c r="B1670" s="44" t="s">
        <v>164</v>
      </c>
      <c r="C1670" s="45" t="n">
        <v>46053</v>
      </c>
      <c r="D1670" s="46" t="n">
        <v>20260131</v>
      </c>
      <c r="E1670" s="47" t="s">
        <v>393</v>
      </c>
      <c r="F1670" s="48" t="n">
        <v>1782</v>
      </c>
      <c r="G1670" s="48" t="n">
        <v>1869</v>
      </c>
      <c r="H1670" s="48" t="n">
        <v>1742</v>
      </c>
      <c r="I1670" s="48" t="n">
        <v>1789</v>
      </c>
      <c r="J1670" s="48" t="n">
        <v>1768</v>
      </c>
      <c r="K1670" s="48" t="n">
        <v>1821</v>
      </c>
      <c r="L1670" s="48" t="n">
        <v>86860255</v>
      </c>
      <c r="M1670" s="48" t="n">
        <v>155392996195</v>
      </c>
      <c r="N1670" s="48" t="n">
        <v>2383</v>
      </c>
      <c r="O1670" s="48" t="n">
        <v>29511820</v>
      </c>
      <c r="P1670" s="48" t="n">
        <v>52178559</v>
      </c>
      <c r="Q1670" s="48" t="n">
        <v>810</v>
      </c>
      <c r="R1670" s="48" t="n">
        <v>989</v>
      </c>
      <c r="S1670" s="48" t="n">
        <v>57348435</v>
      </c>
      <c r="T1670" s="48" t="n">
        <v>34681696</v>
      </c>
      <c r="U1670" s="46" t="n">
        <f aca="false">IF($A1670=$A1669,$U1669+1,1)</f>
        <v>106</v>
      </c>
      <c r="V1670" s="48" t="n">
        <f aca="false">IF($U1670&gt;=MA_SHORT,AVERAGE(INDEX($I$1270:$I1670,402-MA_SHORT):$I1670),"")</f>
        <v>1869.3</v>
      </c>
      <c r="W1670" s="48" t="n">
        <f aca="false">IF($U1670&gt;=MA_MED,AVERAGE(INDEX($I$1270:$I1670,402-MA_MED):$I1670),"")</f>
        <v>1931.1</v>
      </c>
      <c r="X1670" s="48" t="n">
        <f aca="false">IF($U1670&gt;=MA_LONG1,AVERAGE(INDEX($I$1270:$I1670,402-MA_LONG1):$I1670),"")</f>
        <v>1958.01</v>
      </c>
      <c r="Y1670" s="48" t="str">
        <f aca="false">IF($U1670&gt;=MA_LONG2,AVERAGE(INDEX($I$1270:$I1670,402-MA_LONG2):$I1670),"")</f>
        <v/>
      </c>
      <c r="Z1670" s="48" t="n">
        <f aca="false">IF($U1670&gt;=MA_SHORT,AVERAGE(INDEX($L$1550:$L1670,122-MA_SHORT):$L1670),"")</f>
        <v>96299137.7</v>
      </c>
      <c r="AA1670" s="48" t="n">
        <f aca="false">IF($U1670=1,$G1670-$H1670,MAX($G1670-$H1670,ABS($G1670-$I1669),ABS($H1670-$I1669)))</f>
        <v>127</v>
      </c>
      <c r="AB1670" s="48" t="n">
        <f aca="false">IF($U1670&gt;=ATR_PER,AVERAGE(INDEX($AA$1550:$AA1670,122-ATR_PER):$AA1670),"")</f>
        <v>56.5</v>
      </c>
      <c r="AC1670" s="48" t="n">
        <f aca="false">$O1670-$P1670</f>
        <v>-22666739</v>
      </c>
      <c r="AD1670" s="48" t="n">
        <f aca="false">$AC1670*$I1670</f>
        <v>-40550796071</v>
      </c>
      <c r="AE1670" s="49" t="n">
        <f aca="false">IF($Q1670&gt;0,$O1670*$I1670/$Q1670/1000000,"")</f>
        <v>65.1810444197531</v>
      </c>
      <c r="AF1670" s="49" t="n">
        <f aca="false">IF($R1670&gt;0,$P1670*$I1670/$R1670/1000000,"")</f>
        <v>94.3856845813953</v>
      </c>
      <c r="AG1670" s="50" t="n">
        <f aca="false">IF(AND(ISNUMBER($AE1670),ISNUMBER($AF1670),$AF1670&gt;0),$AE1670/$AF1670,"")</f>
        <v>0.690581889709588</v>
      </c>
      <c r="AH1670" s="48" t="n">
        <f aca="false">IF($U1670&gt;=5,SUM(INDEX($AD$1640:$AD1670,32-5):$AD1670),"")</f>
        <v>-89017999032</v>
      </c>
      <c r="AI1670" s="48" t="n">
        <f aca="false">IF($U1670&gt;=STRUCT_S,MAX(INDEX($G$1520:$G1670,152-STRUCT_S):$G1670),"")</f>
        <v>1986</v>
      </c>
      <c r="AJ1670" s="48" t="n">
        <f aca="false">IF($U1670&gt;=STRUCT_S,MIN(INDEX($H$1520:$H1670,152-STRUCT_S):$H1670),"")</f>
        <v>1742</v>
      </c>
      <c r="AK1670" s="48" t="n">
        <f aca="false">IF($U1670&gt;=STRUCT_L,MAX(INDEX($G$1420:$G1670,252-STRUCT_L):$G1670),"")</f>
        <v>2082</v>
      </c>
      <c r="AL1670" s="48" t="n">
        <f aca="false">IF($U1670&gt;=STRUCT_L,MIN(INDEX($H$1420:$H1670,252-STRUCT_L):$H1670),"")</f>
        <v>1742</v>
      </c>
      <c r="AM1670" s="46" t="n">
        <f aca="false">IF($A1670&lt;&gt;$A1671,1,0)</f>
        <v>0</v>
      </c>
      <c r="AN1670" s="47" t="str">
        <f aca="false">IF($AM1670=1,$A1670,"")</f>
        <v/>
      </c>
    </row>
    <row r="1671" customFormat="false" ht="15" hidden="false" customHeight="false" outlineLevel="0" collapsed="false">
      <c r="A1671" s="43" t="s">
        <v>162</v>
      </c>
      <c r="B1671" s="44" t="s">
        <v>164</v>
      </c>
      <c r="C1671" s="45" t="n">
        <v>46054</v>
      </c>
      <c r="D1671" s="46" t="n">
        <v>20260201</v>
      </c>
      <c r="E1671" s="47" t="s">
        <v>394</v>
      </c>
      <c r="F1671" s="48" t="n">
        <v>1778</v>
      </c>
      <c r="G1671" s="48" t="n">
        <v>1794</v>
      </c>
      <c r="H1671" s="48" t="n">
        <v>1760</v>
      </c>
      <c r="I1671" s="48" t="n">
        <v>1765</v>
      </c>
      <c r="J1671" s="48" t="n">
        <v>1762</v>
      </c>
      <c r="K1671" s="48" t="n">
        <v>1789</v>
      </c>
      <c r="L1671" s="48" t="n">
        <v>84900214</v>
      </c>
      <c r="M1671" s="48" t="n">
        <v>149848877710</v>
      </c>
      <c r="N1671" s="48" t="n">
        <v>4152</v>
      </c>
      <c r="O1671" s="48" t="n">
        <v>32285166</v>
      </c>
      <c r="P1671" s="48" t="n">
        <v>57227948</v>
      </c>
      <c r="Q1671" s="48" t="n">
        <v>1233</v>
      </c>
      <c r="R1671" s="48" t="n">
        <v>1587</v>
      </c>
      <c r="S1671" s="48" t="n">
        <v>52615048</v>
      </c>
      <c r="T1671" s="48" t="n">
        <v>27672266</v>
      </c>
      <c r="U1671" s="46" t="n">
        <f aca="false">IF($A1671=$A1670,$U1670+1,1)</f>
        <v>107</v>
      </c>
      <c r="V1671" s="48" t="n">
        <f aca="false">IF($U1671&gt;=MA_SHORT,AVERAGE(INDEX($I$1271:$I1671,402-MA_SHORT):$I1671),"")</f>
        <v>1860.4</v>
      </c>
      <c r="W1671" s="48" t="n">
        <f aca="false">IF($U1671&gt;=MA_MED,AVERAGE(INDEX($I$1271:$I1671,402-MA_MED):$I1671),"")</f>
        <v>1929</v>
      </c>
      <c r="X1671" s="48" t="n">
        <f aca="false">IF($U1671&gt;=MA_LONG1,AVERAGE(INDEX($I$1271:$I1671,402-MA_LONG1):$I1671),"")</f>
        <v>1955.94</v>
      </c>
      <c r="Y1671" s="48" t="str">
        <f aca="false">IF($U1671&gt;=MA_LONG2,AVERAGE(INDEX($I$1271:$I1671,402-MA_LONG2):$I1671),"")</f>
        <v/>
      </c>
      <c r="Z1671" s="48" t="n">
        <f aca="false">IF($U1671&gt;=MA_SHORT,AVERAGE(INDEX($L$1551:$L1671,122-MA_SHORT):$L1671),"")</f>
        <v>93932217.15</v>
      </c>
      <c r="AA1671" s="48" t="n">
        <f aca="false">IF($U1671=1,$G1671-$H1671,MAX($G1671-$H1671,ABS($G1671-$I1670),ABS($H1671-$I1670)))</f>
        <v>34</v>
      </c>
      <c r="AB1671" s="48" t="n">
        <f aca="false">IF($U1671&gt;=ATR_PER,AVERAGE(INDEX($AA$1551:$AA1671,122-ATR_PER):$AA1671),"")</f>
        <v>56.3571428571429</v>
      </c>
      <c r="AC1671" s="48" t="n">
        <f aca="false">$O1671-$P1671</f>
        <v>-24942782</v>
      </c>
      <c r="AD1671" s="48" t="n">
        <f aca="false">$AC1671*$I1671</f>
        <v>-44024010230</v>
      </c>
      <c r="AE1671" s="49" t="n">
        <f aca="false">IF($Q1671&gt;0,$O1671*$I1671/$Q1671/1000000,"")</f>
        <v>46.2151808515815</v>
      </c>
      <c r="AF1671" s="49" t="n">
        <f aca="false">IF($R1671&gt;0,$P1671*$I1671/$R1671/1000000,"")</f>
        <v>63.6467096534342</v>
      </c>
      <c r="AG1671" s="50" t="n">
        <f aca="false">IF(AND(ISNUMBER($AE1671),ISNUMBER($AF1671),$AF1671&gt;0),$AE1671/$AF1671,"")</f>
        <v>0.726120503372917</v>
      </c>
      <c r="AH1671" s="48" t="n">
        <f aca="false">IF($U1671&gt;=5,SUM(INDEX($AD$1641:$AD1671,32-5):$AD1671),"")</f>
        <v>-133397814594</v>
      </c>
      <c r="AI1671" s="48" t="n">
        <f aca="false">IF($U1671&gt;=STRUCT_S,MAX(INDEX($G$1521:$G1671,152-STRUCT_S):$G1671),"")</f>
        <v>1965</v>
      </c>
      <c r="AJ1671" s="48" t="n">
        <f aca="false">IF($U1671&gt;=STRUCT_S,MIN(INDEX($H$1521:$H1671,152-STRUCT_S):$H1671),"")</f>
        <v>1742</v>
      </c>
      <c r="AK1671" s="48" t="n">
        <f aca="false">IF($U1671&gt;=STRUCT_L,MAX(INDEX($G$1421:$G1671,252-STRUCT_L):$G1671),"")</f>
        <v>2082</v>
      </c>
      <c r="AL1671" s="48" t="n">
        <f aca="false">IF($U1671&gt;=STRUCT_L,MIN(INDEX($H$1421:$H1671,252-STRUCT_L):$H1671),"")</f>
        <v>1742</v>
      </c>
      <c r="AM1671" s="46" t="n">
        <f aca="false">IF($A1671&lt;&gt;$A1672,1,0)</f>
        <v>0</v>
      </c>
      <c r="AN1671" s="47" t="str">
        <f aca="false">IF($AM1671=1,$A1671,"")</f>
        <v/>
      </c>
    </row>
    <row r="1672" customFormat="false" ht="15" hidden="false" customHeight="false" outlineLevel="0" collapsed="false">
      <c r="A1672" s="43" t="s">
        <v>162</v>
      </c>
      <c r="B1672" s="44" t="s">
        <v>164</v>
      </c>
      <c r="C1672" s="45" t="n">
        <v>46055</v>
      </c>
      <c r="D1672" s="46" t="n">
        <v>20260202</v>
      </c>
      <c r="E1672" s="47" t="s">
        <v>395</v>
      </c>
      <c r="F1672" s="48" t="n">
        <v>1752</v>
      </c>
      <c r="G1672" s="48" t="n">
        <v>1775</v>
      </c>
      <c r="H1672" s="48" t="n">
        <v>1740</v>
      </c>
      <c r="I1672" s="48" t="n">
        <v>1750</v>
      </c>
      <c r="J1672" s="48" t="n">
        <v>1764</v>
      </c>
      <c r="K1672" s="48" t="n">
        <v>1765</v>
      </c>
      <c r="L1672" s="48" t="n">
        <v>82582205</v>
      </c>
      <c r="M1672" s="48" t="n">
        <v>144518858750</v>
      </c>
      <c r="N1672" s="48" t="n">
        <v>2621</v>
      </c>
      <c r="O1672" s="48" t="n">
        <v>33798415</v>
      </c>
      <c r="P1672" s="48" t="n">
        <v>50034226</v>
      </c>
      <c r="Q1672" s="48" t="n">
        <v>1130</v>
      </c>
      <c r="R1672" s="48" t="n">
        <v>1026</v>
      </c>
      <c r="S1672" s="48" t="n">
        <v>48783790</v>
      </c>
      <c r="T1672" s="48" t="n">
        <v>32547979</v>
      </c>
      <c r="U1672" s="46" t="n">
        <f aca="false">IF($A1672=$A1671,$U1671+1,1)</f>
        <v>108</v>
      </c>
      <c r="V1672" s="48" t="n">
        <f aca="false">IF($U1672&gt;=MA_SHORT,AVERAGE(INDEX($I$1272:$I1672,402-MA_SHORT):$I1672),"")</f>
        <v>1851.6</v>
      </c>
      <c r="W1672" s="48" t="n">
        <f aca="false">IF($U1672&gt;=MA_MED,AVERAGE(INDEX($I$1272:$I1672,402-MA_MED):$I1672),"")</f>
        <v>1926.52</v>
      </c>
      <c r="X1672" s="48" t="n">
        <f aca="false">IF($U1672&gt;=MA_LONG1,AVERAGE(INDEX($I$1272:$I1672,402-MA_LONG1):$I1672),"")</f>
        <v>1953.48</v>
      </c>
      <c r="Y1672" s="48" t="str">
        <f aca="false">IF($U1672&gt;=MA_LONG2,AVERAGE(INDEX($I$1272:$I1672,402-MA_LONG2):$I1672),"")</f>
        <v/>
      </c>
      <c r="Z1672" s="48" t="n">
        <f aca="false">IF($U1672&gt;=MA_SHORT,AVERAGE(INDEX($L$1552:$L1672,122-MA_SHORT):$L1672),"")</f>
        <v>93293791.4</v>
      </c>
      <c r="AA1672" s="48" t="n">
        <f aca="false">IF($U1672=1,$G1672-$H1672,MAX($G1672-$H1672,ABS($G1672-$I1671),ABS($H1672-$I1671)))</f>
        <v>35</v>
      </c>
      <c r="AB1672" s="48" t="n">
        <f aca="false">IF($U1672&gt;=ATR_PER,AVERAGE(INDEX($AA$1552:$AA1672,122-ATR_PER):$AA1672),"")</f>
        <v>55.0714285714286</v>
      </c>
      <c r="AC1672" s="48" t="n">
        <f aca="false">$O1672-$P1672</f>
        <v>-16235811</v>
      </c>
      <c r="AD1672" s="48" t="n">
        <f aca="false">$AC1672*$I1672</f>
        <v>-28412669250</v>
      </c>
      <c r="AE1672" s="49" t="n">
        <f aca="false">IF($Q1672&gt;0,$O1672*$I1672/$Q1672/1000000,"")</f>
        <v>52.3426780973451</v>
      </c>
      <c r="AF1672" s="49" t="n">
        <f aca="false">IF($R1672&gt;0,$P1672*$I1672/$R1672/1000000,"")</f>
        <v>85.3410287524367</v>
      </c>
      <c r="AG1672" s="50" t="n">
        <f aca="false">IF(AND(ISNUMBER($AE1672),ISNUMBER($AF1672),$AF1672&gt;0),$AE1672/$AF1672,"")</f>
        <v>0.613335447937762</v>
      </c>
      <c r="AH1672" s="48" t="n">
        <f aca="false">IF($U1672&gt;=5,SUM(INDEX($AD$1642:$AD1672,32-5):$AD1672),"")</f>
        <v>-122727695089</v>
      </c>
      <c r="AI1672" s="48" t="n">
        <f aca="false">IF($U1672&gt;=STRUCT_S,MAX(INDEX($G$1522:$G1672,152-STRUCT_S):$G1672),"")</f>
        <v>1958</v>
      </c>
      <c r="AJ1672" s="48" t="n">
        <f aca="false">IF($U1672&gt;=STRUCT_S,MIN(INDEX($H$1522:$H1672,152-STRUCT_S):$H1672),"")</f>
        <v>1740</v>
      </c>
      <c r="AK1672" s="48" t="n">
        <f aca="false">IF($U1672&gt;=STRUCT_L,MAX(INDEX($G$1422:$G1672,252-STRUCT_L):$G1672),"")</f>
        <v>2082</v>
      </c>
      <c r="AL1672" s="48" t="n">
        <f aca="false">IF($U1672&gt;=STRUCT_L,MIN(INDEX($H$1422:$H1672,252-STRUCT_L):$H1672),"")</f>
        <v>1740</v>
      </c>
      <c r="AM1672" s="46" t="n">
        <f aca="false">IF($A1672&lt;&gt;$A1673,1,0)</f>
        <v>0</v>
      </c>
      <c r="AN1672" s="47" t="str">
        <f aca="false">IF($AM1672=1,$A1672,"")</f>
        <v/>
      </c>
    </row>
    <row r="1673" customFormat="false" ht="15" hidden="false" customHeight="false" outlineLevel="0" collapsed="false">
      <c r="A1673" s="43" t="s">
        <v>162</v>
      </c>
      <c r="B1673" s="44" t="s">
        <v>164</v>
      </c>
      <c r="C1673" s="45" t="n">
        <v>46056</v>
      </c>
      <c r="D1673" s="46" t="n">
        <v>20260203</v>
      </c>
      <c r="E1673" s="47" t="s">
        <v>396</v>
      </c>
      <c r="F1673" s="48" t="n">
        <v>1747</v>
      </c>
      <c r="G1673" s="48" t="n">
        <v>1757</v>
      </c>
      <c r="H1673" s="48" t="n">
        <v>1735</v>
      </c>
      <c r="I1673" s="48" t="n">
        <v>1742</v>
      </c>
      <c r="J1673" s="48" t="n">
        <v>1736</v>
      </c>
      <c r="K1673" s="48" t="n">
        <v>1750</v>
      </c>
      <c r="L1673" s="48" t="n">
        <v>80730735</v>
      </c>
      <c r="M1673" s="48" t="n">
        <v>140632940370</v>
      </c>
      <c r="N1673" s="48" t="n">
        <v>3443</v>
      </c>
      <c r="O1673" s="48" t="n">
        <v>43099827</v>
      </c>
      <c r="P1673" s="48" t="n">
        <v>36676163</v>
      </c>
      <c r="Q1673" s="48" t="n">
        <v>1604</v>
      </c>
      <c r="R1673" s="48" t="n">
        <v>1696</v>
      </c>
      <c r="S1673" s="48" t="n">
        <v>37630908</v>
      </c>
      <c r="T1673" s="48" t="n">
        <v>44054572</v>
      </c>
      <c r="U1673" s="46" t="n">
        <f aca="false">IF($A1673=$A1672,$U1672+1,1)</f>
        <v>109</v>
      </c>
      <c r="V1673" s="48" t="n">
        <f aca="false">IF($U1673&gt;=MA_SHORT,AVERAGE(INDEX($I$1273:$I1673,402-MA_SHORT):$I1673),"")</f>
        <v>1843.65</v>
      </c>
      <c r="W1673" s="48" t="n">
        <f aca="false">IF($U1673&gt;=MA_MED,AVERAGE(INDEX($I$1273:$I1673,402-MA_MED):$I1673),"")</f>
        <v>1923.7</v>
      </c>
      <c r="X1673" s="48" t="n">
        <f aca="false">IF($U1673&gt;=MA_LONG1,AVERAGE(INDEX($I$1273:$I1673,402-MA_LONG1):$I1673),"")</f>
        <v>1951.15</v>
      </c>
      <c r="Y1673" s="48" t="str">
        <f aca="false">IF($U1673&gt;=MA_LONG2,AVERAGE(INDEX($I$1273:$I1673,402-MA_LONG2):$I1673),"")</f>
        <v/>
      </c>
      <c r="Z1673" s="48" t="n">
        <f aca="false">IF($U1673&gt;=MA_SHORT,AVERAGE(INDEX($L$1553:$L1673,122-MA_SHORT):$L1673),"")</f>
        <v>93095572.65</v>
      </c>
      <c r="AA1673" s="48" t="n">
        <f aca="false">IF($U1673=1,$G1673-$H1673,MAX($G1673-$H1673,ABS($G1673-$I1672),ABS($H1673-$I1672)))</f>
        <v>22</v>
      </c>
      <c r="AB1673" s="48" t="n">
        <f aca="false">IF($U1673&gt;=ATR_PER,AVERAGE(INDEX($AA$1553:$AA1673,122-ATR_PER):$AA1673),"")</f>
        <v>51.6428571428571</v>
      </c>
      <c r="AC1673" s="48" t="n">
        <f aca="false">$O1673-$P1673</f>
        <v>6423664</v>
      </c>
      <c r="AD1673" s="48" t="n">
        <f aca="false">$AC1673*$I1673</f>
        <v>11190022688</v>
      </c>
      <c r="AE1673" s="49" t="n">
        <f aca="false">IF($Q1673&gt;0,$O1673*$I1673/$Q1673/1000000,"")</f>
        <v>46.8079168541147</v>
      </c>
      <c r="AF1673" s="49" t="n">
        <f aca="false">IF($R1673&gt;0,$P1673*$I1673/$R1673/1000000,"")</f>
        <v>37.6709174209906</v>
      </c>
      <c r="AG1673" s="50" t="n">
        <f aca="false">IF(AND(ISNUMBER($AE1673),ISNUMBER($AF1673),$AF1673&gt;0),$AE1673/$AF1673,"")</f>
        <v>1.24254783420892</v>
      </c>
      <c r="AH1673" s="48" t="n">
        <f aca="false">IF($U1673&gt;=5,SUM(INDEX($AD$1643:$AD1673,32-5):$AD1673),"")</f>
        <v>-102832232471</v>
      </c>
      <c r="AI1673" s="48" t="n">
        <f aca="false">IF($U1673&gt;=STRUCT_S,MAX(INDEX($G$1523:$G1673,152-STRUCT_S):$G1673),"")</f>
        <v>1958</v>
      </c>
      <c r="AJ1673" s="48" t="n">
        <f aca="false">IF($U1673&gt;=STRUCT_S,MIN(INDEX($H$1523:$H1673,152-STRUCT_S):$H1673),"")</f>
        <v>1735</v>
      </c>
      <c r="AK1673" s="48" t="n">
        <f aca="false">IF($U1673&gt;=STRUCT_L,MAX(INDEX($G$1423:$G1673,252-STRUCT_L):$G1673),"")</f>
        <v>2082</v>
      </c>
      <c r="AL1673" s="48" t="n">
        <f aca="false">IF($U1673&gt;=STRUCT_L,MIN(INDEX($H$1423:$H1673,252-STRUCT_L):$H1673),"")</f>
        <v>1735</v>
      </c>
      <c r="AM1673" s="46" t="n">
        <f aca="false">IF($A1673&lt;&gt;$A1674,1,0)</f>
        <v>0</v>
      </c>
      <c r="AN1673" s="47" t="str">
        <f aca="false">IF($AM1673=1,$A1673,"")</f>
        <v/>
      </c>
    </row>
    <row r="1674" customFormat="false" ht="15" hidden="false" customHeight="false" outlineLevel="0" collapsed="false">
      <c r="A1674" s="43" t="s">
        <v>162</v>
      </c>
      <c r="B1674" s="44" t="s">
        <v>164</v>
      </c>
      <c r="C1674" s="45" t="n">
        <v>46057</v>
      </c>
      <c r="D1674" s="46" t="n">
        <v>20260204</v>
      </c>
      <c r="E1674" s="47" t="s">
        <v>397</v>
      </c>
      <c r="F1674" s="48" t="n">
        <v>1720</v>
      </c>
      <c r="G1674" s="48" t="n">
        <v>1747</v>
      </c>
      <c r="H1674" s="48" t="n">
        <v>1715</v>
      </c>
      <c r="I1674" s="48" t="n">
        <v>1720</v>
      </c>
      <c r="J1674" s="48" t="n">
        <v>1729</v>
      </c>
      <c r="K1674" s="48" t="n">
        <v>1742</v>
      </c>
      <c r="L1674" s="48" t="n">
        <v>84529579</v>
      </c>
      <c r="M1674" s="48" t="n">
        <v>145390875880</v>
      </c>
      <c r="N1674" s="48" t="n">
        <v>2953</v>
      </c>
      <c r="O1674" s="48" t="n">
        <v>37051563</v>
      </c>
      <c r="P1674" s="48" t="n">
        <v>47385381</v>
      </c>
      <c r="Q1674" s="48" t="n">
        <v>1559</v>
      </c>
      <c r="R1674" s="48" t="n">
        <v>1434</v>
      </c>
      <c r="S1674" s="48" t="n">
        <v>47478016</v>
      </c>
      <c r="T1674" s="48" t="n">
        <v>37144198</v>
      </c>
      <c r="U1674" s="46" t="n">
        <f aca="false">IF($A1674=$A1673,$U1673+1,1)</f>
        <v>110</v>
      </c>
      <c r="V1674" s="48" t="n">
        <f aca="false">IF($U1674&gt;=MA_SHORT,AVERAGE(INDEX($I$1274:$I1674,402-MA_SHORT):$I1674),"")</f>
        <v>1835.3</v>
      </c>
      <c r="W1674" s="48" t="n">
        <f aca="false">IF($U1674&gt;=MA_MED,AVERAGE(INDEX($I$1274:$I1674,402-MA_MED):$I1674),"")</f>
        <v>1919.46</v>
      </c>
      <c r="X1674" s="48" t="n">
        <f aca="false">IF($U1674&gt;=MA_LONG1,AVERAGE(INDEX($I$1274:$I1674,402-MA_LONG1):$I1674),"")</f>
        <v>1948.36</v>
      </c>
      <c r="Y1674" s="48" t="str">
        <f aca="false">IF($U1674&gt;=MA_LONG2,AVERAGE(INDEX($I$1274:$I1674,402-MA_LONG2):$I1674),"")</f>
        <v/>
      </c>
      <c r="Z1674" s="48" t="n">
        <f aca="false">IF($U1674&gt;=MA_SHORT,AVERAGE(INDEX($L$1554:$L1674,122-MA_SHORT):$L1674),"")</f>
        <v>92946081.4</v>
      </c>
      <c r="AA1674" s="48" t="n">
        <f aca="false">IF($U1674=1,$G1674-$H1674,MAX($G1674-$H1674,ABS($G1674-$I1673),ABS($H1674-$I1673)))</f>
        <v>32</v>
      </c>
      <c r="AB1674" s="48" t="n">
        <f aca="false">IF($U1674&gt;=ATR_PER,AVERAGE(INDEX($AA$1554:$AA1674,122-ATR_PER):$AA1674),"")</f>
        <v>49.5</v>
      </c>
      <c r="AC1674" s="48" t="n">
        <f aca="false">$O1674-$P1674</f>
        <v>-10333818</v>
      </c>
      <c r="AD1674" s="48" t="n">
        <f aca="false">$AC1674*$I1674</f>
        <v>-17774166960</v>
      </c>
      <c r="AE1674" s="49" t="n">
        <f aca="false">IF($Q1674&gt;0,$O1674*$I1674/$Q1674/1000000,"")</f>
        <v>40.8779271071199</v>
      </c>
      <c r="AF1674" s="49" t="n">
        <f aca="false">IF($R1674&gt;0,$P1674*$I1674/$R1674/1000000,"")</f>
        <v>56.8360218410042</v>
      </c>
      <c r="AG1674" s="50" t="n">
        <f aca="false">IF(AND(ISNUMBER($AE1674),ISNUMBER($AF1674),$AF1674&gt;0),$AE1674/$AF1674,"")</f>
        <v>0.719225691436917</v>
      </c>
      <c r="AH1674" s="48" t="n">
        <f aca="false">IF($U1674&gt;=5,SUM(INDEX($AD$1644:$AD1674,32-5):$AD1674),"")</f>
        <v>-119571619823</v>
      </c>
      <c r="AI1674" s="48" t="n">
        <f aca="false">IF($U1674&gt;=STRUCT_S,MAX(INDEX($G$1524:$G1674,152-STRUCT_S):$G1674),"")</f>
        <v>1958</v>
      </c>
      <c r="AJ1674" s="48" t="n">
        <f aca="false">IF($U1674&gt;=STRUCT_S,MIN(INDEX($H$1524:$H1674,152-STRUCT_S):$H1674),"")</f>
        <v>1715</v>
      </c>
      <c r="AK1674" s="48" t="n">
        <f aca="false">IF($U1674&gt;=STRUCT_L,MAX(INDEX($G$1424:$G1674,252-STRUCT_L):$G1674),"")</f>
        <v>2082</v>
      </c>
      <c r="AL1674" s="48" t="n">
        <f aca="false">IF($U1674&gt;=STRUCT_L,MIN(INDEX($H$1424:$H1674,252-STRUCT_L):$H1674),"")</f>
        <v>1715</v>
      </c>
      <c r="AM1674" s="46" t="n">
        <f aca="false">IF($A1674&lt;&gt;$A1675,1,0)</f>
        <v>0</v>
      </c>
      <c r="AN1674" s="47" t="str">
        <f aca="false">IF($AM1674=1,$A1674,"")</f>
        <v/>
      </c>
    </row>
    <row r="1675" customFormat="false" ht="15" hidden="false" customHeight="false" outlineLevel="0" collapsed="false">
      <c r="A1675" s="43" t="s">
        <v>162</v>
      </c>
      <c r="B1675" s="44" t="s">
        <v>164</v>
      </c>
      <c r="C1675" s="45" t="n">
        <v>46060</v>
      </c>
      <c r="D1675" s="46" t="n">
        <v>20260207</v>
      </c>
      <c r="E1675" s="47" t="s">
        <v>398</v>
      </c>
      <c r="F1675" s="48" t="n">
        <v>1723</v>
      </c>
      <c r="G1675" s="48" t="n">
        <v>1758</v>
      </c>
      <c r="H1675" s="48" t="n">
        <v>1714</v>
      </c>
      <c r="I1675" s="48" t="n">
        <v>1752</v>
      </c>
      <c r="J1675" s="48" t="n">
        <v>1758</v>
      </c>
      <c r="K1675" s="48" t="n">
        <v>1720</v>
      </c>
      <c r="L1675" s="48" t="n">
        <v>87346742</v>
      </c>
      <c r="M1675" s="48" t="n">
        <v>153031491984</v>
      </c>
      <c r="N1675" s="48" t="n">
        <v>2689</v>
      </c>
      <c r="O1675" s="48" t="n">
        <v>40440049</v>
      </c>
      <c r="P1675" s="48" t="n">
        <v>46897370</v>
      </c>
      <c r="Q1675" s="48" t="n">
        <v>1132</v>
      </c>
      <c r="R1675" s="48" t="n">
        <v>991</v>
      </c>
      <c r="S1675" s="48" t="n">
        <v>46906693</v>
      </c>
      <c r="T1675" s="48" t="n">
        <v>40449372</v>
      </c>
      <c r="U1675" s="46" t="n">
        <f aca="false">IF($A1675=$A1674,$U1674+1,1)</f>
        <v>111</v>
      </c>
      <c r="V1675" s="48" t="n">
        <f aca="false">IF($U1675&gt;=MA_SHORT,AVERAGE(INDEX($I$1275:$I1675,402-MA_SHORT):$I1675),"")</f>
        <v>1827.2</v>
      </c>
      <c r="W1675" s="48" t="n">
        <f aca="false">IF($U1675&gt;=MA_MED,AVERAGE(INDEX($I$1275:$I1675,402-MA_MED):$I1675),"")</f>
        <v>1915.96</v>
      </c>
      <c r="X1675" s="48" t="n">
        <f aca="false">IF($U1675&gt;=MA_LONG1,AVERAGE(INDEX($I$1275:$I1675,402-MA_LONG1):$I1675),"")</f>
        <v>1946.03</v>
      </c>
      <c r="Y1675" s="48" t="str">
        <f aca="false">IF($U1675&gt;=MA_LONG2,AVERAGE(INDEX($I$1275:$I1675,402-MA_LONG2):$I1675),"")</f>
        <v/>
      </c>
      <c r="Z1675" s="48" t="n">
        <f aca="false">IF($U1675&gt;=MA_SHORT,AVERAGE(INDEX($L$1555:$L1675,122-MA_SHORT):$L1675),"")</f>
        <v>93047354.85</v>
      </c>
      <c r="AA1675" s="48" t="n">
        <f aca="false">IF($U1675=1,$G1675-$H1675,MAX($G1675-$H1675,ABS($G1675-$I1674),ABS($H1675-$I1674)))</f>
        <v>44</v>
      </c>
      <c r="AB1675" s="48" t="n">
        <f aca="false">IF($U1675&gt;=ATR_PER,AVERAGE(INDEX($AA$1555:$AA1675,122-ATR_PER):$AA1675),"")</f>
        <v>50</v>
      </c>
      <c r="AC1675" s="48" t="n">
        <f aca="false">$O1675-$P1675</f>
        <v>-6457321</v>
      </c>
      <c r="AD1675" s="48" t="n">
        <f aca="false">$AC1675*$I1675</f>
        <v>-11313226392</v>
      </c>
      <c r="AE1675" s="49" t="n">
        <f aca="false">IF($Q1675&gt;0,$O1675*$I1675/$Q1675/1000000,"")</f>
        <v>62.5891924452297</v>
      </c>
      <c r="AF1675" s="49" t="n">
        <f aca="false">IF($R1675&gt;0,$P1675*$I1675/$R1675/1000000,"")</f>
        <v>82.9103857114026</v>
      </c>
      <c r="AG1675" s="50" t="n">
        <f aca="false">IF(AND(ISNUMBER($AE1675),ISNUMBER($AF1675),$AF1675&gt;0),$AE1675/$AF1675,"")</f>
        <v>0.754901715969485</v>
      </c>
      <c r="AH1675" s="48" t="n">
        <f aca="false">IF($U1675&gt;=5,SUM(INDEX($AD$1645:$AD1675,32-5):$AD1675),"")</f>
        <v>-90334050144</v>
      </c>
      <c r="AI1675" s="48" t="n">
        <f aca="false">IF($U1675&gt;=STRUCT_S,MAX(INDEX($G$1525:$G1675,152-STRUCT_S):$G1675),"")</f>
        <v>1958</v>
      </c>
      <c r="AJ1675" s="48" t="n">
        <f aca="false">IF($U1675&gt;=STRUCT_S,MIN(INDEX($H$1525:$H1675,152-STRUCT_S):$H1675),"")</f>
        <v>1714</v>
      </c>
      <c r="AK1675" s="48" t="n">
        <f aca="false">IF($U1675&gt;=STRUCT_L,MAX(INDEX($G$1425:$G1675,252-STRUCT_L):$G1675),"")</f>
        <v>2082</v>
      </c>
      <c r="AL1675" s="48" t="n">
        <f aca="false">IF($U1675&gt;=STRUCT_L,MIN(INDEX($H$1425:$H1675,252-STRUCT_L):$H1675),"")</f>
        <v>1714</v>
      </c>
      <c r="AM1675" s="46" t="n">
        <f aca="false">IF($A1675&lt;&gt;$A1676,1,0)</f>
        <v>0</v>
      </c>
      <c r="AN1675" s="47" t="str">
        <f aca="false">IF($AM1675=1,$A1675,"")</f>
        <v/>
      </c>
    </row>
    <row r="1676" customFormat="false" ht="15" hidden="false" customHeight="false" outlineLevel="0" collapsed="false">
      <c r="A1676" s="43" t="s">
        <v>162</v>
      </c>
      <c r="B1676" s="44" t="s">
        <v>164</v>
      </c>
      <c r="C1676" s="45" t="n">
        <v>46061</v>
      </c>
      <c r="D1676" s="46" t="n">
        <v>20260208</v>
      </c>
      <c r="E1676" s="47" t="s">
        <v>399</v>
      </c>
      <c r="F1676" s="48" t="n">
        <v>1751</v>
      </c>
      <c r="G1676" s="48" t="n">
        <v>1770</v>
      </c>
      <c r="H1676" s="48" t="n">
        <v>1738</v>
      </c>
      <c r="I1676" s="48" t="n">
        <v>1756</v>
      </c>
      <c r="J1676" s="48" t="n">
        <v>1757</v>
      </c>
      <c r="K1676" s="48" t="n">
        <v>1752</v>
      </c>
      <c r="L1676" s="48" t="n">
        <v>79651898</v>
      </c>
      <c r="M1676" s="48" t="n">
        <v>139868732888</v>
      </c>
      <c r="N1676" s="48" t="n">
        <v>3436</v>
      </c>
      <c r="O1676" s="48" t="n">
        <v>34324498</v>
      </c>
      <c r="P1676" s="48" t="n">
        <v>48054209</v>
      </c>
      <c r="Q1676" s="48" t="n">
        <v>1621</v>
      </c>
      <c r="R1676" s="48" t="n">
        <v>1489</v>
      </c>
      <c r="S1676" s="48" t="n">
        <v>45327400</v>
      </c>
      <c r="T1676" s="48" t="n">
        <v>31597689</v>
      </c>
      <c r="U1676" s="46" t="n">
        <f aca="false">IF($A1676=$A1675,$U1675+1,1)</f>
        <v>112</v>
      </c>
      <c r="V1676" s="48" t="n">
        <f aca="false">IF($U1676&gt;=MA_SHORT,AVERAGE(INDEX($I$1276:$I1676,402-MA_SHORT):$I1676),"")</f>
        <v>1818.15</v>
      </c>
      <c r="W1676" s="48" t="n">
        <f aca="false">IF($U1676&gt;=MA_MED,AVERAGE(INDEX($I$1276:$I1676,402-MA_MED):$I1676),"")</f>
        <v>1912.74</v>
      </c>
      <c r="X1676" s="48" t="n">
        <f aca="false">IF($U1676&gt;=MA_LONG1,AVERAGE(INDEX($I$1276:$I1676,402-MA_LONG1):$I1676),"")</f>
        <v>1943.47</v>
      </c>
      <c r="Y1676" s="48" t="str">
        <f aca="false">IF($U1676&gt;=MA_LONG2,AVERAGE(INDEX($I$1276:$I1676,402-MA_LONG2):$I1676),"")</f>
        <v/>
      </c>
      <c r="Z1676" s="48" t="n">
        <f aca="false">IF($U1676&gt;=MA_SHORT,AVERAGE(INDEX($L$1556:$L1676,122-MA_SHORT):$L1676),"")</f>
        <v>91957822</v>
      </c>
      <c r="AA1676" s="48" t="n">
        <f aca="false">IF($U1676=1,$G1676-$H1676,MAX($G1676-$H1676,ABS($G1676-$I1675),ABS($H1676-$I1675)))</f>
        <v>32</v>
      </c>
      <c r="AB1676" s="48" t="n">
        <f aca="false">IF($U1676&gt;=ATR_PER,AVERAGE(INDEX($AA$1556:$AA1676,122-ATR_PER):$AA1676),"")</f>
        <v>48.5714285714286</v>
      </c>
      <c r="AC1676" s="48" t="n">
        <f aca="false">$O1676-$P1676</f>
        <v>-13729711</v>
      </c>
      <c r="AD1676" s="48" t="n">
        <f aca="false">$AC1676*$I1676</f>
        <v>-24109372516</v>
      </c>
      <c r="AE1676" s="49" t="n">
        <f aca="false">IF($Q1676&gt;0,$O1676*$I1676/$Q1676/1000000,"")</f>
        <v>37.1831082590993</v>
      </c>
      <c r="AF1676" s="49" t="n">
        <f aca="false">IF($R1676&gt;0,$P1676*$I1676/$R1676/1000000,"")</f>
        <v>56.6710483572868</v>
      </c>
      <c r="AG1676" s="50" t="n">
        <f aca="false">IF(AND(ISNUMBER($AE1676),ISNUMBER($AF1676),$AF1676&gt;0),$AE1676/$AF1676,"")</f>
        <v>0.656121764762065</v>
      </c>
      <c r="AH1676" s="48" t="n">
        <f aca="false">IF($U1676&gt;=5,SUM(INDEX($AD$1646:$AD1676,32-5):$AD1676),"")</f>
        <v>-70419412430</v>
      </c>
      <c r="AI1676" s="48" t="n">
        <f aca="false">IF($U1676&gt;=STRUCT_S,MAX(INDEX($G$1526:$G1676,152-STRUCT_S):$G1676),"")</f>
        <v>1952</v>
      </c>
      <c r="AJ1676" s="48" t="n">
        <f aca="false">IF($U1676&gt;=STRUCT_S,MIN(INDEX($H$1526:$H1676,152-STRUCT_S):$H1676),"")</f>
        <v>1714</v>
      </c>
      <c r="AK1676" s="48" t="n">
        <f aca="false">IF($U1676&gt;=STRUCT_L,MAX(INDEX($G$1426:$G1676,252-STRUCT_L):$G1676),"")</f>
        <v>2082</v>
      </c>
      <c r="AL1676" s="48" t="n">
        <f aca="false">IF($U1676&gt;=STRUCT_L,MIN(INDEX($H$1426:$H1676,252-STRUCT_L):$H1676),"")</f>
        <v>1714</v>
      </c>
      <c r="AM1676" s="46" t="n">
        <f aca="false">IF($A1676&lt;&gt;$A1677,1,0)</f>
        <v>0</v>
      </c>
      <c r="AN1676" s="47" t="str">
        <f aca="false">IF($AM1676=1,$A1676,"")</f>
        <v/>
      </c>
    </row>
    <row r="1677" customFormat="false" ht="15" hidden="false" customHeight="false" outlineLevel="0" collapsed="false">
      <c r="A1677" s="43" t="s">
        <v>162</v>
      </c>
      <c r="B1677" s="44" t="s">
        <v>164</v>
      </c>
      <c r="C1677" s="45" t="n">
        <v>46062</v>
      </c>
      <c r="D1677" s="46" t="n">
        <v>20260209</v>
      </c>
      <c r="E1677" s="47" t="s">
        <v>400</v>
      </c>
      <c r="F1677" s="48" t="n">
        <v>1756</v>
      </c>
      <c r="G1677" s="48" t="n">
        <v>1779</v>
      </c>
      <c r="H1677" s="48" t="n">
        <v>1737</v>
      </c>
      <c r="I1677" s="48" t="n">
        <v>1760</v>
      </c>
      <c r="J1677" s="48" t="n">
        <v>1767</v>
      </c>
      <c r="K1677" s="48" t="n">
        <v>1756</v>
      </c>
      <c r="L1677" s="48" t="n">
        <v>80593784</v>
      </c>
      <c r="M1677" s="48" t="n">
        <v>141845059840</v>
      </c>
      <c r="N1677" s="48" t="n">
        <v>2905</v>
      </c>
      <c r="O1677" s="48" t="n">
        <v>36447790</v>
      </c>
      <c r="P1677" s="48" t="n">
        <v>45750850</v>
      </c>
      <c r="Q1677" s="48" t="n">
        <v>1592</v>
      </c>
      <c r="R1677" s="48" t="n">
        <v>1480</v>
      </c>
      <c r="S1677" s="48" t="n">
        <v>44145994</v>
      </c>
      <c r="T1677" s="48" t="n">
        <v>34842934</v>
      </c>
      <c r="U1677" s="46" t="n">
        <f aca="false">IF($A1677=$A1676,$U1676+1,1)</f>
        <v>113</v>
      </c>
      <c r="V1677" s="48" t="n">
        <f aca="false">IF($U1677&gt;=MA_SHORT,AVERAGE(INDEX($I$1277:$I1677,402-MA_SHORT):$I1677),"")</f>
        <v>1809.6</v>
      </c>
      <c r="W1677" s="48" t="n">
        <f aca="false">IF($U1677&gt;=MA_MED,AVERAGE(INDEX($I$1277:$I1677,402-MA_MED):$I1677),"")</f>
        <v>1909.06</v>
      </c>
      <c r="X1677" s="48" t="n">
        <f aca="false">IF($U1677&gt;=MA_LONG1,AVERAGE(INDEX($I$1277:$I1677,402-MA_LONG1):$I1677),"")</f>
        <v>1941.12</v>
      </c>
      <c r="Y1677" s="48" t="str">
        <f aca="false">IF($U1677&gt;=MA_LONG2,AVERAGE(INDEX($I$1277:$I1677,402-MA_LONG2):$I1677),"")</f>
        <v/>
      </c>
      <c r="Z1677" s="48" t="n">
        <f aca="false">IF($U1677&gt;=MA_SHORT,AVERAGE(INDEX($L$1557:$L1677,122-MA_SHORT):$L1677),"")</f>
        <v>91380990.35</v>
      </c>
      <c r="AA1677" s="48" t="n">
        <f aca="false">IF($U1677=1,$G1677-$H1677,MAX($G1677-$H1677,ABS($G1677-$I1676),ABS($H1677-$I1676)))</f>
        <v>42</v>
      </c>
      <c r="AB1677" s="48" t="n">
        <f aca="false">IF($U1677&gt;=ATR_PER,AVERAGE(INDEX($AA$1557:$AA1677,122-ATR_PER):$AA1677),"")</f>
        <v>49</v>
      </c>
      <c r="AC1677" s="48" t="n">
        <f aca="false">$O1677-$P1677</f>
        <v>-9303060</v>
      </c>
      <c r="AD1677" s="48" t="n">
        <f aca="false">$AC1677*$I1677</f>
        <v>-16373385600</v>
      </c>
      <c r="AE1677" s="49" t="n">
        <f aca="false">IF($Q1677&gt;0,$O1677*$I1677/$Q1677/1000000,"")</f>
        <v>40.2940391959799</v>
      </c>
      <c r="AF1677" s="49" t="n">
        <f aca="false">IF($R1677&gt;0,$P1677*$I1677/$R1677/1000000,"")</f>
        <v>54.4064162162162</v>
      </c>
      <c r="AG1677" s="50" t="n">
        <f aca="false">IF(AND(ISNUMBER($AE1677),ISNUMBER($AF1677),$AF1677&gt;0),$AE1677/$AF1677,"")</f>
        <v>0.740611898343894</v>
      </c>
      <c r="AH1677" s="48" t="n">
        <f aca="false">IF($U1677&gt;=5,SUM(INDEX($AD$1647:$AD1677,32-5):$AD1677),"")</f>
        <v>-58380128780</v>
      </c>
      <c r="AI1677" s="48" t="n">
        <f aca="false">IF($U1677&gt;=STRUCT_S,MAX(INDEX($G$1527:$G1677,152-STRUCT_S):$G1677),"")</f>
        <v>1939</v>
      </c>
      <c r="AJ1677" s="48" t="n">
        <f aca="false">IF($U1677&gt;=STRUCT_S,MIN(INDEX($H$1527:$H1677,152-STRUCT_S):$H1677),"")</f>
        <v>1714</v>
      </c>
      <c r="AK1677" s="48" t="n">
        <f aca="false">IF($U1677&gt;=STRUCT_L,MAX(INDEX($G$1427:$G1677,252-STRUCT_L):$G1677),"")</f>
        <v>2082</v>
      </c>
      <c r="AL1677" s="48" t="n">
        <f aca="false">IF($U1677&gt;=STRUCT_L,MIN(INDEX($H$1427:$H1677,252-STRUCT_L):$H1677),"")</f>
        <v>1714</v>
      </c>
      <c r="AM1677" s="46" t="n">
        <f aca="false">IF($A1677&lt;&gt;$A1678,1,0)</f>
        <v>0</v>
      </c>
      <c r="AN1677" s="47" t="str">
        <f aca="false">IF($AM1677=1,$A1677,"")</f>
        <v/>
      </c>
    </row>
    <row r="1678" customFormat="false" ht="15" hidden="false" customHeight="false" outlineLevel="0" collapsed="false">
      <c r="A1678" s="43" t="s">
        <v>162</v>
      </c>
      <c r="B1678" s="44" t="s">
        <v>164</v>
      </c>
      <c r="C1678" s="45" t="n">
        <v>46063</v>
      </c>
      <c r="D1678" s="46" t="n">
        <v>20260210</v>
      </c>
      <c r="E1678" s="47" t="s">
        <v>401</v>
      </c>
      <c r="F1678" s="48" t="n">
        <v>1709</v>
      </c>
      <c r="G1678" s="48" t="n">
        <v>1798</v>
      </c>
      <c r="H1678" s="48" t="n">
        <v>1699</v>
      </c>
      <c r="I1678" s="48" t="n">
        <v>1736</v>
      </c>
      <c r="J1678" s="48" t="n">
        <v>1740</v>
      </c>
      <c r="K1678" s="48" t="n">
        <v>1760</v>
      </c>
      <c r="L1678" s="48" t="n">
        <v>102091742</v>
      </c>
      <c r="M1678" s="48" t="n">
        <v>177231264112</v>
      </c>
      <c r="N1678" s="48" t="n">
        <v>2493</v>
      </c>
      <c r="O1678" s="48" t="n">
        <v>43397854</v>
      </c>
      <c r="P1678" s="48" t="n">
        <v>62288733</v>
      </c>
      <c r="Q1678" s="48" t="n">
        <v>997</v>
      </c>
      <c r="R1678" s="48" t="n">
        <v>886</v>
      </c>
      <c r="S1678" s="48" t="n">
        <v>58693888</v>
      </c>
      <c r="T1678" s="48" t="n">
        <v>39803009</v>
      </c>
      <c r="U1678" s="46" t="n">
        <f aca="false">IF($A1678=$A1677,$U1677+1,1)</f>
        <v>114</v>
      </c>
      <c r="V1678" s="48" t="n">
        <f aca="false">IF($U1678&gt;=MA_SHORT,AVERAGE(INDEX($I$1278:$I1678,402-MA_SHORT):$I1678),"")</f>
        <v>1801.7</v>
      </c>
      <c r="W1678" s="48" t="n">
        <f aca="false">IF($U1678&gt;=MA_MED,AVERAGE(INDEX($I$1278:$I1678,402-MA_MED):$I1678),"")</f>
        <v>1903.56</v>
      </c>
      <c r="X1678" s="48" t="n">
        <f aca="false">IF($U1678&gt;=MA_LONG1,AVERAGE(INDEX($I$1278:$I1678,402-MA_LONG1):$I1678),"")</f>
        <v>1938.63</v>
      </c>
      <c r="Y1678" s="48" t="str">
        <f aca="false">IF($U1678&gt;=MA_LONG2,AVERAGE(INDEX($I$1278:$I1678,402-MA_LONG2):$I1678),"")</f>
        <v/>
      </c>
      <c r="Z1678" s="48" t="n">
        <f aca="false">IF($U1678&gt;=MA_SHORT,AVERAGE(INDEX($L$1558:$L1678,122-MA_SHORT):$L1678),"")</f>
        <v>91764605.95</v>
      </c>
      <c r="AA1678" s="48" t="n">
        <f aca="false">IF($U1678=1,$G1678-$H1678,MAX($G1678-$H1678,ABS($G1678-$I1677),ABS($H1678-$I1677)))</f>
        <v>99</v>
      </c>
      <c r="AB1678" s="48" t="n">
        <f aca="false">IF($U1678&gt;=ATR_PER,AVERAGE(INDEX($AA$1558:$AA1678,122-ATR_PER):$AA1678),"")</f>
        <v>51.4285714285714</v>
      </c>
      <c r="AC1678" s="48" t="n">
        <f aca="false">$O1678-$P1678</f>
        <v>-18890879</v>
      </c>
      <c r="AD1678" s="48" t="n">
        <f aca="false">$AC1678*$I1678</f>
        <v>-32794565944</v>
      </c>
      <c r="AE1678" s="49" t="n">
        <f aca="false">IF($Q1678&gt;0,$O1678*$I1678/$Q1678/1000000,"")</f>
        <v>75.5653706559679</v>
      </c>
      <c r="AF1678" s="49" t="n">
        <f aca="false">IF($R1678&gt;0,$P1678*$I1678/$R1678/1000000,"")</f>
        <v>122.046546826185</v>
      </c>
      <c r="AG1678" s="50" t="n">
        <f aca="false">IF(AND(ISNUMBER($AE1678),ISNUMBER($AF1678),$AF1678&gt;0),$AE1678/$AF1678,"")</f>
        <v>0.619152058137177</v>
      </c>
      <c r="AH1678" s="48" t="n">
        <f aca="false">IF($U1678&gt;=5,SUM(INDEX($AD$1648:$AD1678,32-5):$AD1678),"")</f>
        <v>-102364717412</v>
      </c>
      <c r="AI1678" s="48" t="n">
        <f aca="false">IF($U1678&gt;=STRUCT_S,MAX(INDEX($G$1528:$G1678,152-STRUCT_S):$G1678),"")</f>
        <v>1918</v>
      </c>
      <c r="AJ1678" s="48" t="n">
        <f aca="false">IF($U1678&gt;=STRUCT_S,MIN(INDEX($H$1528:$H1678,152-STRUCT_S):$H1678),"")</f>
        <v>1699</v>
      </c>
      <c r="AK1678" s="48" t="n">
        <f aca="false">IF($U1678&gt;=STRUCT_L,MAX(INDEX($G$1428:$G1678,252-STRUCT_L):$G1678),"")</f>
        <v>2082</v>
      </c>
      <c r="AL1678" s="48" t="n">
        <f aca="false">IF($U1678&gt;=STRUCT_L,MIN(INDEX($H$1428:$H1678,252-STRUCT_L):$H1678),"")</f>
        <v>1699</v>
      </c>
      <c r="AM1678" s="46" t="n">
        <f aca="false">IF($A1678&lt;&gt;$A1679,1,0)</f>
        <v>0</v>
      </c>
      <c r="AN1678" s="47" t="str">
        <f aca="false">IF($AM1678=1,$A1678,"")</f>
        <v/>
      </c>
    </row>
    <row r="1679" customFormat="false" ht="15" hidden="false" customHeight="false" outlineLevel="0" collapsed="false">
      <c r="A1679" s="43" t="s">
        <v>162</v>
      </c>
      <c r="B1679" s="44" t="s">
        <v>164</v>
      </c>
      <c r="C1679" s="45" t="n">
        <v>46064</v>
      </c>
      <c r="D1679" s="46" t="n">
        <v>20260211</v>
      </c>
      <c r="E1679" s="47" t="s">
        <v>402</v>
      </c>
      <c r="F1679" s="48" t="n">
        <v>1765</v>
      </c>
      <c r="G1679" s="48" t="n">
        <v>1772</v>
      </c>
      <c r="H1679" s="48" t="n">
        <v>1651</v>
      </c>
      <c r="I1679" s="48" t="n">
        <v>1686</v>
      </c>
      <c r="J1679" s="48" t="n">
        <v>1762</v>
      </c>
      <c r="K1679" s="48" t="n">
        <v>1736</v>
      </c>
      <c r="L1679" s="48" t="n">
        <v>92154240</v>
      </c>
      <c r="M1679" s="48" t="n">
        <v>155372048640</v>
      </c>
      <c r="N1679" s="48" t="n">
        <v>2173</v>
      </c>
      <c r="O1679" s="48" t="n">
        <v>40096110</v>
      </c>
      <c r="P1679" s="48" t="n">
        <v>47041816</v>
      </c>
      <c r="Q1679" s="48" t="n">
        <v>814</v>
      </c>
      <c r="R1679" s="48" t="n">
        <v>718</v>
      </c>
      <c r="S1679" s="48" t="n">
        <v>52058130</v>
      </c>
      <c r="T1679" s="48" t="n">
        <v>45112424</v>
      </c>
      <c r="U1679" s="46" t="n">
        <f aca="false">IF($A1679=$A1678,$U1678+1,1)</f>
        <v>115</v>
      </c>
      <c r="V1679" s="48" t="n">
        <f aca="false">IF($U1679&gt;=MA_SHORT,AVERAGE(INDEX($I$1279:$I1679,402-MA_SHORT):$I1679),"")</f>
        <v>1792.4</v>
      </c>
      <c r="W1679" s="48" t="n">
        <f aca="false">IF($U1679&gt;=MA_MED,AVERAGE(INDEX($I$1279:$I1679,402-MA_MED):$I1679),"")</f>
        <v>1897.26</v>
      </c>
      <c r="X1679" s="48" t="n">
        <f aca="false">IF($U1679&gt;=MA_LONG1,AVERAGE(INDEX($I$1279:$I1679,402-MA_LONG1):$I1679),"")</f>
        <v>1935.29</v>
      </c>
      <c r="Y1679" s="48" t="str">
        <f aca="false">IF($U1679&gt;=MA_LONG2,AVERAGE(INDEX($I$1279:$I1679,402-MA_LONG2):$I1679),"")</f>
        <v/>
      </c>
      <c r="Z1679" s="48" t="n">
        <f aca="false">IF($U1679&gt;=MA_SHORT,AVERAGE(INDEX($L$1559:$L1679,122-MA_SHORT):$L1679),"")</f>
        <v>91363588.7</v>
      </c>
      <c r="AA1679" s="48" t="n">
        <f aca="false">IF($U1679=1,$G1679-$H1679,MAX($G1679-$H1679,ABS($G1679-$I1678),ABS($H1679-$I1678)))</f>
        <v>121</v>
      </c>
      <c r="AB1679" s="48" t="n">
        <f aca="false">IF($U1679&gt;=ATR_PER,AVERAGE(INDEX($AA$1559:$AA1679,122-ATR_PER):$AA1679),"")</f>
        <v>57.5</v>
      </c>
      <c r="AC1679" s="48" t="n">
        <f aca="false">$O1679-$P1679</f>
        <v>-6945706</v>
      </c>
      <c r="AD1679" s="48" t="n">
        <f aca="false">$AC1679*$I1679</f>
        <v>-11710460316</v>
      </c>
      <c r="AE1679" s="49" t="n">
        <f aca="false">IF($Q1679&gt;0,$O1679*$I1679/$Q1679/1000000,"")</f>
        <v>83.049190982801</v>
      </c>
      <c r="AF1679" s="49" t="n">
        <f aca="false">IF($R1679&gt;0,$P1679*$I1679/$R1679/1000000,"")</f>
        <v>110.463094395543</v>
      </c>
      <c r="AG1679" s="50" t="n">
        <f aca="false">IF(AND(ISNUMBER($AE1679),ISNUMBER($AF1679),$AF1679&gt;0),$AE1679/$AF1679,"")</f>
        <v>0.751827489871149</v>
      </c>
      <c r="AH1679" s="48" t="n">
        <f aca="false">IF($U1679&gt;=5,SUM(INDEX($AD$1649:$AD1679,32-5):$AD1679),"")</f>
        <v>-96301010768</v>
      </c>
      <c r="AI1679" s="48" t="n">
        <f aca="false">IF($U1679&gt;=STRUCT_S,MAX(INDEX($G$1529:$G1679,152-STRUCT_S):$G1679),"")</f>
        <v>1906</v>
      </c>
      <c r="AJ1679" s="48" t="n">
        <f aca="false">IF($U1679&gt;=STRUCT_S,MIN(INDEX($H$1529:$H1679,152-STRUCT_S):$H1679),"")</f>
        <v>1651</v>
      </c>
      <c r="AK1679" s="48" t="n">
        <f aca="false">IF($U1679&gt;=STRUCT_L,MAX(INDEX($G$1429:$G1679,252-STRUCT_L):$G1679),"")</f>
        <v>2082</v>
      </c>
      <c r="AL1679" s="48" t="n">
        <f aca="false">IF($U1679&gt;=STRUCT_L,MIN(INDEX($H$1429:$H1679,252-STRUCT_L):$H1679),"")</f>
        <v>1651</v>
      </c>
      <c r="AM1679" s="46" t="n">
        <f aca="false">IF($A1679&lt;&gt;$A1680,1,0)</f>
        <v>0</v>
      </c>
      <c r="AN1679" s="47" t="str">
        <f aca="false">IF($AM1679=1,$A1679,"")</f>
        <v/>
      </c>
    </row>
    <row r="1680" customFormat="false" ht="15" hidden="false" customHeight="false" outlineLevel="0" collapsed="false">
      <c r="A1680" s="43" t="s">
        <v>162</v>
      </c>
      <c r="B1680" s="44" t="s">
        <v>164</v>
      </c>
      <c r="C1680" s="45" t="n">
        <v>46067</v>
      </c>
      <c r="D1680" s="46" t="n">
        <v>20260214</v>
      </c>
      <c r="E1680" s="47" t="s">
        <v>403</v>
      </c>
      <c r="F1680" s="48" t="n">
        <v>1691</v>
      </c>
      <c r="G1680" s="48" t="n">
        <v>1712</v>
      </c>
      <c r="H1680" s="48" t="n">
        <v>1678</v>
      </c>
      <c r="I1680" s="48" t="n">
        <v>1704</v>
      </c>
      <c r="J1680" s="48" t="n">
        <v>1692</v>
      </c>
      <c r="K1680" s="48" t="n">
        <v>1686</v>
      </c>
      <c r="L1680" s="48" t="n">
        <v>83608829</v>
      </c>
      <c r="M1680" s="48" t="n">
        <v>142469444616</v>
      </c>
      <c r="N1680" s="48" t="n">
        <v>2505</v>
      </c>
      <c r="O1680" s="48" t="n">
        <v>45766960</v>
      </c>
      <c r="P1680" s="48" t="n">
        <v>35427194</v>
      </c>
      <c r="Q1680" s="48" t="n">
        <v>850</v>
      </c>
      <c r="R1680" s="48" t="n">
        <v>1307</v>
      </c>
      <c r="S1680" s="48" t="n">
        <v>37841869</v>
      </c>
      <c r="T1680" s="48" t="n">
        <v>48181635</v>
      </c>
      <c r="U1680" s="46" t="n">
        <f aca="false">IF($A1680=$A1679,$U1679+1,1)</f>
        <v>116</v>
      </c>
      <c r="V1680" s="48" t="n">
        <f aca="false">IF($U1680&gt;=MA_SHORT,AVERAGE(INDEX($I$1280:$I1680,402-MA_SHORT):$I1680),"")</f>
        <v>1783.75</v>
      </c>
      <c r="W1680" s="48" t="n">
        <f aca="false">IF($U1680&gt;=MA_MED,AVERAGE(INDEX($I$1280:$I1680,402-MA_MED):$I1680),"")</f>
        <v>1890.74</v>
      </c>
      <c r="X1680" s="48" t="n">
        <f aca="false">IF($U1680&gt;=MA_LONG1,AVERAGE(INDEX($I$1280:$I1680,402-MA_LONG1):$I1680),"")</f>
        <v>1932.7</v>
      </c>
      <c r="Y1680" s="48" t="str">
        <f aca="false">IF($U1680&gt;=MA_LONG2,AVERAGE(INDEX($I$1280:$I1680,402-MA_LONG2):$I1680),"")</f>
        <v/>
      </c>
      <c r="Z1680" s="48" t="n">
        <f aca="false">IF($U1680&gt;=MA_SHORT,AVERAGE(INDEX($L$1560:$L1680,122-MA_SHORT):$L1680),"")</f>
        <v>91552292.95</v>
      </c>
      <c r="AA1680" s="48" t="n">
        <f aca="false">IF($U1680=1,$G1680-$H1680,MAX($G1680-$H1680,ABS($G1680-$I1679),ABS($H1680-$I1679)))</f>
        <v>34</v>
      </c>
      <c r="AB1680" s="48" t="n">
        <f aca="false">IF($U1680&gt;=ATR_PER,AVERAGE(INDEX($AA$1560:$AA1680,122-ATR_PER):$AA1680),"")</f>
        <v>57.5</v>
      </c>
      <c r="AC1680" s="48" t="n">
        <f aca="false">$O1680-$P1680</f>
        <v>10339766</v>
      </c>
      <c r="AD1680" s="48" t="n">
        <f aca="false">$AC1680*$I1680</f>
        <v>17618961264</v>
      </c>
      <c r="AE1680" s="49" t="n">
        <f aca="false">IF($Q1680&gt;0,$O1680*$I1680/$Q1680/1000000,"")</f>
        <v>91.7492939294118</v>
      </c>
      <c r="AF1680" s="49" t="n">
        <f aca="false">IF($R1680&gt;0,$P1680*$I1680/$R1680/1000000,"")</f>
        <v>46.1881702953328</v>
      </c>
      <c r="AG1680" s="50" t="n">
        <f aca="false">IF(AND(ISNUMBER($AE1680),ISNUMBER($AF1680),$AF1680&gt;0),$AE1680/$AF1680,"")</f>
        <v>1.98642408527455</v>
      </c>
      <c r="AH1680" s="48" t="n">
        <f aca="false">IF($U1680&gt;=5,SUM(INDEX($AD$1650:$AD1680,32-5):$AD1680),"")</f>
        <v>-67368823112</v>
      </c>
      <c r="AI1680" s="48" t="n">
        <f aca="false">IF($U1680&gt;=STRUCT_S,MAX(INDEX($G$1530:$G1680,152-STRUCT_S):$G1680),"")</f>
        <v>1886</v>
      </c>
      <c r="AJ1680" s="48" t="n">
        <f aca="false">IF($U1680&gt;=STRUCT_S,MIN(INDEX($H$1530:$H1680,152-STRUCT_S):$H1680),"")</f>
        <v>1651</v>
      </c>
      <c r="AK1680" s="48" t="n">
        <f aca="false">IF($U1680&gt;=STRUCT_L,MAX(INDEX($G$1430:$G1680,252-STRUCT_L):$G1680),"")</f>
        <v>2082</v>
      </c>
      <c r="AL1680" s="48" t="n">
        <f aca="false">IF($U1680&gt;=STRUCT_L,MIN(INDEX($H$1430:$H1680,252-STRUCT_L):$H1680),"")</f>
        <v>1651</v>
      </c>
      <c r="AM1680" s="46" t="n">
        <f aca="false">IF($A1680&lt;&gt;$A1681,1,0)</f>
        <v>0</v>
      </c>
      <c r="AN1680" s="47" t="str">
        <f aca="false">IF($AM1680=1,$A1680,"")</f>
        <v/>
      </c>
    </row>
    <row r="1681" customFormat="false" ht="15" hidden="false" customHeight="false" outlineLevel="0" collapsed="false">
      <c r="A1681" s="43" t="s">
        <v>162</v>
      </c>
      <c r="B1681" s="44" t="s">
        <v>164</v>
      </c>
      <c r="C1681" s="45" t="n">
        <v>46068</v>
      </c>
      <c r="D1681" s="46" t="n">
        <v>20260215</v>
      </c>
      <c r="E1681" s="47" t="s">
        <v>404</v>
      </c>
      <c r="F1681" s="48" t="n">
        <v>1666</v>
      </c>
      <c r="G1681" s="48" t="n">
        <v>1711</v>
      </c>
      <c r="H1681" s="48" t="n">
        <v>1662</v>
      </c>
      <c r="I1681" s="48" t="n">
        <v>1669</v>
      </c>
      <c r="J1681" s="48" t="n">
        <v>1674</v>
      </c>
      <c r="K1681" s="48" t="n">
        <v>1704</v>
      </c>
      <c r="L1681" s="48" t="n">
        <v>88259124</v>
      </c>
      <c r="M1681" s="48" t="n">
        <v>147304477956</v>
      </c>
      <c r="N1681" s="48" t="n">
        <v>2610</v>
      </c>
      <c r="O1681" s="48" t="n">
        <v>35765598</v>
      </c>
      <c r="P1681" s="48" t="n">
        <v>52814934</v>
      </c>
      <c r="Q1681" s="48" t="n">
        <v>875</v>
      </c>
      <c r="R1681" s="48" t="n">
        <v>1080</v>
      </c>
      <c r="S1681" s="48" t="n">
        <v>52493526</v>
      </c>
      <c r="T1681" s="48" t="n">
        <v>35444190</v>
      </c>
      <c r="U1681" s="46" t="n">
        <f aca="false">IF($A1681=$A1680,$U1680+1,1)</f>
        <v>117</v>
      </c>
      <c r="V1681" s="48" t="n">
        <f aca="false">IF($U1681&gt;=MA_SHORT,AVERAGE(INDEX($I$1281:$I1681,402-MA_SHORT):$I1681),"")</f>
        <v>1774.35</v>
      </c>
      <c r="W1681" s="48" t="n">
        <f aca="false">IF($U1681&gt;=MA_MED,AVERAGE(INDEX($I$1281:$I1681,402-MA_MED):$I1681),"")</f>
        <v>1883.6</v>
      </c>
      <c r="X1681" s="48" t="n">
        <f aca="false">IF($U1681&gt;=MA_LONG1,AVERAGE(INDEX($I$1281:$I1681,402-MA_LONG1):$I1681),"")</f>
        <v>1929.11</v>
      </c>
      <c r="Y1681" s="48" t="str">
        <f aca="false">IF($U1681&gt;=MA_LONG2,AVERAGE(INDEX($I$1281:$I1681,402-MA_LONG2):$I1681),"")</f>
        <v/>
      </c>
      <c r="Z1681" s="48" t="n">
        <f aca="false">IF($U1681&gt;=MA_SHORT,AVERAGE(INDEX($L$1561:$L1681,122-MA_SHORT):$L1681),"")</f>
        <v>90777771.7</v>
      </c>
      <c r="AA1681" s="48" t="n">
        <f aca="false">IF($U1681=1,$G1681-$H1681,MAX($G1681-$H1681,ABS($G1681-$I1680),ABS($H1681-$I1680)))</f>
        <v>49</v>
      </c>
      <c r="AB1681" s="48" t="n">
        <f aca="false">IF($U1681&gt;=ATR_PER,AVERAGE(INDEX($AA$1561:$AA1681,122-ATR_PER):$AA1681),"")</f>
        <v>56.5</v>
      </c>
      <c r="AC1681" s="48" t="n">
        <f aca="false">$O1681-$P1681</f>
        <v>-17049336</v>
      </c>
      <c r="AD1681" s="48" t="n">
        <f aca="false">$AC1681*$I1681</f>
        <v>-28455341784</v>
      </c>
      <c r="AE1681" s="49" t="n">
        <f aca="false">IF($Q1681&gt;0,$O1681*$I1681/$Q1681/1000000,"")</f>
        <v>68.2203234994286</v>
      </c>
      <c r="AF1681" s="49" t="n">
        <f aca="false">IF($R1681&gt;0,$P1681*$I1681/$R1681/1000000,"")</f>
        <v>81.6186341166667</v>
      </c>
      <c r="AG1681" s="50" t="n">
        <f aca="false">IF(AND(ISNUMBER($AE1681),ISNUMBER($AF1681),$AF1681&gt;0),$AE1681/$AF1681,"")</f>
        <v>0.835842503832074</v>
      </c>
      <c r="AH1681" s="48" t="n">
        <f aca="false">IF($U1681&gt;=5,SUM(INDEX($AD$1651:$AD1681,32-5):$AD1681),"")</f>
        <v>-71714792380</v>
      </c>
      <c r="AI1681" s="48" t="n">
        <f aca="false">IF($U1681&gt;=STRUCT_S,MAX(INDEX($G$1531:$G1681,152-STRUCT_S):$G1681),"")</f>
        <v>1870</v>
      </c>
      <c r="AJ1681" s="48" t="n">
        <f aca="false">IF($U1681&gt;=STRUCT_S,MIN(INDEX($H$1531:$H1681,152-STRUCT_S):$H1681),"")</f>
        <v>1651</v>
      </c>
      <c r="AK1681" s="48" t="n">
        <f aca="false">IF($U1681&gt;=STRUCT_L,MAX(INDEX($G$1431:$G1681,252-STRUCT_L):$G1681),"")</f>
        <v>2082</v>
      </c>
      <c r="AL1681" s="48" t="n">
        <f aca="false">IF($U1681&gt;=STRUCT_L,MIN(INDEX($H$1431:$H1681,252-STRUCT_L):$H1681),"")</f>
        <v>1651</v>
      </c>
      <c r="AM1681" s="46" t="n">
        <f aca="false">IF($A1681&lt;&gt;$A1682,1,0)</f>
        <v>0</v>
      </c>
      <c r="AN1681" s="47" t="str">
        <f aca="false">IF($AM1681=1,$A1681,"")</f>
        <v/>
      </c>
    </row>
    <row r="1682" customFormat="false" ht="15" hidden="false" customHeight="false" outlineLevel="0" collapsed="false">
      <c r="A1682" s="43" t="s">
        <v>162</v>
      </c>
      <c r="B1682" s="44" t="s">
        <v>164</v>
      </c>
      <c r="C1682" s="45" t="n">
        <v>46069</v>
      </c>
      <c r="D1682" s="46" t="n">
        <v>20260216</v>
      </c>
      <c r="E1682" s="47" t="s">
        <v>405</v>
      </c>
      <c r="F1682" s="48" t="n">
        <v>1652</v>
      </c>
      <c r="G1682" s="48" t="n">
        <v>1686</v>
      </c>
      <c r="H1682" s="48" t="n">
        <v>1650</v>
      </c>
      <c r="I1682" s="48" t="n">
        <v>1667</v>
      </c>
      <c r="J1682" s="48" t="n">
        <v>1666</v>
      </c>
      <c r="K1682" s="48" t="n">
        <v>1669</v>
      </c>
      <c r="L1682" s="48" t="n">
        <v>79140474</v>
      </c>
      <c r="M1682" s="48" t="n">
        <v>131927170158</v>
      </c>
      <c r="N1682" s="48" t="n">
        <v>2109</v>
      </c>
      <c r="O1682" s="48" t="n">
        <v>34883564</v>
      </c>
      <c r="P1682" s="48" t="n">
        <v>44665656</v>
      </c>
      <c r="Q1682" s="48" t="n">
        <v>964</v>
      </c>
      <c r="R1682" s="48" t="n">
        <v>963</v>
      </c>
      <c r="S1682" s="48" t="n">
        <v>44256910</v>
      </c>
      <c r="T1682" s="48" t="n">
        <v>34474818</v>
      </c>
      <c r="U1682" s="46" t="n">
        <f aca="false">IF($A1682=$A1681,$U1681+1,1)</f>
        <v>118</v>
      </c>
      <c r="V1682" s="48" t="n">
        <f aca="false">IF($U1682&gt;=MA_SHORT,AVERAGE(INDEX($I$1282:$I1682,402-MA_SHORT):$I1682),"")</f>
        <v>1766.15</v>
      </c>
      <c r="W1682" s="48" t="n">
        <f aca="false">IF($U1682&gt;=MA_MED,AVERAGE(INDEX($I$1282:$I1682,402-MA_MED):$I1682),"")</f>
        <v>1877.66</v>
      </c>
      <c r="X1682" s="48" t="n">
        <f aca="false">IF($U1682&gt;=MA_LONG1,AVERAGE(INDEX($I$1282:$I1682,402-MA_LONG1):$I1682),"")</f>
        <v>1925.8</v>
      </c>
      <c r="Y1682" s="48" t="str">
        <f aca="false">IF($U1682&gt;=MA_LONG2,AVERAGE(INDEX($I$1282:$I1682,402-MA_LONG2):$I1682),"")</f>
        <v/>
      </c>
      <c r="Z1682" s="48" t="n">
        <f aca="false">IF($U1682&gt;=MA_SHORT,AVERAGE(INDEX($L$1562:$L1682,122-MA_SHORT):$L1682),"")</f>
        <v>90475976.75</v>
      </c>
      <c r="AA1682" s="48" t="n">
        <f aca="false">IF($U1682=1,$G1682-$H1682,MAX($G1682-$H1682,ABS($G1682-$I1681),ABS($H1682-$I1681)))</f>
        <v>36</v>
      </c>
      <c r="AB1682" s="48" t="n">
        <f aca="false">IF($U1682&gt;=ATR_PER,AVERAGE(INDEX($AA$1562:$AA1682,122-ATR_PER):$AA1682),"")</f>
        <v>52.8571428571429</v>
      </c>
      <c r="AC1682" s="48" t="n">
        <f aca="false">$O1682-$P1682</f>
        <v>-9782092</v>
      </c>
      <c r="AD1682" s="48" t="n">
        <f aca="false">$AC1682*$I1682</f>
        <v>-16306747364</v>
      </c>
      <c r="AE1682" s="49" t="n">
        <f aca="false">IF($Q1682&gt;0,$O1682*$I1682/$Q1682/1000000,"")</f>
        <v>60.3225116058091</v>
      </c>
      <c r="AF1682" s="49" t="n">
        <f aca="false">IF($R1682&gt;0,$P1682*$I1682/$R1682/1000000,"")</f>
        <v>77.3184304797508</v>
      </c>
      <c r="AG1682" s="50" t="n">
        <f aca="false">IF(AND(ISNUMBER($AE1682),ISNUMBER($AF1682),$AF1682&gt;0),$AE1682/$AF1682,"")</f>
        <v>0.780182826158211</v>
      </c>
      <c r="AH1682" s="48" t="n">
        <f aca="false">IF($U1682&gt;=5,SUM(INDEX($AD$1652:$AD1682,32-5):$AD1682),"")</f>
        <v>-71648154144</v>
      </c>
      <c r="AI1682" s="48" t="n">
        <f aca="false">IF($U1682&gt;=STRUCT_S,MAX(INDEX($G$1532:$G1682,152-STRUCT_S):$G1682),"")</f>
        <v>1869</v>
      </c>
      <c r="AJ1682" s="48" t="n">
        <f aca="false">IF($U1682&gt;=STRUCT_S,MIN(INDEX($H$1532:$H1682,152-STRUCT_S):$H1682),"")</f>
        <v>1650</v>
      </c>
      <c r="AK1682" s="48" t="n">
        <f aca="false">IF($U1682&gt;=STRUCT_L,MAX(INDEX($G$1432:$G1682,252-STRUCT_L):$G1682),"")</f>
        <v>2082</v>
      </c>
      <c r="AL1682" s="48" t="n">
        <f aca="false">IF($U1682&gt;=STRUCT_L,MIN(INDEX($H$1432:$H1682,252-STRUCT_L):$H1682),"")</f>
        <v>1650</v>
      </c>
      <c r="AM1682" s="46" t="n">
        <f aca="false">IF($A1682&lt;&gt;$A1683,1,0)</f>
        <v>0</v>
      </c>
      <c r="AN1682" s="47" t="str">
        <f aca="false">IF($AM1682=1,$A1682,"")</f>
        <v/>
      </c>
    </row>
    <row r="1683" customFormat="false" ht="15" hidden="false" customHeight="false" outlineLevel="0" collapsed="false">
      <c r="A1683" s="43" t="s">
        <v>162</v>
      </c>
      <c r="B1683" s="44" t="s">
        <v>164</v>
      </c>
      <c r="C1683" s="45" t="n">
        <v>46070</v>
      </c>
      <c r="D1683" s="46" t="n">
        <v>20260217</v>
      </c>
      <c r="E1683" s="47" t="s">
        <v>406</v>
      </c>
      <c r="F1683" s="48" t="n">
        <v>1652</v>
      </c>
      <c r="G1683" s="48" t="n">
        <v>1674</v>
      </c>
      <c r="H1683" s="48" t="n">
        <v>1650</v>
      </c>
      <c r="I1683" s="48" t="n">
        <v>1657</v>
      </c>
      <c r="J1683" s="48" t="n">
        <v>1655</v>
      </c>
      <c r="K1683" s="48" t="n">
        <v>1667</v>
      </c>
      <c r="L1683" s="48" t="n">
        <v>81403674</v>
      </c>
      <c r="M1683" s="48" t="n">
        <v>134885887818</v>
      </c>
      <c r="N1683" s="48" t="n">
        <v>3188</v>
      </c>
      <c r="O1683" s="48" t="n">
        <v>39303683</v>
      </c>
      <c r="P1683" s="48" t="n">
        <v>40419243</v>
      </c>
      <c r="Q1683" s="48" t="n">
        <v>960</v>
      </c>
      <c r="R1683" s="48" t="n">
        <v>1574</v>
      </c>
      <c r="S1683" s="48" t="n">
        <v>42099991</v>
      </c>
      <c r="T1683" s="48" t="n">
        <v>40984431</v>
      </c>
      <c r="U1683" s="46" t="n">
        <f aca="false">IF($A1683=$A1682,$U1682+1,1)</f>
        <v>119</v>
      </c>
      <c r="V1683" s="48" t="n">
        <f aca="false">IF($U1683&gt;=MA_SHORT,AVERAGE(INDEX($I$1283:$I1683,402-MA_SHORT):$I1683),"")</f>
        <v>1756.85</v>
      </c>
      <c r="W1683" s="48" t="n">
        <f aca="false">IF($U1683&gt;=MA_MED,AVERAGE(INDEX($I$1283:$I1683,402-MA_MED):$I1683),"")</f>
        <v>1871.22</v>
      </c>
      <c r="X1683" s="48" t="n">
        <f aca="false">IF($U1683&gt;=MA_LONG1,AVERAGE(INDEX($I$1283:$I1683,402-MA_LONG1):$I1683),"")</f>
        <v>1922.09</v>
      </c>
      <c r="Y1683" s="48" t="str">
        <f aca="false">IF($U1683&gt;=MA_LONG2,AVERAGE(INDEX($I$1283:$I1683,402-MA_LONG2):$I1683),"")</f>
        <v/>
      </c>
      <c r="Z1683" s="48" t="n">
        <f aca="false">IF($U1683&gt;=MA_SHORT,AVERAGE(INDEX($L$1563:$L1683,122-MA_SHORT):$L1683),"")</f>
        <v>90462894</v>
      </c>
      <c r="AA1683" s="48" t="n">
        <f aca="false">IF($U1683=1,$G1683-$H1683,MAX($G1683-$H1683,ABS($G1683-$I1682),ABS($H1683-$I1682)))</f>
        <v>24</v>
      </c>
      <c r="AB1683" s="48" t="n">
        <f aca="false">IF($U1683&gt;=ATR_PER,AVERAGE(INDEX($AA$1563:$AA1683,122-ATR_PER):$AA1683),"")</f>
        <v>52.2142857142857</v>
      </c>
      <c r="AC1683" s="48" t="n">
        <f aca="false">$O1683-$P1683</f>
        <v>-1115560</v>
      </c>
      <c r="AD1683" s="48" t="n">
        <f aca="false">$AC1683*$I1683</f>
        <v>-1848482920</v>
      </c>
      <c r="AE1683" s="49" t="n">
        <f aca="false">IF($Q1683&gt;0,$O1683*$I1683/$Q1683/1000000,"")</f>
        <v>67.8397945114583</v>
      </c>
      <c r="AF1683" s="49" t="n">
        <f aca="false">IF($R1683&gt;0,$P1683*$I1683/$R1683/1000000,"")</f>
        <v>42.550626207751</v>
      </c>
      <c r="AG1683" s="50" t="n">
        <f aca="false">IF(AND(ISNUMBER($AE1683),ISNUMBER($AF1683),$AF1683&gt;0),$AE1683/$AF1683,"")</f>
        <v>1.59433128387428</v>
      </c>
      <c r="AH1683" s="48" t="n">
        <f aca="false">IF($U1683&gt;=5,SUM(INDEX($AD$1653:$AD1683,32-5):$AD1683),"")</f>
        <v>-40702071120</v>
      </c>
      <c r="AI1683" s="48" t="n">
        <f aca="false">IF($U1683&gt;=STRUCT_S,MAX(INDEX($G$1533:$G1683,152-STRUCT_S):$G1683),"")</f>
        <v>1869</v>
      </c>
      <c r="AJ1683" s="48" t="n">
        <f aca="false">IF($U1683&gt;=STRUCT_S,MIN(INDEX($H$1533:$H1683,152-STRUCT_S):$H1683),"")</f>
        <v>1650</v>
      </c>
      <c r="AK1683" s="48" t="n">
        <f aca="false">IF($U1683&gt;=STRUCT_L,MAX(INDEX($G$1433:$G1683,252-STRUCT_L):$G1683),"")</f>
        <v>2082</v>
      </c>
      <c r="AL1683" s="48" t="n">
        <f aca="false">IF($U1683&gt;=STRUCT_L,MIN(INDEX($H$1433:$H1683,252-STRUCT_L):$H1683),"")</f>
        <v>1650</v>
      </c>
      <c r="AM1683" s="46" t="n">
        <f aca="false">IF($A1683&lt;&gt;$A1684,1,0)</f>
        <v>0</v>
      </c>
      <c r="AN1683" s="47" t="str">
        <f aca="false">IF($AM1683=1,$A1683,"")</f>
        <v/>
      </c>
    </row>
    <row r="1684" customFormat="false" ht="15" hidden="false" customHeight="false" outlineLevel="0" collapsed="false">
      <c r="A1684" s="43" t="s">
        <v>162</v>
      </c>
      <c r="B1684" s="44" t="s">
        <v>164</v>
      </c>
      <c r="C1684" s="45" t="n">
        <v>46071</v>
      </c>
      <c r="D1684" s="46" t="n">
        <v>20260218</v>
      </c>
      <c r="E1684" s="47" t="s">
        <v>407</v>
      </c>
      <c r="F1684" s="48" t="n">
        <v>1663</v>
      </c>
      <c r="G1684" s="48" t="n">
        <v>1702</v>
      </c>
      <c r="H1684" s="48" t="n">
        <v>1649</v>
      </c>
      <c r="I1684" s="48" t="n">
        <v>1694</v>
      </c>
      <c r="J1684" s="48" t="n">
        <v>1680</v>
      </c>
      <c r="K1684" s="48" t="n">
        <v>1657</v>
      </c>
      <c r="L1684" s="48" t="n">
        <v>89102839</v>
      </c>
      <c r="M1684" s="48" t="n">
        <v>150940209266</v>
      </c>
      <c r="N1684" s="48" t="n">
        <v>3009</v>
      </c>
      <c r="O1684" s="48" t="n">
        <v>48044128</v>
      </c>
      <c r="P1684" s="48" t="n">
        <v>43090675</v>
      </c>
      <c r="Q1684" s="48" t="n">
        <v>1248</v>
      </c>
      <c r="R1684" s="48" t="n">
        <v>1029</v>
      </c>
      <c r="S1684" s="48" t="n">
        <v>41058711</v>
      </c>
      <c r="T1684" s="48" t="n">
        <v>46012164</v>
      </c>
      <c r="U1684" s="46" t="n">
        <f aca="false">IF($A1684=$A1683,$U1683+1,1)</f>
        <v>120</v>
      </c>
      <c r="V1684" s="48" t="n">
        <f aca="false">IF($U1684&gt;=MA_SHORT,AVERAGE(INDEX($I$1284:$I1684,402-MA_SHORT):$I1684),"")</f>
        <v>1750.35</v>
      </c>
      <c r="W1684" s="48" t="n">
        <f aca="false">IF($U1684&gt;=MA_MED,AVERAGE(INDEX($I$1284:$I1684,402-MA_MED):$I1684),"")</f>
        <v>1865.26</v>
      </c>
      <c r="X1684" s="48" t="n">
        <f aca="false">IF($U1684&gt;=MA_LONG1,AVERAGE(INDEX($I$1284:$I1684,402-MA_LONG1):$I1684),"")</f>
        <v>1918.93</v>
      </c>
      <c r="Y1684" s="48" t="str">
        <f aca="false">IF($U1684&gt;=MA_LONG2,AVERAGE(INDEX($I$1284:$I1684,402-MA_LONG2):$I1684),"")</f>
        <v/>
      </c>
      <c r="Z1684" s="48" t="n">
        <f aca="false">IF($U1684&gt;=MA_SHORT,AVERAGE(INDEX($L$1564:$L1684,122-MA_SHORT):$L1684),"")</f>
        <v>90206132.6</v>
      </c>
      <c r="AA1684" s="48" t="n">
        <f aca="false">IF($U1684=1,$G1684-$H1684,MAX($G1684-$H1684,ABS($G1684-$I1683),ABS($H1684-$I1683)))</f>
        <v>53</v>
      </c>
      <c r="AB1684" s="48" t="n">
        <f aca="false">IF($U1684&gt;=ATR_PER,AVERAGE(INDEX($AA$1564:$AA1684,122-ATR_PER):$AA1684),"")</f>
        <v>46.9285714285714</v>
      </c>
      <c r="AC1684" s="48" t="n">
        <f aca="false">$O1684-$P1684</f>
        <v>4953453</v>
      </c>
      <c r="AD1684" s="48" t="n">
        <f aca="false">$AC1684*$I1684</f>
        <v>8391149382</v>
      </c>
      <c r="AE1684" s="49" t="n">
        <f aca="false">IF($Q1684&gt;0,$O1684*$I1684/$Q1684/1000000,"")</f>
        <v>65.2137442564103</v>
      </c>
      <c r="AF1684" s="49" t="n">
        <f aca="false">IF($R1684&gt;0,$P1684*$I1684/$R1684/1000000,"")</f>
        <v>70.9383901360544</v>
      </c>
      <c r="AG1684" s="50" t="n">
        <f aca="false">IF(AND(ISNUMBER($AE1684),ISNUMBER($AF1684),$AF1684&gt;0),$AE1684/$AF1684,"")</f>
        <v>0.919301158813095</v>
      </c>
      <c r="AH1684" s="48" t="n">
        <f aca="false">IF($U1684&gt;=5,SUM(INDEX($AD$1654:$AD1684,32-5):$AD1684),"")</f>
        <v>-20600461422</v>
      </c>
      <c r="AI1684" s="48" t="n">
        <f aca="false">IF($U1684&gt;=STRUCT_S,MAX(INDEX($G$1534:$G1684,152-STRUCT_S):$G1684),"")</f>
        <v>1869</v>
      </c>
      <c r="AJ1684" s="48" t="n">
        <f aca="false">IF($U1684&gt;=STRUCT_S,MIN(INDEX($H$1534:$H1684,152-STRUCT_S):$H1684),"")</f>
        <v>1649</v>
      </c>
      <c r="AK1684" s="48" t="n">
        <f aca="false">IF($U1684&gt;=STRUCT_L,MAX(INDEX($G$1434:$G1684,252-STRUCT_L):$G1684),"")</f>
        <v>2082</v>
      </c>
      <c r="AL1684" s="48" t="n">
        <f aca="false">IF($U1684&gt;=STRUCT_L,MIN(INDEX($H$1434:$H1684,252-STRUCT_L):$H1684),"")</f>
        <v>1649</v>
      </c>
      <c r="AM1684" s="46" t="n">
        <f aca="false">IF($A1684&lt;&gt;$A1685,1,0)</f>
        <v>0</v>
      </c>
      <c r="AN1684" s="47" t="str">
        <f aca="false">IF($AM1684=1,$A1684,"")</f>
        <v/>
      </c>
    </row>
    <row r="1685" customFormat="false" ht="15" hidden="false" customHeight="false" outlineLevel="0" collapsed="false">
      <c r="A1685" s="43" t="s">
        <v>162</v>
      </c>
      <c r="B1685" s="44" t="s">
        <v>164</v>
      </c>
      <c r="C1685" s="45" t="n">
        <v>46074</v>
      </c>
      <c r="D1685" s="46" t="n">
        <v>20260221</v>
      </c>
      <c r="E1685" s="47" t="s">
        <v>408</v>
      </c>
      <c r="F1685" s="48" t="n">
        <v>1626</v>
      </c>
      <c r="G1685" s="48" t="n">
        <v>1736</v>
      </c>
      <c r="H1685" s="48" t="n">
        <v>1607</v>
      </c>
      <c r="I1685" s="48" t="n">
        <v>1647</v>
      </c>
      <c r="J1685" s="48" t="n">
        <v>1610</v>
      </c>
      <c r="K1685" s="48" t="n">
        <v>1694</v>
      </c>
      <c r="L1685" s="48" t="n">
        <v>104327555</v>
      </c>
      <c r="M1685" s="48" t="n">
        <v>171827483085</v>
      </c>
      <c r="N1685" s="48" t="n">
        <v>8869</v>
      </c>
      <c r="O1685" s="48" t="n">
        <v>38076515</v>
      </c>
      <c r="P1685" s="48" t="n">
        <v>72039872</v>
      </c>
      <c r="Q1685" s="48" t="n">
        <v>2721</v>
      </c>
      <c r="R1685" s="48" t="n">
        <v>5007</v>
      </c>
      <c r="S1685" s="48" t="n">
        <v>66251040</v>
      </c>
      <c r="T1685" s="48" t="n">
        <v>32287683</v>
      </c>
      <c r="U1685" s="46" t="n">
        <f aca="false">IF($A1685=$A1684,$U1684+1,1)</f>
        <v>121</v>
      </c>
      <c r="V1685" s="48" t="n">
        <f aca="false">IF($U1685&gt;=MA_SHORT,AVERAGE(INDEX($I$1285:$I1685,402-MA_SHORT):$I1685),"")</f>
        <v>1740.3</v>
      </c>
      <c r="W1685" s="48" t="n">
        <f aca="false">IF($U1685&gt;=MA_MED,AVERAGE(INDEX($I$1285:$I1685,402-MA_MED):$I1685),"")</f>
        <v>1858.26</v>
      </c>
      <c r="X1685" s="48" t="n">
        <f aca="false">IF($U1685&gt;=MA_LONG1,AVERAGE(INDEX($I$1285:$I1685,402-MA_LONG1):$I1685),"")</f>
        <v>1915.23</v>
      </c>
      <c r="Y1685" s="48" t="str">
        <f aca="false">IF($U1685&gt;=MA_LONG2,AVERAGE(INDEX($I$1285:$I1685,402-MA_LONG2):$I1685),"")</f>
        <v/>
      </c>
      <c r="Z1685" s="48" t="n">
        <f aca="false">IF($U1685&gt;=MA_SHORT,AVERAGE(INDEX($L$1565:$L1685,122-MA_SHORT):$L1685),"")</f>
        <v>85760059.75</v>
      </c>
      <c r="AA1685" s="48" t="n">
        <f aca="false">IF($U1685=1,$G1685-$H1685,MAX($G1685-$H1685,ABS($G1685-$I1684),ABS($H1685-$I1684)))</f>
        <v>129</v>
      </c>
      <c r="AB1685" s="48" t="n">
        <f aca="false">IF($U1685&gt;=ATR_PER,AVERAGE(INDEX($AA$1565:$AA1685,122-ATR_PER):$AA1685),"")</f>
        <v>53.7142857142857</v>
      </c>
      <c r="AC1685" s="48" t="n">
        <f aca="false">$O1685-$P1685</f>
        <v>-33963357</v>
      </c>
      <c r="AD1685" s="48" t="n">
        <f aca="false">$AC1685*$I1685</f>
        <v>-55937648979</v>
      </c>
      <c r="AE1685" s="49" t="n">
        <f aca="false">IF($Q1685&gt;0,$O1685*$I1685/$Q1685/1000000,"")</f>
        <v>23.0474164663727</v>
      </c>
      <c r="AF1685" s="49" t="n">
        <f aca="false">IF($R1685&gt;0,$P1685*$I1685/$R1685/1000000,"")</f>
        <v>23.6967583750749</v>
      </c>
      <c r="AG1685" s="50" t="n">
        <f aca="false">IF(AND(ISNUMBER($AE1685),ISNUMBER($AF1685),$AF1685&gt;0),$AE1685/$AF1685,"")</f>
        <v>0.972597859233555</v>
      </c>
      <c r="AH1685" s="48" t="n">
        <f aca="false">IF($U1685&gt;=5,SUM(INDEX($AD$1655:$AD1685,32-5):$AD1685),"")</f>
        <v>-94157071665</v>
      </c>
      <c r="AI1685" s="48" t="n">
        <f aca="false">IF($U1685&gt;=STRUCT_S,MAX(INDEX($G$1535:$G1685,152-STRUCT_S):$G1685),"")</f>
        <v>1869</v>
      </c>
      <c r="AJ1685" s="48" t="n">
        <f aca="false">IF($U1685&gt;=STRUCT_S,MIN(INDEX($H$1535:$H1685,152-STRUCT_S):$H1685),"")</f>
        <v>1607</v>
      </c>
      <c r="AK1685" s="48" t="n">
        <f aca="false">IF($U1685&gt;=STRUCT_L,MAX(INDEX($G$1435:$G1685,252-STRUCT_L):$G1685),"")</f>
        <v>2082</v>
      </c>
      <c r="AL1685" s="48" t="n">
        <f aca="false">IF($U1685&gt;=STRUCT_L,MIN(INDEX($H$1435:$H1685,252-STRUCT_L):$H1685),"")</f>
        <v>1607</v>
      </c>
      <c r="AM1685" s="46" t="n">
        <f aca="false">IF($A1685&lt;&gt;$A1686,1,0)</f>
        <v>0</v>
      </c>
      <c r="AN1685" s="47" t="str">
        <f aca="false">IF($AM1685=1,$A1685,"")</f>
        <v/>
      </c>
    </row>
    <row r="1686" customFormat="false" ht="15" hidden="false" customHeight="false" outlineLevel="0" collapsed="false">
      <c r="A1686" s="43" t="s">
        <v>162</v>
      </c>
      <c r="B1686" s="44" t="s">
        <v>164</v>
      </c>
      <c r="C1686" s="45" t="n">
        <v>46075</v>
      </c>
      <c r="D1686" s="46" t="n">
        <v>20260222</v>
      </c>
      <c r="E1686" s="47" t="s">
        <v>409</v>
      </c>
      <c r="F1686" s="48" t="n">
        <v>1639</v>
      </c>
      <c r="G1686" s="48" t="n">
        <v>1653</v>
      </c>
      <c r="H1686" s="48" t="n">
        <v>1631</v>
      </c>
      <c r="I1686" s="48" t="n">
        <v>1637</v>
      </c>
      <c r="J1686" s="48" t="n">
        <v>1641</v>
      </c>
      <c r="K1686" s="48" t="n">
        <v>1647</v>
      </c>
      <c r="L1686" s="48" t="n">
        <v>81438017</v>
      </c>
      <c r="M1686" s="48" t="n">
        <v>133314033829</v>
      </c>
      <c r="N1686" s="48" t="n">
        <v>3197</v>
      </c>
      <c r="O1686" s="48" t="n">
        <v>29822842</v>
      </c>
      <c r="P1686" s="48" t="n">
        <v>55425360</v>
      </c>
      <c r="Q1686" s="48" t="n">
        <v>1543</v>
      </c>
      <c r="R1686" s="48" t="n">
        <v>1140</v>
      </c>
      <c r="S1686" s="48" t="n">
        <v>51615175</v>
      </c>
      <c r="T1686" s="48" t="n">
        <v>26012657</v>
      </c>
      <c r="U1686" s="46" t="n">
        <f aca="false">IF($A1686=$A1685,$U1685+1,1)</f>
        <v>122</v>
      </c>
      <c r="V1686" s="48" t="n">
        <f aca="false">IF($U1686&gt;=MA_SHORT,AVERAGE(INDEX($I$1286:$I1686,402-MA_SHORT):$I1686),"")</f>
        <v>1729.95</v>
      </c>
      <c r="W1686" s="48" t="n">
        <f aca="false">IF($U1686&gt;=MA_MED,AVERAGE(INDEX($I$1286:$I1686,402-MA_MED):$I1686),"")</f>
        <v>1851.76</v>
      </c>
      <c r="X1686" s="48" t="n">
        <f aca="false">IF($U1686&gt;=MA_LONG1,AVERAGE(INDEX($I$1286:$I1686,402-MA_LONG1):$I1686),"")</f>
        <v>1911.36</v>
      </c>
      <c r="Y1686" s="48" t="str">
        <f aca="false">IF($U1686&gt;=MA_LONG2,AVERAGE(INDEX($I$1286:$I1686,402-MA_LONG2):$I1686),"")</f>
        <v/>
      </c>
      <c r="Z1686" s="48" t="n">
        <f aca="false">IF($U1686&gt;=MA_SHORT,AVERAGE(INDEX($L$1566:$L1686,122-MA_SHORT):$L1686),"")</f>
        <v>85852161.5</v>
      </c>
      <c r="AA1686" s="48" t="n">
        <f aca="false">IF($U1686=1,$G1686-$H1686,MAX($G1686-$H1686,ABS($G1686-$I1685),ABS($H1686-$I1685)))</f>
        <v>22</v>
      </c>
      <c r="AB1686" s="48" t="n">
        <f aca="false">IF($U1686&gt;=ATR_PER,AVERAGE(INDEX($AA$1566:$AA1686,122-ATR_PER):$AA1686),"")</f>
        <v>52.7857142857143</v>
      </c>
      <c r="AC1686" s="48" t="n">
        <f aca="false">$O1686-$P1686</f>
        <v>-25602518</v>
      </c>
      <c r="AD1686" s="48" t="n">
        <f aca="false">$AC1686*$I1686</f>
        <v>-41911321966</v>
      </c>
      <c r="AE1686" s="49" t="n">
        <f aca="false">IF($Q1686&gt;0,$O1686*$I1686/$Q1686/1000000,"")</f>
        <v>31.6396580388853</v>
      </c>
      <c r="AF1686" s="49" t="n">
        <f aca="false">IF($R1686&gt;0,$P1686*$I1686/$R1686/1000000,"")</f>
        <v>79.5888722105263</v>
      </c>
      <c r="AG1686" s="50" t="n">
        <f aca="false">IF(AND(ISNUMBER($AE1686),ISNUMBER($AF1686),$AF1686&gt;0),$AE1686/$AF1686,"")</f>
        <v>0.397538715653527</v>
      </c>
      <c r="AH1686" s="48" t="n">
        <f aca="false">IF($U1686&gt;=5,SUM(INDEX($AD$1656:$AD1686,32-5):$AD1686),"")</f>
        <v>-107613051847</v>
      </c>
      <c r="AI1686" s="48" t="n">
        <f aca="false">IF($U1686&gt;=STRUCT_S,MAX(INDEX($G$1536:$G1686,152-STRUCT_S):$G1686),"")</f>
        <v>1869</v>
      </c>
      <c r="AJ1686" s="48" t="n">
        <f aca="false">IF($U1686&gt;=STRUCT_S,MIN(INDEX($H$1536:$H1686,152-STRUCT_S):$H1686),"")</f>
        <v>1607</v>
      </c>
      <c r="AK1686" s="48" t="n">
        <f aca="false">IF($U1686&gt;=STRUCT_L,MAX(INDEX($G$1436:$G1686,252-STRUCT_L):$G1686),"")</f>
        <v>2082</v>
      </c>
      <c r="AL1686" s="48" t="n">
        <f aca="false">IF($U1686&gt;=STRUCT_L,MIN(INDEX($H$1436:$H1686,252-STRUCT_L):$H1686),"")</f>
        <v>1607</v>
      </c>
      <c r="AM1686" s="46" t="n">
        <f aca="false">IF($A1686&lt;&gt;$A1687,1,0)</f>
        <v>0</v>
      </c>
      <c r="AN1686" s="47" t="str">
        <f aca="false">IF($AM1686=1,$A1686,"")</f>
        <v/>
      </c>
    </row>
    <row r="1687" customFormat="false" ht="15" hidden="false" customHeight="false" outlineLevel="0" collapsed="false">
      <c r="A1687" s="43" t="s">
        <v>162</v>
      </c>
      <c r="B1687" s="44" t="s">
        <v>164</v>
      </c>
      <c r="C1687" s="45" t="n">
        <v>46076</v>
      </c>
      <c r="D1687" s="46" t="n">
        <v>20260223</v>
      </c>
      <c r="E1687" s="47" t="s">
        <v>410</v>
      </c>
      <c r="F1687" s="48" t="n">
        <v>1637</v>
      </c>
      <c r="G1687" s="48" t="n">
        <v>1664</v>
      </c>
      <c r="H1687" s="48" t="n">
        <v>1633</v>
      </c>
      <c r="I1687" s="48" t="n">
        <v>1660</v>
      </c>
      <c r="J1687" s="48" t="n">
        <v>1656</v>
      </c>
      <c r="K1687" s="48" t="n">
        <v>1637</v>
      </c>
      <c r="L1687" s="48" t="n">
        <v>85199481</v>
      </c>
      <c r="M1687" s="48" t="n">
        <v>141431138460</v>
      </c>
      <c r="N1687" s="48" t="n">
        <v>3627</v>
      </c>
      <c r="O1687" s="48" t="n">
        <v>42094756</v>
      </c>
      <c r="P1687" s="48" t="n">
        <v>43922392</v>
      </c>
      <c r="Q1687" s="48" t="n">
        <v>1158</v>
      </c>
      <c r="R1687" s="48" t="n">
        <v>1423</v>
      </c>
      <c r="S1687" s="48" t="n">
        <v>43104725</v>
      </c>
      <c r="T1687" s="48" t="n">
        <v>41277089</v>
      </c>
      <c r="U1687" s="46" t="n">
        <f aca="false">IF($A1687=$A1686,$U1686+1,1)</f>
        <v>123</v>
      </c>
      <c r="V1687" s="48" t="n">
        <f aca="false">IF($U1687&gt;=MA_SHORT,AVERAGE(INDEX($I$1287:$I1687,402-MA_SHORT):$I1687),"")</f>
        <v>1722.1</v>
      </c>
      <c r="W1687" s="48" t="n">
        <f aca="false">IF($U1687&gt;=MA_MED,AVERAGE(INDEX($I$1287:$I1687,402-MA_MED):$I1687),"")</f>
        <v>1846.3</v>
      </c>
      <c r="X1687" s="48" t="n">
        <f aca="false">IF($U1687&gt;=MA_LONG1,AVERAGE(INDEX($I$1287:$I1687,402-MA_LONG1):$I1687),"")</f>
        <v>1907.53</v>
      </c>
      <c r="Y1687" s="48" t="str">
        <f aca="false">IF($U1687&gt;=MA_LONG2,AVERAGE(INDEX($I$1287:$I1687,402-MA_LONG2):$I1687),"")</f>
        <v/>
      </c>
      <c r="Z1687" s="48" t="n">
        <f aca="false">IF($U1687&gt;=MA_SHORT,AVERAGE(INDEX($L$1567:$L1687,122-MA_SHORT):$L1687),"")</f>
        <v>85838206.7</v>
      </c>
      <c r="AA1687" s="48" t="n">
        <f aca="false">IF($U1687=1,$G1687-$H1687,MAX($G1687-$H1687,ABS($G1687-$I1686),ABS($H1687-$I1686)))</f>
        <v>31</v>
      </c>
      <c r="AB1687" s="48" t="n">
        <f aca="false">IF($U1687&gt;=ATR_PER,AVERAGE(INDEX($AA$1567:$AA1687,122-ATR_PER):$AA1687),"")</f>
        <v>53.4285714285714</v>
      </c>
      <c r="AC1687" s="48" t="n">
        <f aca="false">$O1687-$P1687</f>
        <v>-1827636</v>
      </c>
      <c r="AD1687" s="48" t="n">
        <f aca="false">$AC1687*$I1687</f>
        <v>-3033875760</v>
      </c>
      <c r="AE1687" s="49" t="n">
        <f aca="false">IF($Q1687&gt;0,$O1687*$I1687/$Q1687/1000000,"")</f>
        <v>60.3430871848014</v>
      </c>
      <c r="AF1687" s="49" t="n">
        <f aca="false">IF($R1687&gt;0,$P1687*$I1687/$R1687/1000000,"")</f>
        <v>51.2376463246662</v>
      </c>
      <c r="AG1687" s="50" t="n">
        <f aca="false">IF(AND(ISNUMBER($AE1687),ISNUMBER($AF1687),$AF1687&gt;0),$AE1687/$AF1687,"")</f>
        <v>1.17770997524825</v>
      </c>
      <c r="AH1687" s="48" t="n">
        <f aca="false">IF($U1687&gt;=5,SUM(INDEX($AD$1657:$AD1687,32-5):$AD1687),"")</f>
        <v>-94340180243</v>
      </c>
      <c r="AI1687" s="48" t="n">
        <f aca="false">IF($U1687&gt;=STRUCT_S,MAX(INDEX($G$1537:$G1687,152-STRUCT_S):$G1687),"")</f>
        <v>1869</v>
      </c>
      <c r="AJ1687" s="48" t="n">
        <f aca="false">IF($U1687&gt;=STRUCT_S,MIN(INDEX($H$1537:$H1687,152-STRUCT_S):$H1687),"")</f>
        <v>1607</v>
      </c>
      <c r="AK1687" s="48" t="n">
        <f aca="false">IF($U1687&gt;=STRUCT_L,MAX(INDEX($G$1437:$G1687,252-STRUCT_L):$G1687),"")</f>
        <v>2082</v>
      </c>
      <c r="AL1687" s="48" t="n">
        <f aca="false">IF($U1687&gt;=STRUCT_L,MIN(INDEX($H$1437:$H1687,252-STRUCT_L):$H1687),"")</f>
        <v>1607</v>
      </c>
      <c r="AM1687" s="46" t="n">
        <f aca="false">IF($A1687&lt;&gt;$A1688,1,0)</f>
        <v>0</v>
      </c>
      <c r="AN1687" s="47" t="str">
        <f aca="false">IF($AM1687=1,$A1687,"")</f>
        <v/>
      </c>
    </row>
    <row r="1688" customFormat="false" ht="15" hidden="false" customHeight="false" outlineLevel="0" collapsed="false">
      <c r="A1688" s="43" t="s">
        <v>162</v>
      </c>
      <c r="B1688" s="44" t="s">
        <v>164</v>
      </c>
      <c r="C1688" s="45" t="n">
        <v>46077</v>
      </c>
      <c r="D1688" s="46" t="n">
        <v>20260224</v>
      </c>
      <c r="E1688" s="47" t="s">
        <v>411</v>
      </c>
      <c r="F1688" s="48" t="n">
        <v>1651</v>
      </c>
      <c r="G1688" s="48" t="n">
        <v>1728</v>
      </c>
      <c r="H1688" s="48" t="n">
        <v>1636</v>
      </c>
      <c r="I1688" s="48" t="n">
        <v>1704</v>
      </c>
      <c r="J1688" s="48" t="n">
        <v>1722</v>
      </c>
      <c r="K1688" s="48" t="n">
        <v>1660</v>
      </c>
      <c r="L1688" s="48" t="n">
        <v>91071869</v>
      </c>
      <c r="M1688" s="48" t="n">
        <v>155186464776</v>
      </c>
      <c r="N1688" s="48" t="n">
        <v>2865</v>
      </c>
      <c r="O1688" s="48" t="n">
        <v>53946387</v>
      </c>
      <c r="P1688" s="48" t="n">
        <v>36630238</v>
      </c>
      <c r="Q1688" s="48" t="n">
        <v>952</v>
      </c>
      <c r="R1688" s="48" t="n">
        <v>1513</v>
      </c>
      <c r="S1688" s="48" t="n">
        <v>37125482</v>
      </c>
      <c r="T1688" s="48" t="n">
        <v>54441631</v>
      </c>
      <c r="U1688" s="46" t="n">
        <f aca="false">IF($A1688=$A1687,$U1687+1,1)</f>
        <v>124</v>
      </c>
      <c r="V1688" s="48" t="n">
        <f aca="false">IF($U1688&gt;=MA_SHORT,AVERAGE(INDEX($I$1288:$I1688,402-MA_SHORT):$I1688),"")</f>
        <v>1715.8</v>
      </c>
      <c r="W1688" s="48" t="n">
        <f aca="false">IF($U1688&gt;=MA_MED,AVERAGE(INDEX($I$1288:$I1688,402-MA_MED):$I1688),"")</f>
        <v>1841.56</v>
      </c>
      <c r="X1688" s="48" t="n">
        <f aca="false">IF($U1688&gt;=MA_LONG1,AVERAGE(INDEX($I$1288:$I1688,402-MA_LONG1):$I1688),"")</f>
        <v>1903.93</v>
      </c>
      <c r="Y1688" s="48" t="str">
        <f aca="false">IF($U1688&gt;=MA_LONG2,AVERAGE(INDEX($I$1288:$I1688,402-MA_LONG2):$I1688),"")</f>
        <v/>
      </c>
      <c r="Z1688" s="48" t="n">
        <f aca="false">IF($U1688&gt;=MA_SHORT,AVERAGE(INDEX($L$1568:$L1688,122-MA_SHORT):$L1688),"")</f>
        <v>86294369.95</v>
      </c>
      <c r="AA1688" s="48" t="n">
        <f aca="false">IF($U1688=1,$G1688-$H1688,MAX($G1688-$H1688,ABS($G1688-$I1687),ABS($H1688-$I1687)))</f>
        <v>92</v>
      </c>
      <c r="AB1688" s="48" t="n">
        <f aca="false">IF($U1688&gt;=ATR_PER,AVERAGE(INDEX($AA$1568:$AA1688,122-ATR_PER):$AA1688),"")</f>
        <v>57.7142857142857</v>
      </c>
      <c r="AC1688" s="48" t="n">
        <f aca="false">$O1688-$P1688</f>
        <v>17316149</v>
      </c>
      <c r="AD1688" s="48" t="n">
        <f aca="false">$AC1688*$I1688</f>
        <v>29506717896</v>
      </c>
      <c r="AE1688" s="49" t="n">
        <f aca="false">IF($Q1688&gt;0,$O1688*$I1688/$Q1688/1000000,"")</f>
        <v>96.5594994201681</v>
      </c>
      <c r="AF1688" s="49" t="n">
        <f aca="false">IF($R1688&gt;0,$P1688*$I1688/$R1688/1000000,"")</f>
        <v>41.254412129544</v>
      </c>
      <c r="AG1688" s="50" t="n">
        <f aca="false">IF(AND(ISNUMBER($AE1688),ISNUMBER($AF1688),$AF1688&gt;0),$AE1688/$AF1688,"")</f>
        <v>2.34058599882503</v>
      </c>
      <c r="AH1688" s="48" t="n">
        <f aca="false">IF($U1688&gt;=5,SUM(INDEX($AD$1658:$AD1688,32-5):$AD1688),"")</f>
        <v>-62984979427</v>
      </c>
      <c r="AI1688" s="48" t="n">
        <f aca="false">IF($U1688&gt;=STRUCT_S,MAX(INDEX($G$1538:$G1688,152-STRUCT_S):$G1688),"")</f>
        <v>1869</v>
      </c>
      <c r="AJ1688" s="48" t="n">
        <f aca="false">IF($U1688&gt;=STRUCT_S,MIN(INDEX($H$1538:$H1688,152-STRUCT_S):$H1688),"")</f>
        <v>1607</v>
      </c>
      <c r="AK1688" s="48" t="n">
        <f aca="false">IF($U1688&gt;=STRUCT_L,MAX(INDEX($G$1438:$G1688,252-STRUCT_L):$G1688),"")</f>
        <v>2082</v>
      </c>
      <c r="AL1688" s="48" t="n">
        <f aca="false">IF($U1688&gt;=STRUCT_L,MIN(INDEX($H$1438:$H1688,252-STRUCT_L):$H1688),"")</f>
        <v>1607</v>
      </c>
      <c r="AM1688" s="46" t="n">
        <f aca="false">IF($A1688&lt;&gt;$A1689,1,0)</f>
        <v>0</v>
      </c>
      <c r="AN1688" s="47" t="str">
        <f aca="false">IF($AM1688=1,$A1688,"")</f>
        <v/>
      </c>
    </row>
    <row r="1689" customFormat="false" ht="15" hidden="false" customHeight="false" outlineLevel="0" collapsed="false">
      <c r="A1689" s="43" t="s">
        <v>162</v>
      </c>
      <c r="B1689" s="44" t="s">
        <v>164</v>
      </c>
      <c r="C1689" s="45" t="n">
        <v>46078</v>
      </c>
      <c r="D1689" s="46" t="n">
        <v>20260225</v>
      </c>
      <c r="E1689" s="47" t="s">
        <v>412</v>
      </c>
      <c r="F1689" s="48" t="n">
        <v>1697</v>
      </c>
      <c r="G1689" s="48" t="n">
        <v>1720</v>
      </c>
      <c r="H1689" s="48" t="n">
        <v>1650</v>
      </c>
      <c r="I1689" s="48" t="n">
        <v>1666</v>
      </c>
      <c r="J1689" s="48" t="n">
        <v>1671</v>
      </c>
      <c r="K1689" s="48" t="n">
        <v>1704</v>
      </c>
      <c r="L1689" s="48" t="n">
        <v>89089147</v>
      </c>
      <c r="M1689" s="48" t="n">
        <v>148422518902</v>
      </c>
      <c r="N1689" s="48" t="n">
        <v>2086</v>
      </c>
      <c r="O1689" s="48" t="n">
        <v>30701879</v>
      </c>
      <c r="P1689" s="48" t="n">
        <v>58299900</v>
      </c>
      <c r="Q1689" s="48" t="n">
        <v>927</v>
      </c>
      <c r="R1689" s="48" t="n">
        <v>1147</v>
      </c>
      <c r="S1689" s="48" t="n">
        <v>58387268</v>
      </c>
      <c r="T1689" s="48" t="n">
        <v>30789247</v>
      </c>
      <c r="U1689" s="46" t="n">
        <f aca="false">IF($A1689=$A1688,$U1688+1,1)</f>
        <v>125</v>
      </c>
      <c r="V1689" s="48" t="n">
        <f aca="false">IF($U1689&gt;=MA_SHORT,AVERAGE(INDEX($I$1289:$I1689,402-MA_SHORT):$I1689),"")</f>
        <v>1708.05</v>
      </c>
      <c r="W1689" s="48" t="n">
        <f aca="false">IF($U1689&gt;=MA_MED,AVERAGE(INDEX($I$1289:$I1689,402-MA_MED):$I1689),"")</f>
        <v>1835.38</v>
      </c>
      <c r="X1689" s="48" t="n">
        <f aca="false">IF($U1689&gt;=MA_LONG1,AVERAGE(INDEX($I$1289:$I1689,402-MA_LONG1):$I1689),"")</f>
        <v>1899.7</v>
      </c>
      <c r="Y1689" s="48" t="str">
        <f aca="false">IF($U1689&gt;=MA_LONG2,AVERAGE(INDEX($I$1289:$I1689,402-MA_LONG2):$I1689),"")</f>
        <v/>
      </c>
      <c r="Z1689" s="48" t="n">
        <f aca="false">IF($U1689&gt;=MA_SHORT,AVERAGE(INDEX($L$1569:$L1689,122-MA_SHORT):$L1689),"")</f>
        <v>86704120.15</v>
      </c>
      <c r="AA1689" s="48" t="n">
        <f aca="false">IF($U1689=1,$G1689-$H1689,MAX($G1689-$H1689,ABS($G1689-$I1688),ABS($H1689-$I1688)))</f>
        <v>70</v>
      </c>
      <c r="AB1689" s="48" t="n">
        <f aca="false">IF($U1689&gt;=ATR_PER,AVERAGE(INDEX($AA$1569:$AA1689,122-ATR_PER):$AA1689),"")</f>
        <v>59.5714285714286</v>
      </c>
      <c r="AC1689" s="48" t="n">
        <f aca="false">$O1689-$P1689</f>
        <v>-27598021</v>
      </c>
      <c r="AD1689" s="48" t="n">
        <f aca="false">$AC1689*$I1689</f>
        <v>-45978302986</v>
      </c>
      <c r="AE1689" s="49" t="n">
        <f aca="false">IF($Q1689&gt;0,$O1689*$I1689/$Q1689/1000000,"")</f>
        <v>55.1772712125135</v>
      </c>
      <c r="AF1689" s="49" t="n">
        <f aca="false">IF($R1689&gt;0,$P1689*$I1689/$R1689/1000000,"")</f>
        <v>84.6797152571927</v>
      </c>
      <c r="AG1689" s="50" t="n">
        <f aca="false">IF(AND(ISNUMBER($AE1689),ISNUMBER($AF1689),$AF1689&gt;0),$AE1689/$AF1689,"")</f>
        <v>0.651599630973331</v>
      </c>
      <c r="AH1689" s="48" t="n">
        <f aca="false">IF($U1689&gt;=5,SUM(INDEX($AD$1659:$AD1689,32-5):$AD1689),"")</f>
        <v>-117354431795</v>
      </c>
      <c r="AI1689" s="48" t="n">
        <f aca="false">IF($U1689&gt;=STRUCT_S,MAX(INDEX($G$1539:$G1689,152-STRUCT_S):$G1689),"")</f>
        <v>1869</v>
      </c>
      <c r="AJ1689" s="48" t="n">
        <f aca="false">IF($U1689&gt;=STRUCT_S,MIN(INDEX($H$1539:$H1689,152-STRUCT_S):$H1689),"")</f>
        <v>1607</v>
      </c>
      <c r="AK1689" s="48" t="n">
        <f aca="false">IF($U1689&gt;=STRUCT_L,MAX(INDEX($G$1439:$G1689,252-STRUCT_L):$G1689),"")</f>
        <v>2082</v>
      </c>
      <c r="AL1689" s="48" t="n">
        <f aca="false">IF($U1689&gt;=STRUCT_L,MIN(INDEX($H$1439:$H1689,252-STRUCT_L):$H1689),"")</f>
        <v>1607</v>
      </c>
      <c r="AM1689" s="46" t="n">
        <f aca="false">IF($A1689&lt;&gt;$A1690,1,0)</f>
        <v>0</v>
      </c>
      <c r="AN1689" s="47" t="str">
        <f aca="false">IF($AM1689=1,$A1689,"")</f>
        <v/>
      </c>
    </row>
    <row r="1690" customFormat="false" ht="15" hidden="false" customHeight="false" outlineLevel="0" collapsed="false">
      <c r="A1690" s="43" t="s">
        <v>162</v>
      </c>
      <c r="B1690" s="44" t="s">
        <v>164</v>
      </c>
      <c r="C1690" s="45" t="n">
        <v>46081</v>
      </c>
      <c r="D1690" s="46" t="n">
        <v>20260228</v>
      </c>
      <c r="E1690" s="47" t="s">
        <v>413</v>
      </c>
      <c r="F1690" s="48" t="n">
        <v>1664</v>
      </c>
      <c r="G1690" s="48" t="n">
        <v>1682</v>
      </c>
      <c r="H1690" s="48" t="n">
        <v>1650</v>
      </c>
      <c r="I1690" s="48" t="n">
        <v>1666</v>
      </c>
      <c r="J1690" s="48" t="n">
        <v>1653</v>
      </c>
      <c r="K1690" s="48" t="n">
        <v>1666</v>
      </c>
      <c r="L1690" s="48" t="n">
        <v>78575521</v>
      </c>
      <c r="M1690" s="48" t="n">
        <v>130906817986</v>
      </c>
      <c r="N1690" s="48" t="n">
        <v>6115</v>
      </c>
      <c r="O1690" s="48" t="n">
        <v>40510503</v>
      </c>
      <c r="P1690" s="48" t="n">
        <v>35220148</v>
      </c>
      <c r="Q1690" s="48" t="n">
        <v>2242</v>
      </c>
      <c r="R1690" s="48" t="n">
        <v>1996</v>
      </c>
      <c r="S1690" s="48" t="n">
        <v>38065018</v>
      </c>
      <c r="T1690" s="48" t="n">
        <v>43355373</v>
      </c>
      <c r="U1690" s="46" t="n">
        <f aca="false">IF($A1690=$A1689,$U1689+1,1)</f>
        <v>126</v>
      </c>
      <c r="V1690" s="48" t="n">
        <f aca="false">IF($U1690&gt;=MA_SHORT,AVERAGE(INDEX($I$1290:$I1690,402-MA_SHORT):$I1690),"")</f>
        <v>1701.9</v>
      </c>
      <c r="W1690" s="48" t="n">
        <f aca="false">IF($U1690&gt;=MA_MED,AVERAGE(INDEX($I$1290:$I1690,402-MA_MED):$I1690),"")</f>
        <v>1829.42</v>
      </c>
      <c r="X1690" s="48" t="n">
        <f aca="false">IF($U1690&gt;=MA_LONG1,AVERAGE(INDEX($I$1290:$I1690,402-MA_LONG1):$I1690),"")</f>
        <v>1895.78</v>
      </c>
      <c r="Y1690" s="48" t="str">
        <f aca="false">IF($U1690&gt;=MA_LONG2,AVERAGE(INDEX($I$1290:$I1690,402-MA_LONG2):$I1690),"")</f>
        <v/>
      </c>
      <c r="Z1690" s="48" t="n">
        <f aca="false">IF($U1690&gt;=MA_SHORT,AVERAGE(INDEX($L$1570:$L1690,122-MA_SHORT):$L1690),"")</f>
        <v>86289883.45</v>
      </c>
      <c r="AA1690" s="48" t="n">
        <f aca="false">IF($U1690=1,$G1690-$H1690,MAX($G1690-$H1690,ABS($G1690-$I1689),ABS($H1690-$I1689)))</f>
        <v>32</v>
      </c>
      <c r="AB1690" s="48" t="n">
        <f aca="false">IF($U1690&gt;=ATR_PER,AVERAGE(INDEX($AA$1570:$AA1690,122-ATR_PER):$AA1690),"")</f>
        <v>59.5714285714286</v>
      </c>
      <c r="AC1690" s="48" t="n">
        <f aca="false">$O1690-$P1690</f>
        <v>5290355</v>
      </c>
      <c r="AD1690" s="48" t="n">
        <f aca="false">$AC1690*$I1690</f>
        <v>8813731430</v>
      </c>
      <c r="AE1690" s="49" t="n">
        <f aca="false">IF($Q1690&gt;0,$O1690*$I1690/$Q1690/1000000,"")</f>
        <v>30.1028090981267</v>
      </c>
      <c r="AF1690" s="49" t="n">
        <f aca="false">IF($R1690&gt;0,$P1690*$I1690/$R1690/1000000,"")</f>
        <v>29.3971776392786</v>
      </c>
      <c r="AG1690" s="50" t="n">
        <f aca="false">IF(AND(ISNUMBER($AE1690),ISNUMBER($AF1690),$AF1690&gt;0),$AE1690/$AF1690,"")</f>
        <v>1.02400337432071</v>
      </c>
      <c r="AH1690" s="48" t="n">
        <f aca="false">IF($U1690&gt;=5,SUM(INDEX($AD$1660:$AD1690,32-5):$AD1690),"")</f>
        <v>-52603051386</v>
      </c>
      <c r="AI1690" s="48" t="n">
        <f aca="false">IF($U1690&gt;=STRUCT_S,MAX(INDEX($G$1540:$G1690,152-STRUCT_S):$G1690),"")</f>
        <v>1798</v>
      </c>
      <c r="AJ1690" s="48" t="n">
        <f aca="false">IF($U1690&gt;=STRUCT_S,MIN(INDEX($H$1540:$H1690,152-STRUCT_S):$H1690),"")</f>
        <v>1607</v>
      </c>
      <c r="AK1690" s="48" t="n">
        <f aca="false">IF($U1690&gt;=STRUCT_L,MAX(INDEX($G$1440:$G1690,252-STRUCT_L):$G1690),"")</f>
        <v>2082</v>
      </c>
      <c r="AL1690" s="48" t="n">
        <f aca="false">IF($U1690&gt;=STRUCT_L,MIN(INDEX($H$1440:$H1690,252-STRUCT_L):$H1690),"")</f>
        <v>1607</v>
      </c>
      <c r="AM1690" s="46" t="n">
        <f aca="false">IF($A1690&lt;&gt;$A1691,1,0)</f>
        <v>0</v>
      </c>
      <c r="AN1690" s="47" t="str">
        <f aca="false">IF($AM1690=1,$A1690,"")</f>
        <v/>
      </c>
    </row>
    <row r="1691" customFormat="false" ht="15" hidden="false" customHeight="false" outlineLevel="0" collapsed="false">
      <c r="A1691" s="43" t="s">
        <v>162</v>
      </c>
      <c r="B1691" s="44" t="s">
        <v>164</v>
      </c>
      <c r="C1691" s="45" t="n">
        <v>46082</v>
      </c>
      <c r="D1691" s="46" t="n">
        <v>20260301</v>
      </c>
      <c r="E1691" s="47" t="s">
        <v>414</v>
      </c>
      <c r="F1691" s="48" t="n">
        <v>1667</v>
      </c>
      <c r="G1691" s="48" t="n">
        <v>1705</v>
      </c>
      <c r="H1691" s="48" t="n">
        <v>1658</v>
      </c>
      <c r="I1691" s="48" t="n">
        <v>1696</v>
      </c>
      <c r="J1691" s="48" t="n">
        <v>1677</v>
      </c>
      <c r="K1691" s="48" t="n">
        <v>1666</v>
      </c>
      <c r="L1691" s="48" t="n">
        <v>87065073</v>
      </c>
      <c r="M1691" s="48" t="n">
        <v>147662363808</v>
      </c>
      <c r="N1691" s="48" t="n">
        <v>7137</v>
      </c>
      <c r="O1691" s="48" t="n">
        <v>44058752</v>
      </c>
      <c r="P1691" s="48" t="n">
        <v>46572424</v>
      </c>
      <c r="Q1691" s="48" t="n">
        <v>2778</v>
      </c>
      <c r="R1691" s="48" t="n">
        <v>2512</v>
      </c>
      <c r="S1691" s="48" t="n">
        <v>43006321</v>
      </c>
      <c r="T1691" s="48" t="n">
        <v>40492649</v>
      </c>
      <c r="U1691" s="46" t="n">
        <f aca="false">IF($A1691=$A1690,$U1690+1,1)</f>
        <v>127</v>
      </c>
      <c r="V1691" s="48" t="n">
        <f aca="false">IF($U1691&gt;=MA_SHORT,AVERAGE(INDEX($I$1291:$I1691,402-MA_SHORT):$I1691),"")</f>
        <v>1698.45</v>
      </c>
      <c r="W1691" s="48" t="n">
        <f aca="false">IF($U1691&gt;=MA_MED,AVERAGE(INDEX($I$1291:$I1691,402-MA_MED):$I1691),"")</f>
        <v>1823.7</v>
      </c>
      <c r="X1691" s="48" t="n">
        <f aca="false">IF($U1691&gt;=MA_LONG1,AVERAGE(INDEX($I$1291:$I1691,402-MA_LONG1):$I1691),"")</f>
        <v>1892.38</v>
      </c>
      <c r="Y1691" s="48" t="str">
        <f aca="false">IF($U1691&gt;=MA_LONG2,AVERAGE(INDEX($I$1291:$I1691,402-MA_LONG2):$I1691),"")</f>
        <v/>
      </c>
      <c r="Z1691" s="48" t="n">
        <f aca="false">IF($U1691&gt;=MA_SHORT,AVERAGE(INDEX($L$1571:$L1691,122-MA_SHORT):$L1691),"")</f>
        <v>86398126.4</v>
      </c>
      <c r="AA1691" s="48" t="n">
        <f aca="false">IF($U1691=1,$G1691-$H1691,MAX($G1691-$H1691,ABS($G1691-$I1690),ABS($H1691-$I1690)))</f>
        <v>47</v>
      </c>
      <c r="AB1691" s="48" t="n">
        <f aca="false">IF($U1691&gt;=ATR_PER,AVERAGE(INDEX($AA$1571:$AA1691,122-ATR_PER):$AA1691),"")</f>
        <v>59.9285714285714</v>
      </c>
      <c r="AC1691" s="48" t="n">
        <f aca="false">$O1691-$P1691</f>
        <v>-2513672</v>
      </c>
      <c r="AD1691" s="48" t="n">
        <f aca="false">$AC1691*$I1691</f>
        <v>-4263187712</v>
      </c>
      <c r="AE1691" s="49" t="n">
        <f aca="false">IF($Q1691&gt;0,$O1691*$I1691/$Q1691/1000000,"")</f>
        <v>26.8983597523398</v>
      </c>
      <c r="AF1691" s="49" t="n">
        <f aca="false">IF($R1691&gt;0,$P1691*$I1691/$R1691/1000000,"")</f>
        <v>31.4438021910828</v>
      </c>
      <c r="AG1691" s="50" t="n">
        <f aca="false">IF(AND(ISNUMBER($AE1691),ISNUMBER($AF1691),$AF1691&gt;0),$AE1691/$AF1691,"")</f>
        <v>0.855442340874666</v>
      </c>
      <c r="AH1691" s="48" t="n">
        <f aca="false">IF($U1691&gt;=5,SUM(INDEX($AD$1661:$AD1691,32-5):$AD1691),"")</f>
        <v>-14954917132</v>
      </c>
      <c r="AI1691" s="48" t="n">
        <f aca="false">IF($U1691&gt;=STRUCT_S,MAX(INDEX($G$1541:$G1691,152-STRUCT_S):$G1691),"")</f>
        <v>1798</v>
      </c>
      <c r="AJ1691" s="48" t="n">
        <f aca="false">IF($U1691&gt;=STRUCT_S,MIN(INDEX($H$1541:$H1691,152-STRUCT_S):$H1691),"")</f>
        <v>1607</v>
      </c>
      <c r="AK1691" s="48" t="n">
        <f aca="false">IF($U1691&gt;=STRUCT_L,MAX(INDEX($G$1441:$G1691,252-STRUCT_L):$G1691),"")</f>
        <v>2082</v>
      </c>
      <c r="AL1691" s="48" t="n">
        <f aca="false">IF($U1691&gt;=STRUCT_L,MIN(INDEX($H$1441:$H1691,252-STRUCT_L):$H1691),"")</f>
        <v>1607</v>
      </c>
      <c r="AM1691" s="46" t="n">
        <f aca="false">IF($A1691&lt;&gt;$A1692,1,0)</f>
        <v>0</v>
      </c>
      <c r="AN1691" s="47" t="str">
        <f aca="false">IF($AM1691=1,$A1691,"")</f>
        <v/>
      </c>
    </row>
    <row r="1692" customFormat="false" ht="15" hidden="false" customHeight="false" outlineLevel="0" collapsed="false">
      <c r="A1692" s="43" t="s">
        <v>162</v>
      </c>
      <c r="B1692" s="44" t="s">
        <v>164</v>
      </c>
      <c r="C1692" s="45" t="n">
        <v>46083</v>
      </c>
      <c r="D1692" s="46" t="n">
        <v>20260302</v>
      </c>
      <c r="E1692" s="47" t="s">
        <v>415</v>
      </c>
      <c r="F1692" s="48" t="n">
        <v>1690</v>
      </c>
      <c r="G1692" s="48" t="n">
        <v>1768</v>
      </c>
      <c r="H1692" s="48" t="n">
        <v>1649</v>
      </c>
      <c r="I1692" s="48" t="n">
        <v>1720</v>
      </c>
      <c r="J1692" s="48" t="n">
        <v>1703</v>
      </c>
      <c r="K1692" s="48" t="n">
        <v>1696</v>
      </c>
      <c r="L1692" s="48" t="n">
        <v>104061661</v>
      </c>
      <c r="M1692" s="48" t="n">
        <v>178986056920</v>
      </c>
      <c r="N1692" s="48" t="n">
        <v>3618</v>
      </c>
      <c r="O1692" s="48" t="n">
        <v>58059380</v>
      </c>
      <c r="P1692" s="48" t="n">
        <v>46299476</v>
      </c>
      <c r="Q1692" s="48" t="n">
        <v>1234</v>
      </c>
      <c r="R1692" s="48" t="n">
        <v>1323</v>
      </c>
      <c r="S1692" s="48" t="n">
        <v>46002281</v>
      </c>
      <c r="T1692" s="48" t="n">
        <v>57762185</v>
      </c>
      <c r="U1692" s="46" t="n">
        <f aca="false">IF($A1692=$A1691,$U1691+1,1)</f>
        <v>128</v>
      </c>
      <c r="V1692" s="48" t="n">
        <f aca="false">IF($U1692&gt;=MA_SHORT,AVERAGE(INDEX($I$1292:$I1692,402-MA_SHORT):$I1692),"")</f>
        <v>1696.95</v>
      </c>
      <c r="W1692" s="48" t="n">
        <f aca="false">IF($U1692&gt;=MA_MED,AVERAGE(INDEX($I$1292:$I1692,402-MA_MED):$I1692),"")</f>
        <v>1817.76</v>
      </c>
      <c r="X1692" s="48" t="n">
        <f aca="false">IF($U1692&gt;=MA_LONG1,AVERAGE(INDEX($I$1292:$I1692,402-MA_LONG1):$I1692),"")</f>
        <v>1889.29</v>
      </c>
      <c r="Y1692" s="48" t="str">
        <f aca="false">IF($U1692&gt;=MA_LONG2,AVERAGE(INDEX($I$1292:$I1692,402-MA_LONG2):$I1692),"")</f>
        <v/>
      </c>
      <c r="Z1692" s="48" t="n">
        <f aca="false">IF($U1692&gt;=MA_SHORT,AVERAGE(INDEX($L$1572:$L1692,122-MA_SHORT):$L1692),"")</f>
        <v>87472099.2</v>
      </c>
      <c r="AA1692" s="48" t="n">
        <f aca="false">IF($U1692=1,$G1692-$H1692,MAX($G1692-$H1692,ABS($G1692-$I1691),ABS($H1692-$I1691)))</f>
        <v>119</v>
      </c>
      <c r="AB1692" s="48" t="n">
        <f aca="false">IF($U1692&gt;=ATR_PER,AVERAGE(INDEX($AA$1572:$AA1692,122-ATR_PER):$AA1692),"")</f>
        <v>61.3571428571429</v>
      </c>
      <c r="AC1692" s="48" t="n">
        <f aca="false">$O1692-$P1692</f>
        <v>11759904</v>
      </c>
      <c r="AD1692" s="48" t="n">
        <f aca="false">$AC1692*$I1692</f>
        <v>20227034880</v>
      </c>
      <c r="AE1692" s="49" t="n">
        <f aca="false">IF($Q1692&gt;0,$O1692*$I1692/$Q1692/1000000,"")</f>
        <v>80.9255539708266</v>
      </c>
      <c r="AF1692" s="49" t="n">
        <f aca="false">IF($R1692&gt;0,$P1692*$I1692/$R1692/1000000,"")</f>
        <v>60.1928183824641</v>
      </c>
      <c r="AG1692" s="50" t="n">
        <f aca="false">IF(AND(ISNUMBER($AE1692),ISNUMBER($AF1692),$AF1692&gt;0),$AE1692/$AF1692,"")</f>
        <v>1.34443869128418</v>
      </c>
      <c r="AH1692" s="48" t="n">
        <f aca="false">IF($U1692&gt;=5,SUM(INDEX($AD$1662:$AD1692,32-5):$AD1692),"")</f>
        <v>8305993508</v>
      </c>
      <c r="AI1692" s="48" t="n">
        <f aca="false">IF($U1692&gt;=STRUCT_S,MAX(INDEX($G$1542:$G1692,152-STRUCT_S):$G1692),"")</f>
        <v>1798</v>
      </c>
      <c r="AJ1692" s="48" t="n">
        <f aca="false">IF($U1692&gt;=STRUCT_S,MIN(INDEX($H$1542:$H1692,152-STRUCT_S):$H1692),"")</f>
        <v>1607</v>
      </c>
      <c r="AK1692" s="48" t="n">
        <f aca="false">IF($U1692&gt;=STRUCT_L,MAX(INDEX($G$1442:$G1692,252-STRUCT_L):$G1692),"")</f>
        <v>2082</v>
      </c>
      <c r="AL1692" s="48" t="n">
        <f aca="false">IF($U1692&gt;=STRUCT_L,MIN(INDEX($H$1442:$H1692,252-STRUCT_L):$H1692),"")</f>
        <v>1607</v>
      </c>
      <c r="AM1692" s="46" t="n">
        <f aca="false">IF($A1692&lt;&gt;$A1693,1,0)</f>
        <v>0</v>
      </c>
      <c r="AN1692" s="47" t="str">
        <f aca="false">IF($AM1692=1,$A1692,"")</f>
        <v/>
      </c>
    </row>
    <row r="1693" customFormat="false" ht="15" hidden="false" customHeight="false" outlineLevel="0" collapsed="false">
      <c r="A1693" s="43" t="s">
        <v>162</v>
      </c>
      <c r="B1693" s="44" t="s">
        <v>164</v>
      </c>
      <c r="C1693" s="45" t="n">
        <v>46084</v>
      </c>
      <c r="D1693" s="46" t="n">
        <v>20260303</v>
      </c>
      <c r="E1693" s="47" t="s">
        <v>416</v>
      </c>
      <c r="F1693" s="48" t="n">
        <v>1705</v>
      </c>
      <c r="G1693" s="48" t="n">
        <v>1762</v>
      </c>
      <c r="H1693" s="48" t="n">
        <v>1698</v>
      </c>
      <c r="I1693" s="48" t="n">
        <v>1740</v>
      </c>
      <c r="J1693" s="48" t="n">
        <v>1729</v>
      </c>
      <c r="K1693" s="48" t="n">
        <v>1720</v>
      </c>
      <c r="L1693" s="48" t="n">
        <v>84057534</v>
      </c>
      <c r="M1693" s="48" t="n">
        <v>146260109160</v>
      </c>
      <c r="N1693" s="48" t="n">
        <v>1876</v>
      </c>
      <c r="O1693" s="48" t="n">
        <v>42522140</v>
      </c>
      <c r="P1693" s="48" t="n">
        <v>38809379</v>
      </c>
      <c r="Q1693" s="48" t="n">
        <v>792</v>
      </c>
      <c r="R1693" s="48" t="n">
        <v>924</v>
      </c>
      <c r="S1693" s="48" t="n">
        <v>41535394</v>
      </c>
      <c r="T1693" s="48" t="n">
        <v>45248155</v>
      </c>
      <c r="U1693" s="46" t="n">
        <f aca="false">IF($A1693=$A1692,$U1692+1,1)</f>
        <v>129</v>
      </c>
      <c r="V1693" s="48" t="n">
        <f aca="false">IF($U1693&gt;=MA_SHORT,AVERAGE(INDEX($I$1293:$I1693,402-MA_SHORT):$I1693),"")</f>
        <v>1696.85</v>
      </c>
      <c r="W1693" s="48" t="n">
        <f aca="false">IF($U1693&gt;=MA_MED,AVERAGE(INDEX($I$1293:$I1693,402-MA_MED):$I1693),"")</f>
        <v>1811.9</v>
      </c>
      <c r="X1693" s="48" t="n">
        <f aca="false">IF($U1693&gt;=MA_LONG1,AVERAGE(INDEX($I$1293:$I1693,402-MA_LONG1):$I1693),"")</f>
        <v>1886.01</v>
      </c>
      <c r="Y1693" s="48" t="str">
        <f aca="false">IF($U1693&gt;=MA_LONG2,AVERAGE(INDEX($I$1293:$I1693,402-MA_LONG2):$I1693),"")</f>
        <v/>
      </c>
      <c r="Z1693" s="48" t="n">
        <f aca="false">IF($U1693&gt;=MA_SHORT,AVERAGE(INDEX($L$1573:$L1693,122-MA_SHORT):$L1693),"")</f>
        <v>87638439.15</v>
      </c>
      <c r="AA1693" s="48" t="n">
        <f aca="false">IF($U1693=1,$G1693-$H1693,MAX($G1693-$H1693,ABS($G1693-$I1692),ABS($H1693-$I1692)))</f>
        <v>64</v>
      </c>
      <c r="AB1693" s="48" t="n">
        <f aca="false">IF($U1693&gt;=ATR_PER,AVERAGE(INDEX($AA$1573:$AA1693,122-ATR_PER):$AA1693),"")</f>
        <v>57.2857142857143</v>
      </c>
      <c r="AC1693" s="48" t="n">
        <f aca="false">$O1693-$P1693</f>
        <v>3712761</v>
      </c>
      <c r="AD1693" s="48" t="n">
        <f aca="false">$AC1693*$I1693</f>
        <v>6460204140</v>
      </c>
      <c r="AE1693" s="49" t="n">
        <f aca="false">IF($Q1693&gt;0,$O1693*$I1693/$Q1693/1000000,"")</f>
        <v>93.419853030303</v>
      </c>
      <c r="AF1693" s="49" t="n">
        <f aca="false">IF($R1693&gt;0,$P1693*$I1693/$R1693/1000000,"")</f>
        <v>73.0825968181818</v>
      </c>
      <c r="AG1693" s="50" t="n">
        <f aca="false">IF(AND(ISNUMBER($AE1693),ISNUMBER($AF1693),$AF1693&gt;0),$AE1693/$AF1693,"")</f>
        <v>1.27827768986804</v>
      </c>
      <c r="AH1693" s="48" t="n">
        <f aca="false">IF($U1693&gt;=5,SUM(INDEX($AD$1663:$AD1693,32-5):$AD1693),"")</f>
        <v>-14740520248</v>
      </c>
      <c r="AI1693" s="48" t="n">
        <f aca="false">IF($U1693&gt;=STRUCT_S,MAX(INDEX($G$1543:$G1693,152-STRUCT_S):$G1693),"")</f>
        <v>1798</v>
      </c>
      <c r="AJ1693" s="48" t="n">
        <f aca="false">IF($U1693&gt;=STRUCT_S,MIN(INDEX($H$1543:$H1693,152-STRUCT_S):$H1693),"")</f>
        <v>1607</v>
      </c>
      <c r="AK1693" s="48" t="n">
        <f aca="false">IF($U1693&gt;=STRUCT_L,MAX(INDEX($G$1443:$G1693,252-STRUCT_L):$G1693),"")</f>
        <v>2082</v>
      </c>
      <c r="AL1693" s="48" t="n">
        <f aca="false">IF($U1693&gt;=STRUCT_L,MIN(INDEX($H$1443:$H1693,252-STRUCT_L):$H1693),"")</f>
        <v>1607</v>
      </c>
      <c r="AM1693" s="46" t="n">
        <f aca="false">IF($A1693&lt;&gt;$A1694,1,0)</f>
        <v>0</v>
      </c>
      <c r="AN1693" s="47" t="str">
        <f aca="false">IF($AM1693=1,$A1693,"")</f>
        <v/>
      </c>
    </row>
    <row r="1694" customFormat="false" ht="15" hidden="false" customHeight="false" outlineLevel="0" collapsed="false">
      <c r="A1694" s="43" t="s">
        <v>162</v>
      </c>
      <c r="B1694" s="44" t="s">
        <v>164</v>
      </c>
      <c r="C1694" s="45" t="n">
        <v>46085</v>
      </c>
      <c r="D1694" s="46" t="n">
        <v>20260304</v>
      </c>
      <c r="E1694" s="47" t="s">
        <v>417</v>
      </c>
      <c r="F1694" s="48" t="n">
        <v>1763</v>
      </c>
      <c r="G1694" s="48" t="n">
        <v>1767</v>
      </c>
      <c r="H1694" s="48" t="n">
        <v>1698</v>
      </c>
      <c r="I1694" s="48" t="n">
        <v>1725</v>
      </c>
      <c r="J1694" s="48" t="n">
        <v>1707</v>
      </c>
      <c r="K1694" s="48" t="n">
        <v>1740</v>
      </c>
      <c r="L1694" s="48" t="n">
        <v>82639772</v>
      </c>
      <c r="M1694" s="48" t="n">
        <v>142553606700</v>
      </c>
      <c r="N1694" s="48" t="n">
        <v>5623</v>
      </c>
      <c r="O1694" s="48" t="n">
        <v>35321598</v>
      </c>
      <c r="P1694" s="48" t="n">
        <v>47566698</v>
      </c>
      <c r="Q1694" s="48" t="n">
        <v>1901</v>
      </c>
      <c r="R1694" s="48" t="n">
        <v>2659</v>
      </c>
      <c r="S1694" s="48" t="n">
        <v>47318174</v>
      </c>
      <c r="T1694" s="48" t="n">
        <v>35073074</v>
      </c>
      <c r="U1694" s="46" t="n">
        <f aca="false">IF($A1694=$A1693,$U1693+1,1)</f>
        <v>130</v>
      </c>
      <c r="V1694" s="48" t="n">
        <f aca="false">IF($U1694&gt;=MA_SHORT,AVERAGE(INDEX($I$1294:$I1694,402-MA_SHORT):$I1694),"")</f>
        <v>1697.1</v>
      </c>
      <c r="W1694" s="48" t="n">
        <f aca="false">IF($U1694&gt;=MA_MED,AVERAGE(INDEX($I$1294:$I1694,402-MA_MED):$I1694),"")</f>
        <v>1805.92</v>
      </c>
      <c r="X1694" s="48" t="n">
        <f aca="false">IF($U1694&gt;=MA_LONG1,AVERAGE(INDEX($I$1294:$I1694,402-MA_LONG1):$I1694),"")</f>
        <v>1883.21</v>
      </c>
      <c r="Y1694" s="48" t="str">
        <f aca="false">IF($U1694&gt;=MA_LONG2,AVERAGE(INDEX($I$1294:$I1694,402-MA_LONG2):$I1694),"")</f>
        <v/>
      </c>
      <c r="Z1694" s="48" t="n">
        <f aca="false">IF($U1694&gt;=MA_SHORT,AVERAGE(INDEX($L$1574:$L1694,122-MA_SHORT):$L1694),"")</f>
        <v>87543948.8</v>
      </c>
      <c r="AA1694" s="48" t="n">
        <f aca="false">IF($U1694=1,$G1694-$H1694,MAX($G1694-$H1694,ABS($G1694-$I1693),ABS($H1694-$I1693)))</f>
        <v>69</v>
      </c>
      <c r="AB1694" s="48" t="n">
        <f aca="false">IF($U1694&gt;=ATR_PER,AVERAGE(INDEX($AA$1574:$AA1694,122-ATR_PER):$AA1694),"")</f>
        <v>59.7857142857143</v>
      </c>
      <c r="AC1694" s="48" t="n">
        <f aca="false">$O1694-$P1694</f>
        <v>-12245100</v>
      </c>
      <c r="AD1694" s="48" t="n">
        <f aca="false">$AC1694*$I1694</f>
        <v>-21122797500</v>
      </c>
      <c r="AE1694" s="49" t="n">
        <f aca="false">IF($Q1694&gt;0,$O1694*$I1694/$Q1694/1000000,"")</f>
        <v>32.0514237506576</v>
      </c>
      <c r="AF1694" s="49" t="n">
        <f aca="false">IF($R1694&gt;0,$P1694*$I1694/$R1694/1000000,"")</f>
        <v>30.8584257427604</v>
      </c>
      <c r="AG1694" s="50" t="n">
        <f aca="false">IF(AND(ISNUMBER($AE1694),ISNUMBER($AF1694),$AF1694&gt;0),$AE1694/$AF1694,"")</f>
        <v>1.03866036517359</v>
      </c>
      <c r="AH1694" s="48" t="n">
        <f aca="false">IF($U1694&gt;=5,SUM(INDEX($AD$1664:$AD1694,32-5):$AD1694),"")</f>
        <v>10114985238</v>
      </c>
      <c r="AI1694" s="48" t="n">
        <f aca="false">IF($U1694&gt;=STRUCT_S,MAX(INDEX($G$1544:$G1694,152-STRUCT_S):$G1694),"")</f>
        <v>1798</v>
      </c>
      <c r="AJ1694" s="48" t="n">
        <f aca="false">IF($U1694&gt;=STRUCT_S,MIN(INDEX($H$1544:$H1694,152-STRUCT_S):$H1694),"")</f>
        <v>1607</v>
      </c>
      <c r="AK1694" s="48" t="n">
        <f aca="false">IF($U1694&gt;=STRUCT_L,MAX(INDEX($G$1444:$G1694,252-STRUCT_L):$G1694),"")</f>
        <v>2082</v>
      </c>
      <c r="AL1694" s="48" t="n">
        <f aca="false">IF($U1694&gt;=STRUCT_L,MIN(INDEX($H$1444:$H1694,252-STRUCT_L):$H1694),"")</f>
        <v>1607</v>
      </c>
      <c r="AM1694" s="46" t="n">
        <f aca="false">IF($A1694&lt;&gt;$A1695,1,0)</f>
        <v>0</v>
      </c>
      <c r="AN1694" s="47" t="str">
        <f aca="false">IF($AM1694=1,$A1694,"")</f>
        <v/>
      </c>
    </row>
    <row r="1695" customFormat="false" ht="15" hidden="false" customHeight="false" outlineLevel="0" collapsed="false">
      <c r="A1695" s="43" t="s">
        <v>162</v>
      </c>
      <c r="B1695" s="44" t="s">
        <v>164</v>
      </c>
      <c r="C1695" s="45" t="n">
        <v>46088</v>
      </c>
      <c r="D1695" s="46" t="n">
        <v>20260307</v>
      </c>
      <c r="E1695" s="47" t="s">
        <v>418</v>
      </c>
      <c r="F1695" s="48" t="n">
        <v>1733</v>
      </c>
      <c r="G1695" s="48" t="n">
        <v>1735</v>
      </c>
      <c r="H1695" s="48" t="n">
        <v>1719</v>
      </c>
      <c r="I1695" s="48" t="n">
        <v>1729</v>
      </c>
      <c r="J1695" s="48" t="n">
        <v>1730</v>
      </c>
      <c r="K1695" s="48" t="n">
        <v>1725</v>
      </c>
      <c r="L1695" s="48" t="n">
        <v>79668746</v>
      </c>
      <c r="M1695" s="48" t="n">
        <v>137747261834</v>
      </c>
      <c r="N1695" s="48" t="n">
        <v>2389</v>
      </c>
      <c r="O1695" s="48" t="n">
        <v>37099173</v>
      </c>
      <c r="P1695" s="48" t="n">
        <v>49360870</v>
      </c>
      <c r="Q1695" s="48" t="n">
        <v>1001</v>
      </c>
      <c r="R1695" s="48" t="n">
        <v>825</v>
      </c>
      <c r="S1695" s="48" t="n">
        <v>42569573</v>
      </c>
      <c r="T1695" s="48" t="n">
        <v>30307876</v>
      </c>
      <c r="U1695" s="46" t="n">
        <f aca="false">IF($A1695=$A1694,$U1694+1,1)</f>
        <v>131</v>
      </c>
      <c r="V1695" s="48" t="n">
        <f aca="false">IF($U1695&gt;=MA_SHORT,AVERAGE(INDEX($I$1295:$I1695,402-MA_SHORT):$I1695),"")</f>
        <v>1695.95</v>
      </c>
      <c r="W1695" s="48" t="n">
        <f aca="false">IF($U1695&gt;=MA_MED,AVERAGE(INDEX($I$1295:$I1695,402-MA_MED):$I1695),"")</f>
        <v>1799.84</v>
      </c>
      <c r="X1695" s="48" t="n">
        <f aca="false">IF($U1695&gt;=MA_LONG1,AVERAGE(INDEX($I$1295:$I1695,402-MA_LONG1):$I1695),"")</f>
        <v>1880.36</v>
      </c>
      <c r="Y1695" s="48" t="str">
        <f aca="false">IF($U1695&gt;=MA_LONG2,AVERAGE(INDEX($I$1295:$I1695,402-MA_LONG2):$I1695),"")</f>
        <v/>
      </c>
      <c r="Z1695" s="48" t="n">
        <f aca="false">IF($U1695&gt;=MA_SHORT,AVERAGE(INDEX($L$1575:$L1695,122-MA_SHORT):$L1695),"")</f>
        <v>87160049</v>
      </c>
      <c r="AA1695" s="48" t="n">
        <f aca="false">IF($U1695=1,$G1695-$H1695,MAX($G1695-$H1695,ABS($G1695-$I1694),ABS($H1695-$I1694)))</f>
        <v>16</v>
      </c>
      <c r="AB1695" s="48" t="n">
        <f aca="false">IF($U1695&gt;=ATR_PER,AVERAGE(INDEX($AA$1575:$AA1695,122-ATR_PER):$AA1695),"")</f>
        <v>57.4285714285714</v>
      </c>
      <c r="AC1695" s="48" t="n">
        <f aca="false">$O1695-$P1695</f>
        <v>-12261697</v>
      </c>
      <c r="AD1695" s="48" t="n">
        <f aca="false">$AC1695*$I1695</f>
        <v>-21200474113</v>
      </c>
      <c r="AE1695" s="49" t="n">
        <f aca="false">IF($Q1695&gt;0,$O1695*$I1695/$Q1695/1000000,"")</f>
        <v>64.0803897272727</v>
      </c>
      <c r="AF1695" s="49" t="n">
        <f aca="false">IF($R1695&gt;0,$P1695*$I1695/$R1695/1000000,"")</f>
        <v>103.448417248485</v>
      </c>
      <c r="AG1695" s="50" t="n">
        <f aca="false">IF(AND(ISNUMBER($AE1695),ISNUMBER($AF1695),$AF1695&gt;0),$AE1695/$AF1695,"")</f>
        <v>0.619442920749097</v>
      </c>
      <c r="AH1695" s="48" t="n">
        <f aca="false">IF($U1695&gt;=5,SUM(INDEX($AD$1665:$AD1695,32-5):$AD1695),"")</f>
        <v>-19899220305</v>
      </c>
      <c r="AI1695" s="48" t="n">
        <f aca="false">IF($U1695&gt;=STRUCT_S,MAX(INDEX($G$1545:$G1695,152-STRUCT_S):$G1695),"")</f>
        <v>1798</v>
      </c>
      <c r="AJ1695" s="48" t="n">
        <f aca="false">IF($U1695&gt;=STRUCT_S,MIN(INDEX($H$1545:$H1695,152-STRUCT_S):$H1695),"")</f>
        <v>1607</v>
      </c>
      <c r="AK1695" s="48" t="n">
        <f aca="false">IF($U1695&gt;=STRUCT_L,MAX(INDEX($G$1445:$G1695,252-STRUCT_L):$G1695),"")</f>
        <v>2082</v>
      </c>
      <c r="AL1695" s="48" t="n">
        <f aca="false">IF($U1695&gt;=STRUCT_L,MIN(INDEX($H$1445:$H1695,252-STRUCT_L):$H1695),"")</f>
        <v>1607</v>
      </c>
      <c r="AM1695" s="46" t="n">
        <f aca="false">IF($A1695&lt;&gt;$A1696,1,0)</f>
        <v>0</v>
      </c>
      <c r="AN1695" s="47" t="str">
        <f aca="false">IF($AM1695=1,$A1695,"")</f>
        <v/>
      </c>
    </row>
    <row r="1696" customFormat="false" ht="15" hidden="false" customHeight="false" outlineLevel="0" collapsed="false">
      <c r="A1696" s="43" t="s">
        <v>162</v>
      </c>
      <c r="B1696" s="44" t="s">
        <v>164</v>
      </c>
      <c r="C1696" s="45" t="n">
        <v>46089</v>
      </c>
      <c r="D1696" s="46" t="n">
        <v>20260308</v>
      </c>
      <c r="E1696" s="47" t="s">
        <v>419</v>
      </c>
      <c r="F1696" s="48" t="n">
        <v>1720</v>
      </c>
      <c r="G1696" s="48" t="n">
        <v>1750</v>
      </c>
      <c r="H1696" s="48" t="n">
        <v>1671</v>
      </c>
      <c r="I1696" s="48" t="n">
        <v>1691</v>
      </c>
      <c r="J1696" s="48" t="n">
        <v>1686</v>
      </c>
      <c r="K1696" s="48" t="n">
        <v>1729</v>
      </c>
      <c r="L1696" s="48" t="n">
        <v>120781735</v>
      </c>
      <c r="M1696" s="48" t="n">
        <v>204241913885</v>
      </c>
      <c r="N1696" s="48" t="n">
        <v>6213</v>
      </c>
      <c r="O1696" s="48" t="n">
        <v>52779159</v>
      </c>
      <c r="P1696" s="48" t="n">
        <v>66879457</v>
      </c>
      <c r="Q1696" s="48" t="n">
        <v>2594</v>
      </c>
      <c r="R1696" s="48" t="n">
        <v>3180</v>
      </c>
      <c r="S1696" s="48" t="n">
        <v>68002576</v>
      </c>
      <c r="T1696" s="48" t="n">
        <v>53902278</v>
      </c>
      <c r="U1696" s="46" t="n">
        <f aca="false">IF($A1696=$A1695,$U1695+1,1)</f>
        <v>132</v>
      </c>
      <c r="V1696" s="48" t="n">
        <f aca="false">IF($U1696&gt;=MA_SHORT,AVERAGE(INDEX($I$1296:$I1696,402-MA_SHORT):$I1696),"")</f>
        <v>1692.7</v>
      </c>
      <c r="W1696" s="48" t="n">
        <f aca="false">IF($U1696&gt;=MA_MED,AVERAGE(INDEX($I$1296:$I1696,402-MA_MED):$I1696),"")</f>
        <v>1793</v>
      </c>
      <c r="X1696" s="48" t="n">
        <f aca="false">IF($U1696&gt;=MA_LONG1,AVERAGE(INDEX($I$1296:$I1696,402-MA_LONG1):$I1696),"")</f>
        <v>1876.81</v>
      </c>
      <c r="Y1696" s="48" t="str">
        <f aca="false">IF($U1696&gt;=MA_LONG2,AVERAGE(INDEX($I$1296:$I1696,402-MA_LONG2):$I1696),"")</f>
        <v/>
      </c>
      <c r="Z1696" s="48" t="n">
        <f aca="false">IF($U1696&gt;=MA_SHORT,AVERAGE(INDEX($L$1576:$L1696,122-MA_SHORT):$L1696),"")</f>
        <v>89216540.85</v>
      </c>
      <c r="AA1696" s="48" t="n">
        <f aca="false">IF($U1696=1,$G1696-$H1696,MAX($G1696-$H1696,ABS($G1696-$I1695),ABS($H1696-$I1695)))</f>
        <v>79</v>
      </c>
      <c r="AB1696" s="48" t="n">
        <f aca="false">IF($U1696&gt;=ATR_PER,AVERAGE(INDEX($AA$1576:$AA1696,122-ATR_PER):$AA1696),"")</f>
        <v>60.5</v>
      </c>
      <c r="AC1696" s="48" t="n">
        <f aca="false">$O1696-$P1696</f>
        <v>-14100298</v>
      </c>
      <c r="AD1696" s="48" t="n">
        <f aca="false">$AC1696*$I1696</f>
        <v>-23843603918</v>
      </c>
      <c r="AE1696" s="49" t="n">
        <f aca="false">IF($Q1696&gt;0,$O1696*$I1696/$Q1696/1000000,"")</f>
        <v>34.4061518384734</v>
      </c>
      <c r="AF1696" s="49" t="n">
        <f aca="false">IF($R1696&gt;0,$P1696*$I1696/$R1696/1000000,"")</f>
        <v>35.5638873544025</v>
      </c>
      <c r="AG1696" s="50" t="n">
        <f aca="false">IF(AND(ISNUMBER($AE1696),ISNUMBER($AF1696),$AF1696&gt;0),$AE1696/$AF1696,"")</f>
        <v>0.967446316979019</v>
      </c>
      <c r="AH1696" s="48" t="n">
        <f aca="false">IF($U1696&gt;=5,SUM(INDEX($AD$1666:$AD1696,32-5):$AD1696),"")</f>
        <v>-39479636511</v>
      </c>
      <c r="AI1696" s="48" t="n">
        <f aca="false">IF($U1696&gt;=STRUCT_S,MAX(INDEX($G$1546:$G1696,152-STRUCT_S):$G1696),"")</f>
        <v>1798</v>
      </c>
      <c r="AJ1696" s="48" t="n">
        <f aca="false">IF($U1696&gt;=STRUCT_S,MIN(INDEX($H$1546:$H1696,152-STRUCT_S):$H1696),"")</f>
        <v>1607</v>
      </c>
      <c r="AK1696" s="48" t="n">
        <f aca="false">IF($U1696&gt;=STRUCT_L,MAX(INDEX($G$1446:$G1696,252-STRUCT_L):$G1696),"")</f>
        <v>2082</v>
      </c>
      <c r="AL1696" s="48" t="n">
        <f aca="false">IF($U1696&gt;=STRUCT_L,MIN(INDEX($H$1446:$H1696,252-STRUCT_L):$H1696),"")</f>
        <v>1607</v>
      </c>
      <c r="AM1696" s="46" t="n">
        <f aca="false">IF($A1696&lt;&gt;$A1697,1,0)</f>
        <v>0</v>
      </c>
      <c r="AN1696" s="47" t="str">
        <f aca="false">IF($AM1696=1,$A1696,"")</f>
        <v/>
      </c>
    </row>
    <row r="1697" customFormat="false" ht="15" hidden="false" customHeight="false" outlineLevel="0" collapsed="false">
      <c r="A1697" s="43" t="s">
        <v>162</v>
      </c>
      <c r="B1697" s="44" t="s">
        <v>164</v>
      </c>
      <c r="C1697" s="45" t="n">
        <v>46090</v>
      </c>
      <c r="D1697" s="46" t="n">
        <v>20260309</v>
      </c>
      <c r="E1697" s="47" t="s">
        <v>420</v>
      </c>
      <c r="F1697" s="48" t="n">
        <v>1642</v>
      </c>
      <c r="G1697" s="48" t="n">
        <v>1732</v>
      </c>
      <c r="H1697" s="48" t="n">
        <v>1602</v>
      </c>
      <c r="I1697" s="48" t="n">
        <v>1642</v>
      </c>
      <c r="J1697" s="48" t="n">
        <v>1692</v>
      </c>
      <c r="K1697" s="48" t="n">
        <v>1691</v>
      </c>
      <c r="L1697" s="48" t="n">
        <v>125184720</v>
      </c>
      <c r="M1697" s="48" t="n">
        <v>205553310240</v>
      </c>
      <c r="N1697" s="48" t="n">
        <v>11356</v>
      </c>
      <c r="O1697" s="48" t="n">
        <v>41000731</v>
      </c>
      <c r="P1697" s="48" t="n">
        <v>89675867</v>
      </c>
      <c r="Q1697" s="48" t="n">
        <v>4234</v>
      </c>
      <c r="R1697" s="48" t="n">
        <v>4577</v>
      </c>
      <c r="S1697" s="48" t="n">
        <v>84183989</v>
      </c>
      <c r="T1697" s="48" t="n">
        <v>35508853</v>
      </c>
      <c r="U1697" s="46" t="n">
        <f aca="false">IF($A1697=$A1696,$U1696+1,1)</f>
        <v>133</v>
      </c>
      <c r="V1697" s="48" t="n">
        <f aca="false">IF($U1697&gt;=MA_SHORT,AVERAGE(INDEX($I$1297:$I1697,402-MA_SHORT):$I1697),"")</f>
        <v>1686.8</v>
      </c>
      <c r="W1697" s="48" t="n">
        <f aca="false">IF($U1697&gt;=MA_MED,AVERAGE(INDEX($I$1297:$I1697,402-MA_MED):$I1697),"")</f>
        <v>1785.6</v>
      </c>
      <c r="X1697" s="48" t="n">
        <f aca="false">IF($U1697&gt;=MA_LONG1,AVERAGE(INDEX($I$1297:$I1697,402-MA_LONG1):$I1697),"")</f>
        <v>1872.88</v>
      </c>
      <c r="Y1697" s="48" t="str">
        <f aca="false">IF($U1697&gt;=MA_LONG2,AVERAGE(INDEX($I$1297:$I1697,402-MA_LONG2):$I1697),"")</f>
        <v/>
      </c>
      <c r="Z1697" s="48" t="n">
        <f aca="false">IF($U1697&gt;=MA_SHORT,AVERAGE(INDEX($L$1577:$L1697,122-MA_SHORT):$L1697),"")</f>
        <v>91446087.65</v>
      </c>
      <c r="AA1697" s="48" t="n">
        <f aca="false">IF($U1697=1,$G1697-$H1697,MAX($G1697-$H1697,ABS($G1697-$I1696),ABS($H1697-$I1696)))</f>
        <v>130</v>
      </c>
      <c r="AB1697" s="48" t="n">
        <f aca="false">IF($U1697&gt;=ATR_PER,AVERAGE(INDEX($AA$1577:$AA1697,122-ATR_PER):$AA1697),"")</f>
        <v>68.0714285714286</v>
      </c>
      <c r="AC1697" s="48" t="n">
        <f aca="false">$O1697-$P1697</f>
        <v>-48675136</v>
      </c>
      <c r="AD1697" s="48" t="n">
        <f aca="false">$AC1697*$I1697</f>
        <v>-79924573312</v>
      </c>
      <c r="AE1697" s="49" t="n">
        <f aca="false">IF($Q1697&gt;0,$O1697*$I1697/$Q1697/1000000,"")</f>
        <v>15.9006141478507</v>
      </c>
      <c r="AF1697" s="49" t="n">
        <f aca="false">IF($R1697&gt;0,$P1697*$I1697/$R1697/1000000,"")</f>
        <v>32.1712417771466</v>
      </c>
      <c r="AG1697" s="50" t="n">
        <f aca="false">IF(AND(ISNUMBER($AE1697),ISNUMBER($AF1697),$AF1697&gt;0),$AE1697/$AF1697,"")</f>
        <v>0.494249313035408</v>
      </c>
      <c r="AH1697" s="48" t="n">
        <f aca="false">IF($U1697&gt;=5,SUM(INDEX($AD$1667:$AD1697,32-5):$AD1697),"")</f>
        <v>-139631244703</v>
      </c>
      <c r="AI1697" s="48" t="n">
        <f aca="false">IF($U1697&gt;=STRUCT_S,MAX(INDEX($G$1547:$G1697,152-STRUCT_S):$G1697),"")</f>
        <v>1798</v>
      </c>
      <c r="AJ1697" s="48" t="n">
        <f aca="false">IF($U1697&gt;=STRUCT_S,MIN(INDEX($H$1547:$H1697,152-STRUCT_S):$H1697),"")</f>
        <v>1602</v>
      </c>
      <c r="AK1697" s="48" t="n">
        <f aca="false">IF($U1697&gt;=STRUCT_L,MAX(INDEX($G$1447:$G1697,252-STRUCT_L):$G1697),"")</f>
        <v>2082</v>
      </c>
      <c r="AL1697" s="48" t="n">
        <f aca="false">IF($U1697&gt;=STRUCT_L,MIN(INDEX($H$1447:$H1697,252-STRUCT_L):$H1697),"")</f>
        <v>1602</v>
      </c>
      <c r="AM1697" s="46" t="n">
        <f aca="false">IF($A1697&lt;&gt;$A1698,1,0)</f>
        <v>0</v>
      </c>
      <c r="AN1697" s="47" t="str">
        <f aca="false">IF($AM1697=1,$A1697,"")</f>
        <v/>
      </c>
    </row>
    <row r="1698" customFormat="false" ht="15" hidden="false" customHeight="false" outlineLevel="0" collapsed="false">
      <c r="A1698" s="43" t="s">
        <v>162</v>
      </c>
      <c r="B1698" s="44" t="s">
        <v>164</v>
      </c>
      <c r="C1698" s="45" t="n">
        <v>46091</v>
      </c>
      <c r="D1698" s="46" t="n">
        <v>20260310</v>
      </c>
      <c r="E1698" s="47" t="s">
        <v>421</v>
      </c>
      <c r="F1698" s="48" t="n">
        <v>1641</v>
      </c>
      <c r="G1698" s="48" t="n">
        <v>1650</v>
      </c>
      <c r="H1698" s="48" t="n">
        <v>1608</v>
      </c>
      <c r="I1698" s="48" t="n">
        <v>1616</v>
      </c>
      <c r="J1698" s="48" t="n">
        <v>1609</v>
      </c>
      <c r="K1698" s="48" t="n">
        <v>1642</v>
      </c>
      <c r="L1698" s="48" t="n">
        <v>97790562</v>
      </c>
      <c r="M1698" s="48" t="n">
        <v>158029548192</v>
      </c>
      <c r="N1698" s="48" t="n">
        <v>2859</v>
      </c>
      <c r="O1698" s="48" t="n">
        <v>37627628</v>
      </c>
      <c r="P1698" s="48" t="n">
        <v>57347164</v>
      </c>
      <c r="Q1698" s="48" t="n">
        <v>1456</v>
      </c>
      <c r="R1698" s="48" t="n">
        <v>1517</v>
      </c>
      <c r="S1698" s="48" t="n">
        <v>60162934</v>
      </c>
      <c r="T1698" s="48" t="n">
        <v>40443398</v>
      </c>
      <c r="U1698" s="46" t="n">
        <f aca="false">IF($A1698=$A1697,$U1697+1,1)</f>
        <v>134</v>
      </c>
      <c r="V1698" s="48" t="n">
        <f aca="false">IF($U1698&gt;=MA_SHORT,AVERAGE(INDEX($I$1298:$I1698,402-MA_SHORT):$I1698),"")</f>
        <v>1680.8</v>
      </c>
      <c r="W1698" s="48" t="n">
        <f aca="false">IF($U1698&gt;=MA_MED,AVERAGE(INDEX($I$1298:$I1698,402-MA_MED):$I1698),"")</f>
        <v>1778.88</v>
      </c>
      <c r="X1698" s="48" t="n">
        <f aca="false">IF($U1698&gt;=MA_LONG1,AVERAGE(INDEX($I$1298:$I1698,402-MA_LONG1):$I1698),"")</f>
        <v>1868.36</v>
      </c>
      <c r="Y1698" s="48" t="str">
        <f aca="false">IF($U1698&gt;=MA_LONG2,AVERAGE(INDEX($I$1298:$I1698,402-MA_LONG2):$I1698),"")</f>
        <v/>
      </c>
      <c r="Z1698" s="48" t="n">
        <f aca="false">IF($U1698&gt;=MA_SHORT,AVERAGE(INDEX($L$1578:$L1698,122-MA_SHORT):$L1698),"")</f>
        <v>91231028.65</v>
      </c>
      <c r="AA1698" s="48" t="n">
        <f aca="false">IF($U1698=1,$G1698-$H1698,MAX($G1698-$H1698,ABS($G1698-$I1697),ABS($H1698-$I1697)))</f>
        <v>42</v>
      </c>
      <c r="AB1698" s="48" t="n">
        <f aca="false">IF($U1698&gt;=ATR_PER,AVERAGE(INDEX($AA$1578:$AA1698,122-ATR_PER):$AA1698),"")</f>
        <v>67.2857142857143</v>
      </c>
      <c r="AC1698" s="48" t="n">
        <f aca="false">$O1698-$P1698</f>
        <v>-19719536</v>
      </c>
      <c r="AD1698" s="48" t="n">
        <f aca="false">$AC1698*$I1698</f>
        <v>-31866770176</v>
      </c>
      <c r="AE1698" s="49" t="n">
        <f aca="false">IF($Q1698&gt;0,$O1698*$I1698/$Q1698/1000000,"")</f>
        <v>41.7625321758242</v>
      </c>
      <c r="AF1698" s="49" t="n">
        <f aca="false">IF($R1698&gt;0,$P1698*$I1698/$R1698/1000000,"")</f>
        <v>61.089661848385</v>
      </c>
      <c r="AG1698" s="50" t="n">
        <f aca="false">IF(AND(ISNUMBER($AE1698),ISNUMBER($AF1698),$AF1698&gt;0),$AE1698/$AF1698,"")</f>
        <v>0.683626834921304</v>
      </c>
      <c r="AH1698" s="48" t="n">
        <f aca="false">IF($U1698&gt;=5,SUM(INDEX($AD$1668:$AD1698,32-5):$AD1698),"")</f>
        <v>-177958219019</v>
      </c>
      <c r="AI1698" s="48" t="n">
        <f aca="false">IF($U1698&gt;=STRUCT_S,MAX(INDEX($G$1548:$G1698,152-STRUCT_S):$G1698),"")</f>
        <v>1772</v>
      </c>
      <c r="AJ1698" s="48" t="n">
        <f aca="false">IF($U1698&gt;=STRUCT_S,MIN(INDEX($H$1548:$H1698,152-STRUCT_S):$H1698),"")</f>
        <v>1602</v>
      </c>
      <c r="AK1698" s="48" t="n">
        <f aca="false">IF($U1698&gt;=STRUCT_L,MAX(INDEX($G$1448:$G1698,252-STRUCT_L):$G1698),"")</f>
        <v>2082</v>
      </c>
      <c r="AL1698" s="48" t="n">
        <f aca="false">IF($U1698&gt;=STRUCT_L,MIN(INDEX($H$1448:$H1698,252-STRUCT_L):$H1698),"")</f>
        <v>1602</v>
      </c>
      <c r="AM1698" s="46" t="n">
        <f aca="false">IF($A1698&lt;&gt;$A1699,1,0)</f>
        <v>0</v>
      </c>
      <c r="AN1698" s="47" t="str">
        <f aca="false">IF($AM1698=1,$A1698,"")</f>
        <v/>
      </c>
    </row>
    <row r="1699" customFormat="false" ht="15" hidden="false" customHeight="false" outlineLevel="0" collapsed="false">
      <c r="A1699" s="43" t="s">
        <v>162</v>
      </c>
      <c r="B1699" s="44" t="s">
        <v>164</v>
      </c>
      <c r="C1699" s="45" t="n">
        <v>46092</v>
      </c>
      <c r="D1699" s="46" t="n">
        <v>20260311</v>
      </c>
      <c r="E1699" s="47" t="s">
        <v>422</v>
      </c>
      <c r="F1699" s="48" t="n">
        <v>1628</v>
      </c>
      <c r="G1699" s="48" t="n">
        <v>1632</v>
      </c>
      <c r="H1699" s="48" t="n">
        <v>1605</v>
      </c>
      <c r="I1699" s="48" t="n">
        <v>1621</v>
      </c>
      <c r="J1699" s="48" t="n">
        <v>1622</v>
      </c>
      <c r="K1699" s="48" t="n">
        <v>1616</v>
      </c>
      <c r="L1699" s="48" t="n">
        <v>80034225</v>
      </c>
      <c r="M1699" s="48" t="n">
        <v>129735478725</v>
      </c>
      <c r="N1699" s="48" t="n">
        <v>2422</v>
      </c>
      <c r="O1699" s="48" t="n">
        <v>40827358</v>
      </c>
      <c r="P1699" s="48" t="n">
        <v>37789843</v>
      </c>
      <c r="Q1699" s="48" t="n">
        <v>1367</v>
      </c>
      <c r="R1699" s="48" t="n">
        <v>999</v>
      </c>
      <c r="S1699" s="48" t="n">
        <v>39206867</v>
      </c>
      <c r="T1699" s="48" t="n">
        <v>42244382</v>
      </c>
      <c r="U1699" s="46" t="n">
        <f aca="false">IF($A1699=$A1698,$U1698+1,1)</f>
        <v>135</v>
      </c>
      <c r="V1699" s="48" t="n">
        <f aca="false">IF($U1699&gt;=MA_SHORT,AVERAGE(INDEX($I$1299:$I1699,402-MA_SHORT):$I1699),"")</f>
        <v>1677.55</v>
      </c>
      <c r="W1699" s="48" t="n">
        <f aca="false">IF($U1699&gt;=MA_MED,AVERAGE(INDEX($I$1299:$I1699,402-MA_MED):$I1699),"")</f>
        <v>1771.56</v>
      </c>
      <c r="X1699" s="48" t="n">
        <f aca="false">IF($U1699&gt;=MA_LONG1,AVERAGE(INDEX($I$1299:$I1699,402-MA_LONG1):$I1699),"")</f>
        <v>1863.85</v>
      </c>
      <c r="Y1699" s="48" t="str">
        <f aca="false">IF($U1699&gt;=MA_LONG2,AVERAGE(INDEX($I$1299:$I1699,402-MA_LONG2):$I1699),"")</f>
        <v/>
      </c>
      <c r="Z1699" s="48" t="n">
        <f aca="false">IF($U1699&gt;=MA_SHORT,AVERAGE(INDEX($L$1579:$L1699,122-MA_SHORT):$L1699),"")</f>
        <v>90625027.9</v>
      </c>
      <c r="AA1699" s="48" t="n">
        <f aca="false">IF($U1699=1,$G1699-$H1699,MAX($G1699-$H1699,ABS($G1699-$I1698),ABS($H1699-$I1698)))</f>
        <v>27</v>
      </c>
      <c r="AB1699" s="48" t="n">
        <f aca="false">IF($U1699&gt;=ATR_PER,AVERAGE(INDEX($AA$1579:$AA1699,122-ATR_PER):$AA1699),"")</f>
        <v>60</v>
      </c>
      <c r="AC1699" s="48" t="n">
        <f aca="false">$O1699-$P1699</f>
        <v>3037515</v>
      </c>
      <c r="AD1699" s="48" t="n">
        <f aca="false">$AC1699*$I1699</f>
        <v>4923811815</v>
      </c>
      <c r="AE1699" s="49" t="n">
        <f aca="false">IF($Q1699&gt;0,$O1699*$I1699/$Q1699/1000000,"")</f>
        <v>48.4134215932699</v>
      </c>
      <c r="AF1699" s="49" t="n">
        <f aca="false">IF($R1699&gt;0,$P1699*$I1699/$R1699/1000000,"")</f>
        <v>61.3186541571572</v>
      </c>
      <c r="AG1699" s="50" t="n">
        <f aca="false">IF(AND(ISNUMBER($AE1699),ISNUMBER($AF1699),$AF1699&gt;0),$AE1699/$AF1699,"")</f>
        <v>0.789538228761322</v>
      </c>
      <c r="AH1699" s="48" t="n">
        <f aca="false">IF($U1699&gt;=5,SUM(INDEX($AD$1669:$AD1699,32-5):$AD1699),"")</f>
        <v>-151911609704</v>
      </c>
      <c r="AI1699" s="48" t="n">
        <f aca="false">IF($U1699&gt;=STRUCT_S,MAX(INDEX($G$1549:$G1699,152-STRUCT_S):$G1699),"")</f>
        <v>1768</v>
      </c>
      <c r="AJ1699" s="48" t="n">
        <f aca="false">IF($U1699&gt;=STRUCT_S,MIN(INDEX($H$1549:$H1699,152-STRUCT_S):$H1699),"")</f>
        <v>1602</v>
      </c>
      <c r="AK1699" s="48" t="n">
        <f aca="false">IF($U1699&gt;=STRUCT_L,MAX(INDEX($G$1449:$G1699,252-STRUCT_L):$G1699),"")</f>
        <v>2082</v>
      </c>
      <c r="AL1699" s="48" t="n">
        <f aca="false">IF($U1699&gt;=STRUCT_L,MIN(INDEX($H$1449:$H1699,252-STRUCT_L):$H1699),"")</f>
        <v>1602</v>
      </c>
      <c r="AM1699" s="46" t="n">
        <f aca="false">IF($A1699&lt;&gt;$A1700,1,0)</f>
        <v>0</v>
      </c>
      <c r="AN1699" s="47" t="str">
        <f aca="false">IF($AM1699=1,$A1699,"")</f>
        <v/>
      </c>
    </row>
    <row r="1700" customFormat="false" ht="15" hidden="false" customHeight="false" outlineLevel="0" collapsed="false">
      <c r="A1700" s="43" t="s">
        <v>162</v>
      </c>
      <c r="B1700" s="44" t="s">
        <v>164</v>
      </c>
      <c r="C1700" s="45" t="n">
        <v>46095</v>
      </c>
      <c r="D1700" s="46" t="n">
        <v>20260314</v>
      </c>
      <c r="E1700" s="47" t="s">
        <v>423</v>
      </c>
      <c r="F1700" s="48" t="n">
        <v>1580</v>
      </c>
      <c r="G1700" s="48" t="n">
        <v>1631</v>
      </c>
      <c r="H1700" s="48" t="n">
        <v>1574</v>
      </c>
      <c r="I1700" s="48" t="n">
        <v>1583</v>
      </c>
      <c r="J1700" s="48" t="n">
        <v>1628</v>
      </c>
      <c r="K1700" s="48" t="n">
        <v>1621</v>
      </c>
      <c r="L1700" s="48" t="n">
        <v>89627476</v>
      </c>
      <c r="M1700" s="48" t="n">
        <v>141880294508</v>
      </c>
      <c r="N1700" s="48" t="n">
        <v>4130</v>
      </c>
      <c r="O1700" s="48" t="n">
        <v>31172019</v>
      </c>
      <c r="P1700" s="48" t="n">
        <v>59748359</v>
      </c>
      <c r="Q1700" s="48" t="n">
        <v>1222</v>
      </c>
      <c r="R1700" s="48" t="n">
        <v>2009</v>
      </c>
      <c r="S1700" s="48" t="n">
        <v>58455457</v>
      </c>
      <c r="T1700" s="48" t="n">
        <v>29879117</v>
      </c>
      <c r="U1700" s="46" t="n">
        <f aca="false">IF($A1700=$A1699,$U1699+1,1)</f>
        <v>136</v>
      </c>
      <c r="V1700" s="48" t="n">
        <f aca="false">IF($U1700&gt;=MA_SHORT,AVERAGE(INDEX($I$1300:$I1700,402-MA_SHORT):$I1700),"")</f>
        <v>1671.5</v>
      </c>
      <c r="W1700" s="48" t="n">
        <f aca="false">IF($U1700&gt;=MA_MED,AVERAGE(INDEX($I$1300:$I1700,402-MA_MED):$I1700),"")</f>
        <v>1763.74</v>
      </c>
      <c r="X1700" s="48" t="n">
        <f aca="false">IF($U1700&gt;=MA_LONG1,AVERAGE(INDEX($I$1300:$I1700,402-MA_LONG1):$I1700),"")</f>
        <v>1859.22</v>
      </c>
      <c r="Y1700" s="48" t="str">
        <f aca="false">IF($U1700&gt;=MA_LONG2,AVERAGE(INDEX($I$1300:$I1700,402-MA_LONG2):$I1700),"")</f>
        <v/>
      </c>
      <c r="Z1700" s="48" t="n">
        <f aca="false">IF($U1700&gt;=MA_SHORT,AVERAGE(INDEX($L$1580:$L1700,122-MA_SHORT):$L1700),"")</f>
        <v>90925960.25</v>
      </c>
      <c r="AA1700" s="48" t="n">
        <f aca="false">IF($U1700=1,$G1700-$H1700,MAX($G1700-$H1700,ABS($G1700-$I1699),ABS($H1700-$I1699)))</f>
        <v>57</v>
      </c>
      <c r="AB1700" s="48" t="n">
        <f aca="false">IF($U1700&gt;=ATR_PER,AVERAGE(INDEX($AA$1580:$AA1700,122-ATR_PER):$AA1700),"")</f>
        <v>62.5</v>
      </c>
      <c r="AC1700" s="48" t="n">
        <f aca="false">$O1700-$P1700</f>
        <v>-28576340</v>
      </c>
      <c r="AD1700" s="48" t="n">
        <f aca="false">$AC1700*$I1700</f>
        <v>-45236346220</v>
      </c>
      <c r="AE1700" s="49" t="n">
        <f aca="false">IF($Q1700&gt;0,$O1700*$I1700/$Q1700/1000000,"")</f>
        <v>40.3807742037643</v>
      </c>
      <c r="AF1700" s="49" t="n">
        <f aca="false">IF($R1700&gt;0,$P1700*$I1700/$R1700/1000000,"")</f>
        <v>47.07897077999</v>
      </c>
      <c r="AG1700" s="50" t="n">
        <f aca="false">IF(AND(ISNUMBER($AE1700),ISNUMBER($AF1700),$AF1700&gt;0),$AE1700/$AF1700,"")</f>
        <v>0.857724235146775</v>
      </c>
      <c r="AH1700" s="48" t="n">
        <f aca="false">IF($U1700&gt;=5,SUM(INDEX($AD$1670:$AD1700,32-5):$AD1700),"")</f>
        <v>-175947481811</v>
      </c>
      <c r="AI1700" s="48" t="n">
        <f aca="false">IF($U1700&gt;=STRUCT_S,MAX(INDEX($G$1550:$G1700,152-STRUCT_S):$G1700),"")</f>
        <v>1768</v>
      </c>
      <c r="AJ1700" s="48" t="n">
        <f aca="false">IF($U1700&gt;=STRUCT_S,MIN(INDEX($H$1550:$H1700,152-STRUCT_S):$H1700),"")</f>
        <v>1574</v>
      </c>
      <c r="AK1700" s="48" t="n">
        <f aca="false">IF($U1700&gt;=STRUCT_L,MAX(INDEX($G$1450:$G1700,252-STRUCT_L):$G1700),"")</f>
        <v>2082</v>
      </c>
      <c r="AL1700" s="48" t="n">
        <f aca="false">IF($U1700&gt;=STRUCT_L,MIN(INDEX($H$1450:$H1700,252-STRUCT_L):$H1700),"")</f>
        <v>1574</v>
      </c>
      <c r="AM1700" s="46" t="n">
        <f aca="false">IF($A1700&lt;&gt;$A1701,1,0)</f>
        <v>0</v>
      </c>
      <c r="AN1700" s="47" t="str">
        <f aca="false">IF($AM1700=1,$A1700,"")</f>
        <v/>
      </c>
    </row>
    <row r="1701" customFormat="false" ht="15" hidden="false" customHeight="false" outlineLevel="0" collapsed="false">
      <c r="A1701" s="43" t="s">
        <v>162</v>
      </c>
      <c r="B1701" s="44" t="s">
        <v>164</v>
      </c>
      <c r="C1701" s="45" t="n">
        <v>46096</v>
      </c>
      <c r="D1701" s="46" t="n">
        <v>20260315</v>
      </c>
      <c r="E1701" s="47" t="s">
        <v>424</v>
      </c>
      <c r="F1701" s="48" t="n">
        <v>1554</v>
      </c>
      <c r="G1701" s="48" t="n">
        <v>1595</v>
      </c>
      <c r="H1701" s="48" t="n">
        <v>1523</v>
      </c>
      <c r="I1701" s="48" t="n">
        <v>1535</v>
      </c>
      <c r="J1701" s="48" t="n">
        <v>1543</v>
      </c>
      <c r="K1701" s="48" t="n">
        <v>1583</v>
      </c>
      <c r="L1701" s="48" t="n">
        <v>92871005</v>
      </c>
      <c r="M1701" s="48" t="n">
        <v>142556992675</v>
      </c>
      <c r="N1701" s="48" t="n">
        <v>2883</v>
      </c>
      <c r="O1701" s="48" t="n">
        <v>35490401</v>
      </c>
      <c r="P1701" s="48" t="n">
        <v>52582619</v>
      </c>
      <c r="Q1701" s="48" t="n">
        <v>1234</v>
      </c>
      <c r="R1701" s="48" t="n">
        <v>1221</v>
      </c>
      <c r="S1701" s="48" t="n">
        <v>57380604</v>
      </c>
      <c r="T1701" s="48" t="n">
        <v>40288386</v>
      </c>
      <c r="U1701" s="46" t="n">
        <f aca="false">IF($A1701=$A1700,$U1700+1,1)</f>
        <v>137</v>
      </c>
      <c r="V1701" s="48" t="n">
        <f aca="false">IF($U1701&gt;=MA_SHORT,AVERAGE(INDEX($I$1301:$I1701,402-MA_SHORT):$I1701),"")</f>
        <v>1664.8</v>
      </c>
      <c r="W1701" s="48" t="n">
        <f aca="false">IF($U1701&gt;=MA_MED,AVERAGE(INDEX($I$1301:$I1701,402-MA_MED):$I1701),"")</f>
        <v>1755.58</v>
      </c>
      <c r="X1701" s="48" t="n">
        <f aca="false">IF($U1701&gt;=MA_LONG1,AVERAGE(INDEX($I$1301:$I1701,402-MA_LONG1):$I1701),"")</f>
        <v>1853.92</v>
      </c>
      <c r="Y1701" s="48" t="str">
        <f aca="false">IF($U1701&gt;=MA_LONG2,AVERAGE(INDEX($I$1301:$I1701,402-MA_LONG2):$I1701),"")</f>
        <v/>
      </c>
      <c r="Z1701" s="48" t="n">
        <f aca="false">IF($U1701&gt;=MA_SHORT,AVERAGE(INDEX($L$1581:$L1701,122-MA_SHORT):$L1701),"")</f>
        <v>91156554.3</v>
      </c>
      <c r="AA1701" s="48" t="n">
        <f aca="false">IF($U1701=1,$G1701-$H1701,MAX($G1701-$H1701,ABS($G1701-$I1700),ABS($H1701-$I1700)))</f>
        <v>72</v>
      </c>
      <c r="AB1701" s="48" t="n">
        <f aca="false">IF($U1701&gt;=ATR_PER,AVERAGE(INDEX($AA$1581:$AA1701,122-ATR_PER):$AA1701),"")</f>
        <v>65.4285714285714</v>
      </c>
      <c r="AC1701" s="48" t="n">
        <f aca="false">$O1701-$P1701</f>
        <v>-17092218</v>
      </c>
      <c r="AD1701" s="48" t="n">
        <f aca="false">$AC1701*$I1701</f>
        <v>-26236554630</v>
      </c>
      <c r="AE1701" s="49" t="n">
        <f aca="false">IF($Q1701&gt;0,$O1701*$I1701/$Q1701/1000000,"")</f>
        <v>44.1472978403566</v>
      </c>
      <c r="AF1701" s="49" t="n">
        <f aca="false">IF($R1701&gt;0,$P1701*$I1701/$R1701/1000000,"")</f>
        <v>66.1050943202293</v>
      </c>
      <c r="AG1701" s="50" t="n">
        <f aca="false">IF(AND(ISNUMBER($AE1701),ISNUMBER($AF1701),$AF1701&gt;0),$AE1701/$AF1701,"")</f>
        <v>0.667835032902248</v>
      </c>
      <c r="AH1701" s="48" t="n">
        <f aca="false">IF($U1701&gt;=5,SUM(INDEX($AD$1671:$AD1701,32-5):$AD1701),"")</f>
        <v>-178340432523</v>
      </c>
      <c r="AI1701" s="48" t="n">
        <f aca="false">IF($U1701&gt;=STRUCT_S,MAX(INDEX($G$1551:$G1701,152-STRUCT_S):$G1701),"")</f>
        <v>1768</v>
      </c>
      <c r="AJ1701" s="48" t="n">
        <f aca="false">IF($U1701&gt;=STRUCT_S,MIN(INDEX($H$1551:$H1701,152-STRUCT_S):$H1701),"")</f>
        <v>1523</v>
      </c>
      <c r="AK1701" s="48" t="n">
        <f aca="false">IF($U1701&gt;=STRUCT_L,MAX(INDEX($G$1451:$G1701,252-STRUCT_L):$G1701),"")</f>
        <v>2082</v>
      </c>
      <c r="AL1701" s="48" t="n">
        <f aca="false">IF($U1701&gt;=STRUCT_L,MIN(INDEX($H$1451:$H1701,252-STRUCT_L):$H1701),"")</f>
        <v>1523</v>
      </c>
      <c r="AM1701" s="46" t="n">
        <f aca="false">IF($A1701&lt;&gt;$A1702,1,0)</f>
        <v>0</v>
      </c>
      <c r="AN1701" s="47" t="str">
        <f aca="false">IF($AM1701=1,$A1701,"")</f>
        <v/>
      </c>
    </row>
    <row r="1702" customFormat="false" ht="15" hidden="false" customHeight="false" outlineLevel="0" collapsed="false">
      <c r="A1702" s="43" t="s">
        <v>162</v>
      </c>
      <c r="B1702" s="44" t="s">
        <v>164</v>
      </c>
      <c r="C1702" s="45" t="n">
        <v>46097</v>
      </c>
      <c r="D1702" s="46" t="n">
        <v>20260316</v>
      </c>
      <c r="E1702" s="47" t="s">
        <v>425</v>
      </c>
      <c r="F1702" s="48" t="n">
        <v>1538</v>
      </c>
      <c r="G1702" s="48" t="n">
        <v>1560</v>
      </c>
      <c r="H1702" s="48" t="n">
        <v>1511</v>
      </c>
      <c r="I1702" s="48" t="n">
        <v>1536</v>
      </c>
      <c r="J1702" s="48" t="n">
        <v>1526</v>
      </c>
      <c r="K1702" s="48" t="n">
        <v>1535</v>
      </c>
      <c r="L1702" s="48" t="n">
        <v>104770463</v>
      </c>
      <c r="M1702" s="48" t="n">
        <v>160927431168</v>
      </c>
      <c r="N1702" s="48" t="n">
        <v>4545</v>
      </c>
      <c r="O1702" s="48" t="n">
        <v>51250954</v>
      </c>
      <c r="P1702" s="48" t="n">
        <v>58064818</v>
      </c>
      <c r="Q1702" s="48" t="n">
        <v>1534</v>
      </c>
      <c r="R1702" s="48" t="n">
        <v>1969</v>
      </c>
      <c r="S1702" s="48" t="n">
        <v>53519509</v>
      </c>
      <c r="T1702" s="48" t="n">
        <v>46705645</v>
      </c>
      <c r="U1702" s="46" t="n">
        <f aca="false">IF($A1702=$A1701,$U1701+1,1)</f>
        <v>138</v>
      </c>
      <c r="V1702" s="48" t="n">
        <f aca="false">IF($U1702&gt;=MA_SHORT,AVERAGE(INDEX($I$1302:$I1702,402-MA_SHORT):$I1702),"")</f>
        <v>1658.25</v>
      </c>
      <c r="W1702" s="48" t="n">
        <f aca="false">IF($U1702&gt;=MA_MED,AVERAGE(INDEX($I$1302:$I1702,402-MA_MED):$I1702),"")</f>
        <v>1747.78</v>
      </c>
      <c r="X1702" s="48" t="n">
        <f aca="false">IF($U1702&gt;=MA_LONG1,AVERAGE(INDEX($I$1302:$I1702,402-MA_LONG1):$I1702),"")</f>
        <v>1849.05</v>
      </c>
      <c r="Y1702" s="48" t="str">
        <f aca="false">IF($U1702&gt;=MA_LONG2,AVERAGE(INDEX($I$1302:$I1702,402-MA_LONG2):$I1702),"")</f>
        <v/>
      </c>
      <c r="Z1702" s="48" t="n">
        <f aca="false">IF($U1702&gt;=MA_SHORT,AVERAGE(INDEX($L$1582:$L1702,122-MA_SHORT):$L1702),"")</f>
        <v>92438053.75</v>
      </c>
      <c r="AA1702" s="48" t="n">
        <f aca="false">IF($U1702=1,$G1702-$H1702,MAX($G1702-$H1702,ABS($G1702-$I1701),ABS($H1702-$I1701)))</f>
        <v>49</v>
      </c>
      <c r="AB1702" s="48" t="n">
        <f aca="false">IF($U1702&gt;=ATR_PER,AVERAGE(INDEX($AA$1582:$AA1702,122-ATR_PER):$AA1702),"")</f>
        <v>62.3571428571429</v>
      </c>
      <c r="AC1702" s="48" t="n">
        <f aca="false">$O1702-$P1702</f>
        <v>-6813864</v>
      </c>
      <c r="AD1702" s="48" t="n">
        <f aca="false">$AC1702*$I1702</f>
        <v>-10466095104</v>
      </c>
      <c r="AE1702" s="49" t="n">
        <f aca="false">IF($Q1702&gt;0,$O1702*$I1702/$Q1702/1000000,"")</f>
        <v>51.3177740182529</v>
      </c>
      <c r="AF1702" s="49" t="n">
        <f aca="false">IF($R1702&gt;0,$P1702*$I1702/$R1702/1000000,"")</f>
        <v>45.2958661493144</v>
      </c>
      <c r="AG1702" s="50" t="n">
        <f aca="false">IF(AND(ISNUMBER($AE1702),ISNUMBER($AF1702),$AF1702&gt;0),$AE1702/$AF1702,"")</f>
        <v>1.13294608053388</v>
      </c>
      <c r="AH1702" s="48" t="n">
        <f aca="false">IF($U1702&gt;=5,SUM(INDEX($AD$1672:$AD1702,32-5):$AD1702),"")</f>
        <v>-108881954315</v>
      </c>
      <c r="AI1702" s="48" t="n">
        <f aca="false">IF($U1702&gt;=STRUCT_S,MAX(INDEX($G$1552:$G1702,152-STRUCT_S):$G1702),"")</f>
        <v>1768</v>
      </c>
      <c r="AJ1702" s="48" t="n">
        <f aca="false">IF($U1702&gt;=STRUCT_S,MIN(INDEX($H$1552:$H1702,152-STRUCT_S):$H1702),"")</f>
        <v>1511</v>
      </c>
      <c r="AK1702" s="48" t="n">
        <f aca="false">IF($U1702&gt;=STRUCT_L,MAX(INDEX($G$1452:$G1702,252-STRUCT_L):$G1702),"")</f>
        <v>2082</v>
      </c>
      <c r="AL1702" s="48" t="n">
        <f aca="false">IF($U1702&gt;=STRUCT_L,MIN(INDEX($H$1452:$H1702,252-STRUCT_L):$H1702),"")</f>
        <v>1511</v>
      </c>
      <c r="AM1702" s="46" t="n">
        <f aca="false">IF($A1702&lt;&gt;$A1703,1,0)</f>
        <v>0</v>
      </c>
      <c r="AN1702" s="47" t="str">
        <f aca="false">IF($AM1702=1,$A1702,"")</f>
        <v/>
      </c>
    </row>
    <row r="1703" customFormat="false" ht="15" hidden="false" customHeight="false" outlineLevel="0" collapsed="false">
      <c r="A1703" s="43" t="s">
        <v>162</v>
      </c>
      <c r="B1703" s="44" t="s">
        <v>164</v>
      </c>
      <c r="C1703" s="45" t="n">
        <v>46098</v>
      </c>
      <c r="D1703" s="46" t="n">
        <v>20260317</v>
      </c>
      <c r="E1703" s="47" t="s">
        <v>426</v>
      </c>
      <c r="F1703" s="48" t="n">
        <v>1530</v>
      </c>
      <c r="G1703" s="48" t="n">
        <v>1579</v>
      </c>
      <c r="H1703" s="48" t="n">
        <v>1513</v>
      </c>
      <c r="I1703" s="48" t="n">
        <v>1556</v>
      </c>
      <c r="J1703" s="48" t="n">
        <v>1578</v>
      </c>
      <c r="K1703" s="48" t="n">
        <v>1536</v>
      </c>
      <c r="L1703" s="48" t="n">
        <v>110945652</v>
      </c>
      <c r="M1703" s="48" t="n">
        <v>172631434512</v>
      </c>
      <c r="N1703" s="48" t="n">
        <v>3529</v>
      </c>
      <c r="O1703" s="48" t="n">
        <v>54311832</v>
      </c>
      <c r="P1703" s="48" t="n">
        <v>55752321</v>
      </c>
      <c r="Q1703" s="48" t="n">
        <v>1694</v>
      </c>
      <c r="R1703" s="48" t="n">
        <v>1616</v>
      </c>
      <c r="S1703" s="48" t="n">
        <v>56633820</v>
      </c>
      <c r="T1703" s="48" t="n">
        <v>55193331</v>
      </c>
      <c r="U1703" s="46" t="n">
        <f aca="false">IF($A1703=$A1702,$U1702+1,1)</f>
        <v>139</v>
      </c>
      <c r="V1703" s="48" t="n">
        <f aca="false">IF($U1703&gt;=MA_SHORT,AVERAGE(INDEX($I$1303:$I1703,402-MA_SHORT):$I1703),"")</f>
        <v>1653.2</v>
      </c>
      <c r="W1703" s="48" t="n">
        <f aca="false">IF($U1703&gt;=MA_MED,AVERAGE(INDEX($I$1303:$I1703,402-MA_MED):$I1703),"")</f>
        <v>1740.88</v>
      </c>
      <c r="X1703" s="48" t="n">
        <f aca="false">IF($U1703&gt;=MA_LONG1,AVERAGE(INDEX($I$1303:$I1703,402-MA_LONG1):$I1703),"")</f>
        <v>1844.3</v>
      </c>
      <c r="Y1703" s="48" t="str">
        <f aca="false">IF($U1703&gt;=MA_LONG2,AVERAGE(INDEX($I$1303:$I1703,402-MA_LONG2):$I1703),"")</f>
        <v/>
      </c>
      <c r="Z1703" s="48" t="n">
        <f aca="false">IF($U1703&gt;=MA_SHORT,AVERAGE(INDEX($L$1583:$L1703,122-MA_SHORT):$L1703),"")</f>
        <v>93915152.65</v>
      </c>
      <c r="AA1703" s="48" t="n">
        <f aca="false">IF($U1703=1,$G1703-$H1703,MAX($G1703-$H1703,ABS($G1703-$I1702),ABS($H1703-$I1702)))</f>
        <v>66</v>
      </c>
      <c r="AB1703" s="48" t="n">
        <f aca="false">IF($U1703&gt;=ATR_PER,AVERAGE(INDEX($AA$1583:$AA1703,122-ATR_PER):$AA1703),"")</f>
        <v>62.0714285714286</v>
      </c>
      <c r="AC1703" s="48" t="n">
        <f aca="false">$O1703-$P1703</f>
        <v>-1440489</v>
      </c>
      <c r="AD1703" s="48" t="n">
        <f aca="false">$AC1703*$I1703</f>
        <v>-2241400884</v>
      </c>
      <c r="AE1703" s="49" t="n">
        <f aca="false">IF($Q1703&gt;0,$O1703*$I1703/$Q1703/1000000,"")</f>
        <v>49.8873734309327</v>
      </c>
      <c r="AF1703" s="49" t="n">
        <f aca="false">IF($R1703&gt;0,$P1703*$I1703/$R1703/1000000,"")</f>
        <v>53.6823090816832</v>
      </c>
      <c r="AG1703" s="50" t="n">
        <f aca="false">IF(AND(ISNUMBER($AE1703),ISNUMBER($AF1703),$AF1703&gt;0),$AE1703/$AF1703,"")</f>
        <v>0.929307518330181</v>
      </c>
      <c r="AH1703" s="48" t="n">
        <f aca="false">IF($U1703&gt;=5,SUM(INDEX($AD$1673:$AD1703,32-5):$AD1703),"")</f>
        <v>-79256585023</v>
      </c>
      <c r="AI1703" s="48" t="n">
        <f aca="false">IF($U1703&gt;=STRUCT_S,MAX(INDEX($G$1553:$G1703,152-STRUCT_S):$G1703),"")</f>
        <v>1768</v>
      </c>
      <c r="AJ1703" s="48" t="n">
        <f aca="false">IF($U1703&gt;=STRUCT_S,MIN(INDEX($H$1553:$H1703,152-STRUCT_S):$H1703),"")</f>
        <v>1511</v>
      </c>
      <c r="AK1703" s="48" t="n">
        <f aca="false">IF($U1703&gt;=STRUCT_L,MAX(INDEX($G$1453:$G1703,252-STRUCT_L):$G1703),"")</f>
        <v>2067</v>
      </c>
      <c r="AL1703" s="48" t="n">
        <f aca="false">IF($U1703&gt;=STRUCT_L,MIN(INDEX($H$1453:$H1703,252-STRUCT_L):$H1703),"")</f>
        <v>1511</v>
      </c>
      <c r="AM1703" s="46" t="n">
        <f aca="false">IF($A1703&lt;&gt;$A1704,1,0)</f>
        <v>0</v>
      </c>
      <c r="AN1703" s="47" t="str">
        <f aca="false">IF($AM1703=1,$A1703,"")</f>
        <v/>
      </c>
    </row>
    <row r="1704" customFormat="false" ht="15" hidden="false" customHeight="false" outlineLevel="0" collapsed="false">
      <c r="A1704" s="43" t="s">
        <v>162</v>
      </c>
      <c r="B1704" s="44" t="s">
        <v>164</v>
      </c>
      <c r="C1704" s="45" t="n">
        <v>46099</v>
      </c>
      <c r="D1704" s="46" t="n">
        <v>20260318</v>
      </c>
      <c r="E1704" s="47" t="s">
        <v>427</v>
      </c>
      <c r="F1704" s="48" t="n">
        <v>1549</v>
      </c>
      <c r="G1704" s="48" t="n">
        <v>1564</v>
      </c>
      <c r="H1704" s="48" t="n">
        <v>1527</v>
      </c>
      <c r="I1704" s="48" t="n">
        <v>1535</v>
      </c>
      <c r="J1704" s="48" t="n">
        <v>1554</v>
      </c>
      <c r="K1704" s="48" t="n">
        <v>1556</v>
      </c>
      <c r="L1704" s="48" t="n">
        <v>84938320</v>
      </c>
      <c r="M1704" s="48" t="n">
        <v>130380321200</v>
      </c>
      <c r="N1704" s="48" t="n">
        <v>6532</v>
      </c>
      <c r="O1704" s="48" t="n">
        <v>35987961</v>
      </c>
      <c r="P1704" s="48" t="n">
        <v>54263746</v>
      </c>
      <c r="Q1704" s="48" t="n">
        <v>1900</v>
      </c>
      <c r="R1704" s="48" t="n">
        <v>2387</v>
      </c>
      <c r="S1704" s="48" t="n">
        <v>48950359</v>
      </c>
      <c r="T1704" s="48" t="n">
        <v>30674574</v>
      </c>
      <c r="U1704" s="46" t="n">
        <f aca="false">IF($A1704=$A1703,$U1703+1,1)</f>
        <v>140</v>
      </c>
      <c r="V1704" s="48" t="n">
        <f aca="false">IF($U1704&gt;=MA_SHORT,AVERAGE(INDEX($I$1304:$I1704,402-MA_SHORT):$I1704),"")</f>
        <v>1645.25</v>
      </c>
      <c r="W1704" s="48" t="n">
        <f aca="false">IF($U1704&gt;=MA_MED,AVERAGE(INDEX($I$1304:$I1704,402-MA_MED):$I1704),"")</f>
        <v>1733.84</v>
      </c>
      <c r="X1704" s="48" t="n">
        <f aca="false">IF($U1704&gt;=MA_LONG1,AVERAGE(INDEX($I$1304:$I1704,402-MA_LONG1):$I1704),"")</f>
        <v>1839.76</v>
      </c>
      <c r="Y1704" s="48" t="str">
        <f aca="false">IF($U1704&gt;=MA_LONG2,AVERAGE(INDEX($I$1304:$I1704,402-MA_LONG2):$I1704),"")</f>
        <v/>
      </c>
      <c r="Z1704" s="48" t="n">
        <f aca="false">IF($U1704&gt;=MA_SHORT,AVERAGE(INDEX($L$1584:$L1704,122-MA_SHORT):$L1704),"")</f>
        <v>93706926.7</v>
      </c>
      <c r="AA1704" s="48" t="n">
        <f aca="false">IF($U1704=1,$G1704-$H1704,MAX($G1704-$H1704,ABS($G1704-$I1703),ABS($H1704-$I1703)))</f>
        <v>37</v>
      </c>
      <c r="AB1704" s="48" t="n">
        <f aca="false">IF($U1704&gt;=ATR_PER,AVERAGE(INDEX($AA$1584:$AA1704,122-ATR_PER):$AA1704),"")</f>
        <v>62.4285714285714</v>
      </c>
      <c r="AC1704" s="48" t="n">
        <f aca="false">$O1704-$P1704</f>
        <v>-18275785</v>
      </c>
      <c r="AD1704" s="48" t="n">
        <f aca="false">$AC1704*$I1704</f>
        <v>-28053329975</v>
      </c>
      <c r="AE1704" s="49" t="n">
        <f aca="false">IF($Q1704&gt;0,$O1704*$I1704/$Q1704/1000000,"")</f>
        <v>29.0744842815789</v>
      </c>
      <c r="AF1704" s="49" t="n">
        <f aca="false">IF($R1704&gt;0,$P1704*$I1704/$R1704/1000000,"")</f>
        <v>34.8952032299958</v>
      </c>
      <c r="AG1704" s="50" t="n">
        <f aca="false">IF(AND(ISNUMBER($AE1704),ISNUMBER($AF1704),$AF1704&gt;0),$AE1704/$AF1704,"")</f>
        <v>0.833194295787526</v>
      </c>
      <c r="AH1704" s="48" t="n">
        <f aca="false">IF($U1704&gt;=5,SUM(INDEX($AD$1674:$AD1704,32-5):$AD1704),"")</f>
        <v>-112233726813</v>
      </c>
      <c r="AI1704" s="48" t="n">
        <f aca="false">IF($U1704&gt;=STRUCT_S,MAX(INDEX($G$1554:$G1704,152-STRUCT_S):$G1704),"")</f>
        <v>1768</v>
      </c>
      <c r="AJ1704" s="48" t="n">
        <f aca="false">IF($U1704&gt;=STRUCT_S,MIN(INDEX($H$1554:$H1704,152-STRUCT_S):$H1704),"")</f>
        <v>1511</v>
      </c>
      <c r="AK1704" s="48" t="n">
        <f aca="false">IF($U1704&gt;=STRUCT_L,MAX(INDEX($G$1454:$G1704,252-STRUCT_L):$G1704),"")</f>
        <v>2067</v>
      </c>
      <c r="AL1704" s="48" t="n">
        <f aca="false">IF($U1704&gt;=STRUCT_L,MIN(INDEX($H$1454:$H1704,252-STRUCT_L):$H1704),"")</f>
        <v>1511</v>
      </c>
      <c r="AM1704" s="46" t="n">
        <f aca="false">IF($A1704&lt;&gt;$A1705,1,0)</f>
        <v>0</v>
      </c>
      <c r="AN1704" s="47" t="str">
        <f aca="false">IF($AM1704=1,$A1704,"")</f>
        <v/>
      </c>
    </row>
    <row r="1705" customFormat="false" ht="15" hidden="false" customHeight="false" outlineLevel="0" collapsed="false">
      <c r="A1705" s="43" t="s">
        <v>162</v>
      </c>
      <c r="B1705" s="44" t="s">
        <v>164</v>
      </c>
      <c r="C1705" s="45" t="n">
        <v>46102</v>
      </c>
      <c r="D1705" s="46" t="n">
        <v>20260321</v>
      </c>
      <c r="E1705" s="47" t="s">
        <v>428</v>
      </c>
      <c r="F1705" s="48" t="n">
        <v>1510</v>
      </c>
      <c r="G1705" s="48" t="n">
        <v>1548</v>
      </c>
      <c r="H1705" s="48" t="n">
        <v>1490</v>
      </c>
      <c r="I1705" s="48" t="n">
        <v>1503</v>
      </c>
      <c r="J1705" s="48" t="n">
        <v>1543</v>
      </c>
      <c r="K1705" s="48" t="n">
        <v>1535</v>
      </c>
      <c r="L1705" s="48" t="n">
        <v>105397572</v>
      </c>
      <c r="M1705" s="48" t="n">
        <v>158412550716</v>
      </c>
      <c r="N1705" s="48" t="n">
        <v>5867</v>
      </c>
      <c r="O1705" s="48" t="n">
        <v>45924818</v>
      </c>
      <c r="P1705" s="48" t="n">
        <v>59247402</v>
      </c>
      <c r="Q1705" s="48" t="n">
        <v>2562</v>
      </c>
      <c r="R1705" s="48" t="n">
        <v>2208</v>
      </c>
      <c r="S1705" s="48" t="n">
        <v>59472754</v>
      </c>
      <c r="T1705" s="48" t="n">
        <v>46150170</v>
      </c>
      <c r="U1705" s="46" t="n">
        <f aca="false">IF($A1705=$A1704,$U1704+1,1)</f>
        <v>141</v>
      </c>
      <c r="V1705" s="48" t="n">
        <f aca="false">IF($U1705&gt;=MA_SHORT,AVERAGE(INDEX($I$1305:$I1705,402-MA_SHORT):$I1705),"")</f>
        <v>1638.05</v>
      </c>
      <c r="W1705" s="48" t="n">
        <f aca="false">IF($U1705&gt;=MA_MED,AVERAGE(INDEX($I$1305:$I1705,402-MA_MED):$I1705),"")</f>
        <v>1725.62</v>
      </c>
      <c r="X1705" s="48" t="n">
        <f aca="false">IF($U1705&gt;=MA_LONG1,AVERAGE(INDEX($I$1305:$I1705,402-MA_LONG1):$I1705),"")</f>
        <v>1835.23</v>
      </c>
      <c r="Y1705" s="48" t="str">
        <f aca="false">IF($U1705&gt;=MA_LONG2,AVERAGE(INDEX($I$1305:$I1705,402-MA_LONG2):$I1705),"")</f>
        <v/>
      </c>
      <c r="Z1705" s="48" t="n">
        <f aca="false">IF($U1705&gt;=MA_SHORT,AVERAGE(INDEX($L$1585:$L1705,122-MA_SHORT):$L1705),"")</f>
        <v>93760427.55</v>
      </c>
      <c r="AA1705" s="48" t="n">
        <f aca="false">IF($U1705=1,$G1705-$H1705,MAX($G1705-$H1705,ABS($G1705-$I1704),ABS($H1705-$I1704)))</f>
        <v>58</v>
      </c>
      <c r="AB1705" s="48" t="n">
        <f aca="false">IF($U1705&gt;=ATR_PER,AVERAGE(INDEX($AA$1585:$AA1705,122-ATR_PER):$AA1705),"")</f>
        <v>63.2142857142857</v>
      </c>
      <c r="AC1705" s="48" t="n">
        <f aca="false">$O1705-$P1705</f>
        <v>-13322584</v>
      </c>
      <c r="AD1705" s="48" t="n">
        <f aca="false">$AC1705*$I1705</f>
        <v>-20023843752</v>
      </c>
      <c r="AE1705" s="49" t="n">
        <f aca="false">IF($Q1705&gt;0,$O1705*$I1705/$Q1705/1000000,"")</f>
        <v>26.9418428782201</v>
      </c>
      <c r="AF1705" s="49" t="n">
        <f aca="false">IF($R1705&gt;0,$P1705*$I1705/$R1705/1000000,"")</f>
        <v>40.3300929375</v>
      </c>
      <c r="AG1705" s="50" t="n">
        <f aca="false">IF(AND(ISNUMBER($AE1705),ISNUMBER($AF1705),$AF1705&gt;0),$AE1705/$AF1705,"")</f>
        <v>0.668033245546253</v>
      </c>
      <c r="AH1705" s="48" t="n">
        <f aca="false">IF($U1705&gt;=5,SUM(INDEX($AD$1675:$AD1705,32-5):$AD1705),"")</f>
        <v>-87021224345</v>
      </c>
      <c r="AI1705" s="48" t="n">
        <f aca="false">IF($U1705&gt;=STRUCT_S,MAX(INDEX($G$1555:$G1705,152-STRUCT_S):$G1705),"")</f>
        <v>1768</v>
      </c>
      <c r="AJ1705" s="48" t="n">
        <f aca="false">IF($U1705&gt;=STRUCT_S,MIN(INDEX($H$1555:$H1705,152-STRUCT_S):$H1705),"")</f>
        <v>1490</v>
      </c>
      <c r="AK1705" s="48" t="n">
        <f aca="false">IF($U1705&gt;=STRUCT_L,MAX(INDEX($G$1455:$G1705,252-STRUCT_L):$G1705),"")</f>
        <v>2057</v>
      </c>
      <c r="AL1705" s="48" t="n">
        <f aca="false">IF($U1705&gt;=STRUCT_L,MIN(INDEX($H$1455:$H1705,252-STRUCT_L):$H1705),"")</f>
        <v>1490</v>
      </c>
      <c r="AM1705" s="46" t="n">
        <f aca="false">IF($A1705&lt;&gt;$A1706,1,0)</f>
        <v>0</v>
      </c>
      <c r="AN1705" s="47" t="str">
        <f aca="false">IF($AM1705=1,$A1705,"")</f>
        <v/>
      </c>
    </row>
    <row r="1706" customFormat="false" ht="15" hidden="false" customHeight="false" outlineLevel="0" collapsed="false">
      <c r="A1706" s="43" t="s">
        <v>162</v>
      </c>
      <c r="B1706" s="44" t="s">
        <v>164</v>
      </c>
      <c r="C1706" s="45" t="n">
        <v>46103</v>
      </c>
      <c r="D1706" s="46" t="n">
        <v>20260322</v>
      </c>
      <c r="E1706" s="47" t="s">
        <v>429</v>
      </c>
      <c r="F1706" s="48" t="n">
        <v>1481</v>
      </c>
      <c r="G1706" s="48" t="n">
        <v>1516</v>
      </c>
      <c r="H1706" s="48" t="n">
        <v>1463</v>
      </c>
      <c r="I1706" s="48" t="n">
        <v>1476</v>
      </c>
      <c r="J1706" s="48" t="n">
        <v>1477</v>
      </c>
      <c r="K1706" s="48" t="n">
        <v>1503</v>
      </c>
      <c r="L1706" s="48" t="n">
        <v>125789018</v>
      </c>
      <c r="M1706" s="48" t="n">
        <v>185664590568</v>
      </c>
      <c r="N1706" s="48" t="n">
        <v>5996</v>
      </c>
      <c r="O1706" s="48" t="n">
        <v>58840382</v>
      </c>
      <c r="P1706" s="48" t="n">
        <v>65870153</v>
      </c>
      <c r="Q1706" s="48" t="n">
        <v>1892</v>
      </c>
      <c r="R1706" s="48" t="n">
        <v>2009</v>
      </c>
      <c r="S1706" s="48" t="n">
        <v>66948636</v>
      </c>
      <c r="T1706" s="48" t="n">
        <v>59918865</v>
      </c>
      <c r="U1706" s="46" t="n">
        <f aca="false">IF($A1706=$A1705,$U1705+1,1)</f>
        <v>142</v>
      </c>
      <c r="V1706" s="48" t="n">
        <f aca="false">IF($U1706&gt;=MA_SHORT,AVERAGE(INDEX($I$1306:$I1706,402-MA_SHORT):$I1706),"")</f>
        <v>1630</v>
      </c>
      <c r="W1706" s="48" t="n">
        <f aca="false">IF($U1706&gt;=MA_MED,AVERAGE(INDEX($I$1306:$I1706,402-MA_MED):$I1706),"")</f>
        <v>1716.4</v>
      </c>
      <c r="X1706" s="48" t="n">
        <f aca="false">IF($U1706&gt;=MA_LONG1,AVERAGE(INDEX($I$1306:$I1706,402-MA_LONG1):$I1706),"")</f>
        <v>1830.54</v>
      </c>
      <c r="Y1706" s="48" t="str">
        <f aca="false">IF($U1706&gt;=MA_LONG2,AVERAGE(INDEX($I$1306:$I1706,402-MA_LONG2):$I1706),"")</f>
        <v/>
      </c>
      <c r="Z1706" s="48" t="n">
        <f aca="false">IF($U1706&gt;=MA_SHORT,AVERAGE(INDEX($L$1586:$L1706,122-MA_SHORT):$L1706),"")</f>
        <v>95977977.6</v>
      </c>
      <c r="AA1706" s="48" t="n">
        <f aca="false">IF($U1706=1,$G1706-$H1706,MAX($G1706-$H1706,ABS($G1706-$I1705),ABS($H1706-$I1705)))</f>
        <v>53</v>
      </c>
      <c r="AB1706" s="48" t="n">
        <f aca="false">IF($U1706&gt;=ATR_PER,AVERAGE(INDEX($AA$1586:$AA1706,122-ATR_PER):$AA1706),"")</f>
        <v>58.5</v>
      </c>
      <c r="AC1706" s="48" t="n">
        <f aca="false">$O1706-$P1706</f>
        <v>-7029771</v>
      </c>
      <c r="AD1706" s="48" t="n">
        <f aca="false">$AC1706*$I1706</f>
        <v>-10375941996</v>
      </c>
      <c r="AE1706" s="49" t="n">
        <f aca="false">IF($Q1706&gt;0,$O1706*$I1706/$Q1706/1000000,"")</f>
        <v>45.9029618562368</v>
      </c>
      <c r="AF1706" s="49" t="n">
        <f aca="false">IF($R1706&gt;0,$P1706*$I1706/$R1706/1000000,"")</f>
        <v>48.394398122449</v>
      </c>
      <c r="AG1706" s="50" t="n">
        <f aca="false">IF(AND(ISNUMBER($AE1706),ISNUMBER($AF1706),$AF1706&gt;0),$AE1706/$AF1706,"")</f>
        <v>0.948518085504271</v>
      </c>
      <c r="AH1706" s="48" t="n">
        <f aca="false">IF($U1706&gt;=5,SUM(INDEX($AD$1676:$AD1706,32-5):$AD1706),"")</f>
        <v>-71160611711</v>
      </c>
      <c r="AI1706" s="48" t="n">
        <f aca="false">IF($U1706&gt;=STRUCT_S,MAX(INDEX($G$1556:$G1706,152-STRUCT_S):$G1706),"")</f>
        <v>1768</v>
      </c>
      <c r="AJ1706" s="48" t="n">
        <f aca="false">IF($U1706&gt;=STRUCT_S,MIN(INDEX($H$1556:$H1706,152-STRUCT_S):$H1706),"")</f>
        <v>1463</v>
      </c>
      <c r="AK1706" s="48" t="n">
        <f aca="false">IF($U1706&gt;=STRUCT_L,MAX(INDEX($G$1456:$G1706,252-STRUCT_L):$G1706),"")</f>
        <v>2057</v>
      </c>
      <c r="AL1706" s="48" t="n">
        <f aca="false">IF($U1706&gt;=STRUCT_L,MIN(INDEX($H$1456:$H1706,252-STRUCT_L):$H1706),"")</f>
        <v>1463</v>
      </c>
      <c r="AM1706" s="46" t="n">
        <f aca="false">IF($A1706&lt;&gt;$A1707,1,0)</f>
        <v>0</v>
      </c>
      <c r="AN1706" s="47" t="str">
        <f aca="false">IF($AM1706=1,$A1706,"")</f>
        <v/>
      </c>
    </row>
    <row r="1707" customFormat="false" ht="15" hidden="false" customHeight="false" outlineLevel="0" collapsed="false">
      <c r="A1707" s="43" t="s">
        <v>162</v>
      </c>
      <c r="B1707" s="44" t="s">
        <v>164</v>
      </c>
      <c r="C1707" s="45" t="n">
        <v>46104</v>
      </c>
      <c r="D1707" s="46" t="n">
        <v>20260323</v>
      </c>
      <c r="E1707" s="47" t="s">
        <v>430</v>
      </c>
      <c r="F1707" s="48" t="n">
        <v>1467</v>
      </c>
      <c r="G1707" s="48" t="n">
        <v>1484</v>
      </c>
      <c r="H1707" s="48" t="n">
        <v>1455</v>
      </c>
      <c r="I1707" s="48" t="n">
        <v>1463</v>
      </c>
      <c r="J1707" s="48" t="n">
        <v>1484</v>
      </c>
      <c r="K1707" s="48" t="n">
        <v>1476</v>
      </c>
      <c r="L1707" s="48" t="n">
        <v>82727886</v>
      </c>
      <c r="M1707" s="48" t="n">
        <v>121030897218</v>
      </c>
      <c r="N1707" s="48" t="n">
        <v>2761</v>
      </c>
      <c r="O1707" s="48" t="n">
        <v>42235404</v>
      </c>
      <c r="P1707" s="48" t="n">
        <v>36022555</v>
      </c>
      <c r="Q1707" s="48" t="n">
        <v>1011</v>
      </c>
      <c r="R1707" s="48" t="n">
        <v>1558</v>
      </c>
      <c r="S1707" s="48" t="n">
        <v>40492482</v>
      </c>
      <c r="T1707" s="48" t="n">
        <v>46705331</v>
      </c>
      <c r="U1707" s="46" t="n">
        <f aca="false">IF($A1707=$A1706,$U1706+1,1)</f>
        <v>143</v>
      </c>
      <c r="V1707" s="48" t="n">
        <f aca="false">IF($U1707&gt;=MA_SHORT,AVERAGE(INDEX($I$1307:$I1707,402-MA_SHORT):$I1707),"")</f>
        <v>1620.15</v>
      </c>
      <c r="W1707" s="48" t="n">
        <f aca="false">IF($U1707&gt;=MA_MED,AVERAGE(INDEX($I$1307:$I1707,402-MA_MED):$I1707),"")</f>
        <v>1707.04</v>
      </c>
      <c r="X1707" s="48" t="n">
        <f aca="false">IF($U1707&gt;=MA_LONG1,AVERAGE(INDEX($I$1307:$I1707,402-MA_LONG1):$I1707),"")</f>
        <v>1825.57</v>
      </c>
      <c r="Y1707" s="48" t="str">
        <f aca="false">IF($U1707&gt;=MA_LONG2,AVERAGE(INDEX($I$1307:$I1707,402-MA_LONG2):$I1707),"")</f>
        <v/>
      </c>
      <c r="Z1707" s="48" t="n">
        <f aca="false">IF($U1707&gt;=MA_SHORT,AVERAGE(INDEX($L$1587:$L1707,122-MA_SHORT):$L1707),"")</f>
        <v>95854397.85</v>
      </c>
      <c r="AA1707" s="48" t="n">
        <f aca="false">IF($U1707=1,$G1707-$H1707,MAX($G1707-$H1707,ABS($G1707-$I1706),ABS($H1707-$I1706)))</f>
        <v>29</v>
      </c>
      <c r="AB1707" s="48" t="n">
        <f aca="false">IF($U1707&gt;=ATR_PER,AVERAGE(INDEX($AA$1587:$AA1707,122-ATR_PER):$AA1707),"")</f>
        <v>56</v>
      </c>
      <c r="AC1707" s="48" t="n">
        <f aca="false">$O1707-$P1707</f>
        <v>6212849</v>
      </c>
      <c r="AD1707" s="48" t="n">
        <f aca="false">$AC1707*$I1707</f>
        <v>9089398087</v>
      </c>
      <c r="AE1707" s="49" t="n">
        <f aca="false">IF($Q1707&gt;0,$O1707*$I1707/$Q1707/1000000,"")</f>
        <v>61.1180969851632</v>
      </c>
      <c r="AF1707" s="49" t="n">
        <f aca="false">IF($R1707&gt;0,$P1707*$I1707/$R1707/1000000,"")</f>
        <v>33.8260577439024</v>
      </c>
      <c r="AG1707" s="50" t="n">
        <f aca="false">IF(AND(ISNUMBER($AE1707),ISNUMBER($AF1707),$AF1707&gt;0),$AE1707/$AF1707,"")</f>
        <v>1.8068347617653</v>
      </c>
      <c r="AH1707" s="48" t="n">
        <f aca="false">IF($U1707&gt;=5,SUM(INDEX($AD$1677:$AD1707,32-5):$AD1707),"")</f>
        <v>-51605118520</v>
      </c>
      <c r="AI1707" s="48" t="n">
        <f aca="false">IF($U1707&gt;=STRUCT_S,MAX(INDEX($G$1557:$G1707,152-STRUCT_S):$G1707),"")</f>
        <v>1768</v>
      </c>
      <c r="AJ1707" s="48" t="n">
        <f aca="false">IF($U1707&gt;=STRUCT_S,MIN(INDEX($H$1557:$H1707,152-STRUCT_S):$H1707),"")</f>
        <v>1455</v>
      </c>
      <c r="AK1707" s="48" t="n">
        <f aca="false">IF($U1707&gt;=STRUCT_L,MAX(INDEX($G$1457:$G1707,252-STRUCT_L):$G1707),"")</f>
        <v>2019</v>
      </c>
      <c r="AL1707" s="48" t="n">
        <f aca="false">IF($U1707&gt;=STRUCT_L,MIN(INDEX($H$1457:$H1707,252-STRUCT_L):$H1707),"")</f>
        <v>1455</v>
      </c>
      <c r="AM1707" s="46" t="n">
        <f aca="false">IF($A1707&lt;&gt;$A1708,1,0)</f>
        <v>0</v>
      </c>
      <c r="AN1707" s="47" t="str">
        <f aca="false">IF($AM1707=1,$A1707,"")</f>
        <v/>
      </c>
    </row>
    <row r="1708" customFormat="false" ht="15" hidden="false" customHeight="false" outlineLevel="0" collapsed="false">
      <c r="A1708" s="43" t="s">
        <v>162</v>
      </c>
      <c r="B1708" s="44" t="s">
        <v>164</v>
      </c>
      <c r="C1708" s="45" t="n">
        <v>46105</v>
      </c>
      <c r="D1708" s="46" t="n">
        <v>20260324</v>
      </c>
      <c r="E1708" s="47" t="s">
        <v>431</v>
      </c>
      <c r="F1708" s="48" t="n">
        <v>1437</v>
      </c>
      <c r="G1708" s="48" t="n">
        <v>1472</v>
      </c>
      <c r="H1708" s="48" t="n">
        <v>1418</v>
      </c>
      <c r="I1708" s="48" t="n">
        <v>1427</v>
      </c>
      <c r="J1708" s="48" t="n">
        <v>1453</v>
      </c>
      <c r="K1708" s="48" t="n">
        <v>1463</v>
      </c>
      <c r="L1708" s="48" t="n">
        <v>143461470</v>
      </c>
      <c r="M1708" s="48" t="n">
        <v>204719517690</v>
      </c>
      <c r="N1708" s="48" t="n">
        <v>10360</v>
      </c>
      <c r="O1708" s="48" t="n">
        <v>50983509</v>
      </c>
      <c r="P1708" s="48" t="n">
        <v>85388540</v>
      </c>
      <c r="Q1708" s="48" t="n">
        <v>4631</v>
      </c>
      <c r="R1708" s="48" t="n">
        <v>3677</v>
      </c>
      <c r="S1708" s="48" t="n">
        <v>92477961</v>
      </c>
      <c r="T1708" s="48" t="n">
        <v>58072930</v>
      </c>
      <c r="U1708" s="46" t="n">
        <f aca="false">IF($A1708=$A1707,$U1707+1,1)</f>
        <v>144</v>
      </c>
      <c r="V1708" s="48" t="n">
        <f aca="false">IF($U1708&gt;=MA_SHORT,AVERAGE(INDEX($I$1308:$I1708,402-MA_SHORT):$I1708),"")</f>
        <v>1606.3</v>
      </c>
      <c r="W1708" s="48" t="n">
        <f aca="false">IF($U1708&gt;=MA_MED,AVERAGE(INDEX($I$1308:$I1708,402-MA_MED):$I1708),"")</f>
        <v>1697.7</v>
      </c>
      <c r="X1708" s="48" t="n">
        <f aca="false">IF($U1708&gt;=MA_LONG1,AVERAGE(INDEX($I$1308:$I1708,402-MA_LONG1):$I1708),"")</f>
        <v>1820.32</v>
      </c>
      <c r="Y1708" s="48" t="str">
        <f aca="false">IF($U1708&gt;=MA_LONG2,AVERAGE(INDEX($I$1308:$I1708,402-MA_LONG2):$I1708),"")</f>
        <v/>
      </c>
      <c r="Z1708" s="48" t="n">
        <f aca="false">IF($U1708&gt;=MA_SHORT,AVERAGE(INDEX($L$1588:$L1708,122-MA_SHORT):$L1708),"")</f>
        <v>98473877.9</v>
      </c>
      <c r="AA1708" s="48" t="n">
        <f aca="false">IF($U1708=1,$G1708-$H1708,MAX($G1708-$H1708,ABS($G1708-$I1707),ABS($H1708-$I1707)))</f>
        <v>54</v>
      </c>
      <c r="AB1708" s="48" t="n">
        <f aca="false">IF($U1708&gt;=ATR_PER,AVERAGE(INDEX($AA$1588:$AA1708,122-ATR_PER):$AA1708),"")</f>
        <v>54.9285714285714</v>
      </c>
      <c r="AC1708" s="48" t="n">
        <f aca="false">$O1708-$P1708</f>
        <v>-34405031</v>
      </c>
      <c r="AD1708" s="48" t="n">
        <f aca="false">$AC1708*$I1708</f>
        <v>-49095979237</v>
      </c>
      <c r="AE1708" s="49" t="n">
        <f aca="false">IF($Q1708&gt;0,$O1708*$I1708/$Q1708/1000000,"")</f>
        <v>15.710098756856</v>
      </c>
      <c r="AF1708" s="49" t="n">
        <f aca="false">IF($R1708&gt;0,$P1708*$I1708/$R1708/1000000,"")</f>
        <v>33.1382775577917</v>
      </c>
      <c r="AG1708" s="50" t="n">
        <f aca="false">IF(AND(ISNUMBER($AE1708),ISNUMBER($AF1708),$AF1708&gt;0),$AE1708/$AF1708,"")</f>
        <v>0.474077107039081</v>
      </c>
      <c r="AH1708" s="48" t="n">
        <f aca="false">IF($U1708&gt;=5,SUM(INDEX($AD$1678:$AD1708,32-5):$AD1708),"")</f>
        <v>-98459696873</v>
      </c>
      <c r="AI1708" s="48" t="n">
        <f aca="false">IF($U1708&gt;=STRUCT_S,MAX(INDEX($G$1558:$G1708,152-STRUCT_S):$G1708),"")</f>
        <v>1768</v>
      </c>
      <c r="AJ1708" s="48" t="n">
        <f aca="false">IF($U1708&gt;=STRUCT_S,MIN(INDEX($H$1558:$H1708,152-STRUCT_S):$H1708),"")</f>
        <v>1418</v>
      </c>
      <c r="AK1708" s="48" t="n">
        <f aca="false">IF($U1708&gt;=STRUCT_L,MAX(INDEX($G$1458:$G1708,252-STRUCT_L):$G1708),"")</f>
        <v>2007</v>
      </c>
      <c r="AL1708" s="48" t="n">
        <f aca="false">IF($U1708&gt;=STRUCT_L,MIN(INDEX($H$1458:$H1708,252-STRUCT_L):$H1708),"")</f>
        <v>1418</v>
      </c>
      <c r="AM1708" s="46" t="n">
        <f aca="false">IF($A1708&lt;&gt;$A1709,1,0)</f>
        <v>0</v>
      </c>
      <c r="AN1708" s="47" t="str">
        <f aca="false">IF($AM1708=1,$A1708,"")</f>
        <v/>
      </c>
    </row>
    <row r="1709" customFormat="false" ht="15" hidden="false" customHeight="false" outlineLevel="0" collapsed="false">
      <c r="A1709" s="43" t="s">
        <v>162</v>
      </c>
      <c r="B1709" s="44" t="s">
        <v>164</v>
      </c>
      <c r="C1709" s="45" t="n">
        <v>46106</v>
      </c>
      <c r="D1709" s="46" t="n">
        <v>20260325</v>
      </c>
      <c r="E1709" s="47" t="s">
        <v>432</v>
      </c>
      <c r="F1709" s="48" t="n">
        <v>1436</v>
      </c>
      <c r="G1709" s="48" t="n">
        <v>1453</v>
      </c>
      <c r="H1709" s="48" t="n">
        <v>1416</v>
      </c>
      <c r="I1709" s="48" t="n">
        <v>1442</v>
      </c>
      <c r="J1709" s="48" t="n">
        <v>1438</v>
      </c>
      <c r="K1709" s="48" t="n">
        <v>1427</v>
      </c>
      <c r="L1709" s="48" t="n">
        <v>83531230</v>
      </c>
      <c r="M1709" s="48" t="n">
        <v>120452033660</v>
      </c>
      <c r="N1709" s="48" t="n">
        <v>7177</v>
      </c>
      <c r="O1709" s="48" t="n">
        <v>39831497</v>
      </c>
      <c r="P1709" s="48" t="n">
        <v>39297289</v>
      </c>
      <c r="Q1709" s="48" t="n">
        <v>2539</v>
      </c>
      <c r="R1709" s="48" t="n">
        <v>2420</v>
      </c>
      <c r="S1709" s="48" t="n">
        <v>43699733</v>
      </c>
      <c r="T1709" s="48" t="n">
        <v>44233941</v>
      </c>
      <c r="U1709" s="46" t="n">
        <f aca="false">IF($A1709=$A1708,$U1708+1,1)</f>
        <v>145</v>
      </c>
      <c r="V1709" s="48" t="n">
        <f aca="false">IF($U1709&gt;=MA_SHORT,AVERAGE(INDEX($I$1309:$I1709,402-MA_SHORT):$I1709),"")</f>
        <v>1595.1</v>
      </c>
      <c r="W1709" s="48" t="n">
        <f aca="false">IF($U1709&gt;=MA_MED,AVERAGE(INDEX($I$1309:$I1709,402-MA_MED):$I1709),"")</f>
        <v>1689.1</v>
      </c>
      <c r="X1709" s="48" t="n">
        <f aca="false">IF($U1709&gt;=MA_LONG1,AVERAGE(INDEX($I$1309:$I1709,402-MA_LONG1):$I1709),"")</f>
        <v>1815.57</v>
      </c>
      <c r="Y1709" s="48" t="str">
        <f aca="false">IF($U1709&gt;=MA_LONG2,AVERAGE(INDEX($I$1309:$I1709,402-MA_LONG2):$I1709),"")</f>
        <v/>
      </c>
      <c r="Z1709" s="48" t="n">
        <f aca="false">IF($U1709&gt;=MA_SHORT,AVERAGE(INDEX($L$1589:$L1709,122-MA_SHORT):$L1709),"")</f>
        <v>98195982.05</v>
      </c>
      <c r="AA1709" s="48" t="n">
        <f aca="false">IF($U1709=1,$G1709-$H1709,MAX($G1709-$H1709,ABS($G1709-$I1708),ABS($H1709-$I1708)))</f>
        <v>37</v>
      </c>
      <c r="AB1709" s="48" t="n">
        <f aca="false">IF($U1709&gt;=ATR_PER,AVERAGE(INDEX($AA$1589:$AA1709,122-ATR_PER):$AA1709),"")</f>
        <v>56.4285714285714</v>
      </c>
      <c r="AC1709" s="48" t="n">
        <f aca="false">$O1709-$P1709</f>
        <v>534208</v>
      </c>
      <c r="AD1709" s="48" t="n">
        <f aca="false">$AC1709*$I1709</f>
        <v>770327936</v>
      </c>
      <c r="AE1709" s="49" t="n">
        <f aca="false">IF($Q1709&gt;0,$O1709*$I1709/$Q1709/1000000,"")</f>
        <v>22.6219057400551</v>
      </c>
      <c r="AF1709" s="49" t="n">
        <f aca="false">IF($R1709&gt;0,$P1709*$I1709/$R1709/1000000,"")</f>
        <v>23.4159879082645</v>
      </c>
      <c r="AG1709" s="50" t="n">
        <f aca="false">IF(AND(ISNUMBER($AE1709),ISNUMBER($AF1709),$AF1709&gt;0),$AE1709/$AF1709,"")</f>
        <v>0.966088034751288</v>
      </c>
      <c r="AH1709" s="48" t="n">
        <f aca="false">IF($U1709&gt;=5,SUM(INDEX($AD$1679:$AD1709,32-5):$AD1709),"")</f>
        <v>-69636038962</v>
      </c>
      <c r="AI1709" s="48" t="n">
        <f aca="false">IF($U1709&gt;=STRUCT_S,MAX(INDEX($G$1559:$G1709,152-STRUCT_S):$G1709),"")</f>
        <v>1768</v>
      </c>
      <c r="AJ1709" s="48" t="n">
        <f aca="false">IF($U1709&gt;=STRUCT_S,MIN(INDEX($H$1559:$H1709,152-STRUCT_S):$H1709),"")</f>
        <v>1416</v>
      </c>
      <c r="AK1709" s="48" t="n">
        <f aca="false">IF($U1709&gt;=STRUCT_L,MAX(INDEX($G$1459:$G1709,252-STRUCT_L):$G1709),"")</f>
        <v>1995</v>
      </c>
      <c r="AL1709" s="48" t="n">
        <f aca="false">IF($U1709&gt;=STRUCT_L,MIN(INDEX($H$1459:$H1709,252-STRUCT_L):$H1709),"")</f>
        <v>1416</v>
      </c>
      <c r="AM1709" s="46" t="n">
        <f aca="false">IF($A1709&lt;&gt;$A1710,1,0)</f>
        <v>0</v>
      </c>
      <c r="AN1709" s="47" t="str">
        <f aca="false">IF($AM1709=1,$A1709,"")</f>
        <v/>
      </c>
    </row>
    <row r="1710" customFormat="false" ht="15" hidden="false" customHeight="false" outlineLevel="0" collapsed="false">
      <c r="A1710" s="43" t="s">
        <v>162</v>
      </c>
      <c r="B1710" s="44" t="s">
        <v>164</v>
      </c>
      <c r="C1710" s="45" t="n">
        <v>46109</v>
      </c>
      <c r="D1710" s="46" t="n">
        <v>20260328</v>
      </c>
      <c r="E1710" s="47" t="s">
        <v>433</v>
      </c>
      <c r="F1710" s="48" t="n">
        <v>1434</v>
      </c>
      <c r="G1710" s="48" t="n">
        <v>1450</v>
      </c>
      <c r="H1710" s="48" t="n">
        <v>1409</v>
      </c>
      <c r="I1710" s="48" t="n">
        <v>1417</v>
      </c>
      <c r="J1710" s="48" t="n">
        <v>1423</v>
      </c>
      <c r="K1710" s="48" t="n">
        <v>1442</v>
      </c>
      <c r="L1710" s="48" t="n">
        <v>115448771</v>
      </c>
      <c r="M1710" s="48" t="n">
        <v>163590908507</v>
      </c>
      <c r="N1710" s="48" t="n">
        <v>3196</v>
      </c>
      <c r="O1710" s="48" t="n">
        <v>42117910</v>
      </c>
      <c r="P1710" s="48" t="n">
        <v>74484465</v>
      </c>
      <c r="Q1710" s="48" t="n">
        <v>1576</v>
      </c>
      <c r="R1710" s="48" t="n">
        <v>1726</v>
      </c>
      <c r="S1710" s="48" t="n">
        <v>73330861</v>
      </c>
      <c r="T1710" s="48" t="n">
        <v>40964306</v>
      </c>
      <c r="U1710" s="46" t="n">
        <f aca="false">IF($A1710=$A1709,$U1709+1,1)</f>
        <v>146</v>
      </c>
      <c r="V1710" s="48" t="n">
        <f aca="false">IF($U1710&gt;=MA_SHORT,AVERAGE(INDEX($I$1310:$I1710,402-MA_SHORT):$I1710),"")</f>
        <v>1582.65</v>
      </c>
      <c r="W1710" s="48" t="n">
        <f aca="false">IF($U1710&gt;=MA_MED,AVERAGE(INDEX($I$1310:$I1710,402-MA_MED):$I1710),"")</f>
        <v>1679.9</v>
      </c>
      <c r="X1710" s="48" t="n">
        <f aca="false">IF($U1710&gt;=MA_LONG1,AVERAGE(INDEX($I$1310:$I1710,402-MA_LONG1):$I1710),"")</f>
        <v>1810.31</v>
      </c>
      <c r="Y1710" s="48" t="str">
        <f aca="false">IF($U1710&gt;=MA_LONG2,AVERAGE(INDEX($I$1310:$I1710,402-MA_LONG2):$I1710),"")</f>
        <v/>
      </c>
      <c r="Z1710" s="48" t="n">
        <f aca="false">IF($U1710&gt;=MA_SHORT,AVERAGE(INDEX($L$1590:$L1710,122-MA_SHORT):$L1710),"")</f>
        <v>100039644.55</v>
      </c>
      <c r="AA1710" s="48" t="n">
        <f aca="false">IF($U1710=1,$G1710-$H1710,MAX($G1710-$H1710,ABS($G1710-$I1709),ABS($H1710-$I1709)))</f>
        <v>41</v>
      </c>
      <c r="AB1710" s="48" t="n">
        <f aca="false">IF($U1710&gt;=ATR_PER,AVERAGE(INDEX($AA$1590:$AA1710,122-ATR_PER):$AA1710),"")</f>
        <v>53.7142857142857</v>
      </c>
      <c r="AC1710" s="48" t="n">
        <f aca="false">$O1710-$P1710</f>
        <v>-32366555</v>
      </c>
      <c r="AD1710" s="48" t="n">
        <f aca="false">$AC1710*$I1710</f>
        <v>-45863408435</v>
      </c>
      <c r="AE1710" s="49" t="n">
        <f aca="false">IF($Q1710&gt;0,$O1710*$I1710/$Q1710/1000000,"")</f>
        <v>37.8687046129442</v>
      </c>
      <c r="AF1710" s="49" t="n">
        <f aca="false">IF($R1710&gt;0,$P1710*$I1710/$R1710/1000000,"")</f>
        <v>61.1497606633835</v>
      </c>
      <c r="AG1710" s="50" t="n">
        <f aca="false">IF(AND(ISNUMBER($AE1710),ISNUMBER($AF1710),$AF1710&gt;0),$AE1710/$AF1710,"")</f>
        <v>0.619278051166927</v>
      </c>
      <c r="AH1710" s="48" t="n">
        <f aca="false">IF($U1710&gt;=5,SUM(INDEX($AD$1680:$AD1710,32-5):$AD1710),"")</f>
        <v>-95475603645</v>
      </c>
      <c r="AI1710" s="48" t="n">
        <f aca="false">IF($U1710&gt;=STRUCT_S,MAX(INDEX($G$1560:$G1710,152-STRUCT_S):$G1710),"")</f>
        <v>1768</v>
      </c>
      <c r="AJ1710" s="48" t="n">
        <f aca="false">IF($U1710&gt;=STRUCT_S,MIN(INDEX($H$1560:$H1710,152-STRUCT_S):$H1710),"")</f>
        <v>1409</v>
      </c>
      <c r="AK1710" s="48" t="n">
        <f aca="false">IF($U1710&gt;=STRUCT_L,MAX(INDEX($G$1460:$G1710,252-STRUCT_L):$G1710),"")</f>
        <v>1986</v>
      </c>
      <c r="AL1710" s="48" t="n">
        <f aca="false">IF($U1710&gt;=STRUCT_L,MIN(INDEX($H$1460:$H1710,252-STRUCT_L):$H1710),"")</f>
        <v>1409</v>
      </c>
      <c r="AM1710" s="46" t="n">
        <f aca="false">IF($A1710&lt;&gt;$A1711,1,0)</f>
        <v>0</v>
      </c>
      <c r="AN1710" s="47" t="str">
        <f aca="false">IF($AM1710=1,$A1710,"")</f>
        <v/>
      </c>
    </row>
    <row r="1711" customFormat="false" ht="15" hidden="false" customHeight="false" outlineLevel="0" collapsed="false">
      <c r="A1711" s="43" t="s">
        <v>162</v>
      </c>
      <c r="B1711" s="44" t="s">
        <v>164</v>
      </c>
      <c r="C1711" s="45" t="n">
        <v>46110</v>
      </c>
      <c r="D1711" s="46" t="n">
        <v>20260329</v>
      </c>
      <c r="E1711" s="47" t="s">
        <v>434</v>
      </c>
      <c r="F1711" s="48" t="n">
        <v>1418</v>
      </c>
      <c r="G1711" s="48" t="n">
        <v>1436</v>
      </c>
      <c r="H1711" s="48" t="n">
        <v>1402</v>
      </c>
      <c r="I1711" s="48" t="n">
        <v>1421</v>
      </c>
      <c r="J1711" s="48" t="n">
        <v>1410</v>
      </c>
      <c r="K1711" s="48" t="n">
        <v>1417</v>
      </c>
      <c r="L1711" s="48" t="n">
        <v>79906370</v>
      </c>
      <c r="M1711" s="48" t="n">
        <v>113546951770</v>
      </c>
      <c r="N1711" s="48" t="n">
        <v>1961</v>
      </c>
      <c r="O1711" s="48" t="n">
        <v>37718867</v>
      </c>
      <c r="P1711" s="48" t="n">
        <v>48209275</v>
      </c>
      <c r="Q1711" s="48" t="n">
        <v>845</v>
      </c>
      <c r="R1711" s="48" t="n">
        <v>962</v>
      </c>
      <c r="S1711" s="48" t="n">
        <v>42187503</v>
      </c>
      <c r="T1711" s="48" t="n">
        <v>31697095</v>
      </c>
      <c r="U1711" s="46" t="n">
        <f aca="false">IF($A1711=$A1710,$U1710+1,1)</f>
        <v>147</v>
      </c>
      <c r="V1711" s="48" t="n">
        <f aca="false">IF($U1711&gt;=MA_SHORT,AVERAGE(INDEX($I$1311:$I1711,402-MA_SHORT):$I1711),"")</f>
        <v>1568.9</v>
      </c>
      <c r="W1711" s="48" t="n">
        <f aca="false">IF($U1711&gt;=MA_MED,AVERAGE(INDEX($I$1311:$I1711,402-MA_MED):$I1711),"")</f>
        <v>1671.18</v>
      </c>
      <c r="X1711" s="48" t="n">
        <f aca="false">IF($U1711&gt;=MA_LONG1,AVERAGE(INDEX($I$1311:$I1711,402-MA_LONG1):$I1711),"")</f>
        <v>1805.57</v>
      </c>
      <c r="Y1711" s="48" t="str">
        <f aca="false">IF($U1711&gt;=MA_LONG2,AVERAGE(INDEX($I$1311:$I1711,402-MA_LONG2):$I1711),"")</f>
        <v/>
      </c>
      <c r="Z1711" s="48" t="n">
        <f aca="false">IF($U1711&gt;=MA_SHORT,AVERAGE(INDEX($L$1591:$L1711,122-MA_SHORT):$L1711),"")</f>
        <v>99681709.4</v>
      </c>
      <c r="AA1711" s="48" t="n">
        <f aca="false">IF($U1711=1,$G1711-$H1711,MAX($G1711-$H1711,ABS($G1711-$I1710),ABS($H1711-$I1710)))</f>
        <v>34</v>
      </c>
      <c r="AB1711" s="48" t="n">
        <f aca="false">IF($U1711&gt;=ATR_PER,AVERAGE(INDEX($AA$1591:$AA1711,122-ATR_PER):$AA1711),"")</f>
        <v>46.8571428571429</v>
      </c>
      <c r="AC1711" s="48" t="n">
        <f aca="false">$O1711-$P1711</f>
        <v>-10490408</v>
      </c>
      <c r="AD1711" s="48" t="n">
        <f aca="false">$AC1711*$I1711</f>
        <v>-14906869768</v>
      </c>
      <c r="AE1711" s="49" t="n">
        <f aca="false">IF($Q1711&gt;0,$O1711*$I1711/$Q1711/1000000,"")</f>
        <v>63.4301893573964</v>
      </c>
      <c r="AF1711" s="49" t="n">
        <f aca="false">IF($R1711&gt;0,$P1711*$I1711/$R1711/1000000,"")</f>
        <v>71.211413487526</v>
      </c>
      <c r="AG1711" s="50" t="n">
        <f aca="false">IF(AND(ISNUMBER($AE1711),ISNUMBER($AF1711),$AF1711&gt;0),$AE1711/$AF1711,"")</f>
        <v>0.890730660310618</v>
      </c>
      <c r="AH1711" s="48" t="n">
        <f aca="false">IF($U1711&gt;=5,SUM(INDEX($AD$1681:$AD1711,32-5):$AD1711),"")</f>
        <v>-100006531417</v>
      </c>
      <c r="AI1711" s="48" t="n">
        <f aca="false">IF($U1711&gt;=STRUCT_S,MAX(INDEX($G$1561:$G1711,152-STRUCT_S):$G1711),"")</f>
        <v>1768</v>
      </c>
      <c r="AJ1711" s="48" t="n">
        <f aca="false">IF($U1711&gt;=STRUCT_S,MIN(INDEX($H$1561:$H1711,152-STRUCT_S):$H1711),"")</f>
        <v>1402</v>
      </c>
      <c r="AK1711" s="48" t="n">
        <f aca="false">IF($U1711&gt;=STRUCT_L,MAX(INDEX($G$1461:$G1711,252-STRUCT_L):$G1711),"")</f>
        <v>1965</v>
      </c>
      <c r="AL1711" s="48" t="n">
        <f aca="false">IF($U1711&gt;=STRUCT_L,MIN(INDEX($H$1461:$H1711,252-STRUCT_L):$H1711),"")</f>
        <v>1402</v>
      </c>
      <c r="AM1711" s="46" t="n">
        <f aca="false">IF($A1711&lt;&gt;$A1712,1,0)</f>
        <v>0</v>
      </c>
      <c r="AN1711" s="47" t="str">
        <f aca="false">IF($AM1711=1,$A1711,"")</f>
        <v/>
      </c>
    </row>
    <row r="1712" customFormat="false" ht="15" hidden="false" customHeight="false" outlineLevel="0" collapsed="false">
      <c r="A1712" s="43" t="s">
        <v>162</v>
      </c>
      <c r="B1712" s="44" t="s">
        <v>164</v>
      </c>
      <c r="C1712" s="45" t="n">
        <v>46111</v>
      </c>
      <c r="D1712" s="46" t="n">
        <v>20260330</v>
      </c>
      <c r="E1712" s="47" t="s">
        <v>435</v>
      </c>
      <c r="F1712" s="48" t="n">
        <v>1422</v>
      </c>
      <c r="G1712" s="48" t="n">
        <v>1435</v>
      </c>
      <c r="H1712" s="48" t="n">
        <v>1408</v>
      </c>
      <c r="I1712" s="48" t="n">
        <v>1422</v>
      </c>
      <c r="J1712" s="48" t="n">
        <v>1420</v>
      </c>
      <c r="K1712" s="48" t="n">
        <v>1421</v>
      </c>
      <c r="L1712" s="48" t="n">
        <v>119619216</v>
      </c>
      <c r="M1712" s="48" t="n">
        <v>170098525152</v>
      </c>
      <c r="N1712" s="48" t="n">
        <v>3608</v>
      </c>
      <c r="O1712" s="48" t="n">
        <v>59960994</v>
      </c>
      <c r="P1712" s="48" t="n">
        <v>62173777</v>
      </c>
      <c r="Q1712" s="48" t="n">
        <v>1226</v>
      </c>
      <c r="R1712" s="48" t="n">
        <v>1318</v>
      </c>
      <c r="S1712" s="48" t="n">
        <v>59658222</v>
      </c>
      <c r="T1712" s="48" t="n">
        <v>57445439</v>
      </c>
      <c r="U1712" s="46" t="n">
        <f aca="false">IF($A1712=$A1711,$U1711+1,1)</f>
        <v>148</v>
      </c>
      <c r="V1712" s="48" t="n">
        <f aca="false">IF($U1712&gt;=MA_SHORT,AVERAGE(INDEX($I$1312:$I1712,402-MA_SHORT):$I1712),"")</f>
        <v>1554</v>
      </c>
      <c r="W1712" s="48" t="n">
        <f aca="false">IF($U1712&gt;=MA_MED,AVERAGE(INDEX($I$1312:$I1712,402-MA_MED):$I1712),"")</f>
        <v>1663</v>
      </c>
      <c r="X1712" s="48" t="n">
        <f aca="false">IF($U1712&gt;=MA_LONG1,AVERAGE(INDEX($I$1312:$I1712,402-MA_LONG1):$I1712),"")</f>
        <v>1800.83</v>
      </c>
      <c r="Y1712" s="48" t="str">
        <f aca="false">IF($U1712&gt;=MA_LONG2,AVERAGE(INDEX($I$1312:$I1712,402-MA_LONG2):$I1712),"")</f>
        <v/>
      </c>
      <c r="Z1712" s="48" t="n">
        <f aca="false">IF($U1712&gt;=MA_SHORT,AVERAGE(INDEX($L$1592:$L1712,122-MA_SHORT):$L1712),"")</f>
        <v>100459587.15</v>
      </c>
      <c r="AA1712" s="48" t="n">
        <f aca="false">IF($U1712=1,$G1712-$H1712,MAX($G1712-$H1712,ABS($G1712-$I1711),ABS($H1712-$I1711)))</f>
        <v>27</v>
      </c>
      <c r="AB1712" s="48" t="n">
        <f aca="false">IF($U1712&gt;=ATR_PER,AVERAGE(INDEX($AA$1592:$AA1712,122-ATR_PER):$AA1712),"")</f>
        <v>45.7857142857143</v>
      </c>
      <c r="AC1712" s="48" t="n">
        <f aca="false">$O1712-$P1712</f>
        <v>-2212783</v>
      </c>
      <c r="AD1712" s="48" t="n">
        <f aca="false">$AC1712*$I1712</f>
        <v>-3146577426</v>
      </c>
      <c r="AE1712" s="49" t="n">
        <f aca="false">IF($Q1712&gt;0,$O1712*$I1712/$Q1712/1000000,"")</f>
        <v>69.5469277879282</v>
      </c>
      <c r="AF1712" s="49" t="n">
        <f aca="false">IF($R1712&gt;0,$P1712*$I1712/$R1712/1000000,"")</f>
        <v>67.0797502989378</v>
      </c>
      <c r="AG1712" s="50" t="n">
        <f aca="false">IF(AND(ISNUMBER($AE1712),ISNUMBER($AF1712),$AF1712&gt;0),$AE1712/$AF1712,"")</f>
        <v>1.03677976554766</v>
      </c>
      <c r="AH1712" s="48" t="n">
        <f aca="false">IF($U1712&gt;=5,SUM(INDEX($AD$1682:$AD1712,32-5):$AD1712),"")</f>
        <v>-112242506930</v>
      </c>
      <c r="AI1712" s="48" t="n">
        <f aca="false">IF($U1712&gt;=STRUCT_S,MAX(INDEX($G$1562:$G1712,152-STRUCT_S):$G1712),"")</f>
        <v>1767</v>
      </c>
      <c r="AJ1712" s="48" t="n">
        <f aca="false">IF($U1712&gt;=STRUCT_S,MIN(INDEX($H$1562:$H1712,152-STRUCT_S):$H1712),"")</f>
        <v>1402</v>
      </c>
      <c r="AK1712" s="48" t="n">
        <f aca="false">IF($U1712&gt;=STRUCT_L,MAX(INDEX($G$1462:$G1712,252-STRUCT_L):$G1712),"")</f>
        <v>1958</v>
      </c>
      <c r="AL1712" s="48" t="n">
        <f aca="false">IF($U1712&gt;=STRUCT_L,MIN(INDEX($H$1462:$H1712,252-STRUCT_L):$H1712),"")</f>
        <v>1402</v>
      </c>
      <c r="AM1712" s="46" t="n">
        <f aca="false">IF($A1712&lt;&gt;$A1713,1,0)</f>
        <v>0</v>
      </c>
      <c r="AN1712" s="47" t="str">
        <f aca="false">IF($AM1712=1,$A1712,"")</f>
        <v/>
      </c>
    </row>
    <row r="1713" customFormat="false" ht="15" hidden="false" customHeight="false" outlineLevel="0" collapsed="false">
      <c r="A1713" s="43" t="s">
        <v>162</v>
      </c>
      <c r="B1713" s="44" t="s">
        <v>164</v>
      </c>
      <c r="C1713" s="45" t="n">
        <v>46112</v>
      </c>
      <c r="D1713" s="46" t="n">
        <v>20260331</v>
      </c>
      <c r="E1713" s="47" t="s">
        <v>436</v>
      </c>
      <c r="F1713" s="48" t="n">
        <v>1422</v>
      </c>
      <c r="G1713" s="48" t="n">
        <v>1457</v>
      </c>
      <c r="H1713" s="48" t="n">
        <v>1377</v>
      </c>
      <c r="I1713" s="48" t="n">
        <v>1412</v>
      </c>
      <c r="J1713" s="48" t="n">
        <v>1404</v>
      </c>
      <c r="K1713" s="48" t="n">
        <v>1422</v>
      </c>
      <c r="L1713" s="48" t="n">
        <v>253761649</v>
      </c>
      <c r="M1713" s="48" t="n">
        <v>358311448388</v>
      </c>
      <c r="N1713" s="48" t="n">
        <v>7498</v>
      </c>
      <c r="O1713" s="48" t="n">
        <v>125932966</v>
      </c>
      <c r="P1713" s="48" t="n">
        <v>125365520</v>
      </c>
      <c r="Q1713" s="48" t="n">
        <v>3364</v>
      </c>
      <c r="R1713" s="48" t="n">
        <v>2999</v>
      </c>
      <c r="S1713" s="48" t="n">
        <v>127828683</v>
      </c>
      <c r="T1713" s="48" t="n">
        <v>128396129</v>
      </c>
      <c r="U1713" s="46" t="n">
        <f aca="false">IF($A1713=$A1712,$U1712+1,1)</f>
        <v>149</v>
      </c>
      <c r="V1713" s="48" t="n">
        <f aca="false">IF($U1713&gt;=MA_SHORT,AVERAGE(INDEX($I$1313:$I1713,402-MA_SHORT):$I1713),"")</f>
        <v>1537.6</v>
      </c>
      <c r="W1713" s="48" t="n">
        <f aca="false">IF($U1713&gt;=MA_MED,AVERAGE(INDEX($I$1313:$I1713,402-MA_MED):$I1713),"")</f>
        <v>1654.38</v>
      </c>
      <c r="X1713" s="48" t="n">
        <f aca="false">IF($U1713&gt;=MA_LONG1,AVERAGE(INDEX($I$1313:$I1713,402-MA_LONG1):$I1713),"")</f>
        <v>1795.94</v>
      </c>
      <c r="Y1713" s="48" t="str">
        <f aca="false">IF($U1713&gt;=MA_LONG2,AVERAGE(INDEX($I$1313:$I1713,402-MA_LONG2):$I1713),"")</f>
        <v/>
      </c>
      <c r="Z1713" s="48" t="n">
        <f aca="false">IF($U1713&gt;=MA_SHORT,AVERAGE(INDEX($L$1593:$L1713,122-MA_SHORT):$L1713),"")</f>
        <v>108944792.9</v>
      </c>
      <c r="AA1713" s="48" t="n">
        <f aca="false">IF($U1713=1,$G1713-$H1713,MAX($G1713-$H1713,ABS($G1713-$I1712),ABS($H1713-$I1712)))</f>
        <v>80</v>
      </c>
      <c r="AB1713" s="48" t="n">
        <f aca="false">IF($U1713&gt;=ATR_PER,AVERAGE(INDEX($AA$1593:$AA1713,122-ATR_PER):$AA1713),"")</f>
        <v>49.5714285714286</v>
      </c>
      <c r="AC1713" s="48" t="n">
        <f aca="false">$O1713-$P1713</f>
        <v>567446</v>
      </c>
      <c r="AD1713" s="48" t="n">
        <f aca="false">$AC1713*$I1713</f>
        <v>801233752</v>
      </c>
      <c r="AE1713" s="49" t="n">
        <f aca="false">IF($Q1713&gt;0,$O1713*$I1713/$Q1713/1000000,"")</f>
        <v>52.8589024946492</v>
      </c>
      <c r="AF1713" s="49" t="n">
        <f aca="false">IF($R1713&gt;0,$P1713*$I1713/$R1713/1000000,"")</f>
        <v>59.0250464288096</v>
      </c>
      <c r="AG1713" s="50" t="n">
        <f aca="false">IF(AND(ISNUMBER($AE1713),ISNUMBER($AF1713),$AF1713&gt;0),$AE1713/$AF1713,"")</f>
        <v>0.895533433563709</v>
      </c>
      <c r="AH1713" s="48" t="n">
        <f aca="false">IF($U1713&gt;=5,SUM(INDEX($AD$1683:$AD1713,32-5):$AD1713),"")</f>
        <v>-62345293941</v>
      </c>
      <c r="AI1713" s="48" t="n">
        <f aca="false">IF($U1713&gt;=STRUCT_S,MAX(INDEX($G$1563:$G1713,152-STRUCT_S):$G1713),"")</f>
        <v>1767</v>
      </c>
      <c r="AJ1713" s="48" t="n">
        <f aca="false">IF($U1713&gt;=STRUCT_S,MIN(INDEX($H$1563:$H1713,152-STRUCT_S):$H1713),"")</f>
        <v>1377</v>
      </c>
      <c r="AK1713" s="48" t="n">
        <f aca="false">IF($U1713&gt;=STRUCT_L,MAX(INDEX($G$1463:$G1713,252-STRUCT_L):$G1713),"")</f>
        <v>1958</v>
      </c>
      <c r="AL1713" s="48" t="n">
        <f aca="false">IF($U1713&gt;=STRUCT_L,MIN(INDEX($H$1463:$H1713,252-STRUCT_L):$H1713),"")</f>
        <v>1377</v>
      </c>
      <c r="AM1713" s="46" t="n">
        <f aca="false">IF($A1713&lt;&gt;$A1714,1,0)</f>
        <v>0</v>
      </c>
      <c r="AN1713" s="47" t="str">
        <f aca="false">IF($AM1713=1,$A1713,"")</f>
        <v/>
      </c>
    </row>
    <row r="1714" customFormat="false" ht="15" hidden="false" customHeight="false" outlineLevel="0" collapsed="false">
      <c r="A1714" s="43" t="s">
        <v>162</v>
      </c>
      <c r="B1714" s="44" t="s">
        <v>164</v>
      </c>
      <c r="C1714" s="45" t="n">
        <v>46113</v>
      </c>
      <c r="D1714" s="46" t="n">
        <v>20260401</v>
      </c>
      <c r="E1714" s="47" t="s">
        <v>437</v>
      </c>
      <c r="F1714" s="48" t="n">
        <v>1402</v>
      </c>
      <c r="G1714" s="48" t="n">
        <v>1430</v>
      </c>
      <c r="H1714" s="48" t="n">
        <v>1372</v>
      </c>
      <c r="I1714" s="48" t="n">
        <v>1390</v>
      </c>
      <c r="J1714" s="48" t="n">
        <v>1374</v>
      </c>
      <c r="K1714" s="48" t="n">
        <v>1412</v>
      </c>
      <c r="L1714" s="48" t="n">
        <v>85921108</v>
      </c>
      <c r="M1714" s="48" t="n">
        <v>119430340120</v>
      </c>
      <c r="N1714" s="48" t="n">
        <v>2455</v>
      </c>
      <c r="O1714" s="48" t="n">
        <v>28153072</v>
      </c>
      <c r="P1714" s="48" t="n">
        <v>58383868</v>
      </c>
      <c r="Q1714" s="48" t="n">
        <v>1146</v>
      </c>
      <c r="R1714" s="48" t="n">
        <v>1277</v>
      </c>
      <c r="S1714" s="48" t="n">
        <v>57768036</v>
      </c>
      <c r="T1714" s="48" t="n">
        <v>27537240</v>
      </c>
      <c r="U1714" s="46" t="n">
        <f aca="false">IF($A1714=$A1713,$U1713+1,1)</f>
        <v>150</v>
      </c>
      <c r="V1714" s="48" t="n">
        <f aca="false">IF($U1714&gt;=MA_SHORT,AVERAGE(INDEX($I$1314:$I1714,402-MA_SHORT):$I1714),"")</f>
        <v>1520.85</v>
      </c>
      <c r="W1714" s="48" t="n">
        <f aca="false">IF($U1714&gt;=MA_MED,AVERAGE(INDEX($I$1314:$I1714,402-MA_MED):$I1714),"")</f>
        <v>1645.7</v>
      </c>
      <c r="X1714" s="48" t="n">
        <f aca="false">IF($U1714&gt;=MA_LONG1,AVERAGE(INDEX($I$1314:$I1714,402-MA_LONG1):$I1714),"")</f>
        <v>1791.16</v>
      </c>
      <c r="Y1714" s="48" t="str">
        <f aca="false">IF($U1714&gt;=MA_LONG2,AVERAGE(INDEX($I$1314:$I1714,402-MA_LONG2):$I1714),"")</f>
        <v/>
      </c>
      <c r="Z1714" s="48" t="n">
        <f aca="false">IF($U1714&gt;=MA_SHORT,AVERAGE(INDEX($L$1594:$L1714,122-MA_SHORT):$L1714),"")</f>
        <v>109108859.7</v>
      </c>
      <c r="AA1714" s="48" t="n">
        <f aca="false">IF($U1714=1,$G1714-$H1714,MAX($G1714-$H1714,ABS($G1714-$I1713),ABS($H1714-$I1713)))</f>
        <v>58</v>
      </c>
      <c r="AB1714" s="48" t="n">
        <f aca="false">IF($U1714&gt;=ATR_PER,AVERAGE(INDEX($AA$1594:$AA1714,122-ATR_PER):$AA1714),"")</f>
        <v>49.6428571428571</v>
      </c>
      <c r="AC1714" s="48" t="n">
        <f aca="false">$O1714-$P1714</f>
        <v>-30230796</v>
      </c>
      <c r="AD1714" s="48" t="n">
        <f aca="false">$AC1714*$I1714</f>
        <v>-42020806440</v>
      </c>
      <c r="AE1714" s="49" t="n">
        <f aca="false">IF($Q1714&gt;0,$O1714*$I1714/$Q1714/1000000,"")</f>
        <v>34.1472688307155</v>
      </c>
      <c r="AF1714" s="49" t="n">
        <f aca="false">IF($R1714&gt;0,$P1714*$I1714/$R1714/1000000,"")</f>
        <v>63.5501773844949</v>
      </c>
      <c r="AG1714" s="50" t="n">
        <f aca="false">IF(AND(ISNUMBER($AE1714),ISNUMBER($AF1714),$AF1714&gt;0),$AE1714/$AF1714,"")</f>
        <v>0.53732767139446</v>
      </c>
      <c r="AH1714" s="48" t="n">
        <f aca="false">IF($U1714&gt;=5,SUM(INDEX($AD$1684:$AD1714,32-5):$AD1714),"")</f>
        <v>-105136428317</v>
      </c>
      <c r="AI1714" s="48" t="n">
        <f aca="false">IF($U1714&gt;=STRUCT_S,MAX(INDEX($G$1564:$G1714,152-STRUCT_S):$G1714),"")</f>
        <v>1750</v>
      </c>
      <c r="AJ1714" s="48" t="n">
        <f aca="false">IF($U1714&gt;=STRUCT_S,MIN(INDEX($H$1564:$H1714,152-STRUCT_S):$H1714),"")</f>
        <v>1372</v>
      </c>
      <c r="AK1714" s="48" t="n">
        <f aca="false">IF($U1714&gt;=STRUCT_L,MAX(INDEX($G$1464:$G1714,252-STRUCT_L):$G1714),"")</f>
        <v>1958</v>
      </c>
      <c r="AL1714" s="48" t="n">
        <f aca="false">IF($U1714&gt;=STRUCT_L,MIN(INDEX($H$1464:$H1714,252-STRUCT_L):$H1714),"")</f>
        <v>1372</v>
      </c>
      <c r="AM1714" s="46" t="n">
        <f aca="false">IF($A1714&lt;&gt;$A1715,1,0)</f>
        <v>0</v>
      </c>
      <c r="AN1714" s="47" t="str">
        <f aca="false">IF($AM1714=1,$A1714,"")</f>
        <v/>
      </c>
    </row>
    <row r="1715" customFormat="false" ht="15" hidden="false" customHeight="false" outlineLevel="0" collapsed="false">
      <c r="A1715" s="43" t="s">
        <v>162</v>
      </c>
      <c r="B1715" s="44" t="s">
        <v>164</v>
      </c>
      <c r="C1715" s="45" t="n">
        <v>46116</v>
      </c>
      <c r="D1715" s="46" t="n">
        <v>20260404</v>
      </c>
      <c r="E1715" s="47" t="s">
        <v>438</v>
      </c>
      <c r="F1715" s="48" t="n">
        <v>1367</v>
      </c>
      <c r="G1715" s="48" t="n">
        <v>1405</v>
      </c>
      <c r="H1715" s="48" t="n">
        <v>1359</v>
      </c>
      <c r="I1715" s="48" t="n">
        <v>1374</v>
      </c>
      <c r="J1715" s="48" t="n">
        <v>1384</v>
      </c>
      <c r="K1715" s="48" t="n">
        <v>1390</v>
      </c>
      <c r="L1715" s="48" t="n">
        <v>84002320</v>
      </c>
      <c r="M1715" s="48" t="n">
        <v>115419187680</v>
      </c>
      <c r="N1715" s="48" t="n">
        <v>7040</v>
      </c>
      <c r="O1715" s="48" t="n">
        <v>37714657</v>
      </c>
      <c r="P1715" s="48" t="n">
        <v>49460280</v>
      </c>
      <c r="Q1715" s="48" t="n">
        <v>2681</v>
      </c>
      <c r="R1715" s="48" t="n">
        <v>2916</v>
      </c>
      <c r="S1715" s="48" t="n">
        <v>46287663</v>
      </c>
      <c r="T1715" s="48" t="n">
        <v>34542040</v>
      </c>
      <c r="U1715" s="46" t="n">
        <f aca="false">IF($A1715=$A1714,$U1714+1,1)</f>
        <v>151</v>
      </c>
      <c r="V1715" s="48" t="n">
        <f aca="false">IF($U1715&gt;=MA_SHORT,AVERAGE(INDEX($I$1315:$I1715,402-MA_SHORT):$I1715),"")</f>
        <v>1503.1</v>
      </c>
      <c r="W1715" s="48" t="n">
        <f aca="false">IF($U1715&gt;=MA_MED,AVERAGE(INDEX($I$1315:$I1715,402-MA_MED):$I1715),"")</f>
        <v>1636.22</v>
      </c>
      <c r="X1715" s="48" t="n">
        <f aca="false">IF($U1715&gt;=MA_LONG1,AVERAGE(INDEX($I$1315:$I1715,402-MA_LONG1):$I1715),"")</f>
        <v>1786.16</v>
      </c>
      <c r="Y1715" s="48" t="str">
        <f aca="false">IF($U1715&gt;=MA_LONG2,AVERAGE(INDEX($I$1315:$I1715,402-MA_LONG2):$I1715),"")</f>
        <v/>
      </c>
      <c r="Z1715" s="48" t="n">
        <f aca="false">IF($U1715&gt;=MA_SHORT,AVERAGE(INDEX($L$1595:$L1715,122-MA_SHORT):$L1715),"")</f>
        <v>109325538.4</v>
      </c>
      <c r="AA1715" s="48" t="n">
        <f aca="false">IF($U1715=1,$G1715-$H1715,MAX($G1715-$H1715,ABS($G1715-$I1714),ABS($H1715-$I1714)))</f>
        <v>46</v>
      </c>
      <c r="AB1715" s="48" t="n">
        <f aca="false">IF($U1715&gt;=ATR_PER,AVERAGE(INDEX($AA$1595:$AA1715,122-ATR_PER):$AA1715),"")</f>
        <v>47.7857142857143</v>
      </c>
      <c r="AC1715" s="48" t="n">
        <f aca="false">$O1715-$P1715</f>
        <v>-11745623</v>
      </c>
      <c r="AD1715" s="48" t="n">
        <f aca="false">$AC1715*$I1715</f>
        <v>-16138486002</v>
      </c>
      <c r="AE1715" s="49" t="n">
        <f aca="false">IF($Q1715&gt;0,$O1715*$I1715/$Q1715/1000000,"")</f>
        <v>19.3285858701977</v>
      </c>
      <c r="AF1715" s="49" t="n">
        <f aca="false">IF($R1715&gt;0,$P1715*$I1715/$R1715/1000000,"")</f>
        <v>23.3053582716049</v>
      </c>
      <c r="AG1715" s="50" t="n">
        <f aca="false">IF(AND(ISNUMBER($AE1715),ISNUMBER($AF1715),$AF1715&gt;0),$AE1715/$AF1715,"")</f>
        <v>0.829362314234297</v>
      </c>
      <c r="AH1715" s="48" t="n">
        <f aca="false">IF($U1715&gt;=5,SUM(INDEX($AD$1685:$AD1715,32-5):$AD1715),"")</f>
        <v>-75411505884</v>
      </c>
      <c r="AI1715" s="48" t="n">
        <f aca="false">IF($U1715&gt;=STRUCT_S,MAX(INDEX($G$1565:$G1715,152-STRUCT_S):$G1715),"")</f>
        <v>1750</v>
      </c>
      <c r="AJ1715" s="48" t="n">
        <f aca="false">IF($U1715&gt;=STRUCT_S,MIN(INDEX($H$1565:$H1715,152-STRUCT_S):$H1715),"")</f>
        <v>1359</v>
      </c>
      <c r="AK1715" s="48" t="n">
        <f aca="false">IF($U1715&gt;=STRUCT_L,MAX(INDEX($G$1465:$G1715,252-STRUCT_L):$G1715),"")</f>
        <v>1958</v>
      </c>
      <c r="AL1715" s="48" t="n">
        <f aca="false">IF($U1715&gt;=STRUCT_L,MIN(INDEX($H$1465:$H1715,252-STRUCT_L):$H1715),"")</f>
        <v>1359</v>
      </c>
      <c r="AM1715" s="46" t="n">
        <f aca="false">IF($A1715&lt;&gt;$A1716,1,0)</f>
        <v>0</v>
      </c>
      <c r="AN1715" s="47" t="str">
        <f aca="false">IF($AM1715=1,$A1715,"")</f>
        <v/>
      </c>
    </row>
    <row r="1716" customFormat="false" ht="15" hidden="false" customHeight="false" outlineLevel="0" collapsed="false">
      <c r="A1716" s="43" t="s">
        <v>162</v>
      </c>
      <c r="B1716" s="44" t="s">
        <v>164</v>
      </c>
      <c r="C1716" s="45" t="n">
        <v>46117</v>
      </c>
      <c r="D1716" s="46" t="n">
        <v>20260405</v>
      </c>
      <c r="E1716" s="47" t="s">
        <v>439</v>
      </c>
      <c r="F1716" s="48" t="n">
        <v>1389</v>
      </c>
      <c r="G1716" s="48" t="n">
        <v>1393</v>
      </c>
      <c r="H1716" s="48" t="n">
        <v>1358</v>
      </c>
      <c r="I1716" s="48" t="n">
        <v>1377</v>
      </c>
      <c r="J1716" s="48" t="n">
        <v>1360</v>
      </c>
      <c r="K1716" s="48" t="n">
        <v>1374</v>
      </c>
      <c r="L1716" s="48" t="n">
        <v>92411994</v>
      </c>
      <c r="M1716" s="48" t="n">
        <v>127251315738</v>
      </c>
      <c r="N1716" s="48" t="n">
        <v>4346</v>
      </c>
      <c r="O1716" s="48" t="n">
        <v>48007088</v>
      </c>
      <c r="P1716" s="48" t="n">
        <v>51559907</v>
      </c>
      <c r="Q1716" s="48" t="n">
        <v>2330</v>
      </c>
      <c r="R1716" s="48" t="n">
        <v>2202</v>
      </c>
      <c r="S1716" s="48" t="n">
        <v>44404906</v>
      </c>
      <c r="T1716" s="48" t="n">
        <v>40852087</v>
      </c>
      <c r="U1716" s="46" t="n">
        <f aca="false">IF($A1716=$A1715,$U1715+1,1)</f>
        <v>152</v>
      </c>
      <c r="V1716" s="48" t="n">
        <f aca="false">IF($U1716&gt;=MA_SHORT,AVERAGE(INDEX($I$1316:$I1716,402-MA_SHORT):$I1716),"")</f>
        <v>1487.4</v>
      </c>
      <c r="W1716" s="48" t="n">
        <f aca="false">IF($U1716&gt;=MA_MED,AVERAGE(INDEX($I$1316:$I1716,402-MA_MED):$I1716),"")</f>
        <v>1626.88</v>
      </c>
      <c r="X1716" s="48" t="n">
        <f aca="false">IF($U1716&gt;=MA_LONG1,AVERAGE(INDEX($I$1316:$I1716,402-MA_LONG1):$I1716),"")</f>
        <v>1781.37</v>
      </c>
      <c r="Y1716" s="48" t="str">
        <f aca="false">IF($U1716&gt;=MA_LONG2,AVERAGE(INDEX($I$1316:$I1716,402-MA_LONG2):$I1716),"")</f>
        <v/>
      </c>
      <c r="Z1716" s="48" t="n">
        <f aca="false">IF($U1716&gt;=MA_SHORT,AVERAGE(INDEX($L$1596:$L1716,122-MA_SHORT):$L1716),"")</f>
        <v>107907051.35</v>
      </c>
      <c r="AA1716" s="48" t="n">
        <f aca="false">IF($U1716=1,$G1716-$H1716,MAX($G1716-$H1716,ABS($G1716-$I1715),ABS($H1716-$I1715)))</f>
        <v>35</v>
      </c>
      <c r="AB1716" s="48" t="n">
        <f aca="false">IF($U1716&gt;=ATR_PER,AVERAGE(INDEX($AA$1596:$AA1716,122-ATR_PER):$AA1716),"")</f>
        <v>46.7857142857143</v>
      </c>
      <c r="AC1716" s="48" t="n">
        <f aca="false">$O1716-$P1716</f>
        <v>-3552819</v>
      </c>
      <c r="AD1716" s="48" t="n">
        <f aca="false">$AC1716*$I1716</f>
        <v>-4892231763</v>
      </c>
      <c r="AE1716" s="49" t="n">
        <f aca="false">IF($Q1716&gt;0,$O1716*$I1716/$Q1716/1000000,"")</f>
        <v>28.3715708909871</v>
      </c>
      <c r="AF1716" s="49" t="n">
        <f aca="false">IF($R1716&gt;0,$P1716*$I1716/$R1716/1000000,"")</f>
        <v>32.2425031512262</v>
      </c>
      <c r="AG1716" s="50" t="n">
        <f aca="false">IF(AND(ISNUMBER($AE1716),ISNUMBER($AF1716),$AF1716&gt;0),$AE1716/$AF1716,"")</f>
        <v>0.879943184247101</v>
      </c>
      <c r="AH1716" s="48" t="n">
        <f aca="false">IF($U1716&gt;=5,SUM(INDEX($AD$1686:$AD1716,32-5):$AD1716),"")</f>
        <v>-65396867879</v>
      </c>
      <c r="AI1716" s="48" t="n">
        <f aca="false">IF($U1716&gt;=STRUCT_S,MAX(INDEX($G$1566:$G1716,152-STRUCT_S):$G1716),"")</f>
        <v>1732</v>
      </c>
      <c r="AJ1716" s="48" t="n">
        <f aca="false">IF($U1716&gt;=STRUCT_S,MIN(INDEX($H$1566:$H1716,152-STRUCT_S):$H1716),"")</f>
        <v>1358</v>
      </c>
      <c r="AK1716" s="48" t="n">
        <f aca="false">IF($U1716&gt;=STRUCT_L,MAX(INDEX($G$1466:$G1716,252-STRUCT_L):$G1716),"")</f>
        <v>1952</v>
      </c>
      <c r="AL1716" s="48" t="n">
        <f aca="false">IF($U1716&gt;=STRUCT_L,MIN(INDEX($H$1466:$H1716,252-STRUCT_L):$H1716),"")</f>
        <v>1358</v>
      </c>
      <c r="AM1716" s="46" t="n">
        <f aca="false">IF($A1716&lt;&gt;$A1717,1,0)</f>
        <v>0</v>
      </c>
      <c r="AN1716" s="47" t="str">
        <f aca="false">IF($AM1716=1,$A1716,"")</f>
        <v/>
      </c>
    </row>
    <row r="1717" customFormat="false" ht="15" hidden="false" customHeight="false" outlineLevel="0" collapsed="false">
      <c r="A1717" s="43" t="s">
        <v>162</v>
      </c>
      <c r="B1717" s="44" t="s">
        <v>164</v>
      </c>
      <c r="C1717" s="45" t="n">
        <v>46118</v>
      </c>
      <c r="D1717" s="46" t="n">
        <v>20260406</v>
      </c>
      <c r="E1717" s="47" t="s">
        <v>440</v>
      </c>
      <c r="F1717" s="48" t="n">
        <v>1385</v>
      </c>
      <c r="G1717" s="48" t="n">
        <v>1388</v>
      </c>
      <c r="H1717" s="48" t="n">
        <v>1373</v>
      </c>
      <c r="I1717" s="48" t="n">
        <v>1384</v>
      </c>
      <c r="J1717" s="48" t="n">
        <v>1373</v>
      </c>
      <c r="K1717" s="48" t="n">
        <v>1377</v>
      </c>
      <c r="L1717" s="48" t="n">
        <v>160870958</v>
      </c>
      <c r="M1717" s="48" t="n">
        <v>222645405872</v>
      </c>
      <c r="N1717" s="48" t="n">
        <v>12046</v>
      </c>
      <c r="O1717" s="48" t="n">
        <v>76133859</v>
      </c>
      <c r="P1717" s="48" t="n">
        <v>80074987</v>
      </c>
      <c r="Q1717" s="48" t="n">
        <v>4587</v>
      </c>
      <c r="R1717" s="48" t="n">
        <v>3998</v>
      </c>
      <c r="S1717" s="48" t="n">
        <v>84737099</v>
      </c>
      <c r="T1717" s="48" t="n">
        <v>80795971</v>
      </c>
      <c r="U1717" s="46" t="n">
        <f aca="false">IF($A1717=$A1716,$U1716+1,1)</f>
        <v>153</v>
      </c>
      <c r="V1717" s="48" t="n">
        <f aca="false">IF($U1717&gt;=MA_SHORT,AVERAGE(INDEX($I$1317:$I1717,402-MA_SHORT):$I1717),"")</f>
        <v>1474.5</v>
      </c>
      <c r="W1717" s="48" t="n">
        <f aca="false">IF($U1717&gt;=MA_MED,AVERAGE(INDEX($I$1317:$I1717,402-MA_MED):$I1717),"")</f>
        <v>1618.22</v>
      </c>
      <c r="X1717" s="48" t="n">
        <f aca="false">IF($U1717&gt;=MA_LONG1,AVERAGE(INDEX($I$1317:$I1717,402-MA_LONG1):$I1717),"")</f>
        <v>1776.64</v>
      </c>
      <c r="Y1717" s="48" t="str">
        <f aca="false">IF($U1717&gt;=MA_LONG2,AVERAGE(INDEX($I$1317:$I1717,402-MA_LONG2):$I1717),"")</f>
        <v/>
      </c>
      <c r="Z1717" s="48" t="n">
        <f aca="false">IF($U1717&gt;=MA_SHORT,AVERAGE(INDEX($L$1597:$L1717,122-MA_SHORT):$L1717),"")</f>
        <v>109691363.25</v>
      </c>
      <c r="AA1717" s="48" t="n">
        <f aca="false">IF($U1717=1,$G1717-$H1717,MAX($G1717-$H1717,ABS($G1717-$I1716),ABS($H1717-$I1716)))</f>
        <v>15</v>
      </c>
      <c r="AB1717" s="48" t="n">
        <f aca="false">IF($U1717&gt;=ATR_PER,AVERAGE(INDEX($AA$1597:$AA1717,122-ATR_PER):$AA1717),"")</f>
        <v>43.1428571428571</v>
      </c>
      <c r="AC1717" s="48" t="n">
        <f aca="false">$O1717-$P1717</f>
        <v>-3941128</v>
      </c>
      <c r="AD1717" s="48" t="n">
        <f aca="false">$AC1717*$I1717</f>
        <v>-5454521152</v>
      </c>
      <c r="AE1717" s="49" t="n">
        <f aca="false">IF($Q1717&gt;0,$O1717*$I1717/$Q1717/1000000,"")</f>
        <v>22.9712798901243</v>
      </c>
      <c r="AF1717" s="49" t="n">
        <f aca="false">IF($R1717&gt;0,$P1717*$I1717/$R1717/1000000,"")</f>
        <v>27.7198054047024</v>
      </c>
      <c r="AG1717" s="50" t="n">
        <f aca="false">IF(AND(ISNUMBER($AE1717),ISNUMBER($AF1717),$AF1717&gt;0),$AE1717/$AF1717,"")</f>
        <v>0.828695568195708</v>
      </c>
      <c r="AH1717" s="48" t="n">
        <f aca="false">IF($U1717&gt;=5,SUM(INDEX($AD$1687:$AD1717,32-5):$AD1717),"")</f>
        <v>-67704811605</v>
      </c>
      <c r="AI1717" s="48" t="n">
        <f aca="false">IF($U1717&gt;=STRUCT_S,MAX(INDEX($G$1567:$G1717,152-STRUCT_S):$G1717),"")</f>
        <v>1650</v>
      </c>
      <c r="AJ1717" s="48" t="n">
        <f aca="false">IF($U1717&gt;=STRUCT_S,MIN(INDEX($H$1567:$H1717,152-STRUCT_S):$H1717),"")</f>
        <v>1358</v>
      </c>
      <c r="AK1717" s="48" t="n">
        <f aca="false">IF($U1717&gt;=STRUCT_L,MAX(INDEX($G$1467:$G1717,252-STRUCT_L):$G1717),"")</f>
        <v>1939</v>
      </c>
      <c r="AL1717" s="48" t="n">
        <f aca="false">IF($U1717&gt;=STRUCT_L,MIN(INDEX($H$1467:$H1717,252-STRUCT_L):$H1717),"")</f>
        <v>1358</v>
      </c>
      <c r="AM1717" s="46" t="n">
        <f aca="false">IF($A1717&lt;&gt;$A1718,1,0)</f>
        <v>0</v>
      </c>
      <c r="AN1717" s="47" t="str">
        <f aca="false">IF($AM1717=1,$A1717,"")</f>
        <v/>
      </c>
    </row>
    <row r="1718" customFormat="false" ht="15" hidden="false" customHeight="false" outlineLevel="0" collapsed="false">
      <c r="A1718" s="43" t="s">
        <v>162</v>
      </c>
      <c r="B1718" s="44" t="s">
        <v>164</v>
      </c>
      <c r="C1718" s="45" t="n">
        <v>46119</v>
      </c>
      <c r="D1718" s="46" t="n">
        <v>20260407</v>
      </c>
      <c r="E1718" s="47" t="s">
        <v>441</v>
      </c>
      <c r="F1718" s="48" t="n">
        <v>1380</v>
      </c>
      <c r="G1718" s="48" t="n">
        <v>1389</v>
      </c>
      <c r="H1718" s="48" t="n">
        <v>1375</v>
      </c>
      <c r="I1718" s="48" t="n">
        <v>1380</v>
      </c>
      <c r="J1718" s="48" t="n">
        <v>1376</v>
      </c>
      <c r="K1718" s="48" t="n">
        <v>1384</v>
      </c>
      <c r="L1718" s="48" t="n">
        <v>79938102</v>
      </c>
      <c r="M1718" s="48" t="n">
        <v>110314580760</v>
      </c>
      <c r="N1718" s="48" t="n">
        <v>1791</v>
      </c>
      <c r="O1718" s="48" t="n">
        <v>37700982</v>
      </c>
      <c r="P1718" s="48" t="n">
        <v>36092844</v>
      </c>
      <c r="Q1718" s="48" t="n">
        <v>751</v>
      </c>
      <c r="R1718" s="48" t="n">
        <v>658</v>
      </c>
      <c r="S1718" s="48" t="n">
        <v>42237120</v>
      </c>
      <c r="T1718" s="48" t="n">
        <v>43845258</v>
      </c>
      <c r="U1718" s="46" t="n">
        <f aca="false">IF($A1718=$A1717,$U1717+1,1)</f>
        <v>154</v>
      </c>
      <c r="V1718" s="48" t="n">
        <f aca="false">IF($U1718&gt;=MA_SHORT,AVERAGE(INDEX($I$1318:$I1718,402-MA_SHORT):$I1718),"")</f>
        <v>1462.7</v>
      </c>
      <c r="W1718" s="48" t="n">
        <f aca="false">IF($U1718&gt;=MA_MED,AVERAGE(INDEX($I$1318:$I1718,402-MA_MED):$I1718),"")</f>
        <v>1609.22</v>
      </c>
      <c r="X1718" s="48" t="n">
        <f aca="false">IF($U1718&gt;=MA_LONG1,AVERAGE(INDEX($I$1318:$I1718,402-MA_LONG1):$I1718),"")</f>
        <v>1771.46</v>
      </c>
      <c r="Y1718" s="48" t="str">
        <f aca="false">IF($U1718&gt;=MA_LONG2,AVERAGE(INDEX($I$1318:$I1718,402-MA_LONG2):$I1718),"")</f>
        <v/>
      </c>
      <c r="Z1718" s="48" t="n">
        <f aca="false">IF($U1718&gt;=MA_SHORT,AVERAGE(INDEX($L$1598:$L1718,122-MA_SHORT):$L1718),"")</f>
        <v>108798740.25</v>
      </c>
      <c r="AA1718" s="48" t="n">
        <f aca="false">IF($U1718=1,$G1718-$H1718,MAX($G1718-$H1718,ABS($G1718-$I1717),ABS($H1718-$I1717)))</f>
        <v>14</v>
      </c>
      <c r="AB1718" s="48" t="n">
        <f aca="false">IF($U1718&gt;=ATR_PER,AVERAGE(INDEX($AA$1598:$AA1718,122-ATR_PER):$AA1718),"")</f>
        <v>41.5</v>
      </c>
      <c r="AC1718" s="48" t="n">
        <f aca="false">$O1718-$P1718</f>
        <v>1608138</v>
      </c>
      <c r="AD1718" s="48" t="n">
        <f aca="false">$AC1718*$I1718</f>
        <v>2219230440</v>
      </c>
      <c r="AE1718" s="49" t="n">
        <f aca="false">IF($Q1718&gt;0,$O1718*$I1718/$Q1718/1000000,"")</f>
        <v>69.2774369640479</v>
      </c>
      <c r="AF1718" s="49" t="n">
        <f aca="false">IF($R1718&gt;0,$P1718*$I1718/$R1718/1000000,"")</f>
        <v>75.6962381762918</v>
      </c>
      <c r="AG1718" s="50" t="n">
        <f aca="false">IF(AND(ISNUMBER($AE1718),ISNUMBER($AF1718),$AF1718&gt;0),$AE1718/$AF1718,"")</f>
        <v>0.915203167728165</v>
      </c>
      <c r="AH1718" s="48" t="n">
        <f aca="false">IF($U1718&gt;=5,SUM(INDEX($AD$1688:$AD1718,32-5):$AD1718),"")</f>
        <v>-66286814917</v>
      </c>
      <c r="AI1718" s="48" t="n">
        <f aca="false">IF($U1718&gt;=STRUCT_S,MAX(INDEX($G$1568:$G1718,152-STRUCT_S):$G1718),"")</f>
        <v>1632</v>
      </c>
      <c r="AJ1718" s="48" t="n">
        <f aca="false">IF($U1718&gt;=STRUCT_S,MIN(INDEX($H$1568:$H1718,152-STRUCT_S):$H1718),"")</f>
        <v>1358</v>
      </c>
      <c r="AK1718" s="48" t="n">
        <f aca="false">IF($U1718&gt;=STRUCT_L,MAX(INDEX($G$1468:$G1718,252-STRUCT_L):$G1718),"")</f>
        <v>1918</v>
      </c>
      <c r="AL1718" s="48" t="n">
        <f aca="false">IF($U1718&gt;=STRUCT_L,MIN(INDEX($H$1468:$H1718,252-STRUCT_L):$H1718),"")</f>
        <v>1358</v>
      </c>
      <c r="AM1718" s="46" t="n">
        <f aca="false">IF($A1718&lt;&gt;$A1719,1,0)</f>
        <v>0</v>
      </c>
      <c r="AN1718" s="47" t="str">
        <f aca="false">IF($AM1718=1,$A1718,"")</f>
        <v/>
      </c>
    </row>
    <row r="1719" customFormat="false" ht="15" hidden="false" customHeight="false" outlineLevel="0" collapsed="false">
      <c r="A1719" s="43" t="s">
        <v>162</v>
      </c>
      <c r="B1719" s="44" t="s">
        <v>164</v>
      </c>
      <c r="C1719" s="45" t="n">
        <v>46120</v>
      </c>
      <c r="D1719" s="46" t="n">
        <v>20260408</v>
      </c>
      <c r="E1719" s="47" t="s">
        <v>442</v>
      </c>
      <c r="F1719" s="48" t="n">
        <v>1358</v>
      </c>
      <c r="G1719" s="48" t="n">
        <v>1391</v>
      </c>
      <c r="H1719" s="48" t="n">
        <v>1330</v>
      </c>
      <c r="I1719" s="48" t="n">
        <v>1341</v>
      </c>
      <c r="J1719" s="48" t="n">
        <v>1334</v>
      </c>
      <c r="K1719" s="48" t="n">
        <v>1380</v>
      </c>
      <c r="L1719" s="48" t="n">
        <v>111792835</v>
      </c>
      <c r="M1719" s="48" t="n">
        <v>149914191735</v>
      </c>
      <c r="N1719" s="48" t="n">
        <v>4782</v>
      </c>
      <c r="O1719" s="48" t="n">
        <v>47829940</v>
      </c>
      <c r="P1719" s="48" t="n">
        <v>60471105</v>
      </c>
      <c r="Q1719" s="48" t="n">
        <v>2333</v>
      </c>
      <c r="R1719" s="48" t="n">
        <v>1775</v>
      </c>
      <c r="S1719" s="48" t="n">
        <v>63962895</v>
      </c>
      <c r="T1719" s="48" t="n">
        <v>51321730</v>
      </c>
      <c r="U1719" s="46" t="n">
        <f aca="false">IF($A1719=$A1718,$U1718+1,1)</f>
        <v>155</v>
      </c>
      <c r="V1719" s="48" t="n">
        <f aca="false">IF($U1719&gt;=MA_SHORT,AVERAGE(INDEX($I$1319:$I1719,402-MA_SHORT):$I1719),"")</f>
        <v>1448.7</v>
      </c>
      <c r="W1719" s="48" t="n">
        <f aca="false">IF($U1719&gt;=MA_MED,AVERAGE(INDEX($I$1319:$I1719,402-MA_MED):$I1719),"")</f>
        <v>1599.62</v>
      </c>
      <c r="X1719" s="48" t="n">
        <f aca="false">IF($U1719&gt;=MA_LONG1,AVERAGE(INDEX($I$1319:$I1719,402-MA_LONG1):$I1719),"")</f>
        <v>1766.13</v>
      </c>
      <c r="Y1719" s="48" t="str">
        <f aca="false">IF($U1719&gt;=MA_LONG2,AVERAGE(INDEX($I$1319:$I1719,402-MA_LONG2):$I1719),"")</f>
        <v/>
      </c>
      <c r="Z1719" s="48" t="n">
        <f aca="false">IF($U1719&gt;=MA_SHORT,AVERAGE(INDEX($L$1599:$L1719,122-MA_SHORT):$L1719),"")</f>
        <v>110386670.75</v>
      </c>
      <c r="AA1719" s="48" t="n">
        <f aca="false">IF($U1719=1,$G1719-$H1719,MAX($G1719-$H1719,ABS($G1719-$I1718),ABS($H1719-$I1718)))</f>
        <v>61</v>
      </c>
      <c r="AB1719" s="48" t="n">
        <f aca="false">IF($U1719&gt;=ATR_PER,AVERAGE(INDEX($AA$1599:$AA1719,122-ATR_PER):$AA1719),"")</f>
        <v>41.7142857142857</v>
      </c>
      <c r="AC1719" s="48" t="n">
        <f aca="false">$O1719-$P1719</f>
        <v>-12641165</v>
      </c>
      <c r="AD1719" s="48" t="n">
        <f aca="false">$AC1719*$I1719</f>
        <v>-16951802265</v>
      </c>
      <c r="AE1719" s="49" t="n">
        <f aca="false">IF($Q1719&gt;0,$O1719*$I1719/$Q1719/1000000,"")</f>
        <v>27.4924772996142</v>
      </c>
      <c r="AF1719" s="49" t="n">
        <f aca="false">IF($R1719&gt;0,$P1719*$I1719/$R1719/1000000,"")</f>
        <v>45.6854939746479</v>
      </c>
      <c r="AG1719" s="50" t="n">
        <f aca="false">IF(AND(ISNUMBER($AE1719),ISNUMBER($AF1719),$AF1719&gt;0),$AE1719/$AF1719,"")</f>
        <v>0.601776951670273</v>
      </c>
      <c r="AH1719" s="48" t="n">
        <f aca="false">IF($U1719&gt;=5,SUM(INDEX($AD$1689:$AD1719,32-5):$AD1719),"")</f>
        <v>-41217810742</v>
      </c>
      <c r="AI1719" s="48" t="n">
        <f aca="false">IF($U1719&gt;=STRUCT_S,MAX(INDEX($G$1569:$G1719,152-STRUCT_S):$G1719),"")</f>
        <v>1631</v>
      </c>
      <c r="AJ1719" s="48" t="n">
        <f aca="false">IF($U1719&gt;=STRUCT_S,MIN(INDEX($H$1569:$H1719,152-STRUCT_S):$H1719),"")</f>
        <v>1330</v>
      </c>
      <c r="AK1719" s="48" t="n">
        <f aca="false">IF($U1719&gt;=STRUCT_L,MAX(INDEX($G$1469:$G1719,252-STRUCT_L):$G1719),"")</f>
        <v>1906</v>
      </c>
      <c r="AL1719" s="48" t="n">
        <f aca="false">IF($U1719&gt;=STRUCT_L,MIN(INDEX($H$1469:$H1719,252-STRUCT_L):$H1719),"")</f>
        <v>1330</v>
      </c>
      <c r="AM1719" s="46" t="n">
        <f aca="false">IF($A1719&lt;&gt;$A1720,1,0)</f>
        <v>0</v>
      </c>
      <c r="AN1719" s="47" t="str">
        <f aca="false">IF($AM1719=1,$A1719,"")</f>
        <v/>
      </c>
    </row>
    <row r="1720" customFormat="false" ht="15" hidden="false" customHeight="false" outlineLevel="0" collapsed="false">
      <c r="A1720" s="43" t="s">
        <v>162</v>
      </c>
      <c r="B1720" s="44" t="s">
        <v>164</v>
      </c>
      <c r="C1720" s="45" t="n">
        <v>46123</v>
      </c>
      <c r="D1720" s="46" t="n">
        <v>20260411</v>
      </c>
      <c r="E1720" s="47" t="s">
        <v>443</v>
      </c>
      <c r="F1720" s="48" t="n">
        <v>1348</v>
      </c>
      <c r="G1720" s="48" t="n">
        <v>1357</v>
      </c>
      <c r="H1720" s="48" t="n">
        <v>1328</v>
      </c>
      <c r="I1720" s="48" t="n">
        <v>1344</v>
      </c>
      <c r="J1720" s="48" t="n">
        <v>1344</v>
      </c>
      <c r="K1720" s="48" t="n">
        <v>1341</v>
      </c>
      <c r="L1720" s="48" t="n">
        <v>79630226</v>
      </c>
      <c r="M1720" s="48" t="n">
        <v>107023023744</v>
      </c>
      <c r="N1720" s="48" t="n">
        <v>7223</v>
      </c>
      <c r="O1720" s="48" t="n">
        <v>31965868</v>
      </c>
      <c r="P1720" s="48" t="n">
        <v>44762389</v>
      </c>
      <c r="Q1720" s="48" t="n">
        <v>2335</v>
      </c>
      <c r="R1720" s="48" t="n">
        <v>3168</v>
      </c>
      <c r="S1720" s="48" t="n">
        <v>47664358</v>
      </c>
      <c r="T1720" s="48" t="n">
        <v>34867837</v>
      </c>
      <c r="U1720" s="46" t="n">
        <f aca="false">IF($A1720=$A1719,$U1719+1,1)</f>
        <v>156</v>
      </c>
      <c r="V1720" s="48" t="n">
        <f aca="false">IF($U1720&gt;=MA_SHORT,AVERAGE(INDEX($I$1320:$I1720,402-MA_SHORT):$I1720),"")</f>
        <v>1436.75</v>
      </c>
      <c r="W1720" s="48" t="n">
        <f aca="false">IF($U1720&gt;=MA_MED,AVERAGE(INDEX($I$1320:$I1720,402-MA_MED):$I1720),"")</f>
        <v>1590.72</v>
      </c>
      <c r="X1720" s="48" t="n">
        <f aca="false">IF($U1720&gt;=MA_LONG1,AVERAGE(INDEX($I$1320:$I1720,402-MA_LONG1):$I1720),"")</f>
        <v>1760.91</v>
      </c>
      <c r="Y1720" s="48" t="str">
        <f aca="false">IF($U1720&gt;=MA_LONG2,AVERAGE(INDEX($I$1320:$I1720,402-MA_LONG2):$I1720),"")</f>
        <v/>
      </c>
      <c r="Z1720" s="48" t="n">
        <f aca="false">IF($U1720&gt;=MA_SHORT,AVERAGE(INDEX($L$1600:$L1720,122-MA_SHORT):$L1720),"")</f>
        <v>109886808.25</v>
      </c>
      <c r="AA1720" s="48" t="n">
        <f aca="false">IF($U1720=1,$G1720-$H1720,MAX($G1720-$H1720,ABS($G1720-$I1719),ABS($H1720-$I1719)))</f>
        <v>29</v>
      </c>
      <c r="AB1720" s="48" t="n">
        <f aca="false">IF($U1720&gt;=ATR_PER,AVERAGE(INDEX($AA$1600:$AA1720,122-ATR_PER):$AA1720),"")</f>
        <v>40</v>
      </c>
      <c r="AC1720" s="48" t="n">
        <f aca="false">$O1720-$P1720</f>
        <v>-12796521</v>
      </c>
      <c r="AD1720" s="48" t="n">
        <f aca="false">$AC1720*$I1720</f>
        <v>-17198524224</v>
      </c>
      <c r="AE1720" s="49" t="n">
        <f aca="false">IF($Q1720&gt;0,$O1720*$I1720/$Q1720/1000000,"")</f>
        <v>18.39919768394</v>
      </c>
      <c r="AF1720" s="49" t="n">
        <f aca="false">IF($R1720&gt;0,$P1720*$I1720/$R1720/1000000,"")</f>
        <v>18.9901044242424</v>
      </c>
      <c r="AG1720" s="50" t="n">
        <f aca="false">IF(AND(ISNUMBER($AE1720),ISNUMBER($AF1720),$AF1720&gt;0),$AE1720/$AF1720,"")</f>
        <v>0.968883439126957</v>
      </c>
      <c r="AH1720" s="48" t="n">
        <f aca="false">IF($U1720&gt;=5,SUM(INDEX($AD$1690:$AD1720,32-5):$AD1720),"")</f>
        <v>-42277848964</v>
      </c>
      <c r="AI1720" s="48" t="n">
        <f aca="false">IF($U1720&gt;=STRUCT_S,MAX(INDEX($G$1570:$G1720,152-STRUCT_S):$G1720),"")</f>
        <v>1595</v>
      </c>
      <c r="AJ1720" s="48" t="n">
        <f aca="false">IF($U1720&gt;=STRUCT_S,MIN(INDEX($H$1570:$H1720,152-STRUCT_S):$H1720),"")</f>
        <v>1328</v>
      </c>
      <c r="AK1720" s="48" t="n">
        <f aca="false">IF($U1720&gt;=STRUCT_L,MAX(INDEX($G$1470:$G1720,252-STRUCT_L):$G1720),"")</f>
        <v>1886</v>
      </c>
      <c r="AL1720" s="48" t="n">
        <f aca="false">IF($U1720&gt;=STRUCT_L,MIN(INDEX($H$1470:$H1720,252-STRUCT_L):$H1720),"")</f>
        <v>1328</v>
      </c>
      <c r="AM1720" s="46" t="n">
        <f aca="false">IF($A1720&lt;&gt;$A1721,1,0)</f>
        <v>0</v>
      </c>
      <c r="AN1720" s="47" t="str">
        <f aca="false">IF($AM1720=1,$A1720,"")</f>
        <v/>
      </c>
    </row>
    <row r="1721" customFormat="false" ht="15" hidden="false" customHeight="false" outlineLevel="0" collapsed="false">
      <c r="A1721" s="43" t="s">
        <v>162</v>
      </c>
      <c r="B1721" s="44" t="s">
        <v>164</v>
      </c>
      <c r="C1721" s="45" t="n">
        <v>46124</v>
      </c>
      <c r="D1721" s="46" t="n">
        <v>20260412</v>
      </c>
      <c r="E1721" s="47" t="s">
        <v>444</v>
      </c>
      <c r="F1721" s="48" t="n">
        <v>1310</v>
      </c>
      <c r="G1721" s="48" t="n">
        <v>1362</v>
      </c>
      <c r="H1721" s="48" t="n">
        <v>1304</v>
      </c>
      <c r="I1721" s="48" t="n">
        <v>1322</v>
      </c>
      <c r="J1721" s="48" t="n">
        <v>1323</v>
      </c>
      <c r="K1721" s="48" t="n">
        <v>1344</v>
      </c>
      <c r="L1721" s="48" t="n">
        <v>86292760</v>
      </c>
      <c r="M1721" s="48" t="n">
        <v>114079028720</v>
      </c>
      <c r="N1721" s="48" t="n">
        <v>2169</v>
      </c>
      <c r="O1721" s="48" t="n">
        <v>34470823</v>
      </c>
      <c r="P1721" s="48" t="n">
        <v>56160427</v>
      </c>
      <c r="Q1721" s="48" t="n">
        <v>794</v>
      </c>
      <c r="R1721" s="48" t="n">
        <v>1030</v>
      </c>
      <c r="S1721" s="48" t="n">
        <v>51821937</v>
      </c>
      <c r="T1721" s="48" t="n">
        <v>30132333</v>
      </c>
      <c r="U1721" s="46" t="n">
        <f aca="false">IF($A1721=$A1720,$U1720+1,1)</f>
        <v>157</v>
      </c>
      <c r="V1721" s="48" t="n">
        <f aca="false">IF($U1721&gt;=MA_SHORT,AVERAGE(INDEX($I$1321:$I1721,402-MA_SHORT):$I1721),"")</f>
        <v>1426.1</v>
      </c>
      <c r="W1721" s="48" t="n">
        <f aca="false">IF($U1721&gt;=MA_MED,AVERAGE(INDEX($I$1321:$I1721,402-MA_MED):$I1721),"")</f>
        <v>1581.86</v>
      </c>
      <c r="X1721" s="48" t="n">
        <f aca="false">IF($U1721&gt;=MA_LONG1,AVERAGE(INDEX($I$1321:$I1721,402-MA_LONG1):$I1721),"")</f>
        <v>1755.43</v>
      </c>
      <c r="Y1721" s="48" t="str">
        <f aca="false">IF($U1721&gt;=MA_LONG2,AVERAGE(INDEX($I$1321:$I1721,402-MA_LONG2):$I1721),"")</f>
        <v/>
      </c>
      <c r="Z1721" s="48" t="n">
        <f aca="false">IF($U1721&gt;=MA_SHORT,AVERAGE(INDEX($L$1601:$L1721,122-MA_SHORT):$L1721),"")</f>
        <v>109557896</v>
      </c>
      <c r="AA1721" s="48" t="n">
        <f aca="false">IF($U1721=1,$G1721-$H1721,MAX($G1721-$H1721,ABS($G1721-$I1720),ABS($H1721-$I1720)))</f>
        <v>58</v>
      </c>
      <c r="AB1721" s="48" t="n">
        <f aca="false">IF($U1721&gt;=ATR_PER,AVERAGE(INDEX($AA$1601:$AA1721,122-ATR_PER):$AA1721),"")</f>
        <v>42.0714285714286</v>
      </c>
      <c r="AC1721" s="48" t="n">
        <f aca="false">$O1721-$P1721</f>
        <v>-21689604</v>
      </c>
      <c r="AD1721" s="48" t="n">
        <f aca="false">$AC1721*$I1721</f>
        <v>-28673656488</v>
      </c>
      <c r="AE1721" s="49" t="n">
        <f aca="false">IF($Q1721&gt;0,$O1721*$I1721/$Q1721/1000000,"")</f>
        <v>57.3934861536524</v>
      </c>
      <c r="AF1721" s="49" t="n">
        <f aca="false">IF($R1721&gt;0,$P1721*$I1721/$R1721/1000000,"")</f>
        <v>72.081635431068</v>
      </c>
      <c r="AG1721" s="50" t="n">
        <f aca="false">IF(AND(ISNUMBER($AE1721),ISNUMBER($AF1721),$AF1721&gt;0),$AE1721/$AF1721,"")</f>
        <v>0.796228967481434</v>
      </c>
      <c r="AH1721" s="48" t="n">
        <f aca="false">IF($U1721&gt;=5,SUM(INDEX($AD$1691:$AD1721,32-5):$AD1721),"")</f>
        <v>-66059273689</v>
      </c>
      <c r="AI1721" s="48" t="n">
        <f aca="false">IF($U1721&gt;=STRUCT_S,MAX(INDEX($G$1571:$G1721,152-STRUCT_S):$G1721),"")</f>
        <v>1579</v>
      </c>
      <c r="AJ1721" s="48" t="n">
        <f aca="false">IF($U1721&gt;=STRUCT_S,MIN(INDEX($H$1571:$H1721,152-STRUCT_S):$H1721),"")</f>
        <v>1304</v>
      </c>
      <c r="AK1721" s="48" t="n">
        <f aca="false">IF($U1721&gt;=STRUCT_L,MAX(INDEX($G$1471:$G1721,252-STRUCT_L):$G1721),"")</f>
        <v>1870</v>
      </c>
      <c r="AL1721" s="48" t="n">
        <f aca="false">IF($U1721&gt;=STRUCT_L,MIN(INDEX($H$1471:$H1721,252-STRUCT_L):$H1721),"")</f>
        <v>1304</v>
      </c>
      <c r="AM1721" s="46" t="n">
        <f aca="false">IF($A1721&lt;&gt;$A1722,1,0)</f>
        <v>0</v>
      </c>
      <c r="AN1721" s="47" t="str">
        <f aca="false">IF($AM1721=1,$A1721,"")</f>
        <v/>
      </c>
    </row>
    <row r="1722" customFormat="false" ht="15" hidden="false" customHeight="false" outlineLevel="0" collapsed="false">
      <c r="A1722" s="43" t="s">
        <v>162</v>
      </c>
      <c r="B1722" s="44" t="s">
        <v>164</v>
      </c>
      <c r="C1722" s="45" t="n">
        <v>46125</v>
      </c>
      <c r="D1722" s="46" t="n">
        <v>20260413</v>
      </c>
      <c r="E1722" s="47" t="s">
        <v>445</v>
      </c>
      <c r="F1722" s="48" t="n">
        <v>1337</v>
      </c>
      <c r="G1722" s="48" t="n">
        <v>1348</v>
      </c>
      <c r="H1722" s="48" t="n">
        <v>1280</v>
      </c>
      <c r="I1722" s="48" t="n">
        <v>1306</v>
      </c>
      <c r="J1722" s="48" t="n">
        <v>1347</v>
      </c>
      <c r="K1722" s="48" t="n">
        <v>1322</v>
      </c>
      <c r="L1722" s="48" t="n">
        <v>84281459</v>
      </c>
      <c r="M1722" s="48" t="n">
        <v>110071585454</v>
      </c>
      <c r="N1722" s="48" t="n">
        <v>2795</v>
      </c>
      <c r="O1722" s="48" t="n">
        <v>43798356</v>
      </c>
      <c r="P1722" s="48" t="n">
        <v>42877384</v>
      </c>
      <c r="Q1722" s="48" t="n">
        <v>925</v>
      </c>
      <c r="R1722" s="48" t="n">
        <v>985</v>
      </c>
      <c r="S1722" s="48" t="n">
        <v>40483103</v>
      </c>
      <c r="T1722" s="48" t="n">
        <v>41404075</v>
      </c>
      <c r="U1722" s="46" t="n">
        <f aca="false">IF($A1722=$A1721,$U1721+1,1)</f>
        <v>158</v>
      </c>
      <c r="V1722" s="48" t="n">
        <f aca="false">IF($U1722&gt;=MA_SHORT,AVERAGE(INDEX($I$1322:$I1722,402-MA_SHORT):$I1722),"")</f>
        <v>1414.6</v>
      </c>
      <c r="W1722" s="48" t="n">
        <f aca="false">IF($U1722&gt;=MA_MED,AVERAGE(INDEX($I$1322:$I1722,402-MA_MED):$I1722),"")</f>
        <v>1572.98</v>
      </c>
      <c r="X1722" s="48" t="n">
        <f aca="false">IF($U1722&gt;=MA_LONG1,AVERAGE(INDEX($I$1322:$I1722,402-MA_LONG1):$I1722),"")</f>
        <v>1749.75</v>
      </c>
      <c r="Y1722" s="48" t="str">
        <f aca="false">IF($U1722&gt;=MA_LONG2,AVERAGE(INDEX($I$1322:$I1722,402-MA_LONG2):$I1722),"")</f>
        <v/>
      </c>
      <c r="Z1722" s="48" t="n">
        <f aca="false">IF($U1722&gt;=MA_SHORT,AVERAGE(INDEX($L$1602:$L1722,122-MA_SHORT):$L1722),"")</f>
        <v>108533445.8</v>
      </c>
      <c r="AA1722" s="48" t="n">
        <f aca="false">IF($U1722=1,$G1722-$H1722,MAX($G1722-$H1722,ABS($G1722-$I1721),ABS($H1722-$I1721)))</f>
        <v>68</v>
      </c>
      <c r="AB1722" s="48" t="n">
        <f aca="false">IF($U1722&gt;=ATR_PER,AVERAGE(INDEX($AA$1602:$AA1722,122-ATR_PER):$AA1722),"")</f>
        <v>43.0714285714286</v>
      </c>
      <c r="AC1722" s="48" t="n">
        <f aca="false">$O1722-$P1722</f>
        <v>920972</v>
      </c>
      <c r="AD1722" s="48" t="n">
        <f aca="false">$AC1722*$I1722</f>
        <v>1202789432</v>
      </c>
      <c r="AE1722" s="49" t="n">
        <f aca="false">IF($Q1722&gt;0,$O1722*$I1722/$Q1722/1000000,"")</f>
        <v>61.8385437145946</v>
      </c>
      <c r="AF1722" s="49" t="n">
        <f aca="false">IF($R1722&gt;0,$P1722*$I1722/$R1722/1000000,"")</f>
        <v>56.8506228467005</v>
      </c>
      <c r="AG1722" s="50" t="n">
        <f aca="false">IF(AND(ISNUMBER($AE1722),ISNUMBER($AF1722),$AF1722&gt;0),$AE1722/$AF1722,"")</f>
        <v>1.08773731259452</v>
      </c>
      <c r="AH1722" s="48" t="n">
        <f aca="false">IF($U1722&gt;=5,SUM(INDEX($AD$1692:$AD1722,32-5):$AD1722),"")</f>
        <v>-59401963105</v>
      </c>
      <c r="AI1722" s="48" t="n">
        <f aca="false">IF($U1722&gt;=STRUCT_S,MAX(INDEX($G$1572:$G1722,152-STRUCT_S):$G1722),"")</f>
        <v>1579</v>
      </c>
      <c r="AJ1722" s="48" t="n">
        <f aca="false">IF($U1722&gt;=STRUCT_S,MIN(INDEX($H$1572:$H1722,152-STRUCT_S):$H1722),"")</f>
        <v>1280</v>
      </c>
      <c r="AK1722" s="48" t="n">
        <f aca="false">IF($U1722&gt;=STRUCT_L,MAX(INDEX($G$1472:$G1722,252-STRUCT_L):$G1722),"")</f>
        <v>1869</v>
      </c>
      <c r="AL1722" s="48" t="n">
        <f aca="false">IF($U1722&gt;=STRUCT_L,MIN(INDEX($H$1472:$H1722,252-STRUCT_L):$H1722),"")</f>
        <v>1280</v>
      </c>
      <c r="AM1722" s="46" t="n">
        <f aca="false">IF($A1722&lt;&gt;$A1723,1,0)</f>
        <v>0</v>
      </c>
      <c r="AN1722" s="47" t="str">
        <f aca="false">IF($AM1722=1,$A1722,"")</f>
        <v/>
      </c>
    </row>
    <row r="1723" customFormat="false" ht="15" hidden="false" customHeight="false" outlineLevel="0" collapsed="false">
      <c r="A1723" s="43" t="s">
        <v>162</v>
      </c>
      <c r="B1723" s="44" t="s">
        <v>164</v>
      </c>
      <c r="C1723" s="45" t="n">
        <v>46126</v>
      </c>
      <c r="D1723" s="46" t="n">
        <v>20260414</v>
      </c>
      <c r="E1723" s="47" t="s">
        <v>446</v>
      </c>
      <c r="F1723" s="48" t="n">
        <v>1290</v>
      </c>
      <c r="G1723" s="48" t="n">
        <v>1313</v>
      </c>
      <c r="H1723" s="48" t="n">
        <v>1280</v>
      </c>
      <c r="I1723" s="48" t="n">
        <v>1287</v>
      </c>
      <c r="J1723" s="48" t="n">
        <v>1299</v>
      </c>
      <c r="K1723" s="48" t="n">
        <v>1306</v>
      </c>
      <c r="L1723" s="48" t="n">
        <v>85434334</v>
      </c>
      <c r="M1723" s="48" t="n">
        <v>109953987858</v>
      </c>
      <c r="N1723" s="48" t="n">
        <v>2309</v>
      </c>
      <c r="O1723" s="48" t="n">
        <v>37325979</v>
      </c>
      <c r="P1723" s="48" t="n">
        <v>50206646</v>
      </c>
      <c r="Q1723" s="48" t="n">
        <v>849</v>
      </c>
      <c r="R1723" s="48" t="n">
        <v>1289</v>
      </c>
      <c r="S1723" s="48" t="n">
        <v>48108355</v>
      </c>
      <c r="T1723" s="48" t="n">
        <v>35227688</v>
      </c>
      <c r="U1723" s="46" t="n">
        <f aca="false">IF($A1723=$A1722,$U1722+1,1)</f>
        <v>159</v>
      </c>
      <c r="V1723" s="48" t="n">
        <f aca="false">IF($U1723&gt;=MA_SHORT,AVERAGE(INDEX($I$1323:$I1723,402-MA_SHORT):$I1723),"")</f>
        <v>1401.15</v>
      </c>
      <c r="W1723" s="48" t="n">
        <f aca="false">IF($U1723&gt;=MA_MED,AVERAGE(INDEX($I$1323:$I1723,402-MA_MED):$I1723),"")</f>
        <v>1563.88</v>
      </c>
      <c r="X1723" s="48" t="n">
        <f aca="false">IF($U1723&gt;=MA_LONG1,AVERAGE(INDEX($I$1323:$I1723,402-MA_LONG1):$I1723),"")</f>
        <v>1743.79</v>
      </c>
      <c r="Y1723" s="48" t="str">
        <f aca="false">IF($U1723&gt;=MA_LONG2,AVERAGE(INDEX($I$1323:$I1723,402-MA_LONG2):$I1723),"")</f>
        <v/>
      </c>
      <c r="Z1723" s="48" t="n">
        <f aca="false">IF($U1723&gt;=MA_SHORT,AVERAGE(INDEX($L$1603:$L1723,122-MA_SHORT):$L1723),"")</f>
        <v>107257879.9</v>
      </c>
      <c r="AA1723" s="48" t="n">
        <f aca="false">IF($U1723=1,$G1723-$H1723,MAX($G1723-$H1723,ABS($G1723-$I1722),ABS($H1723-$I1722)))</f>
        <v>33</v>
      </c>
      <c r="AB1723" s="48" t="n">
        <f aca="false">IF($U1723&gt;=ATR_PER,AVERAGE(INDEX($AA$1603:$AA1723,122-ATR_PER):$AA1723),"")</f>
        <v>42.7857142857143</v>
      </c>
      <c r="AC1723" s="48" t="n">
        <f aca="false">$O1723-$P1723</f>
        <v>-12880667</v>
      </c>
      <c r="AD1723" s="48" t="n">
        <f aca="false">$AC1723*$I1723</f>
        <v>-16577418429</v>
      </c>
      <c r="AE1723" s="49" t="n">
        <f aca="false">IF($Q1723&gt;0,$O1723*$I1723/$Q1723/1000000,"")</f>
        <v>56.5824911342756</v>
      </c>
      <c r="AF1723" s="49" t="n">
        <f aca="false">IF($R1723&gt;0,$P1723*$I1723/$R1723/1000000,"")</f>
        <v>50.1287458510473</v>
      </c>
      <c r="AG1723" s="50" t="n">
        <f aca="false">IF(AND(ISNUMBER($AE1723),ISNUMBER($AF1723),$AF1723&gt;0),$AE1723/$AF1723,"")</f>
        <v>1.1287434020872</v>
      </c>
      <c r="AH1723" s="48" t="n">
        <f aca="false">IF($U1723&gt;=5,SUM(INDEX($AD$1693:$AD1723,32-5):$AD1723),"")</f>
        <v>-78198611974</v>
      </c>
      <c r="AI1723" s="48" t="n">
        <f aca="false">IF($U1723&gt;=STRUCT_S,MAX(INDEX($G$1573:$G1723,152-STRUCT_S):$G1723),"")</f>
        <v>1564</v>
      </c>
      <c r="AJ1723" s="48" t="n">
        <f aca="false">IF($U1723&gt;=STRUCT_S,MIN(INDEX($H$1573:$H1723,152-STRUCT_S):$H1723),"")</f>
        <v>1280</v>
      </c>
      <c r="AK1723" s="48" t="n">
        <f aca="false">IF($U1723&gt;=STRUCT_L,MAX(INDEX($G$1473:$G1723,252-STRUCT_L):$G1723),"")</f>
        <v>1869</v>
      </c>
      <c r="AL1723" s="48" t="n">
        <f aca="false">IF($U1723&gt;=STRUCT_L,MIN(INDEX($H$1473:$H1723,252-STRUCT_L):$H1723),"")</f>
        <v>1280</v>
      </c>
      <c r="AM1723" s="46" t="n">
        <f aca="false">IF($A1723&lt;&gt;$A1724,1,0)</f>
        <v>0</v>
      </c>
      <c r="AN1723" s="47" t="str">
        <f aca="false">IF($AM1723=1,$A1723,"")</f>
        <v/>
      </c>
    </row>
    <row r="1724" customFormat="false" ht="15" hidden="false" customHeight="false" outlineLevel="0" collapsed="false">
      <c r="A1724" s="43" t="s">
        <v>162</v>
      </c>
      <c r="B1724" s="44" t="s">
        <v>164</v>
      </c>
      <c r="C1724" s="45" t="n">
        <v>46127</v>
      </c>
      <c r="D1724" s="46" t="n">
        <v>20260415</v>
      </c>
      <c r="E1724" s="47" t="s">
        <v>447</v>
      </c>
      <c r="F1724" s="48" t="n">
        <v>1280</v>
      </c>
      <c r="G1724" s="48" t="n">
        <v>1322</v>
      </c>
      <c r="H1724" s="48" t="n">
        <v>1278</v>
      </c>
      <c r="I1724" s="48" t="n">
        <v>1313</v>
      </c>
      <c r="J1724" s="48" t="n">
        <v>1312</v>
      </c>
      <c r="K1724" s="48" t="n">
        <v>1287</v>
      </c>
      <c r="L1724" s="48" t="n">
        <v>88099827</v>
      </c>
      <c r="M1724" s="48" t="n">
        <v>115675072851</v>
      </c>
      <c r="N1724" s="48" t="n">
        <v>3552</v>
      </c>
      <c r="O1724" s="48" t="n">
        <v>58502672</v>
      </c>
      <c r="P1724" s="48" t="n">
        <v>31026746</v>
      </c>
      <c r="Q1724" s="48" t="n">
        <v>1783</v>
      </c>
      <c r="R1724" s="48" t="n">
        <v>1606</v>
      </c>
      <c r="S1724" s="48" t="n">
        <v>29597155</v>
      </c>
      <c r="T1724" s="48" t="n">
        <v>57073081</v>
      </c>
      <c r="U1724" s="46" t="n">
        <f aca="false">IF($A1724=$A1723,$U1723+1,1)</f>
        <v>160</v>
      </c>
      <c r="V1724" s="48" t="n">
        <f aca="false">IF($U1724&gt;=MA_SHORT,AVERAGE(INDEX($I$1324:$I1724,402-MA_SHORT):$I1724),"")</f>
        <v>1390.05</v>
      </c>
      <c r="W1724" s="48" t="n">
        <f aca="false">IF($U1724&gt;=MA_MED,AVERAGE(INDEX($I$1324:$I1724,402-MA_MED):$I1724),"")</f>
        <v>1555.74</v>
      </c>
      <c r="X1724" s="48" t="n">
        <f aca="false">IF($U1724&gt;=MA_LONG1,AVERAGE(INDEX($I$1324:$I1724,402-MA_LONG1):$I1724),"")</f>
        <v>1737.6</v>
      </c>
      <c r="Y1724" s="48" t="str">
        <f aca="false">IF($U1724&gt;=MA_LONG2,AVERAGE(INDEX($I$1324:$I1724,402-MA_LONG2):$I1724),"")</f>
        <v/>
      </c>
      <c r="Z1724" s="48" t="n">
        <f aca="false">IF($U1724&gt;=MA_SHORT,AVERAGE(INDEX($L$1604:$L1724,122-MA_SHORT):$L1724),"")</f>
        <v>107415955.25</v>
      </c>
      <c r="AA1724" s="48" t="n">
        <f aca="false">IF($U1724=1,$G1724-$H1724,MAX($G1724-$H1724,ABS($G1724-$I1723),ABS($H1724-$I1723)))</f>
        <v>44</v>
      </c>
      <c r="AB1724" s="48" t="n">
        <f aca="false">IF($U1724&gt;=ATR_PER,AVERAGE(INDEX($AA$1604:$AA1724,122-ATR_PER):$AA1724),"")</f>
        <v>43</v>
      </c>
      <c r="AC1724" s="48" t="n">
        <f aca="false">$O1724-$P1724</f>
        <v>27475926</v>
      </c>
      <c r="AD1724" s="48" t="n">
        <f aca="false">$AC1724*$I1724</f>
        <v>36075890838</v>
      </c>
      <c r="AE1724" s="49" t="n">
        <f aca="false">IF($Q1724&gt;0,$O1724*$I1724/$Q1724/1000000,"")</f>
        <v>43.0813282871565</v>
      </c>
      <c r="AF1724" s="49" t="n">
        <f aca="false">IF($R1724&gt;0,$P1724*$I1724/$R1724/1000000,"")</f>
        <v>25.3662001855542</v>
      </c>
      <c r="AG1724" s="50" t="n">
        <f aca="false">IF(AND(ISNUMBER($AE1724),ISNUMBER($AF1724),$AF1724&gt;0),$AE1724/$AF1724,"")</f>
        <v>1.69837531723379</v>
      </c>
      <c r="AH1724" s="48" t="n">
        <f aca="false">IF($U1724&gt;=5,SUM(INDEX($AD$1694:$AD1724,32-5):$AD1724),"")</f>
        <v>-25170918871</v>
      </c>
      <c r="AI1724" s="48" t="n">
        <f aca="false">IF($U1724&gt;=STRUCT_S,MAX(INDEX($G$1574:$G1724,152-STRUCT_S):$G1724),"")</f>
        <v>1548</v>
      </c>
      <c r="AJ1724" s="48" t="n">
        <f aca="false">IF($U1724&gt;=STRUCT_S,MIN(INDEX($H$1574:$H1724,152-STRUCT_S):$H1724),"")</f>
        <v>1278</v>
      </c>
      <c r="AK1724" s="48" t="n">
        <f aca="false">IF($U1724&gt;=STRUCT_L,MAX(INDEX($G$1474:$G1724,252-STRUCT_L):$G1724),"")</f>
        <v>1869</v>
      </c>
      <c r="AL1724" s="48" t="n">
        <f aca="false">IF($U1724&gt;=STRUCT_L,MIN(INDEX($H$1474:$H1724,252-STRUCT_L):$H1724),"")</f>
        <v>1278</v>
      </c>
      <c r="AM1724" s="46" t="n">
        <f aca="false">IF($A1724&lt;&gt;$A1725,1,0)</f>
        <v>0</v>
      </c>
      <c r="AN1724" s="47" t="str">
        <f aca="false">IF($AM1724=1,$A1724,"")</f>
        <v/>
      </c>
    </row>
    <row r="1725" customFormat="false" ht="15" hidden="false" customHeight="false" outlineLevel="0" collapsed="false">
      <c r="A1725" s="43" t="s">
        <v>162</v>
      </c>
      <c r="B1725" s="44" t="s">
        <v>164</v>
      </c>
      <c r="C1725" s="45" t="n">
        <v>46130</v>
      </c>
      <c r="D1725" s="46" t="n">
        <v>20260418</v>
      </c>
      <c r="E1725" s="47" t="s">
        <v>448</v>
      </c>
      <c r="F1725" s="48" t="n">
        <v>1325</v>
      </c>
      <c r="G1725" s="48" t="n">
        <v>1327</v>
      </c>
      <c r="H1725" s="48" t="n">
        <v>1301</v>
      </c>
      <c r="I1725" s="48" t="n">
        <v>1315</v>
      </c>
      <c r="J1725" s="48" t="n">
        <v>1307</v>
      </c>
      <c r="K1725" s="48" t="n">
        <v>1313</v>
      </c>
      <c r="L1725" s="48" t="n">
        <v>79293652</v>
      </c>
      <c r="M1725" s="48" t="n">
        <v>104271152380</v>
      </c>
      <c r="N1725" s="48" t="n">
        <v>4310</v>
      </c>
      <c r="O1725" s="48" t="n">
        <v>36121836</v>
      </c>
      <c r="P1725" s="48" t="n">
        <v>49584950</v>
      </c>
      <c r="Q1725" s="48" t="n">
        <v>1550</v>
      </c>
      <c r="R1725" s="48" t="n">
        <v>1503</v>
      </c>
      <c r="S1725" s="48" t="n">
        <v>43171816</v>
      </c>
      <c r="T1725" s="48" t="n">
        <v>29708702</v>
      </c>
      <c r="U1725" s="46" t="n">
        <f aca="false">IF($A1725=$A1724,$U1724+1,1)</f>
        <v>161</v>
      </c>
      <c r="V1725" s="48" t="n">
        <f aca="false">IF($U1725&gt;=MA_SHORT,AVERAGE(INDEX($I$1325:$I1725,402-MA_SHORT):$I1725),"")</f>
        <v>1380.65</v>
      </c>
      <c r="W1725" s="48" t="n">
        <f aca="false">IF($U1725&gt;=MA_MED,AVERAGE(INDEX($I$1325:$I1725,402-MA_MED):$I1725),"")</f>
        <v>1547</v>
      </c>
      <c r="X1725" s="48" t="n">
        <f aca="false">IF($U1725&gt;=MA_LONG1,AVERAGE(INDEX($I$1325:$I1725,402-MA_LONG1):$I1725),"")</f>
        <v>1731.48</v>
      </c>
      <c r="Y1725" s="48" t="str">
        <f aca="false">IF($U1725&gt;=MA_LONG2,AVERAGE(INDEX($I$1325:$I1725,402-MA_LONG2):$I1725),"")</f>
        <v/>
      </c>
      <c r="Z1725" s="48" t="n">
        <f aca="false">IF($U1725&gt;=MA_SHORT,AVERAGE(INDEX($L$1605:$L1725,122-MA_SHORT):$L1725),"")</f>
        <v>106110759.25</v>
      </c>
      <c r="AA1725" s="48" t="n">
        <f aca="false">IF($U1725=1,$G1725-$H1725,MAX($G1725-$H1725,ABS($G1725-$I1724),ABS($H1725-$I1724)))</f>
        <v>26</v>
      </c>
      <c r="AB1725" s="48" t="n">
        <f aca="false">IF($U1725&gt;=ATR_PER,AVERAGE(INDEX($AA$1605:$AA1725,122-ATR_PER):$AA1725),"")</f>
        <v>42.4285714285714</v>
      </c>
      <c r="AC1725" s="48" t="n">
        <f aca="false">$O1725-$P1725</f>
        <v>-13463114</v>
      </c>
      <c r="AD1725" s="48" t="n">
        <f aca="false">$AC1725*$I1725</f>
        <v>-17703994910</v>
      </c>
      <c r="AE1725" s="49" t="n">
        <f aca="false">IF($Q1725&gt;0,$O1725*$I1725/$Q1725/1000000,"")</f>
        <v>30.6452995741935</v>
      </c>
      <c r="AF1725" s="49" t="n">
        <f aca="false">IF($R1725&gt;0,$P1725*$I1725/$R1725/1000000,"")</f>
        <v>43.3827074184963</v>
      </c>
      <c r="AG1725" s="50" t="n">
        <f aca="false">IF(AND(ISNUMBER($AE1725),ISNUMBER($AF1725),$AF1725&gt;0),$AE1725/$AF1725,"")</f>
        <v>0.7063943538279</v>
      </c>
      <c r="AH1725" s="48" t="n">
        <f aca="false">IF($U1725&gt;=5,SUM(INDEX($AD$1695:$AD1725,32-5):$AD1725),"")</f>
        <v>-25676389557</v>
      </c>
      <c r="AI1725" s="48" t="n">
        <f aca="false">IF($U1725&gt;=STRUCT_S,MAX(INDEX($G$1575:$G1725,152-STRUCT_S):$G1725),"")</f>
        <v>1516</v>
      </c>
      <c r="AJ1725" s="48" t="n">
        <f aca="false">IF($U1725&gt;=STRUCT_S,MIN(INDEX($H$1575:$H1725,152-STRUCT_S):$H1725),"")</f>
        <v>1278</v>
      </c>
      <c r="AK1725" s="48" t="n">
        <f aca="false">IF($U1725&gt;=STRUCT_L,MAX(INDEX($G$1475:$G1725,252-STRUCT_L):$G1725),"")</f>
        <v>1869</v>
      </c>
      <c r="AL1725" s="48" t="n">
        <f aca="false">IF($U1725&gt;=STRUCT_L,MIN(INDEX($H$1475:$H1725,252-STRUCT_L):$H1725),"")</f>
        <v>1278</v>
      </c>
      <c r="AM1725" s="46" t="n">
        <f aca="false">IF($A1725&lt;&gt;$A1726,1,0)</f>
        <v>0</v>
      </c>
      <c r="AN1725" s="47" t="str">
        <f aca="false">IF($AM1725=1,$A1725,"")</f>
        <v/>
      </c>
    </row>
    <row r="1726" customFormat="false" ht="15" hidden="false" customHeight="false" outlineLevel="0" collapsed="false">
      <c r="A1726" s="43" t="s">
        <v>162</v>
      </c>
      <c r="B1726" s="44" t="s">
        <v>164</v>
      </c>
      <c r="C1726" s="45" t="n">
        <v>46131</v>
      </c>
      <c r="D1726" s="46" t="n">
        <v>20260419</v>
      </c>
      <c r="E1726" s="47" t="s">
        <v>449</v>
      </c>
      <c r="F1726" s="48" t="n">
        <v>1304</v>
      </c>
      <c r="G1726" s="48" t="n">
        <v>1323</v>
      </c>
      <c r="H1726" s="48" t="n">
        <v>1283</v>
      </c>
      <c r="I1726" s="48" t="n">
        <v>1291</v>
      </c>
      <c r="J1726" s="48" t="n">
        <v>1292</v>
      </c>
      <c r="K1726" s="48" t="n">
        <v>1315</v>
      </c>
      <c r="L1726" s="48" t="n">
        <v>87179989</v>
      </c>
      <c r="M1726" s="48" t="n">
        <v>112549365799</v>
      </c>
      <c r="N1726" s="48" t="n">
        <v>2622</v>
      </c>
      <c r="O1726" s="48" t="n">
        <v>41109133</v>
      </c>
      <c r="P1726" s="48" t="n">
        <v>42694039</v>
      </c>
      <c r="Q1726" s="48" t="n">
        <v>1013</v>
      </c>
      <c r="R1726" s="48" t="n">
        <v>933</v>
      </c>
      <c r="S1726" s="48" t="n">
        <v>46070856</v>
      </c>
      <c r="T1726" s="48" t="n">
        <v>44485950</v>
      </c>
      <c r="U1726" s="46" t="n">
        <f aca="false">IF($A1726=$A1725,$U1725+1,1)</f>
        <v>162</v>
      </c>
      <c r="V1726" s="48" t="n">
        <f aca="false">IF($U1726&gt;=MA_SHORT,AVERAGE(INDEX($I$1326:$I1726,402-MA_SHORT):$I1726),"")</f>
        <v>1371.4</v>
      </c>
      <c r="W1726" s="48" t="n">
        <f aca="false">IF($U1726&gt;=MA_MED,AVERAGE(INDEX($I$1326:$I1726,402-MA_MED):$I1726),"")</f>
        <v>1537.7</v>
      </c>
      <c r="X1726" s="48" t="n">
        <f aca="false">IF($U1726&gt;=MA_LONG1,AVERAGE(INDEX($I$1326:$I1726,402-MA_LONG1):$I1726),"")</f>
        <v>1725.22</v>
      </c>
      <c r="Y1726" s="48" t="str">
        <f aca="false">IF($U1726&gt;=MA_LONG2,AVERAGE(INDEX($I$1326:$I1726,402-MA_LONG2):$I1726),"")</f>
        <v/>
      </c>
      <c r="Z1726" s="48" t="n">
        <f aca="false">IF($U1726&gt;=MA_SHORT,AVERAGE(INDEX($L$1606:$L1726,122-MA_SHORT):$L1726),"")</f>
        <v>104180307.8</v>
      </c>
      <c r="AA1726" s="48" t="n">
        <f aca="false">IF($U1726=1,$G1726-$H1726,MAX($G1726-$H1726,ABS($G1726-$I1725),ABS($H1726-$I1725)))</f>
        <v>40</v>
      </c>
      <c r="AB1726" s="48" t="n">
        <f aca="false">IF($U1726&gt;=ATR_PER,AVERAGE(INDEX($AA$1606:$AA1726,122-ATR_PER):$AA1726),"")</f>
        <v>43.3571428571429</v>
      </c>
      <c r="AC1726" s="48" t="n">
        <f aca="false">$O1726-$P1726</f>
        <v>-1584906</v>
      </c>
      <c r="AD1726" s="48" t="n">
        <f aca="false">$AC1726*$I1726</f>
        <v>-2046113646</v>
      </c>
      <c r="AE1726" s="49" t="n">
        <f aca="false">IF($Q1726&gt;0,$O1726*$I1726/$Q1726/1000000,"")</f>
        <v>52.3908101707799</v>
      </c>
      <c r="AF1726" s="49" t="n">
        <f aca="false">IF($R1726&gt;0,$P1726*$I1726/$R1726/1000000,"")</f>
        <v>59.0761032679528</v>
      </c>
      <c r="AG1726" s="50" t="n">
        <f aca="false">IF(AND(ISNUMBER($AE1726),ISNUMBER($AF1726),$AF1726&gt;0),$AE1726/$AF1726,"")</f>
        <v>0.886835916261262</v>
      </c>
      <c r="AH1726" s="48" t="n">
        <f aca="false">IF($U1726&gt;=5,SUM(INDEX($AD$1696:$AD1726,32-5):$AD1726),"")</f>
        <v>951153285</v>
      </c>
      <c r="AI1726" s="48" t="n">
        <f aca="false">IF($U1726&gt;=STRUCT_S,MAX(INDEX($G$1576:$G1726,152-STRUCT_S):$G1726),"")</f>
        <v>1484</v>
      </c>
      <c r="AJ1726" s="48" t="n">
        <f aca="false">IF($U1726&gt;=STRUCT_S,MIN(INDEX($H$1576:$H1726,152-STRUCT_S):$H1726),"")</f>
        <v>1278</v>
      </c>
      <c r="AK1726" s="48" t="n">
        <f aca="false">IF($U1726&gt;=STRUCT_L,MAX(INDEX($G$1476:$G1726,252-STRUCT_L):$G1726),"")</f>
        <v>1869</v>
      </c>
      <c r="AL1726" s="48" t="n">
        <f aca="false">IF($U1726&gt;=STRUCT_L,MIN(INDEX($H$1476:$H1726,252-STRUCT_L):$H1726),"")</f>
        <v>1278</v>
      </c>
      <c r="AM1726" s="46" t="n">
        <f aca="false">IF($A1726&lt;&gt;$A1727,1,0)</f>
        <v>0</v>
      </c>
      <c r="AN1726" s="47" t="str">
        <f aca="false">IF($AM1726=1,$A1726,"")</f>
        <v/>
      </c>
    </row>
    <row r="1727" customFormat="false" ht="15" hidden="false" customHeight="false" outlineLevel="0" collapsed="false">
      <c r="A1727" s="43" t="s">
        <v>162</v>
      </c>
      <c r="B1727" s="44" t="s">
        <v>164</v>
      </c>
      <c r="C1727" s="45" t="n">
        <v>46132</v>
      </c>
      <c r="D1727" s="46" t="n">
        <v>20260420</v>
      </c>
      <c r="E1727" s="47" t="s">
        <v>450</v>
      </c>
      <c r="F1727" s="48" t="n">
        <v>1354</v>
      </c>
      <c r="G1727" s="48" t="n">
        <v>1358</v>
      </c>
      <c r="H1727" s="48" t="n">
        <v>1274</v>
      </c>
      <c r="I1727" s="48" t="n">
        <v>1340</v>
      </c>
      <c r="J1727" s="48" t="n">
        <v>1297</v>
      </c>
      <c r="K1727" s="48" t="n">
        <v>1291</v>
      </c>
      <c r="L1727" s="48" t="n">
        <v>96469559</v>
      </c>
      <c r="M1727" s="48" t="n">
        <v>129269209060</v>
      </c>
      <c r="N1727" s="48" t="n">
        <v>7355</v>
      </c>
      <c r="O1727" s="48" t="n">
        <v>63244641</v>
      </c>
      <c r="P1727" s="48" t="n">
        <v>34144415</v>
      </c>
      <c r="Q1727" s="48" t="n">
        <v>2776</v>
      </c>
      <c r="R1727" s="48" t="n">
        <v>3209</v>
      </c>
      <c r="S1727" s="48" t="n">
        <v>33224918</v>
      </c>
      <c r="T1727" s="48" t="n">
        <v>62325144</v>
      </c>
      <c r="U1727" s="46" t="n">
        <f aca="false">IF($A1727=$A1726,$U1726+1,1)</f>
        <v>163</v>
      </c>
      <c r="V1727" s="48" t="n">
        <f aca="false">IF($U1727&gt;=MA_SHORT,AVERAGE(INDEX($I$1327:$I1727,402-MA_SHORT):$I1727),"")</f>
        <v>1365.25</v>
      </c>
      <c r="W1727" s="48" t="n">
        <f aca="false">IF($U1727&gt;=MA_MED,AVERAGE(INDEX($I$1327:$I1727,402-MA_MED):$I1727),"")</f>
        <v>1529.3</v>
      </c>
      <c r="X1727" s="48" t="n">
        <f aca="false">IF($U1727&gt;=MA_LONG1,AVERAGE(INDEX($I$1327:$I1727,402-MA_LONG1):$I1727),"")</f>
        <v>1719.18</v>
      </c>
      <c r="Y1727" s="48" t="str">
        <f aca="false">IF($U1727&gt;=MA_LONG2,AVERAGE(INDEX($I$1327:$I1727,402-MA_LONG2):$I1727),"")</f>
        <v/>
      </c>
      <c r="Z1727" s="48" t="n">
        <f aca="false">IF($U1727&gt;=MA_SHORT,AVERAGE(INDEX($L$1607:$L1727,122-MA_SHORT):$L1727),"")</f>
        <v>104867391.45</v>
      </c>
      <c r="AA1727" s="48" t="n">
        <f aca="false">IF($U1727=1,$G1727-$H1727,MAX($G1727-$H1727,ABS($G1727-$I1726),ABS($H1727-$I1726)))</f>
        <v>84</v>
      </c>
      <c r="AB1727" s="48" t="n">
        <f aca="false">IF($U1727&gt;=ATR_PER,AVERAGE(INDEX($AA$1607:$AA1727,122-ATR_PER):$AA1727),"")</f>
        <v>43.6428571428571</v>
      </c>
      <c r="AC1727" s="48" t="n">
        <f aca="false">$O1727-$P1727</f>
        <v>29100226</v>
      </c>
      <c r="AD1727" s="48" t="n">
        <f aca="false">$AC1727*$I1727</f>
        <v>38994302840</v>
      </c>
      <c r="AE1727" s="49" t="n">
        <f aca="false">IF($Q1727&gt;0,$O1727*$I1727/$Q1727/1000000,"")</f>
        <v>30.5287532204611</v>
      </c>
      <c r="AF1727" s="49" t="n">
        <f aca="false">IF($R1727&gt;0,$P1727*$I1727/$R1727/1000000,"")</f>
        <v>14.2578735119975</v>
      </c>
      <c r="AG1727" s="50" t="n">
        <f aca="false">IF(AND(ISNUMBER($AE1727),ISNUMBER($AF1727),$AF1727&gt;0),$AE1727/$AF1727,"")</f>
        <v>2.1411855838651</v>
      </c>
      <c r="AH1727" s="48" t="n">
        <f aca="false">IF($U1727&gt;=5,SUM(INDEX($AD$1697:$AD1727,32-5):$AD1727),"")</f>
        <v>38742666693</v>
      </c>
      <c r="AI1727" s="48" t="n">
        <f aca="false">IF($U1727&gt;=STRUCT_S,MAX(INDEX($G$1577:$G1727,152-STRUCT_S):$G1727),"")</f>
        <v>1472</v>
      </c>
      <c r="AJ1727" s="48" t="n">
        <f aca="false">IF($U1727&gt;=STRUCT_S,MIN(INDEX($H$1577:$H1727,152-STRUCT_S):$H1727),"")</f>
        <v>1274</v>
      </c>
      <c r="AK1727" s="48" t="n">
        <f aca="false">IF($U1727&gt;=STRUCT_L,MAX(INDEX($G$1477:$G1727,252-STRUCT_L):$G1727),"")</f>
        <v>1869</v>
      </c>
      <c r="AL1727" s="48" t="n">
        <f aca="false">IF($U1727&gt;=STRUCT_L,MIN(INDEX($H$1477:$H1727,252-STRUCT_L):$H1727),"")</f>
        <v>1274</v>
      </c>
      <c r="AM1727" s="46" t="n">
        <f aca="false">IF($A1727&lt;&gt;$A1728,1,0)</f>
        <v>0</v>
      </c>
      <c r="AN1727" s="47" t="str">
        <f aca="false">IF($AM1727=1,$A1727,"")</f>
        <v/>
      </c>
    </row>
    <row r="1728" customFormat="false" ht="15" hidden="false" customHeight="false" outlineLevel="0" collapsed="false">
      <c r="A1728" s="43" t="s">
        <v>162</v>
      </c>
      <c r="B1728" s="44" t="s">
        <v>164</v>
      </c>
      <c r="C1728" s="45" t="n">
        <v>46133</v>
      </c>
      <c r="D1728" s="46" t="n">
        <v>20260421</v>
      </c>
      <c r="E1728" s="47" t="s">
        <v>451</v>
      </c>
      <c r="F1728" s="48" t="n">
        <v>1338</v>
      </c>
      <c r="G1728" s="48" t="n">
        <v>1355</v>
      </c>
      <c r="H1728" s="48" t="n">
        <v>1308</v>
      </c>
      <c r="I1728" s="48" t="n">
        <v>1323</v>
      </c>
      <c r="J1728" s="48" t="n">
        <v>1344</v>
      </c>
      <c r="K1728" s="48" t="n">
        <v>1340</v>
      </c>
      <c r="L1728" s="48" t="n">
        <v>99242251</v>
      </c>
      <c r="M1728" s="48" t="n">
        <v>131297498073</v>
      </c>
      <c r="N1728" s="48" t="n">
        <v>3921</v>
      </c>
      <c r="O1728" s="48" t="n">
        <v>38408050</v>
      </c>
      <c r="P1728" s="48" t="n">
        <v>70810800</v>
      </c>
      <c r="Q1728" s="48" t="n">
        <v>1976</v>
      </c>
      <c r="R1728" s="48" t="n">
        <v>1778</v>
      </c>
      <c r="S1728" s="48" t="n">
        <v>60834201</v>
      </c>
      <c r="T1728" s="48" t="n">
        <v>28431451</v>
      </c>
      <c r="U1728" s="46" t="n">
        <f aca="false">IF($A1728=$A1727,$U1727+1,1)</f>
        <v>164</v>
      </c>
      <c r="V1728" s="48" t="n">
        <f aca="false">IF($U1728&gt;=MA_SHORT,AVERAGE(INDEX($I$1328:$I1728,402-MA_SHORT):$I1728),"")</f>
        <v>1360.05</v>
      </c>
      <c r="W1728" s="48" t="n">
        <f aca="false">IF($U1728&gt;=MA_MED,AVERAGE(INDEX($I$1328:$I1728,402-MA_MED):$I1728),"")</f>
        <v>1521.04</v>
      </c>
      <c r="X1728" s="48" t="n">
        <f aca="false">IF($U1728&gt;=MA_LONG1,AVERAGE(INDEX($I$1328:$I1728,402-MA_LONG1):$I1728),"")</f>
        <v>1712.3</v>
      </c>
      <c r="Y1728" s="48" t="str">
        <f aca="false">IF($U1728&gt;=MA_LONG2,AVERAGE(INDEX($I$1328:$I1728,402-MA_LONG2):$I1728),"")</f>
        <v/>
      </c>
      <c r="Z1728" s="48" t="n">
        <f aca="false">IF($U1728&gt;=MA_SHORT,AVERAGE(INDEX($L$1608:$L1728,122-MA_SHORT):$L1728),"")</f>
        <v>102656430.5</v>
      </c>
      <c r="AA1728" s="48" t="n">
        <f aca="false">IF($U1728=1,$G1728-$H1728,MAX($G1728-$H1728,ABS($G1728-$I1727),ABS($H1728-$I1727)))</f>
        <v>47</v>
      </c>
      <c r="AB1728" s="48" t="n">
        <f aca="false">IF($U1728&gt;=ATR_PER,AVERAGE(INDEX($AA$1608:$AA1728,122-ATR_PER):$AA1728),"")</f>
        <v>42.8571428571429</v>
      </c>
      <c r="AC1728" s="48" t="n">
        <f aca="false">$O1728-$P1728</f>
        <v>-32402750</v>
      </c>
      <c r="AD1728" s="48" t="n">
        <f aca="false">$AC1728*$I1728</f>
        <v>-42868838250</v>
      </c>
      <c r="AE1728" s="49" t="n">
        <f aca="false">IF($Q1728&gt;0,$O1728*$I1728/$Q1728/1000000,"")</f>
        <v>25.7155112095142</v>
      </c>
      <c r="AF1728" s="49" t="n">
        <f aca="false">IF($R1728&gt;0,$P1728*$I1728/$R1728/1000000,"")</f>
        <v>52.689925984252</v>
      </c>
      <c r="AG1728" s="50" t="n">
        <f aca="false">IF(AND(ISNUMBER($AE1728),ISNUMBER($AF1728),$AF1728&gt;0),$AE1728/$AF1728,"")</f>
        <v>0.488053659767904</v>
      </c>
      <c r="AH1728" s="48" t="n">
        <f aca="false">IF($U1728&gt;=5,SUM(INDEX($AD$1698:$AD1728,32-5):$AD1728),"")</f>
        <v>12451246872</v>
      </c>
      <c r="AI1728" s="48" t="n">
        <f aca="false">IF($U1728&gt;=STRUCT_S,MAX(INDEX($G$1578:$G1728,152-STRUCT_S):$G1728),"")</f>
        <v>1457</v>
      </c>
      <c r="AJ1728" s="48" t="n">
        <f aca="false">IF($U1728&gt;=STRUCT_S,MIN(INDEX($H$1578:$H1728,152-STRUCT_S):$H1728),"")</f>
        <v>1274</v>
      </c>
      <c r="AK1728" s="48" t="n">
        <f aca="false">IF($U1728&gt;=STRUCT_L,MAX(INDEX($G$1478:$G1728,252-STRUCT_L):$G1728),"")</f>
        <v>1869</v>
      </c>
      <c r="AL1728" s="48" t="n">
        <f aca="false">IF($U1728&gt;=STRUCT_L,MIN(INDEX($H$1478:$H1728,252-STRUCT_L):$H1728),"")</f>
        <v>1274</v>
      </c>
      <c r="AM1728" s="46" t="n">
        <f aca="false">IF($A1728&lt;&gt;$A1729,1,0)</f>
        <v>0</v>
      </c>
      <c r="AN1728" s="47" t="str">
        <f aca="false">IF($AM1728=1,$A1728,"")</f>
        <v/>
      </c>
    </row>
    <row r="1729" customFormat="false" ht="15" hidden="false" customHeight="false" outlineLevel="0" collapsed="false">
      <c r="A1729" s="43" t="s">
        <v>162</v>
      </c>
      <c r="B1729" s="44" t="s">
        <v>164</v>
      </c>
      <c r="C1729" s="45" t="n">
        <v>46134</v>
      </c>
      <c r="D1729" s="46" t="n">
        <v>20260422</v>
      </c>
      <c r="E1729" s="47" t="s">
        <v>452</v>
      </c>
      <c r="F1729" s="48" t="n">
        <v>1323</v>
      </c>
      <c r="G1729" s="48" t="n">
        <v>1335</v>
      </c>
      <c r="H1729" s="48" t="n">
        <v>1294</v>
      </c>
      <c r="I1729" s="48" t="n">
        <v>1306</v>
      </c>
      <c r="J1729" s="48" t="n">
        <v>1305</v>
      </c>
      <c r="K1729" s="48" t="n">
        <v>1323</v>
      </c>
      <c r="L1729" s="48" t="n">
        <v>84633498</v>
      </c>
      <c r="M1729" s="48" t="n">
        <v>110531348388</v>
      </c>
      <c r="N1729" s="48" t="n">
        <v>2438</v>
      </c>
      <c r="O1729" s="48" t="n">
        <v>35769179</v>
      </c>
      <c r="P1729" s="48" t="n">
        <v>47051758</v>
      </c>
      <c r="Q1729" s="48" t="n">
        <v>850</v>
      </c>
      <c r="R1729" s="48" t="n">
        <v>1149</v>
      </c>
      <c r="S1729" s="48" t="n">
        <v>48864319</v>
      </c>
      <c r="T1729" s="48" t="n">
        <v>37581740</v>
      </c>
      <c r="U1729" s="46" t="n">
        <f aca="false">IF($A1729=$A1728,$U1728+1,1)</f>
        <v>165</v>
      </c>
      <c r="V1729" s="48" t="n">
        <f aca="false">IF($U1729&gt;=MA_SHORT,AVERAGE(INDEX($I$1329:$I1729,402-MA_SHORT):$I1729),"")</f>
        <v>1353.25</v>
      </c>
      <c r="W1729" s="48" t="n">
        <f aca="false">IF($U1729&gt;=MA_MED,AVERAGE(INDEX($I$1329:$I1729,402-MA_MED):$I1729),"")</f>
        <v>1513.44</v>
      </c>
      <c r="X1729" s="48" t="n">
        <f aca="false">IF($U1729&gt;=MA_LONG1,AVERAGE(INDEX($I$1329:$I1729,402-MA_LONG1):$I1729),"")</f>
        <v>1705.35</v>
      </c>
      <c r="Y1729" s="48" t="str">
        <f aca="false">IF($U1729&gt;=MA_LONG2,AVERAGE(INDEX($I$1329:$I1729,402-MA_LONG2):$I1729),"")</f>
        <v/>
      </c>
      <c r="Z1729" s="48" t="n">
        <f aca="false">IF($U1729&gt;=MA_SHORT,AVERAGE(INDEX($L$1609:$L1729,122-MA_SHORT):$L1729),"")</f>
        <v>102711543.9</v>
      </c>
      <c r="AA1729" s="48" t="n">
        <f aca="false">IF($U1729=1,$G1729-$H1729,MAX($G1729-$H1729,ABS($G1729-$I1728),ABS($H1729-$I1728)))</f>
        <v>41</v>
      </c>
      <c r="AB1729" s="48" t="n">
        <f aca="false">IF($U1729&gt;=ATR_PER,AVERAGE(INDEX($AA$1609:$AA1729,122-ATR_PER):$AA1729),"")</f>
        <v>42.5</v>
      </c>
      <c r="AC1729" s="48" t="n">
        <f aca="false">$O1729-$P1729</f>
        <v>-11282579</v>
      </c>
      <c r="AD1729" s="48" t="n">
        <f aca="false">$AC1729*$I1729</f>
        <v>-14735048174</v>
      </c>
      <c r="AE1729" s="49" t="n">
        <f aca="false">IF($Q1729&gt;0,$O1729*$I1729/$Q1729/1000000,"")</f>
        <v>54.9582914988235</v>
      </c>
      <c r="AF1729" s="49" t="n">
        <f aca="false">IF($R1729&gt;0,$P1729*$I1729/$R1729/1000000,"")</f>
        <v>53.4809364212359</v>
      </c>
      <c r="AG1729" s="50" t="n">
        <f aca="false">IF(AND(ISNUMBER($AE1729),ISNUMBER($AF1729),$AF1729&gt;0),$AE1729/$AF1729,"")</f>
        <v>1.02762395680493</v>
      </c>
      <c r="AH1729" s="48" t="n">
        <f aca="false">IF($U1729&gt;=5,SUM(INDEX($AD$1699:$AD1729,32-5):$AD1729),"")</f>
        <v>-38359692140</v>
      </c>
      <c r="AI1729" s="48" t="n">
        <f aca="false">IF($U1729&gt;=STRUCT_S,MAX(INDEX($G$1579:$G1729,152-STRUCT_S):$G1729),"")</f>
        <v>1457</v>
      </c>
      <c r="AJ1729" s="48" t="n">
        <f aca="false">IF($U1729&gt;=STRUCT_S,MIN(INDEX($H$1579:$H1729,152-STRUCT_S):$H1729),"")</f>
        <v>1274</v>
      </c>
      <c r="AK1729" s="48" t="n">
        <f aca="false">IF($U1729&gt;=STRUCT_L,MAX(INDEX($G$1479:$G1729,252-STRUCT_L):$G1729),"")</f>
        <v>1869</v>
      </c>
      <c r="AL1729" s="48" t="n">
        <f aca="false">IF($U1729&gt;=STRUCT_L,MIN(INDEX($H$1479:$H1729,252-STRUCT_L):$H1729),"")</f>
        <v>1274</v>
      </c>
      <c r="AM1729" s="46" t="n">
        <f aca="false">IF($A1729&lt;&gt;$A1730,1,0)</f>
        <v>0</v>
      </c>
      <c r="AN1729" s="47" t="str">
        <f aca="false">IF($AM1729=1,$A1729,"")</f>
        <v/>
      </c>
    </row>
    <row r="1730" customFormat="false" ht="15" hidden="false" customHeight="false" outlineLevel="0" collapsed="false">
      <c r="A1730" s="43" t="s">
        <v>162</v>
      </c>
      <c r="B1730" s="44" t="s">
        <v>164</v>
      </c>
      <c r="C1730" s="45" t="n">
        <v>46137</v>
      </c>
      <c r="D1730" s="46" t="n">
        <v>20260425</v>
      </c>
      <c r="E1730" s="47" t="s">
        <v>453</v>
      </c>
      <c r="F1730" s="48" t="n">
        <v>1276</v>
      </c>
      <c r="G1730" s="48" t="n">
        <v>1324</v>
      </c>
      <c r="H1730" s="48" t="n">
        <v>1274</v>
      </c>
      <c r="I1730" s="48" t="n">
        <v>1292</v>
      </c>
      <c r="J1730" s="48" t="n">
        <v>1278</v>
      </c>
      <c r="K1730" s="48" t="n">
        <v>1306</v>
      </c>
      <c r="L1730" s="48" t="n">
        <v>83629383</v>
      </c>
      <c r="M1730" s="48" t="n">
        <v>108049162836</v>
      </c>
      <c r="N1730" s="48" t="n">
        <v>5272</v>
      </c>
      <c r="O1730" s="48" t="n">
        <v>35522729</v>
      </c>
      <c r="P1730" s="48" t="n">
        <v>43599876</v>
      </c>
      <c r="Q1730" s="48" t="n">
        <v>1820</v>
      </c>
      <c r="R1730" s="48" t="n">
        <v>2020</v>
      </c>
      <c r="S1730" s="48" t="n">
        <v>48106654</v>
      </c>
      <c r="T1730" s="48" t="n">
        <v>40029507</v>
      </c>
      <c r="U1730" s="46" t="n">
        <f aca="false">IF($A1730=$A1729,$U1729+1,1)</f>
        <v>166</v>
      </c>
      <c r="V1730" s="48" t="n">
        <f aca="false">IF($U1730&gt;=MA_SHORT,AVERAGE(INDEX($I$1330:$I1730,402-MA_SHORT):$I1730),"")</f>
        <v>1347</v>
      </c>
      <c r="W1730" s="48" t="n">
        <f aca="false">IF($U1730&gt;=MA_MED,AVERAGE(INDEX($I$1330:$I1730,402-MA_MED):$I1730),"")</f>
        <v>1505.2</v>
      </c>
      <c r="X1730" s="48" t="n">
        <f aca="false">IF($U1730&gt;=MA_LONG1,AVERAGE(INDEX($I$1330:$I1730,402-MA_LONG1):$I1730),"")</f>
        <v>1697.97</v>
      </c>
      <c r="Y1730" s="48" t="str">
        <f aca="false">IF($U1730&gt;=MA_LONG2,AVERAGE(INDEX($I$1330:$I1730,402-MA_LONG2):$I1730),"")</f>
        <v/>
      </c>
      <c r="Z1730" s="48" t="n">
        <f aca="false">IF($U1730&gt;=MA_SHORT,AVERAGE(INDEX($L$1610:$L1730,122-MA_SHORT):$L1730),"")</f>
        <v>101120574.5</v>
      </c>
      <c r="AA1730" s="48" t="n">
        <f aca="false">IF($U1730=1,$G1730-$H1730,MAX($G1730-$H1730,ABS($G1730-$I1729),ABS($H1730-$I1729)))</f>
        <v>50</v>
      </c>
      <c r="AB1730" s="48" t="n">
        <f aca="false">IF($U1730&gt;=ATR_PER,AVERAGE(INDEX($AA$1610:$AA1730,122-ATR_PER):$AA1730),"")</f>
        <v>43.5714285714286</v>
      </c>
      <c r="AC1730" s="48" t="n">
        <f aca="false">$O1730-$P1730</f>
        <v>-8077147</v>
      </c>
      <c r="AD1730" s="48" t="n">
        <f aca="false">$AC1730*$I1730</f>
        <v>-10435673924</v>
      </c>
      <c r="AE1730" s="49" t="n">
        <f aca="false">IF($Q1730&gt;0,$O1730*$I1730/$Q1730/1000000,"")</f>
        <v>25.2172339934066</v>
      </c>
      <c r="AF1730" s="49" t="n">
        <f aca="false">IF($R1730&gt;0,$P1730*$I1730/$R1730/1000000,"")</f>
        <v>27.8866533623762</v>
      </c>
      <c r="AG1730" s="50" t="n">
        <f aca="false">IF(AND(ISNUMBER($AE1730),ISNUMBER($AF1730),$AF1730&gt;0),$AE1730/$AF1730,"")</f>
        <v>0.904276094578952</v>
      </c>
      <c r="AH1730" s="48" t="n">
        <f aca="false">IF($U1730&gt;=5,SUM(INDEX($AD$1700:$AD1730,32-5):$AD1730),"")</f>
        <v>-31091371154</v>
      </c>
      <c r="AI1730" s="48" t="n">
        <f aca="false">IF($U1730&gt;=STRUCT_S,MAX(INDEX($G$1580:$G1730,152-STRUCT_S):$G1730),"")</f>
        <v>1457</v>
      </c>
      <c r="AJ1730" s="48" t="n">
        <f aca="false">IF($U1730&gt;=STRUCT_S,MIN(INDEX($H$1580:$H1730,152-STRUCT_S):$H1730),"")</f>
        <v>1274</v>
      </c>
      <c r="AK1730" s="48" t="n">
        <f aca="false">IF($U1730&gt;=STRUCT_L,MAX(INDEX($G$1480:$G1730,252-STRUCT_L):$G1730),"")</f>
        <v>1798</v>
      </c>
      <c r="AL1730" s="48" t="n">
        <f aca="false">IF($U1730&gt;=STRUCT_L,MIN(INDEX($H$1480:$H1730,252-STRUCT_L):$H1730),"")</f>
        <v>1274</v>
      </c>
      <c r="AM1730" s="46" t="n">
        <f aca="false">IF($A1730&lt;&gt;$A1731,1,0)</f>
        <v>0</v>
      </c>
      <c r="AN1730" s="47" t="str">
        <f aca="false">IF($AM1730=1,$A1730,"")</f>
        <v/>
      </c>
    </row>
    <row r="1731" customFormat="false" ht="15" hidden="false" customHeight="false" outlineLevel="0" collapsed="false">
      <c r="A1731" s="43" t="s">
        <v>162</v>
      </c>
      <c r="B1731" s="44" t="s">
        <v>164</v>
      </c>
      <c r="C1731" s="45" t="n">
        <v>46138</v>
      </c>
      <c r="D1731" s="46" t="n">
        <v>20260426</v>
      </c>
      <c r="E1731" s="47" t="s">
        <v>454</v>
      </c>
      <c r="F1731" s="48" t="n">
        <v>1276</v>
      </c>
      <c r="G1731" s="48" t="n">
        <v>1304</v>
      </c>
      <c r="H1731" s="48" t="n">
        <v>1274</v>
      </c>
      <c r="I1731" s="48" t="n">
        <v>1286</v>
      </c>
      <c r="J1731" s="48" t="n">
        <v>1287</v>
      </c>
      <c r="K1731" s="48" t="n">
        <v>1292</v>
      </c>
      <c r="L1731" s="48" t="n">
        <v>118845149</v>
      </c>
      <c r="M1731" s="48" t="n">
        <v>152834861614</v>
      </c>
      <c r="N1731" s="48" t="n">
        <v>2810</v>
      </c>
      <c r="O1731" s="48" t="n">
        <v>54109072</v>
      </c>
      <c r="P1731" s="48" t="n">
        <v>65044687</v>
      </c>
      <c r="Q1731" s="48" t="n">
        <v>1193</v>
      </c>
      <c r="R1731" s="48" t="n">
        <v>1398</v>
      </c>
      <c r="S1731" s="48" t="n">
        <v>64736077</v>
      </c>
      <c r="T1731" s="48" t="n">
        <v>53800462</v>
      </c>
      <c r="U1731" s="46" t="n">
        <f aca="false">IF($A1731=$A1730,$U1730+1,1)</f>
        <v>167</v>
      </c>
      <c r="V1731" s="48" t="n">
        <f aca="false">IF($U1731&gt;=MA_SHORT,AVERAGE(INDEX($I$1331:$I1731,402-MA_SHORT):$I1731),"")</f>
        <v>1340.25</v>
      </c>
      <c r="W1731" s="48" t="n">
        <f aca="false">IF($U1731&gt;=MA_MED,AVERAGE(INDEX($I$1331:$I1731,402-MA_MED):$I1731),"")</f>
        <v>1497.54</v>
      </c>
      <c r="X1731" s="48" t="n">
        <f aca="false">IF($U1731&gt;=MA_LONG1,AVERAGE(INDEX($I$1331:$I1731,402-MA_LONG1):$I1731),"")</f>
        <v>1690.57</v>
      </c>
      <c r="Y1731" s="48" t="str">
        <f aca="false">IF($U1731&gt;=MA_LONG2,AVERAGE(INDEX($I$1331:$I1731,402-MA_LONG2):$I1731),"")</f>
        <v/>
      </c>
      <c r="Z1731" s="48" t="n">
        <f aca="false">IF($U1731&gt;=MA_SHORT,AVERAGE(INDEX($L$1611:$L1731,122-MA_SHORT):$L1731),"")</f>
        <v>103067513.45</v>
      </c>
      <c r="AA1731" s="48" t="n">
        <f aca="false">IF($U1731=1,$G1731-$H1731,MAX($G1731-$H1731,ABS($G1731-$I1730),ABS($H1731-$I1730)))</f>
        <v>30</v>
      </c>
      <c r="AB1731" s="48" t="n">
        <f aca="false">IF($U1731&gt;=ATR_PER,AVERAGE(INDEX($AA$1611:$AA1731,122-ATR_PER):$AA1731),"")</f>
        <v>44.6428571428571</v>
      </c>
      <c r="AC1731" s="48" t="n">
        <f aca="false">$O1731-$P1731</f>
        <v>-10935615</v>
      </c>
      <c r="AD1731" s="48" t="n">
        <f aca="false">$AC1731*$I1731</f>
        <v>-14063200890</v>
      </c>
      <c r="AE1731" s="49" t="n">
        <f aca="false">IF($Q1731&gt;0,$O1731*$I1731/$Q1731/1000000,"")</f>
        <v>58.3271304207879</v>
      </c>
      <c r="AF1731" s="49" t="n">
        <f aca="false">IF($R1731&gt;0,$P1731*$I1731/$R1731/1000000,"")</f>
        <v>59.8336677267525</v>
      </c>
      <c r="AG1731" s="50" t="n">
        <f aca="false">IF(AND(ISNUMBER($AE1731),ISNUMBER($AF1731),$AF1731&gt;0),$AE1731/$AF1731,"")</f>
        <v>0.974821244239203</v>
      </c>
      <c r="AH1731" s="48" t="n">
        <f aca="false">IF($U1731&gt;=5,SUM(INDEX($AD$1701:$AD1731,32-5):$AD1731),"")</f>
        <v>-43108458398</v>
      </c>
      <c r="AI1731" s="48" t="n">
        <f aca="false">IF($U1731&gt;=STRUCT_S,MAX(INDEX($G$1581:$G1731,152-STRUCT_S):$G1731),"")</f>
        <v>1457</v>
      </c>
      <c r="AJ1731" s="48" t="n">
        <f aca="false">IF($U1731&gt;=STRUCT_S,MIN(INDEX($H$1581:$H1731,152-STRUCT_S):$H1731),"")</f>
        <v>1274</v>
      </c>
      <c r="AK1731" s="48" t="n">
        <f aca="false">IF($U1731&gt;=STRUCT_L,MAX(INDEX($G$1481:$G1731,252-STRUCT_L):$G1731),"")</f>
        <v>1798</v>
      </c>
      <c r="AL1731" s="48" t="n">
        <f aca="false">IF($U1731&gt;=STRUCT_L,MIN(INDEX($H$1481:$H1731,252-STRUCT_L):$H1731),"")</f>
        <v>1274</v>
      </c>
      <c r="AM1731" s="46" t="n">
        <f aca="false">IF($A1731&lt;&gt;$A1732,1,0)</f>
        <v>0</v>
      </c>
      <c r="AN1731" s="47" t="str">
        <f aca="false">IF($AM1731=1,$A1731,"")</f>
        <v/>
      </c>
    </row>
    <row r="1732" customFormat="false" ht="15" hidden="false" customHeight="false" outlineLevel="0" collapsed="false">
      <c r="A1732" s="43" t="s">
        <v>162</v>
      </c>
      <c r="B1732" s="44" t="s">
        <v>164</v>
      </c>
      <c r="C1732" s="45" t="n">
        <v>46139</v>
      </c>
      <c r="D1732" s="46" t="n">
        <v>20260427</v>
      </c>
      <c r="E1732" s="47" t="s">
        <v>455</v>
      </c>
      <c r="F1732" s="48" t="n">
        <v>1298</v>
      </c>
      <c r="G1732" s="48" t="n">
        <v>1302</v>
      </c>
      <c r="H1732" s="48" t="n">
        <v>1274</v>
      </c>
      <c r="I1732" s="48" t="n">
        <v>1290</v>
      </c>
      <c r="J1732" s="48" t="n">
        <v>1287</v>
      </c>
      <c r="K1732" s="48" t="n">
        <v>1286</v>
      </c>
      <c r="L1732" s="48" t="n">
        <v>89160216</v>
      </c>
      <c r="M1732" s="48" t="n">
        <v>115016678640</v>
      </c>
      <c r="N1732" s="48" t="n">
        <v>6543</v>
      </c>
      <c r="O1732" s="48" t="n">
        <v>48138943</v>
      </c>
      <c r="P1732" s="48" t="n">
        <v>39932091</v>
      </c>
      <c r="Q1732" s="48" t="n">
        <v>2832</v>
      </c>
      <c r="R1732" s="48" t="n">
        <v>3097</v>
      </c>
      <c r="S1732" s="48" t="n">
        <v>41021273</v>
      </c>
      <c r="T1732" s="48" t="n">
        <v>49228125</v>
      </c>
      <c r="U1732" s="46" t="n">
        <f aca="false">IF($A1732=$A1731,$U1731+1,1)</f>
        <v>168</v>
      </c>
      <c r="V1732" s="48" t="n">
        <f aca="false">IF($U1732&gt;=MA_SHORT,AVERAGE(INDEX($I$1332:$I1732,402-MA_SHORT):$I1732),"")</f>
        <v>1333.65</v>
      </c>
      <c r="W1732" s="48" t="n">
        <f aca="false">IF($U1732&gt;=MA_MED,AVERAGE(INDEX($I$1332:$I1732,402-MA_MED):$I1732),"")</f>
        <v>1490</v>
      </c>
      <c r="X1732" s="48" t="n">
        <f aca="false">IF($U1732&gt;=MA_LONG1,AVERAGE(INDEX($I$1332:$I1732,402-MA_LONG1):$I1732),"")</f>
        <v>1683.83</v>
      </c>
      <c r="Y1732" s="48" t="str">
        <f aca="false">IF($U1732&gt;=MA_LONG2,AVERAGE(INDEX($I$1332:$I1732,402-MA_LONG2):$I1732),"")</f>
        <v/>
      </c>
      <c r="Z1732" s="48" t="n">
        <f aca="false">IF($U1732&gt;=MA_SHORT,AVERAGE(INDEX($L$1612:$L1732,122-MA_SHORT):$L1732),"")</f>
        <v>101544563.45</v>
      </c>
      <c r="AA1732" s="48" t="n">
        <f aca="false">IF($U1732=1,$G1732-$H1732,MAX($G1732-$H1732,ABS($G1732-$I1731),ABS($H1732-$I1731)))</f>
        <v>28</v>
      </c>
      <c r="AB1732" s="48" t="n">
        <f aca="false">IF($U1732&gt;=ATR_PER,AVERAGE(INDEX($AA$1612:$AA1732,122-ATR_PER):$AA1732),"")</f>
        <v>45.6428571428571</v>
      </c>
      <c r="AC1732" s="48" t="n">
        <f aca="false">$O1732-$P1732</f>
        <v>8206852</v>
      </c>
      <c r="AD1732" s="48" t="n">
        <f aca="false">$AC1732*$I1732</f>
        <v>10586839080</v>
      </c>
      <c r="AE1732" s="49" t="n">
        <f aca="false">IF($Q1732&gt;0,$O1732*$I1732/$Q1732/1000000,"")</f>
        <v>21.9276964936441</v>
      </c>
      <c r="AF1732" s="49" t="n">
        <f aca="false">IF($R1732&gt;0,$P1732*$I1732/$R1732/1000000,"")</f>
        <v>16.6329988343558</v>
      </c>
      <c r="AG1732" s="50" t="n">
        <f aca="false">IF(AND(ISNUMBER($AE1732),ISNUMBER($AF1732),$AF1732&gt;0),$AE1732/$AF1732,"")</f>
        <v>1.3183248981147</v>
      </c>
      <c r="AH1732" s="48" t="n">
        <f aca="false">IF($U1732&gt;=5,SUM(INDEX($AD$1702:$AD1732,32-5):$AD1732),"")</f>
        <v>-71515922158</v>
      </c>
      <c r="AI1732" s="48" t="n">
        <f aca="false">IF($U1732&gt;=STRUCT_S,MAX(INDEX($G$1582:$G1732,152-STRUCT_S):$G1732),"")</f>
        <v>1457</v>
      </c>
      <c r="AJ1732" s="48" t="n">
        <f aca="false">IF($U1732&gt;=STRUCT_S,MIN(INDEX($H$1582:$H1732,152-STRUCT_S):$H1732),"")</f>
        <v>1274</v>
      </c>
      <c r="AK1732" s="48" t="n">
        <f aca="false">IF($U1732&gt;=STRUCT_L,MAX(INDEX($G$1482:$G1732,252-STRUCT_L):$G1732),"")</f>
        <v>1798</v>
      </c>
      <c r="AL1732" s="48" t="n">
        <f aca="false">IF($U1732&gt;=STRUCT_L,MIN(INDEX($H$1482:$H1732,252-STRUCT_L):$H1732),"")</f>
        <v>1274</v>
      </c>
      <c r="AM1732" s="46" t="n">
        <f aca="false">IF($A1732&lt;&gt;$A1733,1,0)</f>
        <v>0</v>
      </c>
      <c r="AN1732" s="47" t="str">
        <f aca="false">IF($AM1732=1,$A1732,"")</f>
        <v/>
      </c>
    </row>
    <row r="1733" customFormat="false" ht="15" hidden="false" customHeight="false" outlineLevel="0" collapsed="false">
      <c r="A1733" s="43" t="s">
        <v>162</v>
      </c>
      <c r="B1733" s="44" t="s">
        <v>164</v>
      </c>
      <c r="C1733" s="45" t="n">
        <v>46140</v>
      </c>
      <c r="D1733" s="46" t="n">
        <v>20260428</v>
      </c>
      <c r="E1733" s="47" t="s">
        <v>456</v>
      </c>
      <c r="F1733" s="48" t="n">
        <v>1296</v>
      </c>
      <c r="G1733" s="48" t="n">
        <v>1297</v>
      </c>
      <c r="H1733" s="48" t="n">
        <v>1262</v>
      </c>
      <c r="I1733" s="48" t="n">
        <v>1269</v>
      </c>
      <c r="J1733" s="48" t="n">
        <v>1283</v>
      </c>
      <c r="K1733" s="48" t="n">
        <v>1290</v>
      </c>
      <c r="L1733" s="48" t="n">
        <v>100557301</v>
      </c>
      <c r="M1733" s="48" t="n">
        <v>127607214969</v>
      </c>
      <c r="N1733" s="48" t="n">
        <v>6642</v>
      </c>
      <c r="O1733" s="48" t="n">
        <v>34972655</v>
      </c>
      <c r="P1733" s="48" t="n">
        <v>62119962</v>
      </c>
      <c r="Q1733" s="48" t="n">
        <v>3420</v>
      </c>
      <c r="R1733" s="48" t="n">
        <v>2936</v>
      </c>
      <c r="S1733" s="48" t="n">
        <v>65584646</v>
      </c>
      <c r="T1733" s="48" t="n">
        <v>38437339</v>
      </c>
      <c r="U1733" s="46" t="n">
        <f aca="false">IF($A1733=$A1732,$U1732+1,1)</f>
        <v>169</v>
      </c>
      <c r="V1733" s="48" t="n">
        <f aca="false">IF($U1733&gt;=MA_SHORT,AVERAGE(INDEX($I$1333:$I1733,402-MA_SHORT):$I1733),"")</f>
        <v>1326.5</v>
      </c>
      <c r="W1733" s="48" t="n">
        <f aca="false">IF($U1733&gt;=MA_MED,AVERAGE(INDEX($I$1333:$I1733,402-MA_MED):$I1733),"")</f>
        <v>1482.24</v>
      </c>
      <c r="X1733" s="48" t="n">
        <f aca="false">IF($U1733&gt;=MA_LONG1,AVERAGE(INDEX($I$1333:$I1733,402-MA_LONG1):$I1733),"")</f>
        <v>1676.73</v>
      </c>
      <c r="Y1733" s="48" t="str">
        <f aca="false">IF($U1733&gt;=MA_LONG2,AVERAGE(INDEX($I$1333:$I1733,402-MA_LONG2):$I1733),"")</f>
        <v/>
      </c>
      <c r="Z1733" s="48" t="n">
        <f aca="false">IF($U1733&gt;=MA_SHORT,AVERAGE(INDEX($L$1613:$L1733,122-MA_SHORT):$L1733),"")</f>
        <v>93884346.05</v>
      </c>
      <c r="AA1733" s="48" t="n">
        <f aca="false">IF($U1733=1,$G1733-$H1733,MAX($G1733-$H1733,ABS($G1733-$I1732),ABS($H1733-$I1732)))</f>
        <v>35</v>
      </c>
      <c r="AB1733" s="48" t="n">
        <f aca="false">IF($U1733&gt;=ATR_PER,AVERAGE(INDEX($AA$1613:$AA1733,122-ATR_PER):$AA1733),"")</f>
        <v>43.7857142857143</v>
      </c>
      <c r="AC1733" s="48" t="n">
        <f aca="false">$O1733-$P1733</f>
        <v>-27147307</v>
      </c>
      <c r="AD1733" s="48" t="n">
        <f aca="false">$AC1733*$I1733</f>
        <v>-34449932583</v>
      </c>
      <c r="AE1733" s="49" t="n">
        <f aca="false">IF($Q1733&gt;0,$O1733*$I1733/$Q1733/1000000,"")</f>
        <v>12.9766956710526</v>
      </c>
      <c r="AF1733" s="49" t="n">
        <f aca="false">IF($R1733&gt;0,$P1733*$I1733/$R1733/1000000,"")</f>
        <v>26.8495339843324</v>
      </c>
      <c r="AG1733" s="50" t="n">
        <f aca="false">IF(AND(ISNUMBER($AE1733),ISNUMBER($AF1733),$AF1733&gt;0),$AE1733/$AF1733,"")</f>
        <v>0.483311765434177</v>
      </c>
      <c r="AH1733" s="48" t="n">
        <f aca="false">IF($U1733&gt;=5,SUM(INDEX($AD$1703:$AD1733,32-5):$AD1733),"")</f>
        <v>-63097016491</v>
      </c>
      <c r="AI1733" s="48" t="n">
        <f aca="false">IF($U1733&gt;=STRUCT_S,MAX(INDEX($G$1583:$G1733,152-STRUCT_S):$G1733),"")</f>
        <v>1430</v>
      </c>
      <c r="AJ1733" s="48" t="n">
        <f aca="false">IF($U1733&gt;=STRUCT_S,MIN(INDEX($H$1583:$H1733,152-STRUCT_S):$H1733),"")</f>
        <v>1262</v>
      </c>
      <c r="AK1733" s="48" t="n">
        <f aca="false">IF($U1733&gt;=STRUCT_L,MAX(INDEX($G$1483:$G1733,252-STRUCT_L):$G1733),"")</f>
        <v>1798</v>
      </c>
      <c r="AL1733" s="48" t="n">
        <f aca="false">IF($U1733&gt;=STRUCT_L,MIN(INDEX($H$1483:$H1733,252-STRUCT_L):$H1733),"")</f>
        <v>1262</v>
      </c>
      <c r="AM1733" s="46" t="n">
        <f aca="false">IF($A1733&lt;&gt;$A1734,1,0)</f>
        <v>0</v>
      </c>
      <c r="AN1733" s="47" t="str">
        <f aca="false">IF($AM1733=1,$A1733,"")</f>
        <v/>
      </c>
    </row>
    <row r="1734" customFormat="false" ht="15" hidden="false" customHeight="false" outlineLevel="0" collapsed="false">
      <c r="A1734" s="43" t="s">
        <v>162</v>
      </c>
      <c r="B1734" s="44" t="s">
        <v>164</v>
      </c>
      <c r="C1734" s="45" t="n">
        <v>46141</v>
      </c>
      <c r="D1734" s="46" t="n">
        <v>20260429</v>
      </c>
      <c r="E1734" s="47" t="s">
        <v>457</v>
      </c>
      <c r="F1734" s="48" t="n">
        <v>1281</v>
      </c>
      <c r="G1734" s="48" t="n">
        <v>1305</v>
      </c>
      <c r="H1734" s="48" t="n">
        <v>1246</v>
      </c>
      <c r="I1734" s="48" t="n">
        <v>1281</v>
      </c>
      <c r="J1734" s="48" t="n">
        <v>1295</v>
      </c>
      <c r="K1734" s="48" t="n">
        <v>1269</v>
      </c>
      <c r="L1734" s="48" t="n">
        <v>97319189</v>
      </c>
      <c r="M1734" s="48" t="n">
        <v>124665881109</v>
      </c>
      <c r="N1734" s="48" t="n">
        <v>8757</v>
      </c>
      <c r="O1734" s="48" t="n">
        <v>48339994</v>
      </c>
      <c r="P1734" s="48" t="n">
        <v>46977645</v>
      </c>
      <c r="Q1734" s="48" t="n">
        <v>2737</v>
      </c>
      <c r="R1734" s="48" t="n">
        <v>2878</v>
      </c>
      <c r="S1734" s="48" t="n">
        <v>48979195</v>
      </c>
      <c r="T1734" s="48" t="n">
        <v>50341544</v>
      </c>
      <c r="U1734" s="46" t="n">
        <f aca="false">IF($A1734=$A1733,$U1733+1,1)</f>
        <v>170</v>
      </c>
      <c r="V1734" s="48" t="n">
        <f aca="false">IF($U1734&gt;=MA_SHORT,AVERAGE(INDEX($I$1334:$I1734,402-MA_SHORT):$I1734),"")</f>
        <v>1321.05</v>
      </c>
      <c r="W1734" s="48" t="n">
        <f aca="false">IF($U1734&gt;=MA_MED,AVERAGE(INDEX($I$1334:$I1734,402-MA_MED):$I1734),"")</f>
        <v>1473.98</v>
      </c>
      <c r="X1734" s="48" t="n">
        <f aca="false">IF($U1734&gt;=MA_LONG1,AVERAGE(INDEX($I$1334:$I1734,402-MA_LONG1):$I1734),"")</f>
        <v>1669.62</v>
      </c>
      <c r="Y1734" s="48" t="str">
        <f aca="false">IF($U1734&gt;=MA_LONG2,AVERAGE(INDEX($I$1334:$I1734,402-MA_LONG2):$I1734),"")</f>
        <v/>
      </c>
      <c r="Z1734" s="48" t="n">
        <f aca="false">IF($U1734&gt;=MA_SHORT,AVERAGE(INDEX($L$1614:$L1734,122-MA_SHORT):$L1734),"")</f>
        <v>94454250.1</v>
      </c>
      <c r="AA1734" s="48" t="n">
        <f aca="false">IF($U1734=1,$G1734-$H1734,MAX($G1734-$H1734,ABS($G1734-$I1733),ABS($H1734-$I1733)))</f>
        <v>59</v>
      </c>
      <c r="AB1734" s="48" t="n">
        <f aca="false">IF($U1734&gt;=ATR_PER,AVERAGE(INDEX($AA$1614:$AA1734,122-ATR_PER):$AA1734),"")</f>
        <v>45.9285714285714</v>
      </c>
      <c r="AC1734" s="48" t="n">
        <f aca="false">$O1734-$P1734</f>
        <v>1362349</v>
      </c>
      <c r="AD1734" s="48" t="n">
        <f aca="false">$AC1734*$I1734</f>
        <v>1745169069</v>
      </c>
      <c r="AE1734" s="49" t="n">
        <f aca="false">IF($Q1734&gt;0,$O1734*$I1734/$Q1734/1000000,"")</f>
        <v>22.6246007723785</v>
      </c>
      <c r="AF1734" s="49" t="n">
        <f aca="false">IF($R1734&gt;0,$P1734*$I1734/$R1734/1000000,"")</f>
        <v>20.909785700139</v>
      </c>
      <c r="AG1734" s="50" t="n">
        <f aca="false">IF(AND(ISNUMBER($AE1734),ISNUMBER($AF1734),$AF1734&gt;0),$AE1734/$AF1734,"")</f>
        <v>1.08201016963211</v>
      </c>
      <c r="AH1734" s="48" t="n">
        <f aca="false">IF($U1734&gt;=5,SUM(INDEX($AD$1704:$AD1734,32-5):$AD1734),"")</f>
        <v>-46616799248</v>
      </c>
      <c r="AI1734" s="48" t="n">
        <f aca="false">IF($U1734&gt;=STRUCT_S,MAX(INDEX($G$1584:$G1734,152-STRUCT_S):$G1734),"")</f>
        <v>1405</v>
      </c>
      <c r="AJ1734" s="48" t="n">
        <f aca="false">IF($U1734&gt;=STRUCT_S,MIN(INDEX($H$1584:$H1734,152-STRUCT_S):$H1734),"")</f>
        <v>1246</v>
      </c>
      <c r="AK1734" s="48" t="n">
        <f aca="false">IF($U1734&gt;=STRUCT_L,MAX(INDEX($G$1484:$G1734,252-STRUCT_L):$G1734),"")</f>
        <v>1798</v>
      </c>
      <c r="AL1734" s="48" t="n">
        <f aca="false">IF($U1734&gt;=STRUCT_L,MIN(INDEX($H$1484:$H1734,252-STRUCT_L):$H1734),"")</f>
        <v>1246</v>
      </c>
      <c r="AM1734" s="46" t="n">
        <f aca="false">IF($A1734&lt;&gt;$A1735,1,0)</f>
        <v>0</v>
      </c>
      <c r="AN1734" s="47" t="str">
        <f aca="false">IF($AM1734=1,$A1734,"")</f>
        <v/>
      </c>
    </row>
    <row r="1735" customFormat="false" ht="15" hidden="false" customHeight="false" outlineLevel="0" collapsed="false">
      <c r="A1735" s="43" t="s">
        <v>162</v>
      </c>
      <c r="B1735" s="44" t="s">
        <v>164</v>
      </c>
      <c r="C1735" s="45" t="n">
        <v>46144</v>
      </c>
      <c r="D1735" s="46" t="n">
        <v>20260502</v>
      </c>
      <c r="E1735" s="47" t="s">
        <v>458</v>
      </c>
      <c r="F1735" s="48" t="n">
        <v>1259</v>
      </c>
      <c r="G1735" s="48" t="n">
        <v>1314</v>
      </c>
      <c r="H1735" s="48" t="n">
        <v>1254</v>
      </c>
      <c r="I1735" s="48" t="n">
        <v>1287</v>
      </c>
      <c r="J1735" s="48" t="n">
        <v>1264</v>
      </c>
      <c r="K1735" s="48" t="n">
        <v>1281</v>
      </c>
      <c r="L1735" s="48" t="n">
        <v>80783733</v>
      </c>
      <c r="M1735" s="48" t="n">
        <v>103968664371</v>
      </c>
      <c r="N1735" s="48" t="n">
        <v>2652</v>
      </c>
      <c r="O1735" s="48" t="n">
        <v>40671652</v>
      </c>
      <c r="P1735" s="48" t="n">
        <v>41452760</v>
      </c>
      <c r="Q1735" s="48" t="n">
        <v>924</v>
      </c>
      <c r="R1735" s="48" t="n">
        <v>867</v>
      </c>
      <c r="S1735" s="48" t="n">
        <v>40112081</v>
      </c>
      <c r="T1735" s="48" t="n">
        <v>39330973</v>
      </c>
      <c r="U1735" s="46" t="n">
        <f aca="false">IF($A1735=$A1734,$U1734+1,1)</f>
        <v>171</v>
      </c>
      <c r="V1735" s="48" t="n">
        <f aca="false">IF($U1735&gt;=MA_SHORT,AVERAGE(INDEX($I$1335:$I1735,402-MA_SHORT):$I1735),"")</f>
        <v>1316.7</v>
      </c>
      <c r="W1735" s="48" t="n">
        <f aca="false">IF($U1735&gt;=MA_MED,AVERAGE(INDEX($I$1335:$I1735,402-MA_MED):$I1735),"")</f>
        <v>1466.78</v>
      </c>
      <c r="X1735" s="48" t="n">
        <f aca="false">IF($U1735&gt;=MA_LONG1,AVERAGE(INDEX($I$1335:$I1735,402-MA_LONG1):$I1735),"")</f>
        <v>1662.52</v>
      </c>
      <c r="Y1735" s="48" t="str">
        <f aca="false">IF($U1735&gt;=MA_LONG2,AVERAGE(INDEX($I$1335:$I1735,402-MA_LONG2):$I1735),"")</f>
        <v/>
      </c>
      <c r="Z1735" s="48" t="n">
        <f aca="false">IF($U1735&gt;=MA_SHORT,AVERAGE(INDEX($L$1615:$L1735,122-MA_SHORT):$L1735),"")</f>
        <v>94293320.75</v>
      </c>
      <c r="AA1735" s="48" t="n">
        <f aca="false">IF($U1735=1,$G1735-$H1735,MAX($G1735-$H1735,ABS($G1735-$I1734),ABS($H1735-$I1734)))</f>
        <v>60</v>
      </c>
      <c r="AB1735" s="48" t="n">
        <f aca="false">IF($U1735&gt;=ATR_PER,AVERAGE(INDEX($AA$1615:$AA1735,122-ATR_PER):$AA1735),"")</f>
        <v>46.0714285714286</v>
      </c>
      <c r="AC1735" s="48" t="n">
        <f aca="false">$O1735-$P1735</f>
        <v>-781108</v>
      </c>
      <c r="AD1735" s="48" t="n">
        <f aca="false">$AC1735*$I1735</f>
        <v>-1005285996</v>
      </c>
      <c r="AE1735" s="49" t="n">
        <f aca="false">IF($Q1735&gt;0,$O1735*$I1735/$Q1735/1000000,"")</f>
        <v>56.649801</v>
      </c>
      <c r="AF1735" s="49" t="n">
        <f aca="false">IF($R1735&gt;0,$P1735*$I1735/$R1735/1000000,"")</f>
        <v>61.533681799308</v>
      </c>
      <c r="AG1735" s="50" t="n">
        <f aca="false">IF(AND(ISNUMBER($AE1735),ISNUMBER($AF1735),$AF1735&gt;0),$AE1735/$AF1735,"")</f>
        <v>0.920630772342914</v>
      </c>
      <c r="AH1735" s="48" t="n">
        <f aca="false">IF($U1735&gt;=5,SUM(INDEX($AD$1705:$AD1735,32-5):$AD1735),"")</f>
        <v>-37186411320</v>
      </c>
      <c r="AI1735" s="48" t="n">
        <f aca="false">IF($U1735&gt;=STRUCT_S,MAX(INDEX($G$1585:$G1735,152-STRUCT_S):$G1735),"")</f>
        <v>1393</v>
      </c>
      <c r="AJ1735" s="48" t="n">
        <f aca="false">IF($U1735&gt;=STRUCT_S,MIN(INDEX($H$1585:$H1735,152-STRUCT_S):$H1735),"")</f>
        <v>1246</v>
      </c>
      <c r="AK1735" s="48" t="n">
        <f aca="false">IF($U1735&gt;=STRUCT_L,MAX(INDEX($G$1485:$G1735,252-STRUCT_L):$G1735),"")</f>
        <v>1798</v>
      </c>
      <c r="AL1735" s="48" t="n">
        <f aca="false">IF($U1735&gt;=STRUCT_L,MIN(INDEX($H$1485:$H1735,252-STRUCT_L):$H1735),"")</f>
        <v>1246</v>
      </c>
      <c r="AM1735" s="46" t="n">
        <f aca="false">IF($A1735&lt;&gt;$A1736,1,0)</f>
        <v>0</v>
      </c>
      <c r="AN1735" s="47" t="str">
        <f aca="false">IF($AM1735=1,$A1735,"")</f>
        <v/>
      </c>
    </row>
    <row r="1736" customFormat="false" ht="15" hidden="false" customHeight="false" outlineLevel="0" collapsed="false">
      <c r="A1736" s="43" t="s">
        <v>162</v>
      </c>
      <c r="B1736" s="44" t="s">
        <v>164</v>
      </c>
      <c r="C1736" s="45" t="n">
        <v>46145</v>
      </c>
      <c r="D1736" s="46" t="n">
        <v>20260503</v>
      </c>
      <c r="E1736" s="47" t="s">
        <v>459</v>
      </c>
      <c r="F1736" s="48" t="n">
        <v>1274</v>
      </c>
      <c r="G1736" s="48" t="n">
        <v>1307</v>
      </c>
      <c r="H1736" s="48" t="n">
        <v>1256</v>
      </c>
      <c r="I1736" s="48" t="n">
        <v>1276</v>
      </c>
      <c r="J1736" s="48" t="n">
        <v>1294</v>
      </c>
      <c r="K1736" s="48" t="n">
        <v>1287</v>
      </c>
      <c r="L1736" s="48" t="n">
        <v>99747128</v>
      </c>
      <c r="M1736" s="48" t="n">
        <v>127277335328</v>
      </c>
      <c r="N1736" s="48" t="n">
        <v>3237</v>
      </c>
      <c r="O1736" s="48" t="n">
        <v>59550065</v>
      </c>
      <c r="P1736" s="48" t="n">
        <v>37466682</v>
      </c>
      <c r="Q1736" s="48" t="n">
        <v>1562</v>
      </c>
      <c r="R1736" s="48" t="n">
        <v>1198</v>
      </c>
      <c r="S1736" s="48" t="n">
        <v>40197063</v>
      </c>
      <c r="T1736" s="48" t="n">
        <v>62280446</v>
      </c>
      <c r="U1736" s="46" t="n">
        <f aca="false">IF($A1736=$A1735,$U1735+1,1)</f>
        <v>172</v>
      </c>
      <c r="V1736" s="48" t="n">
        <f aca="false">IF($U1736&gt;=MA_SHORT,AVERAGE(INDEX($I$1336:$I1736,402-MA_SHORT):$I1736),"")</f>
        <v>1311.65</v>
      </c>
      <c r="W1736" s="48" t="n">
        <f aca="false">IF($U1736&gt;=MA_MED,AVERAGE(INDEX($I$1336:$I1736,402-MA_MED):$I1736),"")</f>
        <v>1459.56</v>
      </c>
      <c r="X1736" s="48" t="n">
        <f aca="false">IF($U1736&gt;=MA_LONG1,AVERAGE(INDEX($I$1336:$I1736,402-MA_LONG1):$I1736),"")</f>
        <v>1655.66</v>
      </c>
      <c r="Y1736" s="48" t="str">
        <f aca="false">IF($U1736&gt;=MA_LONG2,AVERAGE(INDEX($I$1336:$I1736,402-MA_LONG2):$I1736),"")</f>
        <v/>
      </c>
      <c r="Z1736" s="48" t="n">
        <f aca="false">IF($U1736&gt;=MA_SHORT,AVERAGE(INDEX($L$1616:$L1736,122-MA_SHORT):$L1736),"")</f>
        <v>94660077.45</v>
      </c>
      <c r="AA1736" s="48" t="n">
        <f aca="false">IF($U1736=1,$G1736-$H1736,MAX($G1736-$H1736,ABS($G1736-$I1735),ABS($H1736-$I1735)))</f>
        <v>51</v>
      </c>
      <c r="AB1736" s="48" t="n">
        <f aca="false">IF($U1736&gt;=ATR_PER,AVERAGE(INDEX($AA$1616:$AA1736,122-ATR_PER):$AA1736),"")</f>
        <v>44.8571428571429</v>
      </c>
      <c r="AC1736" s="48" t="n">
        <f aca="false">$O1736-$P1736</f>
        <v>22083383</v>
      </c>
      <c r="AD1736" s="48" t="n">
        <f aca="false">$AC1736*$I1736</f>
        <v>28178396708</v>
      </c>
      <c r="AE1736" s="49" t="n">
        <f aca="false">IF($Q1736&gt;0,$O1736*$I1736/$Q1736/1000000,"")</f>
        <v>48.646531971831</v>
      </c>
      <c r="AF1736" s="49" t="n">
        <f aca="false">IF($R1736&gt;0,$P1736*$I1736/$R1736/1000000,"")</f>
        <v>39.9060819966611</v>
      </c>
      <c r="AG1736" s="50" t="n">
        <f aca="false">IF(AND(ISNUMBER($AE1736),ISNUMBER($AF1736),$AF1736&gt;0),$AE1736/$AF1736,"")</f>
        <v>1.21902551034454</v>
      </c>
      <c r="AH1736" s="48" t="n">
        <f aca="false">IF($U1736&gt;=5,SUM(INDEX($AD$1706:$AD1736,32-5):$AD1736),"")</f>
        <v>5055186278</v>
      </c>
      <c r="AI1736" s="48" t="n">
        <f aca="false">IF($U1736&gt;=STRUCT_S,MAX(INDEX($G$1586:$G1736,152-STRUCT_S):$G1736),"")</f>
        <v>1391</v>
      </c>
      <c r="AJ1736" s="48" t="n">
        <f aca="false">IF($U1736&gt;=STRUCT_S,MIN(INDEX($H$1586:$H1736,152-STRUCT_S):$H1736),"")</f>
        <v>1246</v>
      </c>
      <c r="AK1736" s="48" t="n">
        <f aca="false">IF($U1736&gt;=STRUCT_L,MAX(INDEX($G$1486:$G1736,252-STRUCT_L):$G1736),"")</f>
        <v>1798</v>
      </c>
      <c r="AL1736" s="48" t="n">
        <f aca="false">IF($U1736&gt;=STRUCT_L,MIN(INDEX($H$1486:$H1736,252-STRUCT_L):$H1736),"")</f>
        <v>1246</v>
      </c>
      <c r="AM1736" s="46" t="n">
        <f aca="false">IF($A1736&lt;&gt;$A1737,1,0)</f>
        <v>0</v>
      </c>
      <c r="AN1736" s="47" t="str">
        <f aca="false">IF($AM1736=1,$A1736,"")</f>
        <v/>
      </c>
    </row>
    <row r="1737" customFormat="false" ht="15" hidden="false" customHeight="false" outlineLevel="0" collapsed="false">
      <c r="A1737" s="43" t="s">
        <v>162</v>
      </c>
      <c r="B1737" s="44" t="s">
        <v>164</v>
      </c>
      <c r="C1737" s="45" t="n">
        <v>46146</v>
      </c>
      <c r="D1737" s="46" t="n">
        <v>20260504</v>
      </c>
      <c r="E1737" s="47" t="s">
        <v>460</v>
      </c>
      <c r="F1737" s="48" t="n">
        <v>1259</v>
      </c>
      <c r="G1737" s="48" t="n">
        <v>1281</v>
      </c>
      <c r="H1737" s="48" t="n">
        <v>1250</v>
      </c>
      <c r="I1737" s="48" t="n">
        <v>1255</v>
      </c>
      <c r="J1737" s="48" t="n">
        <v>1262</v>
      </c>
      <c r="K1737" s="48" t="n">
        <v>1276</v>
      </c>
      <c r="L1737" s="48" t="n">
        <v>86334546</v>
      </c>
      <c r="M1737" s="48" t="n">
        <v>108349855230</v>
      </c>
      <c r="N1737" s="48" t="n">
        <v>4018</v>
      </c>
      <c r="O1737" s="48" t="n">
        <v>43880906</v>
      </c>
      <c r="P1737" s="48" t="n">
        <v>38615893</v>
      </c>
      <c r="Q1737" s="48" t="n">
        <v>2045</v>
      </c>
      <c r="R1737" s="48" t="n">
        <v>1387</v>
      </c>
      <c r="S1737" s="48" t="n">
        <v>42453640</v>
      </c>
      <c r="T1737" s="48" t="n">
        <v>47718653</v>
      </c>
      <c r="U1737" s="46" t="n">
        <f aca="false">IF($A1737=$A1736,$U1736+1,1)</f>
        <v>173</v>
      </c>
      <c r="V1737" s="48" t="n">
        <f aca="false">IF($U1737&gt;=MA_SHORT,AVERAGE(INDEX($I$1337:$I1737,402-MA_SHORT):$I1737),"")</f>
        <v>1305.2</v>
      </c>
      <c r="W1737" s="48" t="n">
        <f aca="false">IF($U1737&gt;=MA_MED,AVERAGE(INDEX($I$1337:$I1737,402-MA_MED):$I1737),"")</f>
        <v>1451.46</v>
      </c>
      <c r="X1737" s="48" t="n">
        <f aca="false">IF($U1737&gt;=MA_LONG1,AVERAGE(INDEX($I$1337:$I1737,402-MA_LONG1):$I1737),"")</f>
        <v>1648.88</v>
      </c>
      <c r="Y1737" s="48" t="str">
        <f aca="false">IF($U1737&gt;=MA_LONG2,AVERAGE(INDEX($I$1337:$I1737,402-MA_LONG2):$I1737),"")</f>
        <v/>
      </c>
      <c r="Z1737" s="48" t="n">
        <f aca="false">IF($U1737&gt;=MA_SHORT,AVERAGE(INDEX($L$1617:$L1737,122-MA_SHORT):$L1737),"")</f>
        <v>90933256.85</v>
      </c>
      <c r="AA1737" s="48" t="n">
        <f aca="false">IF($U1737=1,$G1737-$H1737,MAX($G1737-$H1737,ABS($G1737-$I1736),ABS($H1737-$I1736)))</f>
        <v>31</v>
      </c>
      <c r="AB1737" s="48" t="n">
        <f aca="false">IF($U1737&gt;=ATR_PER,AVERAGE(INDEX($AA$1617:$AA1737,122-ATR_PER):$AA1737),"")</f>
        <v>44.7142857142857</v>
      </c>
      <c r="AC1737" s="48" t="n">
        <f aca="false">$O1737-$P1737</f>
        <v>5265013</v>
      </c>
      <c r="AD1737" s="48" t="n">
        <f aca="false">$AC1737*$I1737</f>
        <v>6607591315</v>
      </c>
      <c r="AE1737" s="49" t="n">
        <f aca="false">IF($Q1737&gt;0,$O1737*$I1737/$Q1737/1000000,"")</f>
        <v>26.9293579608802</v>
      </c>
      <c r="AF1737" s="49" t="n">
        <f aca="false">IF($R1737&gt;0,$P1737*$I1737/$R1737/1000000,"")</f>
        <v>34.9408404578226</v>
      </c>
      <c r="AG1737" s="50" t="n">
        <f aca="false">IF(AND(ISNUMBER($AE1737),ISNUMBER($AF1737),$AF1737&gt;0),$AE1737/$AF1737,"")</f>
        <v>0.770712942448732</v>
      </c>
      <c r="AH1737" s="48" t="n">
        <f aca="false">IF($U1737&gt;=5,SUM(INDEX($AD$1707:$AD1737,32-5):$AD1737),"")</f>
        <v>1075938513</v>
      </c>
      <c r="AI1737" s="48" t="n">
        <f aca="false">IF($U1737&gt;=STRUCT_S,MAX(INDEX($G$1587:$G1737,152-STRUCT_S):$G1737),"")</f>
        <v>1391</v>
      </c>
      <c r="AJ1737" s="48" t="n">
        <f aca="false">IF($U1737&gt;=STRUCT_S,MIN(INDEX($H$1587:$H1737,152-STRUCT_S):$H1737),"")</f>
        <v>1246</v>
      </c>
      <c r="AK1737" s="48" t="n">
        <f aca="false">IF($U1737&gt;=STRUCT_L,MAX(INDEX($G$1487:$G1737,252-STRUCT_L):$G1737),"")</f>
        <v>1798</v>
      </c>
      <c r="AL1737" s="48" t="n">
        <f aca="false">IF($U1737&gt;=STRUCT_L,MIN(INDEX($H$1487:$H1737,252-STRUCT_L):$H1737),"")</f>
        <v>1246</v>
      </c>
      <c r="AM1737" s="46" t="n">
        <f aca="false">IF($A1737&lt;&gt;$A1738,1,0)</f>
        <v>0</v>
      </c>
      <c r="AN1737" s="47" t="str">
        <f aca="false">IF($AM1737=1,$A1737,"")</f>
        <v/>
      </c>
    </row>
    <row r="1738" customFormat="false" ht="15" hidden="false" customHeight="false" outlineLevel="0" collapsed="false">
      <c r="A1738" s="43" t="s">
        <v>162</v>
      </c>
      <c r="B1738" s="44" t="s">
        <v>164</v>
      </c>
      <c r="C1738" s="45" t="n">
        <v>46147</v>
      </c>
      <c r="D1738" s="46" t="n">
        <v>20260505</v>
      </c>
      <c r="E1738" s="47" t="s">
        <v>461</v>
      </c>
      <c r="F1738" s="48" t="n">
        <v>1241</v>
      </c>
      <c r="G1738" s="48" t="n">
        <v>1263</v>
      </c>
      <c r="H1738" s="48" t="n">
        <v>1232</v>
      </c>
      <c r="I1738" s="48" t="n">
        <v>1240</v>
      </c>
      <c r="J1738" s="48" t="n">
        <v>1253</v>
      </c>
      <c r="K1738" s="48" t="n">
        <v>1255</v>
      </c>
      <c r="L1738" s="48" t="n">
        <v>84210419</v>
      </c>
      <c r="M1738" s="48" t="n">
        <v>104420919560</v>
      </c>
      <c r="N1738" s="48" t="n">
        <v>2359</v>
      </c>
      <c r="O1738" s="48" t="n">
        <v>38067980</v>
      </c>
      <c r="P1738" s="48" t="n">
        <v>44890557</v>
      </c>
      <c r="Q1738" s="48" t="n">
        <v>949</v>
      </c>
      <c r="R1738" s="48" t="n">
        <v>1304</v>
      </c>
      <c r="S1738" s="48" t="n">
        <v>46142439</v>
      </c>
      <c r="T1738" s="48" t="n">
        <v>39319862</v>
      </c>
      <c r="U1738" s="46" t="n">
        <f aca="false">IF($A1738=$A1737,$U1737+1,1)</f>
        <v>174</v>
      </c>
      <c r="V1738" s="48" t="n">
        <f aca="false">IF($U1738&gt;=MA_SHORT,AVERAGE(INDEX($I$1338:$I1738,402-MA_SHORT):$I1738),"")</f>
        <v>1298.2</v>
      </c>
      <c r="W1738" s="48" t="n">
        <f aca="false">IF($U1738&gt;=MA_MED,AVERAGE(INDEX($I$1338:$I1738,402-MA_MED):$I1738),"")</f>
        <v>1442.18</v>
      </c>
      <c r="X1738" s="48" t="n">
        <f aca="false">IF($U1738&gt;=MA_LONG1,AVERAGE(INDEX($I$1338:$I1738,402-MA_LONG1):$I1738),"")</f>
        <v>1641.87</v>
      </c>
      <c r="Y1738" s="48" t="str">
        <f aca="false">IF($U1738&gt;=MA_LONG2,AVERAGE(INDEX($I$1338:$I1738,402-MA_LONG2):$I1738),"")</f>
        <v/>
      </c>
      <c r="Z1738" s="48" t="n">
        <f aca="false">IF($U1738&gt;=MA_SHORT,AVERAGE(INDEX($L$1618:$L1738,122-MA_SHORT):$L1738),"")</f>
        <v>91146872.7</v>
      </c>
      <c r="AA1738" s="48" t="n">
        <f aca="false">IF($U1738=1,$G1738-$H1738,MAX($G1738-$H1738,ABS($G1738-$I1737),ABS($H1738-$I1737)))</f>
        <v>31</v>
      </c>
      <c r="AB1738" s="48" t="n">
        <f aca="false">IF($U1738&gt;=ATR_PER,AVERAGE(INDEX($AA$1618:$AA1738,122-ATR_PER):$AA1738),"")</f>
        <v>43.7857142857143</v>
      </c>
      <c r="AC1738" s="48" t="n">
        <f aca="false">$O1738-$P1738</f>
        <v>-6822577</v>
      </c>
      <c r="AD1738" s="48" t="n">
        <f aca="false">$AC1738*$I1738</f>
        <v>-8459995480</v>
      </c>
      <c r="AE1738" s="49" t="n">
        <f aca="false">IF($Q1738&gt;0,$O1738*$I1738/$Q1738/1000000,"")</f>
        <v>49.7410908324552</v>
      </c>
      <c r="AF1738" s="49" t="n">
        <f aca="false">IF($R1738&gt;0,$P1738*$I1738/$R1738/1000000,"")</f>
        <v>42.6873394785276</v>
      </c>
      <c r="AG1738" s="50" t="n">
        <f aca="false">IF(AND(ISNUMBER($AE1738),ISNUMBER($AF1738),$AF1738&gt;0),$AE1738/$AF1738,"")</f>
        <v>1.16524223435091</v>
      </c>
      <c r="AH1738" s="48" t="n">
        <f aca="false">IF($U1738&gt;=5,SUM(INDEX($AD$1708:$AD1738,32-5):$AD1738),"")</f>
        <v>27065875616</v>
      </c>
      <c r="AI1738" s="48" t="n">
        <f aca="false">IF($U1738&gt;=STRUCT_S,MAX(INDEX($G$1588:$G1738,152-STRUCT_S):$G1738),"")</f>
        <v>1391</v>
      </c>
      <c r="AJ1738" s="48" t="n">
        <f aca="false">IF($U1738&gt;=STRUCT_S,MIN(INDEX($H$1588:$H1738,152-STRUCT_S):$H1738),"")</f>
        <v>1232</v>
      </c>
      <c r="AK1738" s="48" t="n">
        <f aca="false">IF($U1738&gt;=STRUCT_L,MAX(INDEX($G$1488:$G1738,252-STRUCT_L):$G1738),"")</f>
        <v>1772</v>
      </c>
      <c r="AL1738" s="48" t="n">
        <f aca="false">IF($U1738&gt;=STRUCT_L,MIN(INDEX($H$1488:$H1738,252-STRUCT_L):$H1738),"")</f>
        <v>1232</v>
      </c>
      <c r="AM1738" s="46" t="n">
        <f aca="false">IF($A1738&lt;&gt;$A1739,1,0)</f>
        <v>0</v>
      </c>
      <c r="AN1738" s="47" t="str">
        <f aca="false">IF($AM1738=1,$A1738,"")</f>
        <v/>
      </c>
    </row>
    <row r="1739" customFormat="false" ht="15" hidden="false" customHeight="false" outlineLevel="0" collapsed="false">
      <c r="A1739" s="43" t="s">
        <v>162</v>
      </c>
      <c r="B1739" s="44" t="s">
        <v>164</v>
      </c>
      <c r="C1739" s="45" t="n">
        <v>46148</v>
      </c>
      <c r="D1739" s="46" t="n">
        <v>20260506</v>
      </c>
      <c r="E1739" s="47" t="s">
        <v>462</v>
      </c>
      <c r="F1739" s="48" t="n">
        <v>1236</v>
      </c>
      <c r="G1739" s="48" t="n">
        <v>1257</v>
      </c>
      <c r="H1739" s="48" t="n">
        <v>1202</v>
      </c>
      <c r="I1739" s="48" t="n">
        <v>1219</v>
      </c>
      <c r="J1739" s="48" t="n">
        <v>1251</v>
      </c>
      <c r="K1739" s="48" t="n">
        <v>1240</v>
      </c>
      <c r="L1739" s="48" t="n">
        <v>105692051</v>
      </c>
      <c r="M1739" s="48" t="n">
        <v>128838610169</v>
      </c>
      <c r="N1739" s="48" t="n">
        <v>4453</v>
      </c>
      <c r="O1739" s="48" t="n">
        <v>44583179</v>
      </c>
      <c r="P1739" s="48" t="n">
        <v>64354503</v>
      </c>
      <c r="Q1739" s="48" t="n">
        <v>1368</v>
      </c>
      <c r="R1739" s="48" t="n">
        <v>1664</v>
      </c>
      <c r="S1739" s="48" t="n">
        <v>61108872</v>
      </c>
      <c r="T1739" s="48" t="n">
        <v>41337548</v>
      </c>
      <c r="U1739" s="46" t="n">
        <f aca="false">IF($A1739=$A1738,$U1738+1,1)</f>
        <v>175</v>
      </c>
      <c r="V1739" s="48" t="n">
        <f aca="false">IF($U1739&gt;=MA_SHORT,AVERAGE(INDEX($I$1339:$I1739,402-MA_SHORT):$I1739),"")</f>
        <v>1292.1</v>
      </c>
      <c r="W1739" s="48" t="n">
        <f aca="false">IF($U1739&gt;=MA_MED,AVERAGE(INDEX($I$1339:$I1739,402-MA_MED):$I1739),"")</f>
        <v>1433.24</v>
      </c>
      <c r="X1739" s="48" t="n">
        <f aca="false">IF($U1739&gt;=MA_LONG1,AVERAGE(INDEX($I$1339:$I1739,402-MA_LONG1):$I1739),"")</f>
        <v>1634.31</v>
      </c>
      <c r="Y1739" s="48" t="str">
        <f aca="false">IF($U1739&gt;=MA_LONG2,AVERAGE(INDEX($I$1339:$I1739,402-MA_LONG2):$I1739),"")</f>
        <v/>
      </c>
      <c r="Z1739" s="48" t="n">
        <f aca="false">IF($U1739&gt;=MA_SHORT,AVERAGE(INDEX($L$1619:$L1739,122-MA_SHORT):$L1739),"")</f>
        <v>90841833.5</v>
      </c>
      <c r="AA1739" s="48" t="n">
        <f aca="false">IF($U1739=1,$G1739-$H1739,MAX($G1739-$H1739,ABS($G1739-$I1738),ABS($H1739-$I1738)))</f>
        <v>55</v>
      </c>
      <c r="AB1739" s="48" t="n">
        <f aca="false">IF($U1739&gt;=ATR_PER,AVERAGE(INDEX($AA$1619:$AA1739,122-ATR_PER):$AA1739),"")</f>
        <v>45.8571428571429</v>
      </c>
      <c r="AC1739" s="48" t="n">
        <f aca="false">$O1739-$P1739</f>
        <v>-19771324</v>
      </c>
      <c r="AD1739" s="48" t="n">
        <f aca="false">$AC1739*$I1739</f>
        <v>-24101243956</v>
      </c>
      <c r="AE1739" s="49" t="n">
        <f aca="false">IF($Q1739&gt;0,$O1739*$I1739/$Q1739/1000000,"")</f>
        <v>39.7272625738304</v>
      </c>
      <c r="AF1739" s="49" t="n">
        <f aca="false">IF($R1739&gt;0,$P1739*$I1739/$R1739/1000000,"")</f>
        <v>47.1443143972356</v>
      </c>
      <c r="AG1739" s="50" t="n">
        <f aca="false">IF(AND(ISNUMBER($AE1739),ISNUMBER($AF1739),$AF1739&gt;0),$AE1739/$AF1739,"")</f>
        <v>0.842673460877817</v>
      </c>
      <c r="AH1739" s="48" t="n">
        <f aca="false">IF($U1739&gt;=5,SUM(INDEX($AD$1709:$AD1739,32-5):$AD1739),"")</f>
        <v>1219462591</v>
      </c>
      <c r="AI1739" s="48" t="n">
        <f aca="false">IF($U1739&gt;=STRUCT_S,MAX(INDEX($G$1589:$G1739,152-STRUCT_S):$G1739),"")</f>
        <v>1362</v>
      </c>
      <c r="AJ1739" s="48" t="n">
        <f aca="false">IF($U1739&gt;=STRUCT_S,MIN(INDEX($H$1589:$H1739,152-STRUCT_S):$H1739),"")</f>
        <v>1202</v>
      </c>
      <c r="AK1739" s="48" t="n">
        <f aca="false">IF($U1739&gt;=STRUCT_L,MAX(INDEX($G$1489:$G1739,252-STRUCT_L):$G1739),"")</f>
        <v>1768</v>
      </c>
      <c r="AL1739" s="48" t="n">
        <f aca="false">IF($U1739&gt;=STRUCT_L,MIN(INDEX($H$1489:$H1739,252-STRUCT_L):$H1739),"")</f>
        <v>1202</v>
      </c>
      <c r="AM1739" s="46" t="n">
        <f aca="false">IF($A1739&lt;&gt;$A1740,1,0)</f>
        <v>0</v>
      </c>
      <c r="AN1739" s="47" t="str">
        <f aca="false">IF($AM1739=1,$A1739,"")</f>
        <v/>
      </c>
    </row>
    <row r="1740" customFormat="false" ht="15" hidden="false" customHeight="false" outlineLevel="0" collapsed="false">
      <c r="A1740" s="43" t="s">
        <v>162</v>
      </c>
      <c r="B1740" s="44" t="s">
        <v>164</v>
      </c>
      <c r="C1740" s="45" t="n">
        <v>46151</v>
      </c>
      <c r="D1740" s="46" t="n">
        <v>20260509</v>
      </c>
      <c r="E1740" s="47" t="s">
        <v>463</v>
      </c>
      <c r="F1740" s="48" t="n">
        <v>1223</v>
      </c>
      <c r="G1740" s="48" t="n">
        <v>1225</v>
      </c>
      <c r="H1740" s="48" t="n">
        <v>1178</v>
      </c>
      <c r="I1740" s="48" t="n">
        <v>1184</v>
      </c>
      <c r="J1740" s="48" t="n">
        <v>1203</v>
      </c>
      <c r="K1740" s="48" t="n">
        <v>1219</v>
      </c>
      <c r="L1740" s="48" t="n">
        <v>92111911</v>
      </c>
      <c r="M1740" s="48" t="n">
        <v>109060502624</v>
      </c>
      <c r="N1740" s="48" t="n">
        <v>3619</v>
      </c>
      <c r="O1740" s="48" t="n">
        <v>37756629</v>
      </c>
      <c r="P1740" s="48" t="n">
        <v>53250241</v>
      </c>
      <c r="Q1740" s="48" t="n">
        <v>1213</v>
      </c>
      <c r="R1740" s="48" t="n">
        <v>2018</v>
      </c>
      <c r="S1740" s="48" t="n">
        <v>54355282</v>
      </c>
      <c r="T1740" s="48" t="n">
        <v>38861670</v>
      </c>
      <c r="U1740" s="46" t="n">
        <f aca="false">IF($A1740=$A1739,$U1739+1,1)</f>
        <v>176</v>
      </c>
      <c r="V1740" s="48" t="n">
        <f aca="false">IF($U1740&gt;=MA_SHORT,AVERAGE(INDEX($I$1340:$I1740,402-MA_SHORT):$I1740),"")</f>
        <v>1284.1</v>
      </c>
      <c r="W1740" s="48" t="n">
        <f aca="false">IF($U1740&gt;=MA_MED,AVERAGE(INDEX($I$1340:$I1740,402-MA_MED):$I1740),"")</f>
        <v>1423.6</v>
      </c>
      <c r="X1740" s="48" t="n">
        <f aca="false">IF($U1740&gt;=MA_LONG1,AVERAGE(INDEX($I$1340:$I1740,402-MA_LONG1):$I1740),"")</f>
        <v>1626.51</v>
      </c>
      <c r="Y1740" s="48" t="str">
        <f aca="false">IF($U1740&gt;=MA_LONG2,AVERAGE(INDEX($I$1340:$I1740,402-MA_LONG2):$I1740),"")</f>
        <v/>
      </c>
      <c r="Z1740" s="48" t="n">
        <f aca="false">IF($U1740&gt;=MA_SHORT,AVERAGE(INDEX($L$1620:$L1740,122-MA_SHORT):$L1740),"")</f>
        <v>91465917.75</v>
      </c>
      <c r="AA1740" s="48" t="n">
        <f aca="false">IF($U1740=1,$G1740-$H1740,MAX($G1740-$H1740,ABS($G1740-$I1739),ABS($H1740-$I1739)))</f>
        <v>47</v>
      </c>
      <c r="AB1740" s="48" t="n">
        <f aca="false">IF($U1740&gt;=ATR_PER,AVERAGE(INDEX($AA$1620:$AA1740,122-ATR_PER):$AA1740),"")</f>
        <v>46.3571428571429</v>
      </c>
      <c r="AC1740" s="48" t="n">
        <f aca="false">$O1740-$P1740</f>
        <v>-15493612</v>
      </c>
      <c r="AD1740" s="48" t="n">
        <f aca="false">$AC1740*$I1740</f>
        <v>-18344436608</v>
      </c>
      <c r="AE1740" s="49" t="n">
        <f aca="false">IF($Q1740&gt;0,$O1740*$I1740/$Q1740/1000000,"")</f>
        <v>36.8539560890355</v>
      </c>
      <c r="AF1740" s="49" t="n">
        <f aca="false">IF($R1740&gt;0,$P1740*$I1740/$R1740/1000000,"")</f>
        <v>31.2429560673935</v>
      </c>
      <c r="AG1740" s="50" t="n">
        <f aca="false">IF(AND(ISNUMBER($AE1740),ISNUMBER($AF1740),$AF1740&gt;0),$AE1740/$AF1740,"")</f>
        <v>1.17959248188739</v>
      </c>
      <c r="AH1740" s="48" t="n">
        <f aca="false">IF($U1740&gt;=5,SUM(INDEX($AD$1710:$AD1740,32-5):$AD1740),"")</f>
        <v>-16119688021</v>
      </c>
      <c r="AI1740" s="48" t="n">
        <f aca="false">IF($U1740&gt;=STRUCT_S,MAX(INDEX($G$1590:$G1740,152-STRUCT_S):$G1740),"")</f>
        <v>1362</v>
      </c>
      <c r="AJ1740" s="48" t="n">
        <f aca="false">IF($U1740&gt;=STRUCT_S,MIN(INDEX($H$1590:$H1740,152-STRUCT_S):$H1740),"")</f>
        <v>1178</v>
      </c>
      <c r="AK1740" s="48" t="n">
        <f aca="false">IF($U1740&gt;=STRUCT_L,MAX(INDEX($G$1490:$G1740,252-STRUCT_L):$G1740),"")</f>
        <v>1768</v>
      </c>
      <c r="AL1740" s="48" t="n">
        <f aca="false">IF($U1740&gt;=STRUCT_L,MIN(INDEX($H$1490:$H1740,252-STRUCT_L):$H1740),"")</f>
        <v>1178</v>
      </c>
      <c r="AM1740" s="46" t="n">
        <f aca="false">IF($A1740&lt;&gt;$A1741,1,0)</f>
        <v>0</v>
      </c>
      <c r="AN1740" s="47" t="str">
        <f aca="false">IF($AM1740=1,$A1740,"")</f>
        <v/>
      </c>
    </row>
    <row r="1741" customFormat="false" ht="15" hidden="false" customHeight="false" outlineLevel="0" collapsed="false">
      <c r="A1741" s="43" t="s">
        <v>162</v>
      </c>
      <c r="B1741" s="44" t="s">
        <v>164</v>
      </c>
      <c r="C1741" s="45" t="n">
        <v>46152</v>
      </c>
      <c r="D1741" s="46" t="n">
        <v>20260510</v>
      </c>
      <c r="E1741" s="47" t="s">
        <v>464</v>
      </c>
      <c r="F1741" s="48" t="n">
        <v>1192</v>
      </c>
      <c r="G1741" s="48" t="n">
        <v>1195</v>
      </c>
      <c r="H1741" s="48" t="n">
        <v>1154</v>
      </c>
      <c r="I1741" s="48" t="n">
        <v>1165</v>
      </c>
      <c r="J1741" s="48" t="n">
        <v>1154</v>
      </c>
      <c r="K1741" s="48" t="n">
        <v>1184</v>
      </c>
      <c r="L1741" s="48" t="n">
        <v>86141070</v>
      </c>
      <c r="M1741" s="48" t="n">
        <v>100354346550</v>
      </c>
      <c r="N1741" s="48" t="n">
        <v>2811</v>
      </c>
      <c r="O1741" s="48" t="n">
        <v>37784313</v>
      </c>
      <c r="P1741" s="48" t="n">
        <v>49495140</v>
      </c>
      <c r="Q1741" s="48" t="n">
        <v>879</v>
      </c>
      <c r="R1741" s="48" t="n">
        <v>996</v>
      </c>
      <c r="S1741" s="48" t="n">
        <v>48356757</v>
      </c>
      <c r="T1741" s="48" t="n">
        <v>36645930</v>
      </c>
      <c r="U1741" s="46" t="n">
        <f aca="false">IF($A1741=$A1740,$U1740+1,1)</f>
        <v>177</v>
      </c>
      <c r="V1741" s="48" t="n">
        <f aca="false">IF($U1741&gt;=MA_SHORT,AVERAGE(INDEX($I$1341:$I1741,402-MA_SHORT):$I1741),"")</f>
        <v>1276.25</v>
      </c>
      <c r="W1741" s="48" t="n">
        <f aca="false">IF($U1741&gt;=MA_MED,AVERAGE(INDEX($I$1341:$I1741,402-MA_MED):$I1741),"")</f>
        <v>1412.98</v>
      </c>
      <c r="X1741" s="48" t="n">
        <f aca="false">IF($U1741&gt;=MA_LONG1,AVERAGE(INDEX($I$1341:$I1741,402-MA_LONG1):$I1741),"")</f>
        <v>1618.34</v>
      </c>
      <c r="Y1741" s="48" t="str">
        <f aca="false">IF($U1741&gt;=MA_LONG2,AVERAGE(INDEX($I$1341:$I1741,402-MA_LONG2):$I1741),"")</f>
        <v/>
      </c>
      <c r="Z1741" s="48" t="n">
        <f aca="false">IF($U1741&gt;=MA_SHORT,AVERAGE(INDEX($L$1621:$L1741,122-MA_SHORT):$L1741),"")</f>
        <v>91458333.25</v>
      </c>
      <c r="AA1741" s="48" t="n">
        <f aca="false">IF($U1741=1,$G1741-$H1741,MAX($G1741-$H1741,ABS($G1741-$I1740),ABS($H1741-$I1740)))</f>
        <v>41</v>
      </c>
      <c r="AB1741" s="48" t="n">
        <f aca="false">IF($U1741&gt;=ATR_PER,AVERAGE(INDEX($AA$1621:$AA1741,122-ATR_PER):$AA1741),"")</f>
        <v>43.2857142857143</v>
      </c>
      <c r="AC1741" s="48" t="n">
        <f aca="false">$O1741-$P1741</f>
        <v>-11710827</v>
      </c>
      <c r="AD1741" s="48" t="n">
        <f aca="false">$AC1741*$I1741</f>
        <v>-13643113455</v>
      </c>
      <c r="AE1741" s="49" t="n">
        <f aca="false">IF($Q1741&gt;0,$O1741*$I1741/$Q1741/1000000,"")</f>
        <v>50.0781850341297</v>
      </c>
      <c r="AF1741" s="49" t="n">
        <f aca="false">IF($R1741&gt;0,$P1741*$I1741/$R1741/1000000,"")</f>
        <v>57.893411746988</v>
      </c>
      <c r="AG1741" s="50" t="n">
        <f aca="false">IF(AND(ISNUMBER($AE1741),ISNUMBER($AF1741),$AF1741&gt;0),$AE1741/$AF1741,"")</f>
        <v>0.865006630685143</v>
      </c>
      <c r="AH1741" s="48" t="n">
        <f aca="false">IF($U1741&gt;=5,SUM(INDEX($AD$1711:$AD1741,32-5):$AD1741),"")</f>
        <v>-57941198184</v>
      </c>
      <c r="AI1741" s="48" t="n">
        <f aca="false">IF($U1741&gt;=STRUCT_S,MAX(INDEX($G$1591:$G1741,152-STRUCT_S):$G1741),"")</f>
        <v>1358</v>
      </c>
      <c r="AJ1741" s="48" t="n">
        <f aca="false">IF($U1741&gt;=STRUCT_S,MIN(INDEX($H$1591:$H1741,152-STRUCT_S):$H1741),"")</f>
        <v>1154</v>
      </c>
      <c r="AK1741" s="48" t="n">
        <f aca="false">IF($U1741&gt;=STRUCT_L,MAX(INDEX($G$1491:$G1741,252-STRUCT_L):$G1741),"")</f>
        <v>1768</v>
      </c>
      <c r="AL1741" s="48" t="n">
        <f aca="false">IF($U1741&gt;=STRUCT_L,MIN(INDEX($H$1491:$H1741,252-STRUCT_L):$H1741),"")</f>
        <v>1154</v>
      </c>
      <c r="AM1741" s="46" t="n">
        <f aca="false">IF($A1741&lt;&gt;$A1742,1,0)</f>
        <v>0</v>
      </c>
      <c r="AN1741" s="47" t="str">
        <f aca="false">IF($AM1741=1,$A1741,"")</f>
        <v/>
      </c>
    </row>
    <row r="1742" customFormat="false" ht="15" hidden="false" customHeight="false" outlineLevel="0" collapsed="false">
      <c r="A1742" s="43" t="s">
        <v>162</v>
      </c>
      <c r="B1742" s="44" t="s">
        <v>164</v>
      </c>
      <c r="C1742" s="45" t="n">
        <v>46153</v>
      </c>
      <c r="D1742" s="46" t="n">
        <v>20260511</v>
      </c>
      <c r="E1742" s="47" t="s">
        <v>465</v>
      </c>
      <c r="F1742" s="48" t="n">
        <v>1170</v>
      </c>
      <c r="G1742" s="48" t="n">
        <v>1182</v>
      </c>
      <c r="H1742" s="48" t="n">
        <v>1155</v>
      </c>
      <c r="I1742" s="48" t="n">
        <v>1172</v>
      </c>
      <c r="J1742" s="48" t="n">
        <v>1170</v>
      </c>
      <c r="K1742" s="48" t="n">
        <v>1165</v>
      </c>
      <c r="L1742" s="48" t="n">
        <v>81408287</v>
      </c>
      <c r="M1742" s="48" t="n">
        <v>95410512364</v>
      </c>
      <c r="N1742" s="48" t="n">
        <v>4946</v>
      </c>
      <c r="O1742" s="48" t="n">
        <v>44508949</v>
      </c>
      <c r="P1742" s="48" t="n">
        <v>33054862</v>
      </c>
      <c r="Q1742" s="48" t="n">
        <v>1663</v>
      </c>
      <c r="R1742" s="48" t="n">
        <v>2393</v>
      </c>
      <c r="S1742" s="48" t="n">
        <v>36899338</v>
      </c>
      <c r="T1742" s="48" t="n">
        <v>48353425</v>
      </c>
      <c r="U1742" s="46" t="n">
        <f aca="false">IF($A1742=$A1741,$U1741+1,1)</f>
        <v>178</v>
      </c>
      <c r="V1742" s="48" t="n">
        <f aca="false">IF($U1742&gt;=MA_SHORT,AVERAGE(INDEX($I$1342:$I1742,402-MA_SHORT):$I1742),"")</f>
        <v>1269.55</v>
      </c>
      <c r="W1742" s="48" t="n">
        <f aca="false">IF($U1742&gt;=MA_MED,AVERAGE(INDEX($I$1342:$I1742,402-MA_MED):$I1742),"")</f>
        <v>1402.02</v>
      </c>
      <c r="X1742" s="48" t="n">
        <f aca="false">IF($U1742&gt;=MA_LONG1,AVERAGE(INDEX($I$1342:$I1742,402-MA_LONG1):$I1742),"")</f>
        <v>1609.89</v>
      </c>
      <c r="Y1742" s="48" t="str">
        <f aca="false">IF($U1742&gt;=MA_LONG2,AVERAGE(INDEX($I$1342:$I1742,402-MA_LONG2):$I1742),"")</f>
        <v/>
      </c>
      <c r="Z1742" s="48" t="n">
        <f aca="false">IF($U1742&gt;=MA_SHORT,AVERAGE(INDEX($L$1622:$L1742,122-MA_SHORT):$L1742),"")</f>
        <v>91314674.65</v>
      </c>
      <c r="AA1742" s="48" t="n">
        <f aca="false">IF($U1742=1,$G1742-$H1742,MAX($G1742-$H1742,ABS($G1742-$I1741),ABS($H1742-$I1741)))</f>
        <v>27</v>
      </c>
      <c r="AB1742" s="48" t="n">
        <f aca="false">IF($U1742&gt;=ATR_PER,AVERAGE(INDEX($AA$1622:$AA1742,122-ATR_PER):$AA1742),"")</f>
        <v>41.8571428571429</v>
      </c>
      <c r="AC1742" s="48" t="n">
        <f aca="false">$O1742-$P1742</f>
        <v>11454087</v>
      </c>
      <c r="AD1742" s="48" t="n">
        <f aca="false">$AC1742*$I1742</f>
        <v>13424189964</v>
      </c>
      <c r="AE1742" s="49" t="n">
        <f aca="false">IF($Q1742&gt;0,$O1742*$I1742/$Q1742/1000000,"")</f>
        <v>31.3677018809381</v>
      </c>
      <c r="AF1742" s="49" t="n">
        <f aca="false">IF($R1742&gt;0,$P1742*$I1742/$R1742/1000000,"")</f>
        <v>16.1890088859173</v>
      </c>
      <c r="AG1742" s="50" t="n">
        <f aca="false">IF(AND(ISNUMBER($AE1742),ISNUMBER($AF1742),$AF1742&gt;0),$AE1742/$AF1742,"")</f>
        <v>1.93759248030463</v>
      </c>
      <c r="AH1742" s="48" t="n">
        <f aca="false">IF($U1742&gt;=5,SUM(INDEX($AD$1712:$AD1742,32-5):$AD1742),"")</f>
        <v>-51124599535</v>
      </c>
      <c r="AI1742" s="48" t="n">
        <f aca="false">IF($U1742&gt;=STRUCT_S,MAX(INDEX($G$1592:$G1742,152-STRUCT_S):$G1742),"")</f>
        <v>1358</v>
      </c>
      <c r="AJ1742" s="48" t="n">
        <f aca="false">IF($U1742&gt;=STRUCT_S,MIN(INDEX($H$1592:$H1742,152-STRUCT_S):$H1742),"")</f>
        <v>1154</v>
      </c>
      <c r="AK1742" s="48" t="n">
        <f aca="false">IF($U1742&gt;=STRUCT_L,MAX(INDEX($G$1492:$G1742,252-STRUCT_L):$G1742),"")</f>
        <v>1768</v>
      </c>
      <c r="AL1742" s="48" t="n">
        <f aca="false">IF($U1742&gt;=STRUCT_L,MIN(INDEX($H$1492:$H1742,252-STRUCT_L):$H1742),"")</f>
        <v>1154</v>
      </c>
      <c r="AM1742" s="46" t="n">
        <f aca="false">IF($A1742&lt;&gt;$A1743,1,0)</f>
        <v>0</v>
      </c>
      <c r="AN1742" s="47" t="str">
        <f aca="false">IF($AM1742=1,$A1742,"")</f>
        <v/>
      </c>
    </row>
    <row r="1743" customFormat="false" ht="15" hidden="false" customHeight="false" outlineLevel="0" collapsed="false">
      <c r="A1743" s="43" t="s">
        <v>162</v>
      </c>
      <c r="B1743" s="44" t="s">
        <v>164</v>
      </c>
      <c r="C1743" s="45" t="n">
        <v>46154</v>
      </c>
      <c r="D1743" s="46" t="n">
        <v>20260512</v>
      </c>
      <c r="E1743" s="47" t="s">
        <v>466</v>
      </c>
      <c r="F1743" s="48" t="n">
        <v>1176</v>
      </c>
      <c r="G1743" s="48" t="n">
        <v>1192</v>
      </c>
      <c r="H1743" s="48" t="n">
        <v>1138</v>
      </c>
      <c r="I1743" s="48" t="n">
        <v>1158</v>
      </c>
      <c r="J1743" s="48" t="n">
        <v>1156</v>
      </c>
      <c r="K1743" s="48" t="n">
        <v>1172</v>
      </c>
      <c r="L1743" s="48" t="n">
        <v>90751814</v>
      </c>
      <c r="M1743" s="48" t="n">
        <v>105090600612</v>
      </c>
      <c r="N1743" s="48" t="n">
        <v>2283</v>
      </c>
      <c r="O1743" s="48" t="n">
        <v>36164055</v>
      </c>
      <c r="P1743" s="48" t="n">
        <v>50965224</v>
      </c>
      <c r="Q1743" s="48" t="n">
        <v>983</v>
      </c>
      <c r="R1743" s="48" t="n">
        <v>712</v>
      </c>
      <c r="S1743" s="48" t="n">
        <v>54587759</v>
      </c>
      <c r="T1743" s="48" t="n">
        <v>39786590</v>
      </c>
      <c r="U1743" s="46" t="n">
        <f aca="false">IF($A1743=$A1742,$U1742+1,1)</f>
        <v>179</v>
      </c>
      <c r="V1743" s="48" t="n">
        <f aca="false">IF($U1743&gt;=MA_SHORT,AVERAGE(INDEX($I$1343:$I1743,402-MA_SHORT):$I1743),"")</f>
        <v>1263.1</v>
      </c>
      <c r="W1743" s="48" t="n">
        <f aca="false">IF($U1743&gt;=MA_MED,AVERAGE(INDEX($I$1343:$I1743,402-MA_MED):$I1743),"")</f>
        <v>1390.38</v>
      </c>
      <c r="X1743" s="48" t="n">
        <f aca="false">IF($U1743&gt;=MA_LONG1,AVERAGE(INDEX($I$1343:$I1743,402-MA_LONG1):$I1743),"")</f>
        <v>1601.14</v>
      </c>
      <c r="Y1743" s="48" t="str">
        <f aca="false">IF($U1743&gt;=MA_LONG2,AVERAGE(INDEX($I$1343:$I1743,402-MA_LONG2):$I1743),"")</f>
        <v/>
      </c>
      <c r="Z1743" s="48" t="n">
        <f aca="false">IF($U1743&gt;=MA_SHORT,AVERAGE(INDEX($L$1623:$L1743,122-MA_SHORT):$L1743),"")</f>
        <v>91580548.65</v>
      </c>
      <c r="AA1743" s="48" t="n">
        <f aca="false">IF($U1743=1,$G1743-$H1743,MAX($G1743-$H1743,ABS($G1743-$I1742),ABS($H1743-$I1742)))</f>
        <v>54</v>
      </c>
      <c r="AB1743" s="48" t="n">
        <f aca="false">IF($U1743&gt;=ATR_PER,AVERAGE(INDEX($AA$1623:$AA1743,122-ATR_PER):$AA1743),"")</f>
        <v>42.7857142857143</v>
      </c>
      <c r="AC1743" s="48" t="n">
        <f aca="false">$O1743-$P1743</f>
        <v>-14801169</v>
      </c>
      <c r="AD1743" s="48" t="n">
        <f aca="false">$AC1743*$I1743</f>
        <v>-17139753702</v>
      </c>
      <c r="AE1743" s="49" t="n">
        <f aca="false">IF($Q1743&gt;0,$O1743*$I1743/$Q1743/1000000,"")</f>
        <v>42.6022133163784</v>
      </c>
      <c r="AF1743" s="49" t="n">
        <f aca="false">IF($R1743&gt;0,$P1743*$I1743/$R1743/1000000,"")</f>
        <v>82.8900693707865</v>
      </c>
      <c r="AG1743" s="50" t="n">
        <f aca="false">IF(AND(ISNUMBER($AE1743),ISNUMBER($AF1743),$AF1743&gt;0),$AE1743/$AF1743,"")</f>
        <v>0.513960401285332</v>
      </c>
      <c r="AH1743" s="48" t="n">
        <f aca="false">IF($U1743&gt;=5,SUM(INDEX($AD$1713:$AD1743,32-5):$AD1743),"")</f>
        <v>-59804357757</v>
      </c>
      <c r="AI1743" s="48" t="n">
        <f aca="false">IF($U1743&gt;=STRUCT_S,MAX(INDEX($G$1593:$G1743,152-STRUCT_S):$G1743),"")</f>
        <v>1358</v>
      </c>
      <c r="AJ1743" s="48" t="n">
        <f aca="false">IF($U1743&gt;=STRUCT_S,MIN(INDEX($H$1593:$H1743,152-STRUCT_S):$H1743),"")</f>
        <v>1138</v>
      </c>
      <c r="AK1743" s="48" t="n">
        <f aca="false">IF($U1743&gt;=STRUCT_L,MAX(INDEX($G$1493:$G1743,252-STRUCT_L):$G1743),"")</f>
        <v>1768</v>
      </c>
      <c r="AL1743" s="48" t="n">
        <f aca="false">IF($U1743&gt;=STRUCT_L,MIN(INDEX($H$1493:$H1743,252-STRUCT_L):$H1743),"")</f>
        <v>1138</v>
      </c>
      <c r="AM1743" s="46" t="n">
        <f aca="false">IF($A1743&lt;&gt;$A1744,1,0)</f>
        <v>0</v>
      </c>
      <c r="AN1743" s="47" t="str">
        <f aca="false">IF($AM1743=1,$A1743,"")</f>
        <v/>
      </c>
    </row>
    <row r="1744" customFormat="false" ht="15" hidden="false" customHeight="false" outlineLevel="0" collapsed="false">
      <c r="A1744" s="43" t="s">
        <v>162</v>
      </c>
      <c r="B1744" s="44" t="s">
        <v>164</v>
      </c>
      <c r="C1744" s="45" t="n">
        <v>46155</v>
      </c>
      <c r="D1744" s="46" t="n">
        <v>20260513</v>
      </c>
      <c r="E1744" s="47" t="s">
        <v>467</v>
      </c>
      <c r="F1744" s="48" t="n">
        <v>1157</v>
      </c>
      <c r="G1744" s="48" t="n">
        <v>1168</v>
      </c>
      <c r="H1744" s="48" t="n">
        <v>1127</v>
      </c>
      <c r="I1744" s="48" t="n">
        <v>1137</v>
      </c>
      <c r="J1744" s="48" t="n">
        <v>1155</v>
      </c>
      <c r="K1744" s="48" t="n">
        <v>1158</v>
      </c>
      <c r="L1744" s="48" t="n">
        <v>87125189</v>
      </c>
      <c r="M1744" s="48" t="n">
        <v>99061339893</v>
      </c>
      <c r="N1744" s="48" t="n">
        <v>4766</v>
      </c>
      <c r="O1744" s="48" t="n">
        <v>33744177</v>
      </c>
      <c r="P1744" s="48" t="n">
        <v>50164951</v>
      </c>
      <c r="Q1744" s="48" t="n">
        <v>1432</v>
      </c>
      <c r="R1744" s="48" t="n">
        <v>1730</v>
      </c>
      <c r="S1744" s="48" t="n">
        <v>53381012</v>
      </c>
      <c r="T1744" s="48" t="n">
        <v>36960238</v>
      </c>
      <c r="U1744" s="46" t="n">
        <f aca="false">IF($A1744=$A1743,$U1743+1,1)</f>
        <v>180</v>
      </c>
      <c r="V1744" s="48" t="n">
        <f aca="false">IF($U1744&gt;=MA_SHORT,AVERAGE(INDEX($I$1344:$I1744,402-MA_SHORT):$I1744),"")</f>
        <v>1254.3</v>
      </c>
      <c r="W1744" s="48" t="n">
        <f aca="false">IF($U1744&gt;=MA_MED,AVERAGE(INDEX($I$1344:$I1744,402-MA_MED):$I1744),"")</f>
        <v>1378.62</v>
      </c>
      <c r="X1744" s="48" t="n">
        <f aca="false">IF($U1744&gt;=MA_LONG1,AVERAGE(INDEX($I$1344:$I1744,402-MA_LONG1):$I1744),"")</f>
        <v>1592.27</v>
      </c>
      <c r="Y1744" s="48" t="str">
        <f aca="false">IF($U1744&gt;=MA_LONG2,AVERAGE(INDEX($I$1344:$I1744,402-MA_LONG2):$I1744),"")</f>
        <v/>
      </c>
      <c r="Z1744" s="48" t="n">
        <f aca="false">IF($U1744&gt;=MA_SHORT,AVERAGE(INDEX($L$1624:$L1744,122-MA_SHORT):$L1744),"")</f>
        <v>91531816.75</v>
      </c>
      <c r="AA1744" s="48" t="n">
        <f aca="false">IF($U1744=1,$G1744-$H1744,MAX($G1744-$H1744,ABS($G1744-$I1743),ABS($H1744-$I1743)))</f>
        <v>41</v>
      </c>
      <c r="AB1744" s="48" t="n">
        <f aca="false">IF($U1744&gt;=ATR_PER,AVERAGE(INDEX($AA$1624:$AA1744,122-ATR_PER):$AA1744),"")</f>
        <v>42.1428571428571</v>
      </c>
      <c r="AC1744" s="48" t="n">
        <f aca="false">$O1744-$P1744</f>
        <v>-16420774</v>
      </c>
      <c r="AD1744" s="48" t="n">
        <f aca="false">$AC1744*$I1744</f>
        <v>-18670420038</v>
      </c>
      <c r="AE1744" s="49" t="n">
        <f aca="false">IF($Q1744&gt;0,$O1744*$I1744/$Q1744/1000000,"")</f>
        <v>26.7926880230447</v>
      </c>
      <c r="AF1744" s="49" t="n">
        <f aca="false">IF($R1744&gt;0,$P1744*$I1744/$R1744/1000000,"")</f>
        <v>32.9696816687861</v>
      </c>
      <c r="AG1744" s="50" t="n">
        <f aca="false">IF(AND(ISNUMBER($AE1744),ISNUMBER($AF1744),$AF1744&gt;0),$AE1744/$AF1744,"")</f>
        <v>0.812646245487124</v>
      </c>
      <c r="AH1744" s="48" t="n">
        <f aca="false">IF($U1744&gt;=5,SUM(INDEX($AD$1714:$AD1744,32-5):$AD1744),"")</f>
        <v>-54373533839</v>
      </c>
      <c r="AI1744" s="48" t="n">
        <f aca="false">IF($U1744&gt;=STRUCT_S,MAX(INDEX($G$1594:$G1744,152-STRUCT_S):$G1744),"")</f>
        <v>1358</v>
      </c>
      <c r="AJ1744" s="48" t="n">
        <f aca="false">IF($U1744&gt;=STRUCT_S,MIN(INDEX($H$1594:$H1744,152-STRUCT_S):$H1744),"")</f>
        <v>1127</v>
      </c>
      <c r="AK1744" s="48" t="n">
        <f aca="false">IF($U1744&gt;=STRUCT_L,MAX(INDEX($G$1494:$G1744,252-STRUCT_L):$G1744),"")</f>
        <v>1768</v>
      </c>
      <c r="AL1744" s="48" t="n">
        <f aca="false">IF($U1744&gt;=STRUCT_L,MIN(INDEX($H$1494:$H1744,252-STRUCT_L):$H1744),"")</f>
        <v>1127</v>
      </c>
      <c r="AM1744" s="46" t="n">
        <f aca="false">IF($A1744&lt;&gt;$A1745,1,0)</f>
        <v>0</v>
      </c>
      <c r="AN1744" s="47" t="str">
        <f aca="false">IF($AM1744=1,$A1744,"")</f>
        <v/>
      </c>
    </row>
    <row r="1745" customFormat="false" ht="15" hidden="false" customHeight="false" outlineLevel="0" collapsed="false">
      <c r="A1745" s="43" t="s">
        <v>162</v>
      </c>
      <c r="B1745" s="44" t="s">
        <v>164</v>
      </c>
      <c r="C1745" s="45" t="n">
        <v>46158</v>
      </c>
      <c r="D1745" s="46" t="n">
        <v>20260516</v>
      </c>
      <c r="E1745" s="47" t="s">
        <v>468</v>
      </c>
      <c r="F1745" s="48" t="n">
        <v>1135</v>
      </c>
      <c r="G1745" s="48" t="n">
        <v>1141</v>
      </c>
      <c r="H1745" s="48" t="n">
        <v>1132</v>
      </c>
      <c r="I1745" s="48" t="n">
        <v>1136</v>
      </c>
      <c r="J1745" s="48" t="n">
        <v>1136</v>
      </c>
      <c r="K1745" s="48" t="n">
        <v>1137</v>
      </c>
      <c r="L1745" s="48" t="n">
        <v>78990168</v>
      </c>
      <c r="M1745" s="48" t="n">
        <v>89732830848</v>
      </c>
      <c r="N1745" s="48" t="n">
        <v>3188</v>
      </c>
      <c r="O1745" s="48" t="n">
        <v>39059108</v>
      </c>
      <c r="P1745" s="48" t="n">
        <v>43299192</v>
      </c>
      <c r="Q1745" s="48" t="n">
        <v>1457</v>
      </c>
      <c r="R1745" s="48" t="n">
        <v>1741</v>
      </c>
      <c r="S1745" s="48" t="n">
        <v>39931060</v>
      </c>
      <c r="T1745" s="48" t="n">
        <v>35690976</v>
      </c>
      <c r="U1745" s="46" t="n">
        <f aca="false">IF($A1745=$A1744,$U1744+1,1)</f>
        <v>181</v>
      </c>
      <c r="V1745" s="48" t="n">
        <f aca="false">IF($U1745&gt;=MA_SHORT,AVERAGE(INDEX($I$1345:$I1745,402-MA_SHORT):$I1745),"")</f>
        <v>1245.35</v>
      </c>
      <c r="W1745" s="48" t="n">
        <f aca="false">IF($U1745&gt;=MA_MED,AVERAGE(INDEX($I$1345:$I1745,402-MA_MED):$I1745),"")</f>
        <v>1366.76</v>
      </c>
      <c r="X1745" s="48" t="n">
        <f aca="false">IF($U1745&gt;=MA_LONG1,AVERAGE(INDEX($I$1345:$I1745,402-MA_LONG1):$I1745),"")</f>
        <v>1583.3</v>
      </c>
      <c r="Y1745" s="48" t="str">
        <f aca="false">IF($U1745&gt;=MA_LONG2,AVERAGE(INDEX($I$1345:$I1745,402-MA_LONG2):$I1745),"")</f>
        <v/>
      </c>
      <c r="Z1745" s="48" t="n">
        <f aca="false">IF($U1745&gt;=MA_SHORT,AVERAGE(INDEX($L$1625:$L1745,122-MA_SHORT):$L1745),"")</f>
        <v>91516642.55</v>
      </c>
      <c r="AA1745" s="48" t="n">
        <f aca="false">IF($U1745=1,$G1745-$H1745,MAX($G1745-$H1745,ABS($G1745-$I1744),ABS($H1745-$I1744)))</f>
        <v>9</v>
      </c>
      <c r="AB1745" s="48" t="n">
        <f aca="false">IF($U1745&gt;=ATR_PER,AVERAGE(INDEX($AA$1625:$AA1745,122-ATR_PER):$AA1745),"")</f>
        <v>40.6428571428571</v>
      </c>
      <c r="AC1745" s="48" t="n">
        <f aca="false">$O1745-$P1745</f>
        <v>-4240084</v>
      </c>
      <c r="AD1745" s="48" t="n">
        <f aca="false">$AC1745*$I1745</f>
        <v>-4816735424</v>
      </c>
      <c r="AE1745" s="49" t="n">
        <f aca="false">IF($Q1745&gt;0,$O1745*$I1745/$Q1745/1000000,"")</f>
        <v>30.4537726067262</v>
      </c>
      <c r="AF1745" s="49" t="n">
        <f aca="false">IF($R1745&gt;0,$P1745*$I1745/$R1745/1000000,"")</f>
        <v>28.2526606042504</v>
      </c>
      <c r="AG1745" s="50" t="n">
        <f aca="false">IF(AND(ISNUMBER($AE1745),ISNUMBER($AF1745),$AF1745&gt;0),$AE1745/$AF1745,"")</f>
        <v>1.07790813167325</v>
      </c>
      <c r="AH1745" s="48" t="n">
        <f aca="false">IF($U1745&gt;=5,SUM(INDEX($AD$1715:$AD1745,32-5):$AD1745),"")</f>
        <v>-40845832655</v>
      </c>
      <c r="AI1745" s="48" t="n">
        <f aca="false">IF($U1745&gt;=STRUCT_S,MAX(INDEX($G$1595:$G1745,152-STRUCT_S):$G1745),"")</f>
        <v>1358</v>
      </c>
      <c r="AJ1745" s="48" t="n">
        <f aca="false">IF($U1745&gt;=STRUCT_S,MIN(INDEX($H$1595:$H1745,152-STRUCT_S):$H1745),"")</f>
        <v>1127</v>
      </c>
      <c r="AK1745" s="48" t="n">
        <f aca="false">IF($U1745&gt;=STRUCT_L,MAX(INDEX($G$1495:$G1745,252-STRUCT_L):$G1745),"")</f>
        <v>1768</v>
      </c>
      <c r="AL1745" s="48" t="n">
        <f aca="false">IF($U1745&gt;=STRUCT_L,MIN(INDEX($H$1495:$H1745,252-STRUCT_L):$H1745),"")</f>
        <v>1127</v>
      </c>
      <c r="AM1745" s="46" t="n">
        <f aca="false">IF($A1745&lt;&gt;$A1746,1,0)</f>
        <v>0</v>
      </c>
      <c r="AN1745" s="47" t="str">
        <f aca="false">IF($AM1745=1,$A1745,"")</f>
        <v/>
      </c>
    </row>
    <row r="1746" customFormat="false" ht="15" hidden="false" customHeight="false" outlineLevel="0" collapsed="false">
      <c r="A1746" s="43" t="s">
        <v>162</v>
      </c>
      <c r="B1746" s="44" t="s">
        <v>164</v>
      </c>
      <c r="C1746" s="45" t="n">
        <v>46159</v>
      </c>
      <c r="D1746" s="46" t="n">
        <v>20260517</v>
      </c>
      <c r="E1746" s="47" t="s">
        <v>469</v>
      </c>
      <c r="F1746" s="48" t="n">
        <v>1129</v>
      </c>
      <c r="G1746" s="48" t="n">
        <v>1159</v>
      </c>
      <c r="H1746" s="48" t="n">
        <v>1107</v>
      </c>
      <c r="I1746" s="48" t="n">
        <v>1130</v>
      </c>
      <c r="J1746" s="48" t="n">
        <v>1149</v>
      </c>
      <c r="K1746" s="48" t="n">
        <v>1136</v>
      </c>
      <c r="L1746" s="48" t="n">
        <v>81065591</v>
      </c>
      <c r="M1746" s="48" t="n">
        <v>91604117830</v>
      </c>
      <c r="N1746" s="48" t="n">
        <v>2119</v>
      </c>
      <c r="O1746" s="48" t="n">
        <v>38081615</v>
      </c>
      <c r="P1746" s="48" t="n">
        <v>34923266</v>
      </c>
      <c r="Q1746" s="48" t="n">
        <v>941</v>
      </c>
      <c r="R1746" s="48" t="n">
        <v>915</v>
      </c>
      <c r="S1746" s="48" t="n">
        <v>42983976</v>
      </c>
      <c r="T1746" s="48" t="n">
        <v>46142325</v>
      </c>
      <c r="U1746" s="46" t="n">
        <f aca="false">IF($A1746=$A1745,$U1745+1,1)</f>
        <v>182</v>
      </c>
      <c r="V1746" s="48" t="n">
        <f aca="false">IF($U1746&gt;=MA_SHORT,AVERAGE(INDEX($I$1346:$I1746,402-MA_SHORT):$I1746),"")</f>
        <v>1237.3</v>
      </c>
      <c r="W1746" s="48" t="n">
        <f aca="false">IF($U1746&gt;=MA_MED,AVERAGE(INDEX($I$1346:$I1746,402-MA_MED):$I1746),"")</f>
        <v>1355.54</v>
      </c>
      <c r="X1746" s="48" t="n">
        <f aca="false">IF($U1746&gt;=MA_LONG1,AVERAGE(INDEX($I$1346:$I1746,402-MA_LONG1):$I1746),"")</f>
        <v>1574.27</v>
      </c>
      <c r="Y1746" s="48" t="str">
        <f aca="false">IF($U1746&gt;=MA_LONG2,AVERAGE(INDEX($I$1346:$I1746,402-MA_LONG2):$I1746),"")</f>
        <v/>
      </c>
      <c r="Z1746" s="48" t="n">
        <f aca="false">IF($U1746&gt;=MA_SHORT,AVERAGE(INDEX($L$1626:$L1746,122-MA_SHORT):$L1746),"")</f>
        <v>91210922.65</v>
      </c>
      <c r="AA1746" s="48" t="n">
        <f aca="false">IF($U1746=1,$G1746-$H1746,MAX($G1746-$H1746,ABS($G1746-$I1745),ABS($H1746-$I1745)))</f>
        <v>52</v>
      </c>
      <c r="AB1746" s="48" t="n">
        <f aca="false">IF($U1746&gt;=ATR_PER,AVERAGE(INDEX($AA$1626:$AA1746,122-ATR_PER):$AA1746),"")</f>
        <v>42.3571428571429</v>
      </c>
      <c r="AC1746" s="48" t="n">
        <f aca="false">$O1746-$P1746</f>
        <v>3158349</v>
      </c>
      <c r="AD1746" s="48" t="n">
        <f aca="false">$AC1746*$I1746</f>
        <v>3568934370</v>
      </c>
      <c r="AE1746" s="49" t="n">
        <f aca="false">IF($Q1746&gt;0,$O1746*$I1746/$Q1746/1000000,"")</f>
        <v>45.7303134431456</v>
      </c>
      <c r="AF1746" s="49" t="n">
        <f aca="false">IF($R1746&gt;0,$P1746*$I1746/$R1746/1000000,"")</f>
        <v>43.1292793224044</v>
      </c>
      <c r="AG1746" s="50" t="n">
        <f aca="false">IF(AND(ISNUMBER($AE1746),ISNUMBER($AF1746),$AF1746&gt;0),$AE1746/$AF1746,"")</f>
        <v>1.0603078502958</v>
      </c>
      <c r="AH1746" s="48" t="n">
        <f aca="false">IF($U1746&gt;=5,SUM(INDEX($AD$1716:$AD1746,32-5):$AD1746),"")</f>
        <v>-23633784830</v>
      </c>
      <c r="AI1746" s="48" t="n">
        <f aca="false">IF($U1746&gt;=STRUCT_S,MAX(INDEX($G$1596:$G1746,152-STRUCT_S):$G1746),"")</f>
        <v>1358</v>
      </c>
      <c r="AJ1746" s="48" t="n">
        <f aca="false">IF($U1746&gt;=STRUCT_S,MIN(INDEX($H$1596:$H1746,152-STRUCT_S):$H1746),"")</f>
        <v>1107</v>
      </c>
      <c r="AK1746" s="48" t="n">
        <f aca="false">IF($U1746&gt;=STRUCT_L,MAX(INDEX($G$1496:$G1746,252-STRUCT_L):$G1746),"")</f>
        <v>1768</v>
      </c>
      <c r="AL1746" s="48" t="n">
        <f aca="false">IF($U1746&gt;=STRUCT_L,MIN(INDEX($H$1496:$H1746,252-STRUCT_L):$H1746),"")</f>
        <v>1107</v>
      </c>
      <c r="AM1746" s="46" t="n">
        <f aca="false">IF($A1746&lt;&gt;$A1747,1,0)</f>
        <v>0</v>
      </c>
      <c r="AN1746" s="47" t="str">
        <f aca="false">IF($AM1746=1,$A1746,"")</f>
        <v/>
      </c>
    </row>
    <row r="1747" customFormat="false" ht="15" hidden="false" customHeight="false" outlineLevel="0" collapsed="false">
      <c r="A1747" s="43" t="s">
        <v>162</v>
      </c>
      <c r="B1747" s="44" t="s">
        <v>164</v>
      </c>
      <c r="C1747" s="45" t="n">
        <v>46160</v>
      </c>
      <c r="D1747" s="46" t="n">
        <v>20260518</v>
      </c>
      <c r="E1747" s="47" t="s">
        <v>470</v>
      </c>
      <c r="F1747" s="48" t="n">
        <v>1140</v>
      </c>
      <c r="G1747" s="48" t="n">
        <v>1151</v>
      </c>
      <c r="H1747" s="48" t="n">
        <v>1109</v>
      </c>
      <c r="I1747" s="48" t="n">
        <v>1130</v>
      </c>
      <c r="J1747" s="48" t="n">
        <v>1142</v>
      </c>
      <c r="K1747" s="48" t="n">
        <v>1130</v>
      </c>
      <c r="L1747" s="48" t="n">
        <v>78575521</v>
      </c>
      <c r="M1747" s="48" t="n">
        <v>88790338730</v>
      </c>
      <c r="N1747" s="48" t="n">
        <v>1883</v>
      </c>
      <c r="O1747" s="48" t="n">
        <v>34192352</v>
      </c>
      <c r="P1747" s="48" t="n">
        <v>42989481</v>
      </c>
      <c r="Q1747" s="48" t="n">
        <v>710</v>
      </c>
      <c r="R1747" s="48" t="n">
        <v>822</v>
      </c>
      <c r="S1747" s="48" t="n">
        <v>44383169</v>
      </c>
      <c r="T1747" s="48" t="n">
        <v>35586040</v>
      </c>
      <c r="U1747" s="46" t="n">
        <f aca="false">IF($A1747=$A1746,$U1746+1,1)</f>
        <v>183</v>
      </c>
      <c r="V1747" s="48" t="n">
        <f aca="false">IF($U1747&gt;=MA_SHORT,AVERAGE(INDEX($I$1347:$I1747,402-MA_SHORT):$I1747),"")</f>
        <v>1226.8</v>
      </c>
      <c r="W1747" s="48" t="n">
        <f aca="false">IF($U1747&gt;=MA_MED,AVERAGE(INDEX($I$1347:$I1747,402-MA_MED):$I1747),"")</f>
        <v>1345.3</v>
      </c>
      <c r="X1747" s="48" t="n">
        <f aca="false">IF($U1747&gt;=MA_LONG1,AVERAGE(INDEX($I$1347:$I1747,402-MA_LONG1):$I1747),"")</f>
        <v>1565.45</v>
      </c>
      <c r="Y1747" s="48" t="str">
        <f aca="false">IF($U1747&gt;=MA_LONG2,AVERAGE(INDEX($I$1347:$I1747,402-MA_LONG2):$I1747),"")</f>
        <v/>
      </c>
      <c r="Z1747" s="48" t="n">
        <f aca="false">IF($U1747&gt;=MA_SHORT,AVERAGE(INDEX($L$1627:$L1747,122-MA_SHORT):$L1747),"")</f>
        <v>90316220.75</v>
      </c>
      <c r="AA1747" s="48" t="n">
        <f aca="false">IF($U1747=1,$G1747-$H1747,MAX($G1747-$H1747,ABS($G1747-$I1746),ABS($H1747-$I1746)))</f>
        <v>42</v>
      </c>
      <c r="AB1747" s="48" t="n">
        <f aca="false">IF($U1747&gt;=ATR_PER,AVERAGE(INDEX($AA$1627:$AA1747,122-ATR_PER):$AA1747),"")</f>
        <v>42.8571428571429</v>
      </c>
      <c r="AC1747" s="48" t="n">
        <f aca="false">$O1747-$P1747</f>
        <v>-8797129</v>
      </c>
      <c r="AD1747" s="48" t="n">
        <f aca="false">$AC1747*$I1747</f>
        <v>-9940755770</v>
      </c>
      <c r="AE1747" s="49" t="n">
        <f aca="false">IF($Q1747&gt;0,$O1747*$I1747/$Q1747/1000000,"")</f>
        <v>54.4188137464789</v>
      </c>
      <c r="AF1747" s="49" t="n">
        <f aca="false">IF($R1747&gt;0,$P1747*$I1747/$R1747/1000000,"")</f>
        <v>59.0974617153285</v>
      </c>
      <c r="AG1747" s="50" t="n">
        <f aca="false">IF(AND(ISNUMBER($AE1747),ISNUMBER($AF1747),$AF1747&gt;0),$AE1747/$AF1747,"")</f>
        <v>0.920831659549329</v>
      </c>
      <c r="AH1747" s="48" t="n">
        <f aca="false">IF($U1747&gt;=5,SUM(INDEX($AD$1717:$AD1747,32-5):$AD1747),"")</f>
        <v>-46998730564</v>
      </c>
      <c r="AI1747" s="48" t="n">
        <f aca="false">IF($U1747&gt;=STRUCT_S,MAX(INDEX($G$1597:$G1747,152-STRUCT_S):$G1747),"")</f>
        <v>1355</v>
      </c>
      <c r="AJ1747" s="48" t="n">
        <f aca="false">IF($U1747&gt;=STRUCT_S,MIN(INDEX($H$1597:$H1747,152-STRUCT_S):$H1747),"")</f>
        <v>1107</v>
      </c>
      <c r="AK1747" s="48" t="n">
        <f aca="false">IF($U1747&gt;=STRUCT_L,MAX(INDEX($G$1497:$G1747,252-STRUCT_L):$G1747),"")</f>
        <v>1768</v>
      </c>
      <c r="AL1747" s="48" t="n">
        <f aca="false">IF($U1747&gt;=STRUCT_L,MIN(INDEX($H$1497:$H1747,252-STRUCT_L):$H1747),"")</f>
        <v>1107</v>
      </c>
      <c r="AM1747" s="46" t="n">
        <f aca="false">IF($A1747&lt;&gt;$A1748,1,0)</f>
        <v>0</v>
      </c>
      <c r="AN1747" s="47" t="str">
        <f aca="false">IF($AM1747=1,$A1747,"")</f>
        <v/>
      </c>
    </row>
    <row r="1748" customFormat="false" ht="15" hidden="false" customHeight="false" outlineLevel="0" collapsed="false">
      <c r="A1748" s="43" t="s">
        <v>162</v>
      </c>
      <c r="B1748" s="44" t="s">
        <v>164</v>
      </c>
      <c r="C1748" s="45" t="n">
        <v>46161</v>
      </c>
      <c r="D1748" s="46" t="n">
        <v>20260519</v>
      </c>
      <c r="E1748" s="47" t="s">
        <v>471</v>
      </c>
      <c r="F1748" s="48" t="n">
        <v>1126</v>
      </c>
      <c r="G1748" s="48" t="n">
        <v>1138</v>
      </c>
      <c r="H1748" s="48" t="n">
        <v>1124</v>
      </c>
      <c r="I1748" s="48" t="n">
        <v>1132</v>
      </c>
      <c r="J1748" s="48" t="n">
        <v>1133</v>
      </c>
      <c r="K1748" s="48" t="n">
        <v>1130</v>
      </c>
      <c r="L1748" s="48" t="n">
        <v>81695302</v>
      </c>
      <c r="M1748" s="48" t="n">
        <v>92479081864</v>
      </c>
      <c r="N1748" s="48" t="n">
        <v>2067</v>
      </c>
      <c r="O1748" s="48" t="n">
        <v>47585538</v>
      </c>
      <c r="P1748" s="48" t="n">
        <v>27519265</v>
      </c>
      <c r="Q1748" s="48" t="n">
        <v>1065</v>
      </c>
      <c r="R1748" s="48" t="n">
        <v>632</v>
      </c>
      <c r="S1748" s="48" t="n">
        <v>34109764</v>
      </c>
      <c r="T1748" s="48" t="n">
        <v>54176037</v>
      </c>
      <c r="U1748" s="46" t="n">
        <f aca="false">IF($A1748=$A1747,$U1747+1,1)</f>
        <v>184</v>
      </c>
      <c r="V1748" s="48" t="n">
        <f aca="false">IF($U1748&gt;=MA_SHORT,AVERAGE(INDEX($I$1348:$I1748,402-MA_SHORT):$I1748),"")</f>
        <v>1217.25</v>
      </c>
      <c r="W1748" s="48" t="n">
        <f aca="false">IF($U1748&gt;=MA_MED,AVERAGE(INDEX($I$1348:$I1748,402-MA_MED):$I1748),"")</f>
        <v>1335.62</v>
      </c>
      <c r="X1748" s="48" t="n">
        <f aca="false">IF($U1748&gt;=MA_LONG1,AVERAGE(INDEX($I$1348:$I1748,402-MA_LONG1):$I1748),"")</f>
        <v>1557.25</v>
      </c>
      <c r="Y1748" s="48" t="str">
        <f aca="false">IF($U1748&gt;=MA_LONG2,AVERAGE(INDEX($I$1348:$I1748,402-MA_LONG2):$I1748),"")</f>
        <v/>
      </c>
      <c r="Z1748" s="48" t="n">
        <f aca="false">IF($U1748&gt;=MA_SHORT,AVERAGE(INDEX($L$1628:$L1748,122-MA_SHORT):$L1748),"")</f>
        <v>89438873.3</v>
      </c>
      <c r="AA1748" s="48" t="n">
        <f aca="false">IF($U1748=1,$G1748-$H1748,MAX($G1748-$H1748,ABS($G1748-$I1747),ABS($H1748-$I1747)))</f>
        <v>14</v>
      </c>
      <c r="AB1748" s="48" t="n">
        <f aca="false">IF($U1748&gt;=ATR_PER,AVERAGE(INDEX($AA$1628:$AA1748,122-ATR_PER):$AA1748),"")</f>
        <v>39.6428571428571</v>
      </c>
      <c r="AC1748" s="48" t="n">
        <f aca="false">$O1748-$P1748</f>
        <v>20066273</v>
      </c>
      <c r="AD1748" s="48" t="n">
        <f aca="false">$AC1748*$I1748</f>
        <v>22715021036</v>
      </c>
      <c r="AE1748" s="49" t="n">
        <f aca="false">IF($Q1748&gt;0,$O1748*$I1748/$Q1748/1000000,"")</f>
        <v>50.5791821746479</v>
      </c>
      <c r="AF1748" s="49" t="n">
        <f aca="false">IF($R1748&gt;0,$P1748*$I1748/$R1748/1000000,"")</f>
        <v>49.2908354113924</v>
      </c>
      <c r="AG1748" s="50" t="n">
        <f aca="false">IF(AND(ISNUMBER($AE1748),ISNUMBER($AF1748),$AF1748&gt;0),$AE1748/$AF1748,"")</f>
        <v>1.02613765322707</v>
      </c>
      <c r="AH1748" s="48" t="n">
        <f aca="false">IF($U1748&gt;=5,SUM(INDEX($AD$1718:$AD1748,32-5):$AD1748),"")</f>
        <v>-7143955826</v>
      </c>
      <c r="AI1748" s="48" t="n">
        <f aca="false">IF($U1748&gt;=STRUCT_S,MAX(INDEX($G$1598:$G1748,152-STRUCT_S):$G1748),"")</f>
        <v>1335</v>
      </c>
      <c r="AJ1748" s="48" t="n">
        <f aca="false">IF($U1748&gt;=STRUCT_S,MIN(INDEX($H$1598:$H1748,152-STRUCT_S):$H1748),"")</f>
        <v>1107</v>
      </c>
      <c r="AK1748" s="48" t="n">
        <f aca="false">IF($U1748&gt;=STRUCT_L,MAX(INDEX($G$1498:$G1748,252-STRUCT_L):$G1748),"")</f>
        <v>1768</v>
      </c>
      <c r="AL1748" s="48" t="n">
        <f aca="false">IF($U1748&gt;=STRUCT_L,MIN(INDEX($H$1498:$H1748,252-STRUCT_L):$H1748),"")</f>
        <v>1107</v>
      </c>
      <c r="AM1748" s="46" t="n">
        <f aca="false">IF($A1748&lt;&gt;$A1749,1,0)</f>
        <v>0</v>
      </c>
      <c r="AN1748" s="47" t="str">
        <f aca="false">IF($AM1748=1,$A1748,"")</f>
        <v/>
      </c>
    </row>
    <row r="1749" customFormat="false" ht="15" hidden="false" customHeight="false" outlineLevel="0" collapsed="false">
      <c r="A1749" s="43" t="s">
        <v>162</v>
      </c>
      <c r="B1749" s="44" t="s">
        <v>164</v>
      </c>
      <c r="C1749" s="45" t="n">
        <v>46162</v>
      </c>
      <c r="D1749" s="46" t="n">
        <v>20260520</v>
      </c>
      <c r="E1749" s="47" t="s">
        <v>472</v>
      </c>
      <c r="F1749" s="48" t="n">
        <v>1133</v>
      </c>
      <c r="G1749" s="48" t="n">
        <v>1144</v>
      </c>
      <c r="H1749" s="48" t="n">
        <v>1116</v>
      </c>
      <c r="I1749" s="48" t="n">
        <v>1128</v>
      </c>
      <c r="J1749" s="48" t="n">
        <v>1122</v>
      </c>
      <c r="K1749" s="48" t="n">
        <v>1132</v>
      </c>
      <c r="L1749" s="48" t="n">
        <v>80241433</v>
      </c>
      <c r="M1749" s="48" t="n">
        <v>90512336424</v>
      </c>
      <c r="N1749" s="48" t="n">
        <v>3882</v>
      </c>
      <c r="O1749" s="48" t="n">
        <v>46531752</v>
      </c>
      <c r="P1749" s="48" t="n">
        <v>29472400</v>
      </c>
      <c r="Q1749" s="48" t="n">
        <v>1264</v>
      </c>
      <c r="R1749" s="48" t="n">
        <v>2044</v>
      </c>
      <c r="S1749" s="48" t="n">
        <v>33709681</v>
      </c>
      <c r="T1749" s="48" t="n">
        <v>50769033</v>
      </c>
      <c r="U1749" s="46" t="n">
        <f aca="false">IF($A1749=$A1748,$U1748+1,1)</f>
        <v>185</v>
      </c>
      <c r="V1749" s="48" t="n">
        <f aca="false">IF($U1749&gt;=MA_SHORT,AVERAGE(INDEX($I$1349:$I1749,402-MA_SHORT):$I1749),"")</f>
        <v>1208.35</v>
      </c>
      <c r="W1749" s="48" t="n">
        <f aca="false">IF($U1749&gt;=MA_MED,AVERAGE(INDEX($I$1349:$I1749,402-MA_MED):$I1749),"")</f>
        <v>1325.76</v>
      </c>
      <c r="X1749" s="48" t="n">
        <f aca="false">IF($U1749&gt;=MA_LONG1,AVERAGE(INDEX($I$1349:$I1749,402-MA_LONG1):$I1749),"")</f>
        <v>1548.66</v>
      </c>
      <c r="Y1749" s="48" t="str">
        <f aca="false">IF($U1749&gt;=MA_LONG2,AVERAGE(INDEX($I$1349:$I1749,402-MA_LONG2):$I1749),"")</f>
        <v/>
      </c>
      <c r="Z1749" s="48" t="n">
        <f aca="false">IF($U1749&gt;=MA_SHORT,AVERAGE(INDEX($L$1629:$L1749,122-MA_SHORT):$L1749),"")</f>
        <v>89219270.05</v>
      </c>
      <c r="AA1749" s="48" t="n">
        <f aca="false">IF($U1749=1,$G1749-$H1749,MAX($G1749-$H1749,ABS($G1749-$I1748),ABS($H1749-$I1748)))</f>
        <v>28</v>
      </c>
      <c r="AB1749" s="48" t="n">
        <f aca="false">IF($U1749&gt;=ATR_PER,AVERAGE(INDEX($AA$1629:$AA1749,122-ATR_PER):$AA1749),"")</f>
        <v>37.3571428571429</v>
      </c>
      <c r="AC1749" s="48" t="n">
        <f aca="false">$O1749-$P1749</f>
        <v>17059352</v>
      </c>
      <c r="AD1749" s="48" t="n">
        <f aca="false">$AC1749*$I1749</f>
        <v>19242949056</v>
      </c>
      <c r="AE1749" s="49" t="n">
        <f aca="false">IF($Q1749&gt;0,$O1749*$I1749/$Q1749/1000000,"")</f>
        <v>41.5251710886076</v>
      </c>
      <c r="AF1749" s="49" t="n">
        <f aca="false">IF($R1749&gt;0,$P1749*$I1749/$R1749/1000000,"")</f>
        <v>16.2646121330724</v>
      </c>
      <c r="AG1749" s="50" t="n">
        <f aca="false">IF(AND(ISNUMBER($AE1749),ISNUMBER($AF1749),$AF1749&gt;0),$AE1749/$AF1749,"")</f>
        <v>2.55309937604786</v>
      </c>
      <c r="AH1749" s="48" t="n">
        <f aca="false">IF($U1749&gt;=5,SUM(INDEX($AD$1719:$AD1749,32-5):$AD1749),"")</f>
        <v>30769413268</v>
      </c>
      <c r="AI1749" s="48" t="n">
        <f aca="false">IF($U1749&gt;=STRUCT_S,MAX(INDEX($G$1599:$G1749,152-STRUCT_S):$G1749),"")</f>
        <v>1324</v>
      </c>
      <c r="AJ1749" s="48" t="n">
        <f aca="false">IF($U1749&gt;=STRUCT_S,MIN(INDEX($H$1599:$H1749,152-STRUCT_S):$H1749),"")</f>
        <v>1107</v>
      </c>
      <c r="AK1749" s="48" t="n">
        <f aca="false">IF($U1749&gt;=STRUCT_L,MAX(INDEX($G$1499:$G1749,252-STRUCT_L):$G1749),"")</f>
        <v>1768</v>
      </c>
      <c r="AL1749" s="48" t="n">
        <f aca="false">IF($U1749&gt;=STRUCT_L,MIN(INDEX($H$1499:$H1749,252-STRUCT_L):$H1749),"")</f>
        <v>1107</v>
      </c>
      <c r="AM1749" s="46" t="n">
        <f aca="false">IF($A1749&lt;&gt;$A1750,1,0)</f>
        <v>0</v>
      </c>
      <c r="AN1749" s="47" t="str">
        <f aca="false">IF($AM1749=1,$A1749,"")</f>
        <v/>
      </c>
    </row>
    <row r="1750" customFormat="false" ht="15" hidden="false" customHeight="false" outlineLevel="0" collapsed="false">
      <c r="A1750" s="43" t="s">
        <v>162</v>
      </c>
      <c r="B1750" s="44" t="s">
        <v>164</v>
      </c>
      <c r="C1750" s="45" t="n">
        <v>46165</v>
      </c>
      <c r="D1750" s="46" t="n">
        <v>20260523</v>
      </c>
      <c r="E1750" s="47" t="s">
        <v>473</v>
      </c>
      <c r="F1750" s="48" t="n">
        <v>1130</v>
      </c>
      <c r="G1750" s="48" t="n">
        <v>1149</v>
      </c>
      <c r="H1750" s="48" t="n">
        <v>1118</v>
      </c>
      <c r="I1750" s="48" t="n">
        <v>1139</v>
      </c>
      <c r="J1750" s="48" t="n">
        <v>1131</v>
      </c>
      <c r="K1750" s="48" t="n">
        <v>1128</v>
      </c>
      <c r="L1750" s="48" t="n">
        <v>83173025</v>
      </c>
      <c r="M1750" s="48" t="n">
        <v>94734075475</v>
      </c>
      <c r="N1750" s="48" t="n">
        <v>2527</v>
      </c>
      <c r="O1750" s="48" t="n">
        <v>46300971</v>
      </c>
      <c r="P1750" s="48" t="n">
        <v>35551281</v>
      </c>
      <c r="Q1750" s="48" t="n">
        <v>1357</v>
      </c>
      <c r="R1750" s="48" t="n">
        <v>1108</v>
      </c>
      <c r="S1750" s="48" t="n">
        <v>36872054</v>
      </c>
      <c r="T1750" s="48" t="n">
        <v>47621744</v>
      </c>
      <c r="U1750" s="46" t="n">
        <f aca="false">IF($A1750=$A1749,$U1749+1,1)</f>
        <v>186</v>
      </c>
      <c r="V1750" s="48" t="n">
        <f aca="false">IF($U1750&gt;=MA_SHORT,AVERAGE(INDEX($I$1350:$I1750,402-MA_SHORT):$I1750),"")</f>
        <v>1200.7</v>
      </c>
      <c r="W1750" s="48" t="n">
        <f aca="false">IF($U1750&gt;=MA_MED,AVERAGE(INDEX($I$1350:$I1750,402-MA_MED):$I1750),"")</f>
        <v>1316.88</v>
      </c>
      <c r="X1750" s="48" t="n">
        <f aca="false">IF($U1750&gt;=MA_LONG1,AVERAGE(INDEX($I$1350:$I1750,402-MA_LONG1):$I1750),"")</f>
        <v>1540.31</v>
      </c>
      <c r="Y1750" s="48" t="str">
        <f aca="false">IF($U1750&gt;=MA_LONG2,AVERAGE(INDEX($I$1350:$I1750,402-MA_LONG2):$I1750),"")</f>
        <v/>
      </c>
      <c r="Z1750" s="48" t="n">
        <f aca="false">IF($U1750&gt;=MA_SHORT,AVERAGE(INDEX($L$1630:$L1750,122-MA_SHORT):$L1750),"")</f>
        <v>89196452.15</v>
      </c>
      <c r="AA1750" s="48" t="n">
        <f aca="false">IF($U1750=1,$G1750-$H1750,MAX($G1750-$H1750,ABS($G1750-$I1749),ABS($H1750-$I1749)))</f>
        <v>31</v>
      </c>
      <c r="AB1750" s="48" t="n">
        <f aca="false">IF($U1750&gt;=ATR_PER,AVERAGE(INDEX($AA$1630:$AA1750,122-ATR_PER):$AA1750),"")</f>
        <v>35.9285714285714</v>
      </c>
      <c r="AC1750" s="48" t="n">
        <f aca="false">$O1750-$P1750</f>
        <v>10749690</v>
      </c>
      <c r="AD1750" s="48" t="n">
        <f aca="false">$AC1750*$I1750</f>
        <v>12243896910</v>
      </c>
      <c r="AE1750" s="49" t="n">
        <f aca="false">IF($Q1750&gt;0,$O1750*$I1750/$Q1750/1000000,"")</f>
        <v>38.8627899550479</v>
      </c>
      <c r="AF1750" s="49" t="n">
        <f aca="false">IF($R1750&gt;0,$P1750*$I1750/$R1750/1000000,"")</f>
        <v>36.5459468041516</v>
      </c>
      <c r="AG1750" s="50" t="n">
        <f aca="false">IF(AND(ISNUMBER($AE1750),ISNUMBER($AF1750),$AF1750&gt;0),$AE1750/$AF1750,"")</f>
        <v>1.06339535170103</v>
      </c>
      <c r="AH1750" s="48" t="n">
        <f aca="false">IF($U1750&gt;=5,SUM(INDEX($AD$1720:$AD1750,32-5):$AD1750),"")</f>
        <v>47830045602</v>
      </c>
      <c r="AI1750" s="48" t="n">
        <f aca="false">IF($U1750&gt;=STRUCT_S,MAX(INDEX($G$1600:$G1750,152-STRUCT_S):$G1750),"")</f>
        <v>1314</v>
      </c>
      <c r="AJ1750" s="48" t="n">
        <f aca="false">IF($U1750&gt;=STRUCT_S,MIN(INDEX($H$1600:$H1750,152-STRUCT_S):$H1750),"")</f>
        <v>1107</v>
      </c>
      <c r="AK1750" s="48" t="n">
        <f aca="false">IF($U1750&gt;=STRUCT_L,MAX(INDEX($G$1500:$G1750,252-STRUCT_L):$G1750),"")</f>
        <v>1768</v>
      </c>
      <c r="AL1750" s="48" t="n">
        <f aca="false">IF($U1750&gt;=STRUCT_L,MIN(INDEX($H$1500:$H1750,252-STRUCT_L):$H1750),"")</f>
        <v>1107</v>
      </c>
      <c r="AM1750" s="46" t="n">
        <f aca="false">IF($A1750&lt;&gt;$A1751,1,0)</f>
        <v>0</v>
      </c>
      <c r="AN1750" s="47" t="str">
        <f aca="false">IF($AM1750=1,$A1750,"")</f>
        <v/>
      </c>
    </row>
    <row r="1751" customFormat="false" ht="15" hidden="false" customHeight="false" outlineLevel="0" collapsed="false">
      <c r="A1751" s="43" t="s">
        <v>162</v>
      </c>
      <c r="B1751" s="44" t="s">
        <v>164</v>
      </c>
      <c r="C1751" s="45" t="n">
        <v>46166</v>
      </c>
      <c r="D1751" s="46" t="n">
        <v>20260524</v>
      </c>
      <c r="E1751" s="47" t="s">
        <v>474</v>
      </c>
      <c r="F1751" s="48" t="n">
        <v>1136</v>
      </c>
      <c r="G1751" s="48" t="n">
        <v>1160</v>
      </c>
      <c r="H1751" s="48" t="n">
        <v>1127</v>
      </c>
      <c r="I1751" s="48" t="n">
        <v>1148</v>
      </c>
      <c r="J1751" s="48" t="n">
        <v>1134</v>
      </c>
      <c r="K1751" s="48" t="n">
        <v>1139</v>
      </c>
      <c r="L1751" s="48" t="n">
        <v>82300787</v>
      </c>
      <c r="M1751" s="48" t="n">
        <v>94481303476</v>
      </c>
      <c r="N1751" s="48" t="n">
        <v>2065</v>
      </c>
      <c r="O1751" s="48" t="n">
        <v>42857075</v>
      </c>
      <c r="P1751" s="48" t="n">
        <v>39298654</v>
      </c>
      <c r="Q1751" s="48" t="n">
        <v>1078</v>
      </c>
      <c r="R1751" s="48" t="n">
        <v>634</v>
      </c>
      <c r="S1751" s="48" t="n">
        <v>39443712</v>
      </c>
      <c r="T1751" s="48" t="n">
        <v>43002133</v>
      </c>
      <c r="U1751" s="46" t="n">
        <f aca="false">IF($A1751=$A1750,$U1750+1,1)</f>
        <v>187</v>
      </c>
      <c r="V1751" s="48" t="n">
        <f aca="false">IF($U1751&gt;=MA_SHORT,AVERAGE(INDEX($I$1351:$I1751,402-MA_SHORT):$I1751),"")</f>
        <v>1193.8</v>
      </c>
      <c r="W1751" s="48" t="n">
        <f aca="false">IF($U1751&gt;=MA_MED,AVERAGE(INDEX($I$1351:$I1751,402-MA_MED):$I1751),"")</f>
        <v>1309.14</v>
      </c>
      <c r="X1751" s="48" t="n">
        <f aca="false">IF($U1751&gt;=MA_LONG1,AVERAGE(INDEX($I$1351:$I1751,402-MA_LONG1):$I1751),"")</f>
        <v>1532.36</v>
      </c>
      <c r="Y1751" s="48" t="str">
        <f aca="false">IF($U1751&gt;=MA_LONG2,AVERAGE(INDEX($I$1351:$I1751,402-MA_LONG2):$I1751),"")</f>
        <v/>
      </c>
      <c r="Z1751" s="48" t="n">
        <f aca="false">IF($U1751&gt;=MA_SHORT,AVERAGE(INDEX($L$1631:$L1751,122-MA_SHORT):$L1751),"")</f>
        <v>87369234.05</v>
      </c>
      <c r="AA1751" s="48" t="n">
        <f aca="false">IF($U1751=1,$G1751-$H1751,MAX($G1751-$H1751,ABS($G1751-$I1750),ABS($H1751-$I1750)))</f>
        <v>33</v>
      </c>
      <c r="AB1751" s="48" t="n">
        <f aca="false">IF($U1751&gt;=ATR_PER,AVERAGE(INDEX($AA$1631:$AA1751,122-ATR_PER):$AA1751),"")</f>
        <v>36.0714285714286</v>
      </c>
      <c r="AC1751" s="48" t="n">
        <f aca="false">$O1751-$P1751</f>
        <v>3558421</v>
      </c>
      <c r="AD1751" s="48" t="n">
        <f aca="false">$AC1751*$I1751</f>
        <v>4085067308</v>
      </c>
      <c r="AE1751" s="49" t="n">
        <f aca="false">IF($Q1751&gt;0,$O1751*$I1751/$Q1751/1000000,"")</f>
        <v>45.6400019480519</v>
      </c>
      <c r="AF1751" s="49" t="n">
        <f aca="false">IF($R1751&gt;0,$P1751*$I1751/$R1751/1000000,"")</f>
        <v>71.1590769589905</v>
      </c>
      <c r="AG1751" s="50" t="n">
        <f aca="false">IF(AND(ISNUMBER($AE1751),ISNUMBER($AF1751),$AF1751&gt;0),$AE1751/$AF1751,"")</f>
        <v>0.64137990399109</v>
      </c>
      <c r="AH1751" s="48" t="n">
        <f aca="false">IF($U1751&gt;=5,SUM(INDEX($AD$1721:$AD1751,32-5):$AD1751),"")</f>
        <v>48346178540</v>
      </c>
      <c r="AI1751" s="48" t="n">
        <f aca="false">IF($U1751&gt;=STRUCT_S,MAX(INDEX($G$1601:$G1751,152-STRUCT_S):$G1751),"")</f>
        <v>1314</v>
      </c>
      <c r="AJ1751" s="48" t="n">
        <f aca="false">IF($U1751&gt;=STRUCT_S,MIN(INDEX($H$1601:$H1751,152-STRUCT_S):$H1751),"")</f>
        <v>1107</v>
      </c>
      <c r="AK1751" s="48" t="n">
        <f aca="false">IF($U1751&gt;=STRUCT_L,MAX(INDEX($G$1501:$G1751,252-STRUCT_L):$G1751),"")</f>
        <v>1768</v>
      </c>
      <c r="AL1751" s="48" t="n">
        <f aca="false">IF($U1751&gt;=STRUCT_L,MIN(INDEX($H$1501:$H1751,252-STRUCT_L):$H1751),"")</f>
        <v>1107</v>
      </c>
      <c r="AM1751" s="46" t="n">
        <f aca="false">IF($A1751&lt;&gt;$A1752,1,0)</f>
        <v>0</v>
      </c>
      <c r="AN1751" s="47" t="str">
        <f aca="false">IF($AM1751=1,$A1751,"")</f>
        <v/>
      </c>
    </row>
    <row r="1752" customFormat="false" ht="15" hidden="false" customHeight="false" outlineLevel="0" collapsed="false">
      <c r="A1752" s="43" t="s">
        <v>162</v>
      </c>
      <c r="B1752" s="44" t="s">
        <v>164</v>
      </c>
      <c r="C1752" s="45" t="n">
        <v>46167</v>
      </c>
      <c r="D1752" s="46" t="n">
        <v>20260525</v>
      </c>
      <c r="E1752" s="47" t="s">
        <v>475</v>
      </c>
      <c r="F1752" s="48" t="n">
        <v>1140</v>
      </c>
      <c r="G1752" s="48" t="n">
        <v>1153</v>
      </c>
      <c r="H1752" s="48" t="n">
        <v>1138</v>
      </c>
      <c r="I1752" s="48" t="n">
        <v>1143</v>
      </c>
      <c r="J1752" s="48" t="n">
        <v>1145</v>
      </c>
      <c r="K1752" s="48" t="n">
        <v>1148</v>
      </c>
      <c r="L1752" s="48" t="n">
        <v>114154581</v>
      </c>
      <c r="M1752" s="48" t="n">
        <v>130478686083</v>
      </c>
      <c r="N1752" s="48" t="n">
        <v>4632</v>
      </c>
      <c r="O1752" s="48" t="n">
        <v>49866650</v>
      </c>
      <c r="P1752" s="48" t="n">
        <v>59088446</v>
      </c>
      <c r="Q1752" s="48" t="n">
        <v>1962</v>
      </c>
      <c r="R1752" s="48" t="n">
        <v>2110</v>
      </c>
      <c r="S1752" s="48" t="n">
        <v>64287931</v>
      </c>
      <c r="T1752" s="48" t="n">
        <v>55066135</v>
      </c>
      <c r="U1752" s="46" t="n">
        <f aca="false">IF($A1752=$A1751,$U1751+1,1)</f>
        <v>188</v>
      </c>
      <c r="V1752" s="48" t="n">
        <f aca="false">IF($U1752&gt;=MA_SHORT,AVERAGE(INDEX($I$1352:$I1752,402-MA_SHORT):$I1752),"")</f>
        <v>1186.45</v>
      </c>
      <c r="W1752" s="48" t="n">
        <f aca="false">IF($U1752&gt;=MA_MED,AVERAGE(INDEX($I$1352:$I1752,402-MA_MED):$I1752),"")</f>
        <v>1301.28</v>
      </c>
      <c r="X1752" s="48" t="n">
        <f aca="false">IF($U1752&gt;=MA_LONG1,AVERAGE(INDEX($I$1352:$I1752,402-MA_LONG1):$I1752),"")</f>
        <v>1524.53</v>
      </c>
      <c r="Y1752" s="48" t="str">
        <f aca="false">IF($U1752&gt;=MA_LONG2,AVERAGE(INDEX($I$1352:$I1752,402-MA_LONG2):$I1752),"")</f>
        <v/>
      </c>
      <c r="Z1752" s="48" t="n">
        <f aca="false">IF($U1752&gt;=MA_SHORT,AVERAGE(INDEX($L$1632:$L1752,122-MA_SHORT):$L1752),"")</f>
        <v>88618952.3</v>
      </c>
      <c r="AA1752" s="48" t="n">
        <f aca="false">IF($U1752=1,$G1752-$H1752,MAX($G1752-$H1752,ABS($G1752-$I1751),ABS($H1752-$I1751)))</f>
        <v>15</v>
      </c>
      <c r="AB1752" s="48" t="n">
        <f aca="false">IF($U1752&gt;=ATR_PER,AVERAGE(INDEX($AA$1632:$AA1752,122-ATR_PER):$AA1752),"")</f>
        <v>34.9285714285714</v>
      </c>
      <c r="AC1752" s="48" t="n">
        <f aca="false">$O1752-$P1752</f>
        <v>-9221796</v>
      </c>
      <c r="AD1752" s="48" t="n">
        <f aca="false">$AC1752*$I1752</f>
        <v>-10540512828</v>
      </c>
      <c r="AE1752" s="49" t="n">
        <f aca="false">IF($Q1752&gt;0,$O1752*$I1752/$Q1752/1000000,"")</f>
        <v>29.0507548165138</v>
      </c>
      <c r="AF1752" s="49" t="n">
        <f aca="false">IF($R1752&gt;0,$P1752*$I1752/$R1752/1000000,"")</f>
        <v>32.008575250237</v>
      </c>
      <c r="AG1752" s="50" t="n">
        <f aca="false">IF(AND(ISNUMBER($AE1752),ISNUMBER($AF1752),$AF1752&gt;0),$AE1752/$AF1752,"")</f>
        <v>0.907592874390706</v>
      </c>
      <c r="AH1752" s="48" t="n">
        <f aca="false">IF($U1752&gt;=5,SUM(INDEX($AD$1722:$AD1752,32-5):$AD1752),"")</f>
        <v>47746421482</v>
      </c>
      <c r="AI1752" s="48" t="n">
        <f aca="false">IF($U1752&gt;=STRUCT_S,MAX(INDEX($G$1602:$G1752,152-STRUCT_S):$G1752),"")</f>
        <v>1314</v>
      </c>
      <c r="AJ1752" s="48" t="n">
        <f aca="false">IF($U1752&gt;=STRUCT_S,MIN(INDEX($H$1602:$H1752,152-STRUCT_S):$H1752),"")</f>
        <v>1107</v>
      </c>
      <c r="AK1752" s="48" t="n">
        <f aca="false">IF($U1752&gt;=STRUCT_L,MAX(INDEX($G$1502:$G1752,252-STRUCT_L):$G1752),"")</f>
        <v>1767</v>
      </c>
      <c r="AL1752" s="48" t="n">
        <f aca="false">IF($U1752&gt;=STRUCT_L,MIN(INDEX($H$1502:$H1752,252-STRUCT_L):$H1752),"")</f>
        <v>1107</v>
      </c>
      <c r="AM1752" s="46" t="n">
        <f aca="false">IF($A1752&lt;&gt;$A1753,1,0)</f>
        <v>0</v>
      </c>
      <c r="AN1752" s="47" t="str">
        <f aca="false">IF($AM1752=1,$A1752,"")</f>
        <v/>
      </c>
    </row>
    <row r="1753" customFormat="false" ht="15" hidden="false" customHeight="false" outlineLevel="0" collapsed="false">
      <c r="A1753" s="43" t="s">
        <v>162</v>
      </c>
      <c r="B1753" s="44" t="s">
        <v>164</v>
      </c>
      <c r="C1753" s="45" t="n">
        <v>46168</v>
      </c>
      <c r="D1753" s="46" t="n">
        <v>20260526</v>
      </c>
      <c r="E1753" s="47" t="s">
        <v>476</v>
      </c>
      <c r="F1753" s="48" t="n">
        <v>1147</v>
      </c>
      <c r="G1753" s="48" t="n">
        <v>1154</v>
      </c>
      <c r="H1753" s="48" t="n">
        <v>1127</v>
      </c>
      <c r="I1753" s="48" t="n">
        <v>1138</v>
      </c>
      <c r="J1753" s="48" t="n">
        <v>1130</v>
      </c>
      <c r="K1753" s="48" t="n">
        <v>1143</v>
      </c>
      <c r="L1753" s="48" t="n">
        <v>329119793</v>
      </c>
      <c r="M1753" s="48" t="n">
        <v>374538324434</v>
      </c>
      <c r="N1753" s="48" t="n">
        <v>13040</v>
      </c>
      <c r="O1753" s="48" t="n">
        <v>173837536</v>
      </c>
      <c r="P1753" s="48" t="n">
        <v>159518446</v>
      </c>
      <c r="Q1753" s="48" t="n">
        <v>6403</v>
      </c>
      <c r="R1753" s="48" t="n">
        <v>5490</v>
      </c>
      <c r="S1753" s="48" t="n">
        <v>155282257</v>
      </c>
      <c r="T1753" s="48" t="n">
        <v>169601347</v>
      </c>
      <c r="U1753" s="46" t="n">
        <f aca="false">IF($A1753=$A1752,$U1752+1,1)</f>
        <v>189</v>
      </c>
      <c r="V1753" s="48" t="n">
        <f aca="false">IF($U1753&gt;=MA_SHORT,AVERAGE(INDEX($I$1353:$I1753,402-MA_SHORT):$I1753),"")</f>
        <v>1179.9</v>
      </c>
      <c r="W1753" s="48" t="n">
        <f aca="false">IF($U1753&gt;=MA_MED,AVERAGE(INDEX($I$1353:$I1753,402-MA_MED):$I1753),"")</f>
        <v>1292.92</v>
      </c>
      <c r="X1753" s="48" t="n">
        <f aca="false">IF($U1753&gt;=MA_LONG1,AVERAGE(INDEX($I$1353:$I1753,402-MA_LONG1):$I1753),"")</f>
        <v>1516.9</v>
      </c>
      <c r="Y1753" s="48" t="str">
        <f aca="false">IF($U1753&gt;=MA_LONG2,AVERAGE(INDEX($I$1353:$I1753,402-MA_LONG2):$I1753),"")</f>
        <v/>
      </c>
      <c r="Z1753" s="48" t="n">
        <f aca="false">IF($U1753&gt;=MA_SHORT,AVERAGE(INDEX($L$1633:$L1753,122-MA_SHORT):$L1753),"")</f>
        <v>100047076.9</v>
      </c>
      <c r="AA1753" s="48" t="n">
        <f aca="false">IF($U1753=1,$G1753-$H1753,MAX($G1753-$H1753,ABS($G1753-$I1752),ABS($H1753-$I1752)))</f>
        <v>27</v>
      </c>
      <c r="AB1753" s="48" t="n">
        <f aca="false">IF($U1753&gt;=ATR_PER,AVERAGE(INDEX($AA$1633:$AA1753,122-ATR_PER):$AA1753),"")</f>
        <v>32.9285714285714</v>
      </c>
      <c r="AC1753" s="48" t="n">
        <f aca="false">$O1753-$P1753</f>
        <v>14319090</v>
      </c>
      <c r="AD1753" s="48" t="n">
        <f aca="false">$AC1753*$I1753</f>
        <v>16295124420</v>
      </c>
      <c r="AE1753" s="49" t="n">
        <f aca="false">IF($Q1753&gt;0,$O1753*$I1753/$Q1753/1000000,"")</f>
        <v>30.8960043679525</v>
      </c>
      <c r="AF1753" s="49" t="n">
        <f aca="false">IF($R1753&gt;0,$P1753*$I1753/$R1753/1000000,"")</f>
        <v>33.0659365296904</v>
      </c>
      <c r="AG1753" s="50" t="n">
        <f aca="false">IF(AND(ISNUMBER($AE1753),ISNUMBER($AF1753),$AF1753&gt;0),$AE1753/$AF1753,"")</f>
        <v>0.934375602524084</v>
      </c>
      <c r="AH1753" s="48" t="n">
        <f aca="false">IF($U1753&gt;=5,SUM(INDEX($AD$1723:$AD1753,32-5):$AD1753),"")</f>
        <v>41326524866</v>
      </c>
      <c r="AI1753" s="48" t="n">
        <f aca="false">IF($U1753&gt;=STRUCT_S,MAX(INDEX($G$1603:$G1753,152-STRUCT_S):$G1753),"")</f>
        <v>1314</v>
      </c>
      <c r="AJ1753" s="48" t="n">
        <f aca="false">IF($U1753&gt;=STRUCT_S,MIN(INDEX($H$1603:$H1753,152-STRUCT_S):$H1753),"")</f>
        <v>1107</v>
      </c>
      <c r="AK1753" s="48" t="n">
        <f aca="false">IF($U1753&gt;=STRUCT_L,MAX(INDEX($G$1503:$G1753,252-STRUCT_L):$G1753),"")</f>
        <v>1767</v>
      </c>
      <c r="AL1753" s="48" t="n">
        <f aca="false">IF($U1753&gt;=STRUCT_L,MIN(INDEX($H$1503:$H1753,252-STRUCT_L):$H1753),"")</f>
        <v>1107</v>
      </c>
      <c r="AM1753" s="46" t="n">
        <f aca="false">IF($A1753&lt;&gt;$A1754,1,0)</f>
        <v>0</v>
      </c>
      <c r="AN1753" s="47" t="str">
        <f aca="false">IF($AM1753=1,$A1753,"")</f>
        <v/>
      </c>
    </row>
    <row r="1754" customFormat="false" ht="15" hidden="false" customHeight="false" outlineLevel="0" collapsed="false">
      <c r="A1754" s="43" t="s">
        <v>162</v>
      </c>
      <c r="B1754" s="44" t="s">
        <v>164</v>
      </c>
      <c r="C1754" s="45" t="n">
        <v>46169</v>
      </c>
      <c r="D1754" s="46" t="n">
        <v>20260527</v>
      </c>
      <c r="E1754" s="47" t="s">
        <v>477</v>
      </c>
      <c r="F1754" s="48" t="n">
        <v>1141</v>
      </c>
      <c r="G1754" s="48" t="n">
        <v>1146</v>
      </c>
      <c r="H1754" s="48" t="n">
        <v>1132</v>
      </c>
      <c r="I1754" s="48" t="n">
        <v>1140</v>
      </c>
      <c r="J1754" s="48" t="n">
        <v>1132</v>
      </c>
      <c r="K1754" s="48" t="n">
        <v>1138</v>
      </c>
      <c r="L1754" s="48" t="n">
        <v>94395609</v>
      </c>
      <c r="M1754" s="48" t="n">
        <v>107610994260</v>
      </c>
      <c r="N1754" s="48" t="n">
        <v>2810</v>
      </c>
      <c r="O1754" s="48" t="n">
        <v>42497232</v>
      </c>
      <c r="P1754" s="48" t="n">
        <v>55775792</v>
      </c>
      <c r="Q1754" s="48" t="n">
        <v>1108</v>
      </c>
      <c r="R1754" s="48" t="n">
        <v>826</v>
      </c>
      <c r="S1754" s="48" t="n">
        <v>51898377</v>
      </c>
      <c r="T1754" s="48" t="n">
        <v>38619817</v>
      </c>
      <c r="U1754" s="46" t="n">
        <f aca="false">IF($A1754=$A1753,$U1753+1,1)</f>
        <v>190</v>
      </c>
      <c r="V1754" s="48" t="n">
        <f aca="false">IF($U1754&gt;=MA_SHORT,AVERAGE(INDEX($I$1354:$I1754,402-MA_SHORT):$I1754),"")</f>
        <v>1172.85</v>
      </c>
      <c r="W1754" s="48" t="n">
        <f aca="false">IF($U1754&gt;=MA_MED,AVERAGE(INDEX($I$1354:$I1754,402-MA_MED):$I1754),"")</f>
        <v>1285.02</v>
      </c>
      <c r="X1754" s="48" t="n">
        <f aca="false">IF($U1754&gt;=MA_LONG1,AVERAGE(INDEX($I$1354:$I1754,402-MA_LONG1):$I1754),"")</f>
        <v>1509.43</v>
      </c>
      <c r="Y1754" s="48" t="str">
        <f aca="false">IF($U1754&gt;=MA_LONG2,AVERAGE(INDEX($I$1354:$I1754,402-MA_LONG2):$I1754),"")</f>
        <v/>
      </c>
      <c r="Z1754" s="48" t="n">
        <f aca="false">IF($U1754&gt;=MA_SHORT,AVERAGE(INDEX($L$1634:$L1754,122-MA_SHORT):$L1754),"")</f>
        <v>99900897.9</v>
      </c>
      <c r="AA1754" s="48" t="n">
        <f aca="false">IF($U1754=1,$G1754-$H1754,MAX($G1754-$H1754,ABS($G1754-$I1753),ABS($H1754-$I1753)))</f>
        <v>14</v>
      </c>
      <c r="AB1754" s="48" t="n">
        <f aca="false">IF($U1754&gt;=ATR_PER,AVERAGE(INDEX($AA$1634:$AA1754,122-ATR_PER):$AA1754),"")</f>
        <v>30.5714285714286</v>
      </c>
      <c r="AC1754" s="48" t="n">
        <f aca="false">$O1754-$P1754</f>
        <v>-13278560</v>
      </c>
      <c r="AD1754" s="48" t="n">
        <f aca="false">$AC1754*$I1754</f>
        <v>-15137558400</v>
      </c>
      <c r="AE1754" s="49" t="n">
        <f aca="false">IF($Q1754&gt;0,$O1754*$I1754/$Q1754/1000000,"")</f>
        <v>43.7245888808664</v>
      </c>
      <c r="AF1754" s="49" t="n">
        <f aca="false">IF($R1754&gt;0,$P1754*$I1754/$R1754/1000000,"")</f>
        <v>76.9786959806295</v>
      </c>
      <c r="AG1754" s="50" t="n">
        <f aca="false">IF(AND(ISNUMBER($AE1754),ISNUMBER($AF1754),$AF1754&gt;0),$AE1754/$AF1754,"")</f>
        <v>0.568008957853339</v>
      </c>
      <c r="AH1754" s="48" t="n">
        <f aca="false">IF($U1754&gt;=5,SUM(INDEX($AD$1724:$AD1754,32-5):$AD1754),"")</f>
        <v>6946017410</v>
      </c>
      <c r="AI1754" s="48" t="n">
        <f aca="false">IF($U1754&gt;=STRUCT_S,MAX(INDEX($G$1604:$G1754,152-STRUCT_S):$G1754),"")</f>
        <v>1314</v>
      </c>
      <c r="AJ1754" s="48" t="n">
        <f aca="false">IF($U1754&gt;=STRUCT_S,MIN(INDEX($H$1604:$H1754,152-STRUCT_S):$H1754),"")</f>
        <v>1107</v>
      </c>
      <c r="AK1754" s="48" t="n">
        <f aca="false">IF($U1754&gt;=STRUCT_L,MAX(INDEX($G$1504:$G1754,252-STRUCT_L):$G1754),"")</f>
        <v>1750</v>
      </c>
      <c r="AL1754" s="48" t="n">
        <f aca="false">IF($U1754&gt;=STRUCT_L,MIN(INDEX($H$1504:$H1754,252-STRUCT_L):$H1754),"")</f>
        <v>1107</v>
      </c>
      <c r="AM1754" s="46" t="n">
        <f aca="false">IF($A1754&lt;&gt;$A1755,1,0)</f>
        <v>0</v>
      </c>
      <c r="AN1754" s="47" t="str">
        <f aca="false">IF($AM1754=1,$A1754,"")</f>
        <v/>
      </c>
    </row>
    <row r="1755" customFormat="false" ht="15" hidden="false" customHeight="false" outlineLevel="0" collapsed="false">
      <c r="A1755" s="43" t="s">
        <v>162</v>
      </c>
      <c r="B1755" s="44" t="s">
        <v>164</v>
      </c>
      <c r="C1755" s="45" t="n">
        <v>46172</v>
      </c>
      <c r="D1755" s="46" t="n">
        <v>20260530</v>
      </c>
      <c r="E1755" s="47" t="s">
        <v>478</v>
      </c>
      <c r="F1755" s="48" t="n">
        <v>1152</v>
      </c>
      <c r="G1755" s="48" t="n">
        <v>1184</v>
      </c>
      <c r="H1755" s="48" t="n">
        <v>1115</v>
      </c>
      <c r="I1755" s="48" t="n">
        <v>1158</v>
      </c>
      <c r="J1755" s="48" t="n">
        <v>1122</v>
      </c>
      <c r="K1755" s="48" t="n">
        <v>1140</v>
      </c>
      <c r="L1755" s="48" t="n">
        <v>86019518</v>
      </c>
      <c r="M1755" s="48" t="n">
        <v>99610601844</v>
      </c>
      <c r="N1755" s="48" t="n">
        <v>2160</v>
      </c>
      <c r="O1755" s="48" t="n">
        <v>47334559</v>
      </c>
      <c r="P1755" s="48" t="n">
        <v>36935284</v>
      </c>
      <c r="Q1755" s="48" t="n">
        <v>1129</v>
      </c>
      <c r="R1755" s="48" t="n">
        <v>1010</v>
      </c>
      <c r="S1755" s="48" t="n">
        <v>38684959</v>
      </c>
      <c r="T1755" s="48" t="n">
        <v>49084234</v>
      </c>
      <c r="U1755" s="46" t="n">
        <f aca="false">IF($A1755=$A1754,$U1754+1,1)</f>
        <v>191</v>
      </c>
      <c r="V1755" s="48" t="n">
        <f aca="false">IF($U1755&gt;=MA_SHORT,AVERAGE(INDEX($I$1355:$I1755,402-MA_SHORT):$I1755),"")</f>
        <v>1166.4</v>
      </c>
      <c r="W1755" s="48" t="n">
        <f aca="false">IF($U1755&gt;=MA_MED,AVERAGE(INDEX($I$1355:$I1755,402-MA_MED):$I1755),"")</f>
        <v>1278.12</v>
      </c>
      <c r="X1755" s="48" t="n">
        <f aca="false">IF($U1755&gt;=MA_LONG1,AVERAGE(INDEX($I$1355:$I1755,402-MA_LONG1):$I1755),"")</f>
        <v>1501.87</v>
      </c>
      <c r="Y1755" s="48" t="str">
        <f aca="false">IF($U1755&gt;=MA_LONG2,AVERAGE(INDEX($I$1355:$I1755,402-MA_LONG2):$I1755),"")</f>
        <v/>
      </c>
      <c r="Z1755" s="48" t="n">
        <f aca="false">IF($U1755&gt;=MA_SHORT,AVERAGE(INDEX($L$1635:$L1755,122-MA_SHORT):$L1755),"")</f>
        <v>100162687.15</v>
      </c>
      <c r="AA1755" s="48" t="n">
        <f aca="false">IF($U1755=1,$G1755-$H1755,MAX($G1755-$H1755,ABS($G1755-$I1754),ABS($H1755-$I1754)))</f>
        <v>69</v>
      </c>
      <c r="AB1755" s="48" t="n">
        <f aca="false">IF($U1755&gt;=ATR_PER,AVERAGE(INDEX($AA$1635:$AA1755,122-ATR_PER):$AA1755),"")</f>
        <v>32.5714285714286</v>
      </c>
      <c r="AC1755" s="48" t="n">
        <f aca="false">$O1755-$P1755</f>
        <v>10399275</v>
      </c>
      <c r="AD1755" s="48" t="n">
        <f aca="false">$AC1755*$I1755</f>
        <v>12042360450</v>
      </c>
      <c r="AE1755" s="49" t="n">
        <f aca="false">IF($Q1755&gt;0,$O1755*$I1755/$Q1755/1000000,"")</f>
        <v>48.5504156970771</v>
      </c>
      <c r="AF1755" s="49" t="n">
        <f aca="false">IF($R1755&gt;0,$P1755*$I1755/$R1755/1000000,"")</f>
        <v>42.3475830415842</v>
      </c>
      <c r="AG1755" s="50" t="n">
        <f aca="false">IF(AND(ISNUMBER($AE1755),ISNUMBER($AF1755),$AF1755&gt;0),$AE1755/$AF1755,"")</f>
        <v>1.14647430171875</v>
      </c>
      <c r="AH1755" s="48" t="n">
        <f aca="false">IF($U1755&gt;=5,SUM(INDEX($AD$1725:$AD1755,32-5):$AD1755),"")</f>
        <v>6744480950</v>
      </c>
      <c r="AI1755" s="48" t="n">
        <f aca="false">IF($U1755&gt;=STRUCT_S,MAX(INDEX($G$1605:$G1755,152-STRUCT_S):$G1755),"")</f>
        <v>1307</v>
      </c>
      <c r="AJ1755" s="48" t="n">
        <f aca="false">IF($U1755&gt;=STRUCT_S,MIN(INDEX($H$1605:$H1755,152-STRUCT_S):$H1755),"")</f>
        <v>1107</v>
      </c>
      <c r="AK1755" s="48" t="n">
        <f aca="false">IF($U1755&gt;=STRUCT_L,MAX(INDEX($G$1505:$G1755,252-STRUCT_L):$G1755),"")</f>
        <v>1750</v>
      </c>
      <c r="AL1755" s="48" t="n">
        <f aca="false">IF($U1755&gt;=STRUCT_L,MIN(INDEX($H$1505:$H1755,252-STRUCT_L):$H1755),"")</f>
        <v>1107</v>
      </c>
      <c r="AM1755" s="46" t="n">
        <f aca="false">IF($A1755&lt;&gt;$A1756,1,0)</f>
        <v>0</v>
      </c>
      <c r="AN1755" s="47" t="str">
        <f aca="false">IF($AM1755=1,$A1755,"")</f>
        <v/>
      </c>
    </row>
    <row r="1756" customFormat="false" ht="15" hidden="false" customHeight="false" outlineLevel="0" collapsed="false">
      <c r="A1756" s="43" t="s">
        <v>162</v>
      </c>
      <c r="B1756" s="44" t="s">
        <v>164</v>
      </c>
      <c r="C1756" s="45" t="n">
        <v>46173</v>
      </c>
      <c r="D1756" s="46" t="n">
        <v>20260531</v>
      </c>
      <c r="E1756" s="47" t="s">
        <v>479</v>
      </c>
      <c r="F1756" s="48" t="n">
        <v>1160</v>
      </c>
      <c r="G1756" s="48" t="n">
        <v>1165</v>
      </c>
      <c r="H1756" s="48" t="n">
        <v>1153</v>
      </c>
      <c r="I1756" s="48" t="n">
        <v>1160</v>
      </c>
      <c r="J1756" s="48" t="n">
        <v>1160</v>
      </c>
      <c r="K1756" s="48" t="n">
        <v>1158</v>
      </c>
      <c r="L1756" s="48" t="n">
        <v>213017723</v>
      </c>
      <c r="M1756" s="48" t="n">
        <v>247100558680</v>
      </c>
      <c r="N1756" s="48" t="n">
        <v>9077</v>
      </c>
      <c r="O1756" s="48" t="n">
        <v>88486541</v>
      </c>
      <c r="P1756" s="48" t="n">
        <v>130154105</v>
      </c>
      <c r="Q1756" s="48" t="n">
        <v>3367</v>
      </c>
      <c r="R1756" s="48" t="n">
        <v>4025</v>
      </c>
      <c r="S1756" s="48" t="n">
        <v>124531182</v>
      </c>
      <c r="T1756" s="48" t="n">
        <v>82863618</v>
      </c>
      <c r="U1756" s="46" t="n">
        <f aca="false">IF($A1756=$A1755,$U1755+1,1)</f>
        <v>192</v>
      </c>
      <c r="V1756" s="48" t="n">
        <f aca="false">IF($U1756&gt;=MA_SHORT,AVERAGE(INDEX($I$1356:$I1756,402-MA_SHORT):$I1756),"")</f>
        <v>1160.6</v>
      </c>
      <c r="W1756" s="48" t="n">
        <f aca="false">IF($U1756&gt;=MA_MED,AVERAGE(INDEX($I$1356:$I1756,402-MA_MED):$I1756),"")</f>
        <v>1271.8</v>
      </c>
      <c r="X1756" s="48" t="n">
        <f aca="false">IF($U1756&gt;=MA_LONG1,AVERAGE(INDEX($I$1356:$I1756,402-MA_LONG1):$I1756),"")</f>
        <v>1494.1</v>
      </c>
      <c r="Y1756" s="48" t="str">
        <f aca="false">IF($U1756&gt;=MA_LONG2,AVERAGE(INDEX($I$1356:$I1756,402-MA_LONG2):$I1756),"")</f>
        <v/>
      </c>
      <c r="Z1756" s="48" t="n">
        <f aca="false">IF($U1756&gt;=MA_SHORT,AVERAGE(INDEX($L$1636:$L1756,122-MA_SHORT):$L1756),"")</f>
        <v>105826216.9</v>
      </c>
      <c r="AA1756" s="48" t="n">
        <f aca="false">IF($U1756=1,$G1756-$H1756,MAX($G1756-$H1756,ABS($G1756-$I1755),ABS($H1756-$I1755)))</f>
        <v>12</v>
      </c>
      <c r="AB1756" s="48" t="n">
        <f aca="false">IF($U1756&gt;=ATR_PER,AVERAGE(INDEX($AA$1636:$AA1756,122-ATR_PER):$AA1756),"")</f>
        <v>31.5</v>
      </c>
      <c r="AC1756" s="48" t="n">
        <f aca="false">$O1756-$P1756</f>
        <v>-41667564</v>
      </c>
      <c r="AD1756" s="48" t="n">
        <f aca="false">$AC1756*$I1756</f>
        <v>-48334374240</v>
      </c>
      <c r="AE1756" s="49" t="n">
        <f aca="false">IF($Q1756&gt;0,$O1756*$I1756/$Q1756/1000000,"")</f>
        <v>30.4854135907336</v>
      </c>
      <c r="AF1756" s="49" t="n">
        <f aca="false">IF($R1756&gt;0,$P1756*$I1756/$R1756/1000000,"")</f>
        <v>37.510251378882</v>
      </c>
      <c r="AG1756" s="50" t="n">
        <f aca="false">IF(AND(ISNUMBER($AE1756),ISNUMBER($AF1756),$AF1756&gt;0),$AE1756/$AF1756,"")</f>
        <v>0.812722188470768</v>
      </c>
      <c r="AH1756" s="48" t="n">
        <f aca="false">IF($U1756&gt;=5,SUM(INDEX($AD$1726:$AD1756,32-5):$AD1756),"")</f>
        <v>-45674960598</v>
      </c>
      <c r="AI1756" s="48" t="n">
        <f aca="false">IF($U1756&gt;=STRUCT_S,MAX(INDEX($G$1606:$G1756,152-STRUCT_S):$G1756),"")</f>
        <v>1281</v>
      </c>
      <c r="AJ1756" s="48" t="n">
        <f aca="false">IF($U1756&gt;=STRUCT_S,MIN(INDEX($H$1606:$H1756,152-STRUCT_S):$H1756),"")</f>
        <v>1107</v>
      </c>
      <c r="AK1756" s="48" t="n">
        <f aca="false">IF($U1756&gt;=STRUCT_L,MAX(INDEX($G$1506:$G1756,252-STRUCT_L):$G1756),"")</f>
        <v>1732</v>
      </c>
      <c r="AL1756" s="48" t="n">
        <f aca="false">IF($U1756&gt;=STRUCT_L,MIN(INDEX($H$1506:$H1756,252-STRUCT_L):$H1756),"")</f>
        <v>1107</v>
      </c>
      <c r="AM1756" s="46" t="n">
        <f aca="false">IF($A1756&lt;&gt;$A1757,1,0)</f>
        <v>0</v>
      </c>
      <c r="AN1756" s="47" t="str">
        <f aca="false">IF($AM1756=1,$A1756,"")</f>
        <v/>
      </c>
    </row>
    <row r="1757" customFormat="false" ht="15" hidden="false" customHeight="false" outlineLevel="0" collapsed="false">
      <c r="A1757" s="43" t="s">
        <v>162</v>
      </c>
      <c r="B1757" s="44" t="s">
        <v>164</v>
      </c>
      <c r="C1757" s="45" t="n">
        <v>46174</v>
      </c>
      <c r="D1757" s="46" t="n">
        <v>20260601</v>
      </c>
      <c r="E1757" s="47" t="s">
        <v>480</v>
      </c>
      <c r="F1757" s="48" t="n">
        <v>1167</v>
      </c>
      <c r="G1757" s="48" t="n">
        <v>1171</v>
      </c>
      <c r="H1757" s="48" t="n">
        <v>1152</v>
      </c>
      <c r="I1757" s="48" t="n">
        <v>1163</v>
      </c>
      <c r="J1757" s="48" t="n">
        <v>1159</v>
      </c>
      <c r="K1757" s="48" t="n">
        <v>1160</v>
      </c>
      <c r="L1757" s="48" t="n">
        <v>111623810</v>
      </c>
      <c r="M1757" s="48" t="n">
        <v>129818491030</v>
      </c>
      <c r="N1757" s="48" t="n">
        <v>2764</v>
      </c>
      <c r="O1757" s="48" t="n">
        <v>64084644</v>
      </c>
      <c r="P1757" s="48" t="n">
        <v>41881045</v>
      </c>
      <c r="Q1757" s="48" t="n">
        <v>1015</v>
      </c>
      <c r="R1757" s="48" t="n">
        <v>813</v>
      </c>
      <c r="S1757" s="48" t="n">
        <v>47539166</v>
      </c>
      <c r="T1757" s="48" t="n">
        <v>69742765</v>
      </c>
      <c r="U1757" s="46" t="n">
        <f aca="false">IF($A1757=$A1756,$U1756+1,1)</f>
        <v>193</v>
      </c>
      <c r="V1757" s="48" t="n">
        <f aca="false">IF($U1757&gt;=MA_SHORT,AVERAGE(INDEX($I$1357:$I1757,402-MA_SHORT):$I1757),"")</f>
        <v>1156</v>
      </c>
      <c r="W1757" s="48" t="n">
        <f aca="false">IF($U1757&gt;=MA_MED,AVERAGE(INDEX($I$1357:$I1757,402-MA_MED):$I1757),"")</f>
        <v>1265.8</v>
      </c>
      <c r="X1757" s="48" t="n">
        <f aca="false">IF($U1757&gt;=MA_LONG1,AVERAGE(INDEX($I$1357:$I1757,402-MA_LONG1):$I1757),"")</f>
        <v>1486.42</v>
      </c>
      <c r="Y1757" s="48" t="str">
        <f aca="false">IF($U1757&gt;=MA_LONG2,AVERAGE(INDEX($I$1357:$I1757,402-MA_LONG2):$I1757),"")</f>
        <v/>
      </c>
      <c r="Z1757" s="48" t="n">
        <f aca="false">IF($U1757&gt;=MA_SHORT,AVERAGE(INDEX($L$1637:$L1757,122-MA_SHORT):$L1757),"")</f>
        <v>107090680.1</v>
      </c>
      <c r="AA1757" s="48" t="n">
        <f aca="false">IF($U1757=1,$G1757-$H1757,MAX($G1757-$H1757,ABS($G1757-$I1756),ABS($H1757-$I1756)))</f>
        <v>19</v>
      </c>
      <c r="AB1757" s="48" t="n">
        <f aca="false">IF($U1757&gt;=ATR_PER,AVERAGE(INDEX($AA$1637:$AA1757,122-ATR_PER):$AA1757),"")</f>
        <v>29</v>
      </c>
      <c r="AC1757" s="48" t="n">
        <f aca="false">$O1757-$P1757</f>
        <v>22203599</v>
      </c>
      <c r="AD1757" s="48" t="n">
        <f aca="false">$AC1757*$I1757</f>
        <v>25822785637</v>
      </c>
      <c r="AE1757" s="49" t="n">
        <f aca="false">IF($Q1757&gt;0,$O1757*$I1757/$Q1757/1000000,"")</f>
        <v>73.4290058837438</v>
      </c>
      <c r="AF1757" s="49" t="n">
        <f aca="false">IF($R1757&gt;0,$P1757*$I1757/$R1757/1000000,"")</f>
        <v>59.9110151722017</v>
      </c>
      <c r="AG1757" s="50" t="n">
        <f aca="false">IF(AND(ISNUMBER($AE1757),ISNUMBER($AF1757),$AF1757&gt;0),$AE1757/$AF1757,"")</f>
        <v>1.22563447928044</v>
      </c>
      <c r="AH1757" s="48" t="n">
        <f aca="false">IF($U1757&gt;=5,SUM(INDEX($AD$1727:$AD1757,32-5):$AD1757),"")</f>
        <v>-9311662133</v>
      </c>
      <c r="AI1757" s="48" t="n">
        <f aca="false">IF($U1757&gt;=STRUCT_S,MAX(INDEX($G$1607:$G1757,152-STRUCT_S):$G1757),"")</f>
        <v>1263</v>
      </c>
      <c r="AJ1757" s="48" t="n">
        <f aca="false">IF($U1757&gt;=STRUCT_S,MIN(INDEX($H$1607:$H1757,152-STRUCT_S):$H1757),"")</f>
        <v>1107</v>
      </c>
      <c r="AK1757" s="48" t="n">
        <f aca="false">IF($U1757&gt;=STRUCT_L,MAX(INDEX($G$1507:$G1757,252-STRUCT_L):$G1757),"")</f>
        <v>1650</v>
      </c>
      <c r="AL1757" s="48" t="n">
        <f aca="false">IF($U1757&gt;=STRUCT_L,MIN(INDEX($H$1507:$H1757,252-STRUCT_L):$H1757),"")</f>
        <v>1107</v>
      </c>
      <c r="AM1757" s="46" t="n">
        <f aca="false">IF($A1757&lt;&gt;$A1758,1,0)</f>
        <v>0</v>
      </c>
      <c r="AN1757" s="47" t="str">
        <f aca="false">IF($AM1757=1,$A1757,"")</f>
        <v/>
      </c>
    </row>
    <row r="1758" customFormat="false" ht="15" hidden="false" customHeight="false" outlineLevel="0" collapsed="false">
      <c r="A1758" s="43" t="s">
        <v>162</v>
      </c>
      <c r="B1758" s="44" t="s">
        <v>164</v>
      </c>
      <c r="C1758" s="45" t="n">
        <v>46175</v>
      </c>
      <c r="D1758" s="46" t="n">
        <v>20260602</v>
      </c>
      <c r="E1758" s="47" t="s">
        <v>481</v>
      </c>
      <c r="F1758" s="48" t="n">
        <v>1162</v>
      </c>
      <c r="G1758" s="48" t="n">
        <v>1195</v>
      </c>
      <c r="H1758" s="48" t="n">
        <v>1156</v>
      </c>
      <c r="I1758" s="48" t="n">
        <v>1188</v>
      </c>
      <c r="J1758" s="48" t="n">
        <v>1185</v>
      </c>
      <c r="K1758" s="48" t="n">
        <v>1163</v>
      </c>
      <c r="L1758" s="48" t="n">
        <v>116801679</v>
      </c>
      <c r="M1758" s="48" t="n">
        <v>138760394652</v>
      </c>
      <c r="N1758" s="48" t="n">
        <v>3328</v>
      </c>
      <c r="O1758" s="48" t="n">
        <v>66683385</v>
      </c>
      <c r="P1758" s="48" t="n">
        <v>55016138</v>
      </c>
      <c r="Q1758" s="48" t="n">
        <v>1096</v>
      </c>
      <c r="R1758" s="48" t="n">
        <v>982</v>
      </c>
      <c r="S1758" s="48" t="n">
        <v>50118294</v>
      </c>
      <c r="T1758" s="48" t="n">
        <v>61785541</v>
      </c>
      <c r="U1758" s="46" t="n">
        <f aca="false">IF($A1758=$A1757,$U1757+1,1)</f>
        <v>194</v>
      </c>
      <c r="V1758" s="48" t="n">
        <f aca="false">IF($U1758&gt;=MA_SHORT,AVERAGE(INDEX($I$1358:$I1758,402-MA_SHORT):$I1758),"")</f>
        <v>1153.4</v>
      </c>
      <c r="W1758" s="48" t="n">
        <f aca="false">IF($U1758&gt;=MA_MED,AVERAGE(INDEX($I$1358:$I1758,402-MA_MED):$I1758),"")</f>
        <v>1261.02</v>
      </c>
      <c r="X1758" s="48" t="n">
        <f aca="false">IF($U1758&gt;=MA_LONG1,AVERAGE(INDEX($I$1358:$I1758,402-MA_LONG1):$I1758),"")</f>
        <v>1479.36</v>
      </c>
      <c r="Y1758" s="48" t="str">
        <f aca="false">IF($U1758&gt;=MA_LONG2,AVERAGE(INDEX($I$1358:$I1758,402-MA_LONG2):$I1758),"")</f>
        <v/>
      </c>
      <c r="Z1758" s="48" t="n">
        <f aca="false">IF($U1758&gt;=MA_SHORT,AVERAGE(INDEX($L$1638:$L1758,122-MA_SHORT):$L1758),"")</f>
        <v>108720243.1</v>
      </c>
      <c r="AA1758" s="48" t="n">
        <f aca="false">IF($U1758=1,$G1758-$H1758,MAX($G1758-$H1758,ABS($G1758-$I1757),ABS($H1758-$I1757)))</f>
        <v>39</v>
      </c>
      <c r="AB1758" s="48" t="n">
        <f aca="false">IF($U1758&gt;=ATR_PER,AVERAGE(INDEX($AA$1638:$AA1758,122-ATR_PER):$AA1758),"")</f>
        <v>28.8571428571429</v>
      </c>
      <c r="AC1758" s="48" t="n">
        <f aca="false">$O1758-$P1758</f>
        <v>11667247</v>
      </c>
      <c r="AD1758" s="48" t="n">
        <f aca="false">$AC1758*$I1758</f>
        <v>13860689436</v>
      </c>
      <c r="AE1758" s="49" t="n">
        <f aca="false">IF($Q1758&gt;0,$O1758*$I1758/$Q1758/1000000,"")</f>
        <v>72.280895419708</v>
      </c>
      <c r="AF1758" s="49" t="n">
        <f aca="false">IF($R1758&gt;0,$P1758*$I1758/$R1758/1000000,"")</f>
        <v>66.5572015723014</v>
      </c>
      <c r="AG1758" s="50" t="n">
        <f aca="false">IF(AND(ISNUMBER($AE1758),ISNUMBER($AF1758),$AF1758&gt;0),$AE1758/$AF1758,"")</f>
        <v>1.08599661212001</v>
      </c>
      <c r="AH1758" s="48" t="n">
        <f aca="false">IF($U1758&gt;=5,SUM(INDEX($AD$1728:$AD1758,32-5):$AD1758),"")</f>
        <v>-11746097117</v>
      </c>
      <c r="AI1758" s="48" t="n">
        <f aca="false">IF($U1758&gt;=STRUCT_S,MAX(INDEX($G$1608:$G1758,152-STRUCT_S):$G1758),"")</f>
        <v>1257</v>
      </c>
      <c r="AJ1758" s="48" t="n">
        <f aca="false">IF($U1758&gt;=STRUCT_S,MIN(INDEX($H$1608:$H1758,152-STRUCT_S):$H1758),"")</f>
        <v>1107</v>
      </c>
      <c r="AK1758" s="48" t="n">
        <f aca="false">IF($U1758&gt;=STRUCT_L,MAX(INDEX($G$1508:$G1758,252-STRUCT_L):$G1758),"")</f>
        <v>1632</v>
      </c>
      <c r="AL1758" s="48" t="n">
        <f aca="false">IF($U1758&gt;=STRUCT_L,MIN(INDEX($H$1508:$H1758,252-STRUCT_L):$H1758),"")</f>
        <v>1107</v>
      </c>
      <c r="AM1758" s="46" t="n">
        <f aca="false">IF($A1758&lt;&gt;$A1759,1,0)</f>
        <v>0</v>
      </c>
      <c r="AN1758" s="47" t="str">
        <f aca="false">IF($AM1758=1,$A1758,"")</f>
        <v/>
      </c>
    </row>
    <row r="1759" customFormat="false" ht="15" hidden="false" customHeight="false" outlineLevel="0" collapsed="false">
      <c r="A1759" s="43" t="s">
        <v>162</v>
      </c>
      <c r="B1759" s="44" t="s">
        <v>164</v>
      </c>
      <c r="C1759" s="45" t="n">
        <v>46176</v>
      </c>
      <c r="D1759" s="46" t="n">
        <v>20260603</v>
      </c>
      <c r="E1759" s="47" t="s">
        <v>482</v>
      </c>
      <c r="F1759" s="48" t="n">
        <v>1174</v>
      </c>
      <c r="G1759" s="48" t="n">
        <v>1227</v>
      </c>
      <c r="H1759" s="48" t="n">
        <v>1173</v>
      </c>
      <c r="I1759" s="48" t="n">
        <v>1211</v>
      </c>
      <c r="J1759" s="48" t="n">
        <v>1198</v>
      </c>
      <c r="K1759" s="48" t="n">
        <v>1188</v>
      </c>
      <c r="L1759" s="48" t="n">
        <v>110171305</v>
      </c>
      <c r="M1759" s="48" t="n">
        <v>133417450355</v>
      </c>
      <c r="N1759" s="48" t="n">
        <v>2458</v>
      </c>
      <c r="O1759" s="48" t="n">
        <v>64135540</v>
      </c>
      <c r="P1759" s="48" t="n">
        <v>42013429</v>
      </c>
      <c r="Q1759" s="48" t="n">
        <v>1124</v>
      </c>
      <c r="R1759" s="48" t="n">
        <v>748</v>
      </c>
      <c r="S1759" s="48" t="n">
        <v>46035765</v>
      </c>
      <c r="T1759" s="48" t="n">
        <v>68157876</v>
      </c>
      <c r="U1759" s="46" t="n">
        <f aca="false">IF($A1759=$A1758,$U1758+1,1)</f>
        <v>195</v>
      </c>
      <c r="V1759" s="48" t="n">
        <f aca="false">IF($U1759&gt;=MA_SHORT,AVERAGE(INDEX($I$1359:$I1759,402-MA_SHORT):$I1759),"")</f>
        <v>1153</v>
      </c>
      <c r="W1759" s="48" t="n">
        <f aca="false">IF($U1759&gt;=MA_MED,AVERAGE(INDEX($I$1359:$I1759,402-MA_MED):$I1759),"")</f>
        <v>1256.4</v>
      </c>
      <c r="X1759" s="48" t="n">
        <f aca="false">IF($U1759&gt;=MA_LONG1,AVERAGE(INDEX($I$1359:$I1759,402-MA_LONG1):$I1759),"")</f>
        <v>1472.75</v>
      </c>
      <c r="Y1759" s="48" t="str">
        <f aca="false">IF($U1759&gt;=MA_LONG2,AVERAGE(INDEX($I$1359:$I1759,402-MA_LONG2):$I1759),"")</f>
        <v/>
      </c>
      <c r="Z1759" s="48" t="n">
        <f aca="false">IF($U1759&gt;=MA_SHORT,AVERAGE(INDEX($L$1639:$L1759,122-MA_SHORT):$L1759),"")</f>
        <v>108944205.8</v>
      </c>
      <c r="AA1759" s="48" t="n">
        <f aca="false">IF($U1759=1,$G1759-$H1759,MAX($G1759-$H1759,ABS($G1759-$I1758),ABS($H1759-$I1758)))</f>
        <v>54</v>
      </c>
      <c r="AB1759" s="48" t="n">
        <f aca="false">IF($U1759&gt;=ATR_PER,AVERAGE(INDEX($AA$1639:$AA1759,122-ATR_PER):$AA1759),"")</f>
        <v>32.0714285714286</v>
      </c>
      <c r="AC1759" s="48" t="n">
        <f aca="false">$O1759-$P1759</f>
        <v>22122111</v>
      </c>
      <c r="AD1759" s="48" t="n">
        <f aca="false">$AC1759*$I1759</f>
        <v>26789876421</v>
      </c>
      <c r="AE1759" s="49" t="n">
        <f aca="false">IF($Q1759&gt;0,$O1759*$I1759/$Q1759/1000000,"")</f>
        <v>69.0997677402135</v>
      </c>
      <c r="AF1759" s="49" t="n">
        <f aca="false">IF($R1759&gt;0,$P1759*$I1759/$R1759/1000000,"")</f>
        <v>68.0190675387701</v>
      </c>
      <c r="AG1759" s="50" t="n">
        <f aca="false">IF(AND(ISNUMBER($AE1759),ISNUMBER($AF1759),$AF1759&gt;0),$AE1759/$AF1759,"")</f>
        <v>1.01588819489223</v>
      </c>
      <c r="AH1759" s="48" t="n">
        <f aca="false">IF($U1759&gt;=5,SUM(INDEX($AD$1729:$AD1759,32-5):$AD1759),"")</f>
        <v>30181337704</v>
      </c>
      <c r="AI1759" s="48" t="n">
        <f aca="false">IF($U1759&gt;=STRUCT_S,MAX(INDEX($G$1609:$G1759,152-STRUCT_S):$G1759),"")</f>
        <v>1227</v>
      </c>
      <c r="AJ1759" s="48" t="n">
        <f aca="false">IF($U1759&gt;=STRUCT_S,MIN(INDEX($H$1609:$H1759,152-STRUCT_S):$H1759),"")</f>
        <v>1107</v>
      </c>
      <c r="AK1759" s="48" t="n">
        <f aca="false">IF($U1759&gt;=STRUCT_L,MAX(INDEX($G$1509:$G1759,252-STRUCT_L):$G1759),"")</f>
        <v>1631</v>
      </c>
      <c r="AL1759" s="48" t="n">
        <f aca="false">IF($U1759&gt;=STRUCT_L,MIN(INDEX($H$1509:$H1759,252-STRUCT_L):$H1759),"")</f>
        <v>1107</v>
      </c>
      <c r="AM1759" s="46" t="n">
        <f aca="false">IF($A1759&lt;&gt;$A1760,1,0)</f>
        <v>0</v>
      </c>
      <c r="AN1759" s="47" t="str">
        <f aca="false">IF($AM1759=1,$A1759,"")</f>
        <v/>
      </c>
    </row>
    <row r="1760" customFormat="false" ht="15" hidden="false" customHeight="false" outlineLevel="0" collapsed="false">
      <c r="A1760" s="43" t="s">
        <v>162</v>
      </c>
      <c r="B1760" s="44" t="s">
        <v>164</v>
      </c>
      <c r="C1760" s="45" t="n">
        <v>46179</v>
      </c>
      <c r="D1760" s="46" t="n">
        <v>20260606</v>
      </c>
      <c r="E1760" s="47" t="s">
        <v>483</v>
      </c>
      <c r="F1760" s="48" t="n">
        <v>1213</v>
      </c>
      <c r="G1760" s="48" t="n">
        <v>1224</v>
      </c>
      <c r="H1760" s="48" t="n">
        <v>1196</v>
      </c>
      <c r="I1760" s="48" t="n">
        <v>1209</v>
      </c>
      <c r="J1760" s="48" t="n">
        <v>1201</v>
      </c>
      <c r="K1760" s="48" t="n">
        <v>1211</v>
      </c>
      <c r="L1760" s="48" t="n">
        <v>99539982</v>
      </c>
      <c r="M1760" s="48" t="n">
        <v>120343838238</v>
      </c>
      <c r="N1760" s="48" t="n">
        <v>3706</v>
      </c>
      <c r="O1760" s="48" t="n">
        <v>43023102</v>
      </c>
      <c r="P1760" s="48" t="n">
        <v>50409774</v>
      </c>
      <c r="Q1760" s="48" t="n">
        <v>1893</v>
      </c>
      <c r="R1760" s="48" t="n">
        <v>1884</v>
      </c>
      <c r="S1760" s="48" t="n">
        <v>56516880</v>
      </c>
      <c r="T1760" s="48" t="n">
        <v>49130208</v>
      </c>
      <c r="U1760" s="46" t="n">
        <f aca="false">IF($A1760=$A1759,$U1759+1,1)</f>
        <v>196</v>
      </c>
      <c r="V1760" s="48" t="n">
        <f aca="false">IF($U1760&gt;=MA_SHORT,AVERAGE(INDEX($I$1360:$I1760,402-MA_SHORT):$I1760),"")</f>
        <v>1154.25</v>
      </c>
      <c r="W1760" s="48" t="n">
        <f aca="false">IF($U1760&gt;=MA_MED,AVERAGE(INDEX($I$1360:$I1760,402-MA_MED):$I1760),"")</f>
        <v>1252.24</v>
      </c>
      <c r="X1760" s="48" t="n">
        <f aca="false">IF($U1760&gt;=MA_LONG1,AVERAGE(INDEX($I$1360:$I1760,402-MA_LONG1):$I1760),"")</f>
        <v>1466.07</v>
      </c>
      <c r="Y1760" s="48" t="str">
        <f aca="false">IF($U1760&gt;=MA_LONG2,AVERAGE(INDEX($I$1360:$I1760,402-MA_LONG2):$I1760),"")</f>
        <v/>
      </c>
      <c r="Z1760" s="48" t="n">
        <f aca="false">IF($U1760&gt;=MA_SHORT,AVERAGE(INDEX($L$1640:$L1760,122-MA_SHORT):$L1760),"")</f>
        <v>109315609.35</v>
      </c>
      <c r="AA1760" s="48" t="n">
        <f aca="false">IF($U1760=1,$G1760-$H1760,MAX($G1760-$H1760,ABS($G1760-$I1759),ABS($H1760-$I1759)))</f>
        <v>28</v>
      </c>
      <c r="AB1760" s="48" t="n">
        <f aca="false">IF($U1760&gt;=ATR_PER,AVERAGE(INDEX($AA$1640:$AA1760,122-ATR_PER):$AA1760),"")</f>
        <v>30.3571428571429</v>
      </c>
      <c r="AC1760" s="48" t="n">
        <f aca="false">$O1760-$P1760</f>
        <v>-7386672</v>
      </c>
      <c r="AD1760" s="48" t="n">
        <f aca="false">$AC1760*$I1760</f>
        <v>-8930486448</v>
      </c>
      <c r="AE1760" s="49" t="n">
        <f aca="false">IF($Q1760&gt;0,$O1760*$I1760/$Q1760/1000000,"")</f>
        <v>27.4775120538827</v>
      </c>
      <c r="AF1760" s="49" t="n">
        <f aca="false">IF($R1760&gt;0,$P1760*$I1760/$R1760/1000000,"")</f>
        <v>32.3489473280255</v>
      </c>
      <c r="AG1760" s="50" t="n">
        <f aca="false">IF(AND(ISNUMBER($AE1760),ISNUMBER($AF1760),$AF1760&gt;0),$AE1760/$AF1760,"")</f>
        <v>0.849409774458955</v>
      </c>
      <c r="AH1760" s="48" t="n">
        <f aca="false">IF($U1760&gt;=5,SUM(INDEX($AD$1730:$AD1760,32-5):$AD1760),"")</f>
        <v>9208490806</v>
      </c>
      <c r="AI1760" s="48" t="n">
        <f aca="false">IF($U1760&gt;=STRUCT_S,MAX(INDEX($G$1610:$G1760,152-STRUCT_S):$G1760),"")</f>
        <v>1227</v>
      </c>
      <c r="AJ1760" s="48" t="n">
        <f aca="false">IF($U1760&gt;=STRUCT_S,MIN(INDEX($H$1610:$H1760,152-STRUCT_S):$H1760),"")</f>
        <v>1107</v>
      </c>
      <c r="AK1760" s="48" t="n">
        <f aca="false">IF($U1760&gt;=STRUCT_L,MAX(INDEX($G$1510:$G1760,252-STRUCT_L):$G1760),"")</f>
        <v>1595</v>
      </c>
      <c r="AL1760" s="48" t="n">
        <f aca="false">IF($U1760&gt;=STRUCT_L,MIN(INDEX($H$1510:$H1760,252-STRUCT_L):$H1760),"")</f>
        <v>1107</v>
      </c>
      <c r="AM1760" s="46" t="n">
        <f aca="false">IF($A1760&lt;&gt;$A1761,1,0)</f>
        <v>0</v>
      </c>
      <c r="AN1760" s="47" t="str">
        <f aca="false">IF($AM1760=1,$A1760,"")</f>
        <v/>
      </c>
    </row>
    <row r="1761" customFormat="false" ht="15" hidden="false" customHeight="false" outlineLevel="0" collapsed="false">
      <c r="A1761" s="43" t="s">
        <v>162</v>
      </c>
      <c r="B1761" s="44" t="s">
        <v>164</v>
      </c>
      <c r="C1761" s="45" t="n">
        <v>46180</v>
      </c>
      <c r="D1761" s="46" t="n">
        <v>20260607</v>
      </c>
      <c r="E1761" s="47" t="s">
        <v>484</v>
      </c>
      <c r="F1761" s="48" t="n">
        <v>1226</v>
      </c>
      <c r="G1761" s="48" t="n">
        <v>1229</v>
      </c>
      <c r="H1761" s="48" t="n">
        <v>1206</v>
      </c>
      <c r="I1761" s="48" t="n">
        <v>1226</v>
      </c>
      <c r="J1761" s="48" t="n">
        <v>1214</v>
      </c>
      <c r="K1761" s="48" t="n">
        <v>1209</v>
      </c>
      <c r="L1761" s="48" t="n">
        <v>85204722</v>
      </c>
      <c r="M1761" s="48" t="n">
        <v>104460989172</v>
      </c>
      <c r="N1761" s="48" t="n">
        <v>2500</v>
      </c>
      <c r="O1761" s="48" t="n">
        <v>53247808</v>
      </c>
      <c r="P1761" s="48" t="n">
        <v>32326330</v>
      </c>
      <c r="Q1761" s="48" t="n">
        <v>943</v>
      </c>
      <c r="R1761" s="48" t="n">
        <v>731</v>
      </c>
      <c r="S1761" s="48" t="n">
        <v>31956914</v>
      </c>
      <c r="T1761" s="48" t="n">
        <v>52878392</v>
      </c>
      <c r="U1761" s="46" t="n">
        <f aca="false">IF($A1761=$A1760,$U1760+1,1)</f>
        <v>197</v>
      </c>
      <c r="V1761" s="48" t="n">
        <f aca="false">IF($U1761&gt;=MA_SHORT,AVERAGE(INDEX($I$1361:$I1761,402-MA_SHORT):$I1761),"")</f>
        <v>1157.3</v>
      </c>
      <c r="W1761" s="48" t="n">
        <f aca="false">IF($U1761&gt;=MA_MED,AVERAGE(INDEX($I$1361:$I1761,402-MA_MED):$I1761),"")</f>
        <v>1248.34</v>
      </c>
      <c r="X1761" s="48" t="n">
        <f aca="false">IF($U1761&gt;=MA_LONG1,AVERAGE(INDEX($I$1361:$I1761,402-MA_LONG1):$I1761),"")</f>
        <v>1459.76</v>
      </c>
      <c r="Y1761" s="48" t="str">
        <f aca="false">IF($U1761&gt;=MA_LONG2,AVERAGE(INDEX($I$1361:$I1761,402-MA_LONG2):$I1761),"")</f>
        <v/>
      </c>
      <c r="Z1761" s="48" t="n">
        <f aca="false">IF($U1761&gt;=MA_SHORT,AVERAGE(INDEX($L$1641:$L1761,122-MA_SHORT):$L1761),"")</f>
        <v>109268791.95</v>
      </c>
      <c r="AA1761" s="48" t="n">
        <f aca="false">IF($U1761=1,$G1761-$H1761,MAX($G1761-$H1761,ABS($G1761-$I1760),ABS($H1761-$I1760)))</f>
        <v>23</v>
      </c>
      <c r="AB1761" s="48" t="n">
        <f aca="false">IF($U1761&gt;=ATR_PER,AVERAGE(INDEX($AA$1641:$AA1761,122-ATR_PER):$AA1761),"")</f>
        <v>29</v>
      </c>
      <c r="AC1761" s="48" t="n">
        <f aca="false">$O1761-$P1761</f>
        <v>20921478</v>
      </c>
      <c r="AD1761" s="48" t="n">
        <f aca="false">$AC1761*$I1761</f>
        <v>25649732028</v>
      </c>
      <c r="AE1761" s="49" t="n">
        <f aca="false">IF($Q1761&gt;0,$O1761*$I1761/$Q1761/1000000,"")</f>
        <v>69.2277970392365</v>
      </c>
      <c r="AF1761" s="49" t="n">
        <f aca="false">IF($R1761&gt;0,$P1761*$I1761/$R1761/1000000,"")</f>
        <v>54.21625250342</v>
      </c>
      <c r="AG1761" s="50" t="n">
        <f aca="false">IF(AND(ISNUMBER($AE1761),ISNUMBER($AF1761),$AF1761&gt;0),$AE1761/$AF1761,"")</f>
        <v>1.27688273981809</v>
      </c>
      <c r="AH1761" s="48" t="n">
        <f aca="false">IF($U1761&gt;=5,SUM(INDEX($AD$1731:$AD1761,32-5):$AD1761),"")</f>
        <v>83192597074</v>
      </c>
      <c r="AI1761" s="48" t="n">
        <f aca="false">IF($U1761&gt;=STRUCT_S,MAX(INDEX($G$1611:$G1761,152-STRUCT_S):$G1761),"")</f>
        <v>1229</v>
      </c>
      <c r="AJ1761" s="48" t="n">
        <f aca="false">IF($U1761&gt;=STRUCT_S,MIN(INDEX($H$1611:$H1761,152-STRUCT_S):$H1761),"")</f>
        <v>1107</v>
      </c>
      <c r="AK1761" s="48" t="n">
        <f aca="false">IF($U1761&gt;=STRUCT_L,MAX(INDEX($G$1511:$G1761,252-STRUCT_L):$G1761),"")</f>
        <v>1579</v>
      </c>
      <c r="AL1761" s="48" t="n">
        <f aca="false">IF($U1761&gt;=STRUCT_L,MIN(INDEX($H$1511:$H1761,252-STRUCT_L):$H1761),"")</f>
        <v>1107</v>
      </c>
      <c r="AM1761" s="46" t="n">
        <f aca="false">IF($A1761&lt;&gt;$A1762,1,0)</f>
        <v>0</v>
      </c>
      <c r="AN1761" s="47" t="str">
        <f aca="false">IF($AM1761=1,$A1761,"")</f>
        <v/>
      </c>
    </row>
    <row r="1762" customFormat="false" ht="15" hidden="false" customHeight="false" outlineLevel="0" collapsed="false">
      <c r="A1762" s="43" t="s">
        <v>162</v>
      </c>
      <c r="B1762" s="44" t="s">
        <v>164</v>
      </c>
      <c r="C1762" s="45" t="n">
        <v>46181</v>
      </c>
      <c r="D1762" s="46" t="n">
        <v>20260608</v>
      </c>
      <c r="E1762" s="47" t="s">
        <v>485</v>
      </c>
      <c r="F1762" s="48" t="n">
        <v>1216</v>
      </c>
      <c r="G1762" s="48" t="n">
        <v>1231</v>
      </c>
      <c r="H1762" s="48" t="n">
        <v>1214</v>
      </c>
      <c r="I1762" s="48" t="n">
        <v>1219</v>
      </c>
      <c r="J1762" s="48" t="n">
        <v>1222</v>
      </c>
      <c r="K1762" s="48" t="n">
        <v>1226</v>
      </c>
      <c r="L1762" s="48" t="n">
        <v>107567947</v>
      </c>
      <c r="M1762" s="48" t="n">
        <v>131125327393</v>
      </c>
      <c r="N1762" s="48" t="n">
        <v>2624</v>
      </c>
      <c r="O1762" s="48" t="n">
        <v>53475029</v>
      </c>
      <c r="P1762" s="48" t="n">
        <v>50082491</v>
      </c>
      <c r="Q1762" s="48" t="n">
        <v>837</v>
      </c>
      <c r="R1762" s="48" t="n">
        <v>1458</v>
      </c>
      <c r="S1762" s="48" t="n">
        <v>54092918</v>
      </c>
      <c r="T1762" s="48" t="n">
        <v>57485456</v>
      </c>
      <c r="U1762" s="46" t="n">
        <f aca="false">IF($A1762=$A1761,$U1761+1,1)</f>
        <v>198</v>
      </c>
      <c r="V1762" s="48" t="n">
        <f aca="false">IF($U1762&gt;=MA_SHORT,AVERAGE(INDEX($I$1362:$I1762,402-MA_SHORT):$I1762),"")</f>
        <v>1159.65</v>
      </c>
      <c r="W1762" s="48" t="n">
        <f aca="false">IF($U1762&gt;=MA_MED,AVERAGE(INDEX($I$1362:$I1762,402-MA_MED):$I1762),"")</f>
        <v>1244.28</v>
      </c>
      <c r="X1762" s="48" t="n">
        <f aca="false">IF($U1762&gt;=MA_LONG1,AVERAGE(INDEX($I$1362:$I1762,402-MA_LONG1):$I1762),"")</f>
        <v>1453.64</v>
      </c>
      <c r="Y1762" s="48" t="str">
        <f aca="false">IF($U1762&gt;=MA_LONG2,AVERAGE(INDEX($I$1362:$I1762,402-MA_LONG2):$I1762),"")</f>
        <v/>
      </c>
      <c r="Z1762" s="48" t="n">
        <f aca="false">IF($U1762&gt;=MA_SHORT,AVERAGE(INDEX($L$1642:$L1762,122-MA_SHORT):$L1762),"")</f>
        <v>110576774.95</v>
      </c>
      <c r="AA1762" s="48" t="n">
        <f aca="false">IF($U1762=1,$G1762-$H1762,MAX($G1762-$H1762,ABS($G1762-$I1761),ABS($H1762-$I1761)))</f>
        <v>17</v>
      </c>
      <c r="AB1762" s="48" t="n">
        <f aca="false">IF($U1762&gt;=ATR_PER,AVERAGE(INDEX($AA$1642:$AA1762,122-ATR_PER):$AA1762),"")</f>
        <v>29.2142857142857</v>
      </c>
      <c r="AC1762" s="48" t="n">
        <f aca="false">$O1762-$P1762</f>
        <v>3392538</v>
      </c>
      <c r="AD1762" s="48" t="n">
        <f aca="false">$AC1762*$I1762</f>
        <v>4135503822</v>
      </c>
      <c r="AE1762" s="49" t="n">
        <f aca="false">IF($Q1762&gt;0,$O1762*$I1762/$Q1762/1000000,"")</f>
        <v>77.88059779092</v>
      </c>
      <c r="AF1762" s="49" t="n">
        <f aca="false">IF($R1762&gt;0,$P1762*$I1762/$R1762/1000000,"")</f>
        <v>41.8728096906722</v>
      </c>
      <c r="AG1762" s="50" t="n">
        <f aca="false">IF(AND(ISNUMBER($AE1762),ISNUMBER($AF1762),$AF1762&gt;0),$AE1762/$AF1762,"")</f>
        <v>1.8599324565571</v>
      </c>
      <c r="AH1762" s="48" t="n">
        <f aca="false">IF($U1762&gt;=5,SUM(INDEX($AD$1732:$AD1762,32-5):$AD1762),"")</f>
        <v>61505315259</v>
      </c>
      <c r="AI1762" s="48" t="n">
        <f aca="false">IF($U1762&gt;=STRUCT_S,MAX(INDEX($G$1612:$G1762,152-STRUCT_S):$G1762),"")</f>
        <v>1231</v>
      </c>
      <c r="AJ1762" s="48" t="n">
        <f aca="false">IF($U1762&gt;=STRUCT_S,MIN(INDEX($H$1612:$H1762,152-STRUCT_S):$H1762),"")</f>
        <v>1107</v>
      </c>
      <c r="AK1762" s="48" t="n">
        <f aca="false">IF($U1762&gt;=STRUCT_L,MAX(INDEX($G$1512:$G1762,252-STRUCT_L):$G1762),"")</f>
        <v>1579</v>
      </c>
      <c r="AL1762" s="48" t="n">
        <f aca="false">IF($U1762&gt;=STRUCT_L,MIN(INDEX($H$1512:$H1762,252-STRUCT_L):$H1762),"")</f>
        <v>1107</v>
      </c>
      <c r="AM1762" s="46" t="n">
        <f aca="false">IF($A1762&lt;&gt;$A1763,1,0)</f>
        <v>0</v>
      </c>
      <c r="AN1762" s="47" t="str">
        <f aca="false">IF($AM1762=1,$A1762,"")</f>
        <v/>
      </c>
    </row>
    <row r="1763" customFormat="false" ht="15" hidden="false" customHeight="false" outlineLevel="0" collapsed="false">
      <c r="A1763" s="43" t="s">
        <v>162</v>
      </c>
      <c r="B1763" s="44" t="s">
        <v>164</v>
      </c>
      <c r="C1763" s="45" t="n">
        <v>46182</v>
      </c>
      <c r="D1763" s="46" t="n">
        <v>20260609</v>
      </c>
      <c r="E1763" s="47" t="s">
        <v>486</v>
      </c>
      <c r="F1763" s="48" t="n">
        <v>1203</v>
      </c>
      <c r="G1763" s="48" t="n">
        <v>1240</v>
      </c>
      <c r="H1763" s="48" t="n">
        <v>1187</v>
      </c>
      <c r="I1763" s="48" t="n">
        <v>1208</v>
      </c>
      <c r="J1763" s="48" t="n">
        <v>1235</v>
      </c>
      <c r="K1763" s="48" t="n">
        <v>1219</v>
      </c>
      <c r="L1763" s="48" t="n">
        <v>82829815</v>
      </c>
      <c r="M1763" s="48" t="n">
        <v>100058416520</v>
      </c>
      <c r="N1763" s="48" t="n">
        <v>1917</v>
      </c>
      <c r="O1763" s="48" t="n">
        <v>40935922</v>
      </c>
      <c r="P1763" s="48" t="n">
        <v>44881998</v>
      </c>
      <c r="Q1763" s="48" t="n">
        <v>790</v>
      </c>
      <c r="R1763" s="48" t="n">
        <v>722</v>
      </c>
      <c r="S1763" s="48" t="n">
        <v>41893893</v>
      </c>
      <c r="T1763" s="48" t="n">
        <v>37947817</v>
      </c>
      <c r="U1763" s="46" t="n">
        <f aca="false">IF($A1763=$A1762,$U1762+1,1)</f>
        <v>199</v>
      </c>
      <c r="V1763" s="48" t="n">
        <f aca="false">IF($U1763&gt;=MA_SHORT,AVERAGE(INDEX($I$1363:$I1763,402-MA_SHORT):$I1763),"")</f>
        <v>1162.15</v>
      </c>
      <c r="W1763" s="48" t="n">
        <f aca="false">IF($U1763&gt;=MA_MED,AVERAGE(INDEX($I$1363:$I1763,402-MA_MED):$I1763),"")</f>
        <v>1240.2</v>
      </c>
      <c r="X1763" s="48" t="n">
        <f aca="false">IF($U1763&gt;=MA_LONG1,AVERAGE(INDEX($I$1363:$I1763,402-MA_LONG1):$I1763),"")</f>
        <v>1447.29</v>
      </c>
      <c r="Y1763" s="48" t="str">
        <f aca="false">IF($U1763&gt;=MA_LONG2,AVERAGE(INDEX($I$1363:$I1763,402-MA_LONG2):$I1763),"")</f>
        <v/>
      </c>
      <c r="Z1763" s="48" t="n">
        <f aca="false">IF($U1763&gt;=MA_SHORT,AVERAGE(INDEX($L$1643:$L1763,122-MA_SHORT):$L1763),"")</f>
        <v>110180675</v>
      </c>
      <c r="AA1763" s="48" t="n">
        <f aca="false">IF($U1763=1,$G1763-$H1763,MAX($G1763-$H1763,ABS($G1763-$I1762),ABS($H1763-$I1762)))</f>
        <v>53</v>
      </c>
      <c r="AB1763" s="48" t="n">
        <f aca="false">IF($U1763&gt;=ATR_PER,AVERAGE(INDEX($AA$1643:$AA1763,122-ATR_PER):$AA1763),"")</f>
        <v>31</v>
      </c>
      <c r="AC1763" s="48" t="n">
        <f aca="false">$O1763-$P1763</f>
        <v>-3946076</v>
      </c>
      <c r="AD1763" s="48" t="n">
        <f aca="false">$AC1763*$I1763</f>
        <v>-4766859808</v>
      </c>
      <c r="AE1763" s="49" t="n">
        <f aca="false">IF($Q1763&gt;0,$O1763*$I1763/$Q1763/1000000,"")</f>
        <v>62.5956883240506</v>
      </c>
      <c r="AF1763" s="49" t="n">
        <f aca="false">IF($R1763&gt;0,$P1763*$I1763/$R1763/1000000,"")</f>
        <v>75.0934260166205</v>
      </c>
      <c r="AG1763" s="50" t="n">
        <f aca="false">IF(AND(ISNUMBER($AE1763),ISNUMBER($AF1763),$AF1763&gt;0),$AE1763/$AF1763,"")</f>
        <v>0.833570814976484</v>
      </c>
      <c r="AH1763" s="48" t="n">
        <f aca="false">IF($U1763&gt;=5,SUM(INDEX($AD$1733:$AD1763,32-5):$AD1763),"")</f>
        <v>42877766015</v>
      </c>
      <c r="AI1763" s="48" t="n">
        <f aca="false">IF($U1763&gt;=STRUCT_S,MAX(INDEX($G$1613:$G1763,152-STRUCT_S):$G1763),"")</f>
        <v>1240</v>
      </c>
      <c r="AJ1763" s="48" t="n">
        <f aca="false">IF($U1763&gt;=STRUCT_S,MIN(INDEX($H$1613:$H1763,152-STRUCT_S):$H1763),"")</f>
        <v>1107</v>
      </c>
      <c r="AK1763" s="48" t="n">
        <f aca="false">IF($U1763&gt;=STRUCT_L,MAX(INDEX($G$1513:$G1763,252-STRUCT_L):$G1763),"")</f>
        <v>1564</v>
      </c>
      <c r="AL1763" s="48" t="n">
        <f aca="false">IF($U1763&gt;=STRUCT_L,MIN(INDEX($H$1513:$H1763,252-STRUCT_L):$H1763),"")</f>
        <v>1107</v>
      </c>
      <c r="AM1763" s="46" t="n">
        <f aca="false">IF($A1763&lt;&gt;$A1764,1,0)</f>
        <v>0</v>
      </c>
      <c r="AN1763" s="47" t="str">
        <f aca="false">IF($AM1763=1,$A1763,"")</f>
        <v/>
      </c>
    </row>
    <row r="1764" customFormat="false" ht="15" hidden="false" customHeight="false" outlineLevel="0" collapsed="false">
      <c r="A1764" s="43" t="s">
        <v>162</v>
      </c>
      <c r="B1764" s="44" t="s">
        <v>164</v>
      </c>
      <c r="C1764" s="45" t="n">
        <v>46183</v>
      </c>
      <c r="D1764" s="46" t="n">
        <v>20260610</v>
      </c>
      <c r="E1764" s="47" t="s">
        <v>487</v>
      </c>
      <c r="F1764" s="48" t="n">
        <v>1203</v>
      </c>
      <c r="G1764" s="48" t="n">
        <v>1237</v>
      </c>
      <c r="H1764" s="48" t="n">
        <v>1189</v>
      </c>
      <c r="I1764" s="48" t="n">
        <v>1218</v>
      </c>
      <c r="J1764" s="48" t="n">
        <v>1190</v>
      </c>
      <c r="K1764" s="48" t="n">
        <v>1208</v>
      </c>
      <c r="L1764" s="48" t="n">
        <v>102603585</v>
      </c>
      <c r="M1764" s="48" t="n">
        <v>124971166530</v>
      </c>
      <c r="N1764" s="48" t="n">
        <v>3009</v>
      </c>
      <c r="O1764" s="48" t="n">
        <v>55424873</v>
      </c>
      <c r="P1764" s="48" t="n">
        <v>46799968</v>
      </c>
      <c r="Q1764" s="48" t="n">
        <v>1299</v>
      </c>
      <c r="R1764" s="48" t="n">
        <v>1104</v>
      </c>
      <c r="S1764" s="48" t="n">
        <v>47178712</v>
      </c>
      <c r="T1764" s="48" t="n">
        <v>55803617</v>
      </c>
      <c r="U1764" s="46" t="n">
        <f aca="false">IF($A1764=$A1763,$U1763+1,1)</f>
        <v>200</v>
      </c>
      <c r="V1764" s="48" t="n">
        <f aca="false">IF($U1764&gt;=MA_SHORT,AVERAGE(INDEX($I$1364:$I1764,402-MA_SHORT):$I1764),"")</f>
        <v>1166.2</v>
      </c>
      <c r="W1764" s="48" t="n">
        <f aca="false">IF($U1764&gt;=MA_MED,AVERAGE(INDEX($I$1364:$I1764,402-MA_MED):$I1764),"")</f>
        <v>1236.76</v>
      </c>
      <c r="X1764" s="48" t="n">
        <f aca="false">IF($U1764&gt;=MA_LONG1,AVERAGE(INDEX($I$1364:$I1764,402-MA_LONG1):$I1764),"")</f>
        <v>1441.23</v>
      </c>
      <c r="Y1764" s="48" t="n">
        <f aca="false">IF($U1764&gt;=MA_LONG2,AVERAGE(INDEX($I$1364:$I1764,402-MA_LONG2):$I1764),"")</f>
        <v>1706.02</v>
      </c>
      <c r="Z1764" s="48" t="n">
        <f aca="false">IF($U1764&gt;=MA_SHORT,AVERAGE(INDEX($L$1644:$L1764,122-MA_SHORT):$L1764),"")</f>
        <v>110954594.8</v>
      </c>
      <c r="AA1764" s="48" t="n">
        <f aca="false">IF($U1764=1,$G1764-$H1764,MAX($G1764-$H1764,ABS($G1764-$I1763),ABS($H1764-$I1763)))</f>
        <v>48</v>
      </c>
      <c r="AB1764" s="48" t="n">
        <f aca="false">IF($U1764&gt;=ATR_PER,AVERAGE(INDEX($AA$1644:$AA1764,122-ATR_PER):$AA1764),"")</f>
        <v>32.2142857142857</v>
      </c>
      <c r="AC1764" s="48" t="n">
        <f aca="false">$O1764-$P1764</f>
        <v>8624905</v>
      </c>
      <c r="AD1764" s="48" t="n">
        <f aca="false">$AC1764*$I1764</f>
        <v>10505134290</v>
      </c>
      <c r="AE1764" s="49" t="n">
        <f aca="false">IF($Q1764&gt;0,$O1764*$I1764/$Q1764/1000000,"")</f>
        <v>51.9688185635104</v>
      </c>
      <c r="AF1764" s="49" t="n">
        <f aca="false">IF($R1764&gt;0,$P1764*$I1764/$R1764/1000000,"")</f>
        <v>51.6325733913044</v>
      </c>
      <c r="AG1764" s="50" t="n">
        <f aca="false">IF(AND(ISNUMBER($AE1764),ISNUMBER($AF1764),$AF1764&gt;0),$AE1764/$AF1764,"")</f>
        <v>1.00651226832445</v>
      </c>
      <c r="AH1764" s="48" t="n">
        <f aca="false">IF($U1764&gt;=5,SUM(INDEX($AD$1734:$AD1764,32-5):$AD1764),"")</f>
        <v>26593023884</v>
      </c>
      <c r="AI1764" s="48" t="n">
        <f aca="false">IF($U1764&gt;=STRUCT_S,MAX(INDEX($G$1614:$G1764,152-STRUCT_S):$G1764),"")</f>
        <v>1240</v>
      </c>
      <c r="AJ1764" s="48" t="n">
        <f aca="false">IF($U1764&gt;=STRUCT_S,MIN(INDEX($H$1614:$H1764,152-STRUCT_S):$H1764),"")</f>
        <v>1107</v>
      </c>
      <c r="AK1764" s="48" t="n">
        <f aca="false">IF($U1764&gt;=STRUCT_L,MAX(INDEX($G$1514:$G1764,252-STRUCT_L):$G1764),"")</f>
        <v>1548</v>
      </c>
      <c r="AL1764" s="48" t="n">
        <f aca="false">IF($U1764&gt;=STRUCT_L,MIN(INDEX($H$1514:$H1764,252-STRUCT_L):$H1764),"")</f>
        <v>1107</v>
      </c>
      <c r="AM1764" s="46" t="n">
        <f aca="false">IF($A1764&lt;&gt;$A1765,1,0)</f>
        <v>0</v>
      </c>
      <c r="AN1764" s="47" t="str">
        <f aca="false">IF($AM1764=1,$A1764,"")</f>
        <v/>
      </c>
    </row>
    <row r="1765" customFormat="false" ht="15" hidden="false" customHeight="false" outlineLevel="0" collapsed="false">
      <c r="A1765" s="43" t="s">
        <v>162</v>
      </c>
      <c r="B1765" s="44" t="s">
        <v>164</v>
      </c>
      <c r="C1765" s="45" t="n">
        <v>46186</v>
      </c>
      <c r="D1765" s="46" t="n">
        <v>20260613</v>
      </c>
      <c r="E1765" s="47" t="s">
        <v>488</v>
      </c>
      <c r="F1765" s="48" t="n">
        <v>1189</v>
      </c>
      <c r="G1765" s="48" t="n">
        <v>1236</v>
      </c>
      <c r="H1765" s="48" t="n">
        <v>1175</v>
      </c>
      <c r="I1765" s="48" t="n">
        <v>1193</v>
      </c>
      <c r="J1765" s="48" t="n">
        <v>1210</v>
      </c>
      <c r="K1765" s="48" t="n">
        <v>1218</v>
      </c>
      <c r="L1765" s="48" t="n">
        <v>88252310</v>
      </c>
      <c r="M1765" s="48" t="n">
        <v>105285005830</v>
      </c>
      <c r="N1765" s="48" t="n">
        <v>4125</v>
      </c>
      <c r="O1765" s="48" t="n">
        <v>36146572</v>
      </c>
      <c r="P1765" s="48" t="n">
        <v>49941326</v>
      </c>
      <c r="Q1765" s="48" t="n">
        <v>1740</v>
      </c>
      <c r="R1765" s="48" t="n">
        <v>1674</v>
      </c>
      <c r="S1765" s="48" t="n">
        <v>52105738</v>
      </c>
      <c r="T1765" s="48" t="n">
        <v>38310984</v>
      </c>
      <c r="U1765" s="46" t="n">
        <f aca="false">IF($A1765=$A1764,$U1764+1,1)</f>
        <v>201</v>
      </c>
      <c r="V1765" s="48" t="n">
        <f aca="false">IF($U1765&gt;=MA_SHORT,AVERAGE(INDEX($I$1365:$I1765,402-MA_SHORT):$I1765),"")</f>
        <v>1169.05</v>
      </c>
      <c r="W1765" s="48" t="n">
        <f aca="false">IF($U1765&gt;=MA_MED,AVERAGE(INDEX($I$1365:$I1765,402-MA_MED):$I1765),"")</f>
        <v>1233.14</v>
      </c>
      <c r="X1765" s="48" t="n">
        <f aca="false">IF($U1765&gt;=MA_LONG1,AVERAGE(INDEX($I$1365:$I1765,402-MA_LONG1):$I1765),"")</f>
        <v>1434.68</v>
      </c>
      <c r="Y1765" s="48" t="n">
        <f aca="false">IF($U1765&gt;=MA_LONG2,AVERAGE(INDEX($I$1365:$I1765,402-MA_LONG2):$I1765),"")</f>
        <v>1701.76</v>
      </c>
      <c r="Z1765" s="48" t="n">
        <f aca="false">IF($U1765&gt;=MA_SHORT,AVERAGE(INDEX($L$1645:$L1765,122-MA_SHORT):$L1765),"")</f>
        <v>111417701.9</v>
      </c>
      <c r="AA1765" s="48" t="n">
        <f aca="false">IF($U1765=1,$G1765-$H1765,MAX($G1765-$H1765,ABS($G1765-$I1764),ABS($H1765-$I1764)))</f>
        <v>61</v>
      </c>
      <c r="AB1765" s="48" t="n">
        <f aca="false">IF($U1765&gt;=ATR_PER,AVERAGE(INDEX($AA$1645:$AA1765,122-ATR_PER):$AA1765),"")</f>
        <v>34.2142857142857</v>
      </c>
      <c r="AC1765" s="48" t="n">
        <f aca="false">$O1765-$P1765</f>
        <v>-13794754</v>
      </c>
      <c r="AD1765" s="48" t="n">
        <f aca="false">$AC1765*$I1765</f>
        <v>-16457141522</v>
      </c>
      <c r="AE1765" s="49" t="n">
        <f aca="false">IF($Q1765&gt;0,$O1765*$I1765/$Q1765/1000000,"")</f>
        <v>24.7832531011494</v>
      </c>
      <c r="AF1765" s="49" t="n">
        <f aca="false">IF($R1765&gt;0,$P1765*$I1765/$R1765/1000000,"")</f>
        <v>35.591398995221</v>
      </c>
      <c r="AG1765" s="50" t="n">
        <f aca="false">IF(AND(ISNUMBER($AE1765),ISNUMBER($AF1765),$AF1765&gt;0),$AE1765/$AF1765,"")</f>
        <v>0.696327028462049</v>
      </c>
      <c r="AH1765" s="48" t="n">
        <f aca="false">IF($U1765&gt;=5,SUM(INDEX($AD$1735:$AD1765,32-5):$AD1765),"")</f>
        <v>19066368810</v>
      </c>
      <c r="AI1765" s="48" t="n">
        <f aca="false">IF($U1765&gt;=STRUCT_S,MAX(INDEX($G$1615:$G1765,152-STRUCT_S):$G1765),"")</f>
        <v>1240</v>
      </c>
      <c r="AJ1765" s="48" t="n">
        <f aca="false">IF($U1765&gt;=STRUCT_S,MIN(INDEX($H$1615:$H1765,152-STRUCT_S):$H1765),"")</f>
        <v>1107</v>
      </c>
      <c r="AK1765" s="48" t="n">
        <f aca="false">IF($U1765&gt;=STRUCT_L,MAX(INDEX($G$1515:$G1765,252-STRUCT_L):$G1765),"")</f>
        <v>1516</v>
      </c>
      <c r="AL1765" s="48" t="n">
        <f aca="false">IF($U1765&gt;=STRUCT_L,MIN(INDEX($H$1515:$H1765,252-STRUCT_L):$H1765),"")</f>
        <v>1107</v>
      </c>
      <c r="AM1765" s="46" t="n">
        <f aca="false">IF($A1765&lt;&gt;$A1766,1,0)</f>
        <v>0</v>
      </c>
      <c r="AN1765" s="47" t="str">
        <f aca="false">IF($AM1765=1,$A1765,"")</f>
        <v/>
      </c>
    </row>
    <row r="1766" customFormat="false" ht="15" hidden="false" customHeight="false" outlineLevel="0" collapsed="false">
      <c r="A1766" s="43" t="s">
        <v>162</v>
      </c>
      <c r="B1766" s="44" t="s">
        <v>164</v>
      </c>
      <c r="C1766" s="45" t="n">
        <v>46187</v>
      </c>
      <c r="D1766" s="46" t="n">
        <v>20260614</v>
      </c>
      <c r="E1766" s="47" t="s">
        <v>489</v>
      </c>
      <c r="F1766" s="48" t="n">
        <v>1189</v>
      </c>
      <c r="G1766" s="48" t="n">
        <v>1197</v>
      </c>
      <c r="H1766" s="48" t="n">
        <v>1188</v>
      </c>
      <c r="I1766" s="48" t="n">
        <v>1192</v>
      </c>
      <c r="J1766" s="48" t="n">
        <v>1193</v>
      </c>
      <c r="K1766" s="48" t="n">
        <v>1193</v>
      </c>
      <c r="L1766" s="48" t="n">
        <v>78970704</v>
      </c>
      <c r="M1766" s="48" t="n">
        <v>94133079168</v>
      </c>
      <c r="N1766" s="48" t="n">
        <v>6542</v>
      </c>
      <c r="O1766" s="48" t="n">
        <v>41852653</v>
      </c>
      <c r="P1766" s="48" t="n">
        <v>41539531</v>
      </c>
      <c r="Q1766" s="48" t="n">
        <v>3043</v>
      </c>
      <c r="R1766" s="48" t="n">
        <v>2105</v>
      </c>
      <c r="S1766" s="48" t="n">
        <v>37118051</v>
      </c>
      <c r="T1766" s="48" t="n">
        <v>37431173</v>
      </c>
      <c r="U1766" s="46" t="n">
        <f aca="false">IF($A1766=$A1765,$U1765+1,1)</f>
        <v>202</v>
      </c>
      <c r="V1766" s="48" t="n">
        <f aca="false">IF($U1766&gt;=MA_SHORT,AVERAGE(INDEX($I$1366:$I1766,402-MA_SHORT):$I1766),"")</f>
        <v>1172.15</v>
      </c>
      <c r="W1766" s="48" t="n">
        <f aca="false">IF($U1766&gt;=MA_MED,AVERAGE(INDEX($I$1366:$I1766,402-MA_MED):$I1766),"")</f>
        <v>1229.44</v>
      </c>
      <c r="X1766" s="48" t="n">
        <f aca="false">IF($U1766&gt;=MA_LONG1,AVERAGE(INDEX($I$1366:$I1766,402-MA_LONG1):$I1766),"")</f>
        <v>1428.16</v>
      </c>
      <c r="Y1766" s="48" t="n">
        <f aca="false">IF($U1766&gt;=MA_LONG2,AVERAGE(INDEX($I$1366:$I1766,402-MA_LONG2):$I1766),"")</f>
        <v>1697.535</v>
      </c>
      <c r="Z1766" s="48" t="n">
        <f aca="false">IF($U1766&gt;=MA_SHORT,AVERAGE(INDEX($L$1646:$L1766,122-MA_SHORT):$L1766),"")</f>
        <v>111312957.55</v>
      </c>
      <c r="AA1766" s="48" t="n">
        <f aca="false">IF($U1766=1,$G1766-$H1766,MAX($G1766-$H1766,ABS($G1766-$I1765),ABS($H1766-$I1765)))</f>
        <v>9</v>
      </c>
      <c r="AB1766" s="48" t="n">
        <f aca="false">IF($U1766&gt;=ATR_PER,AVERAGE(INDEX($AA$1646:$AA1766,122-ATR_PER):$AA1766),"")</f>
        <v>33.7857142857143</v>
      </c>
      <c r="AC1766" s="48" t="n">
        <f aca="false">$O1766-$P1766</f>
        <v>313122</v>
      </c>
      <c r="AD1766" s="48" t="n">
        <f aca="false">$AC1766*$I1766</f>
        <v>373241424</v>
      </c>
      <c r="AE1766" s="49" t="n">
        <f aca="false">IF($Q1766&gt;0,$O1766*$I1766/$Q1766/1000000,"")</f>
        <v>16.3944667683207</v>
      </c>
      <c r="AF1766" s="49" t="n">
        <f aca="false">IF($R1766&gt;0,$P1766*$I1766/$R1766/1000000,"")</f>
        <v>23.5226227800475</v>
      </c>
      <c r="AG1766" s="50" t="n">
        <f aca="false">IF(AND(ISNUMBER($AE1766),ISNUMBER($AF1766),$AF1766&gt;0),$AE1766/$AF1766,"")</f>
        <v>0.696965934522699</v>
      </c>
      <c r="AH1766" s="48" t="n">
        <f aca="false">IF($U1766&gt;=5,SUM(INDEX($AD$1736:$AD1766,32-5):$AD1766),"")</f>
        <v>-6210121794</v>
      </c>
      <c r="AI1766" s="48" t="n">
        <f aca="false">IF($U1766&gt;=STRUCT_S,MAX(INDEX($G$1616:$G1766,152-STRUCT_S):$G1766),"")</f>
        <v>1240</v>
      </c>
      <c r="AJ1766" s="48" t="n">
        <f aca="false">IF($U1766&gt;=STRUCT_S,MIN(INDEX($H$1616:$H1766,152-STRUCT_S):$H1766),"")</f>
        <v>1109</v>
      </c>
      <c r="AK1766" s="48" t="n">
        <f aca="false">IF($U1766&gt;=STRUCT_L,MAX(INDEX($G$1516:$G1766,252-STRUCT_L):$G1766),"")</f>
        <v>1484</v>
      </c>
      <c r="AL1766" s="48" t="n">
        <f aca="false">IF($U1766&gt;=STRUCT_L,MIN(INDEX($H$1516:$H1766,252-STRUCT_L):$H1766),"")</f>
        <v>1107</v>
      </c>
      <c r="AM1766" s="46" t="n">
        <f aca="false">IF($A1766&lt;&gt;$A1767,1,0)</f>
        <v>0</v>
      </c>
      <c r="AN1766" s="47" t="str">
        <f aca="false">IF($AM1766=1,$A1766,"")</f>
        <v/>
      </c>
    </row>
    <row r="1767" customFormat="false" ht="15" hidden="false" customHeight="false" outlineLevel="0" collapsed="false">
      <c r="A1767" s="43" t="s">
        <v>162</v>
      </c>
      <c r="B1767" s="44" t="s">
        <v>164</v>
      </c>
      <c r="C1767" s="45" t="n">
        <v>46188</v>
      </c>
      <c r="D1767" s="46" t="n">
        <v>20260615</v>
      </c>
      <c r="E1767" s="47" t="s">
        <v>490</v>
      </c>
      <c r="F1767" s="48" t="n">
        <v>1191</v>
      </c>
      <c r="G1767" s="48" t="n">
        <v>1218</v>
      </c>
      <c r="H1767" s="48" t="n">
        <v>1163</v>
      </c>
      <c r="I1767" s="48" t="n">
        <v>1189</v>
      </c>
      <c r="J1767" s="48" t="n">
        <v>1186</v>
      </c>
      <c r="K1767" s="48" t="n">
        <v>1192</v>
      </c>
      <c r="L1767" s="48" t="n">
        <v>89900840</v>
      </c>
      <c r="M1767" s="48" t="n">
        <v>106892098760</v>
      </c>
      <c r="N1767" s="48" t="n">
        <v>3349</v>
      </c>
      <c r="O1767" s="48" t="n">
        <v>40595421</v>
      </c>
      <c r="P1767" s="48" t="n">
        <v>51969375</v>
      </c>
      <c r="Q1767" s="48" t="n">
        <v>1464</v>
      </c>
      <c r="R1767" s="48" t="n">
        <v>1490</v>
      </c>
      <c r="S1767" s="48" t="n">
        <v>49305419</v>
      </c>
      <c r="T1767" s="48" t="n">
        <v>37931465</v>
      </c>
      <c r="U1767" s="46" t="n">
        <f aca="false">IF($A1767=$A1766,$U1766+1,1)</f>
        <v>203</v>
      </c>
      <c r="V1767" s="48" t="n">
        <f aca="false">IF($U1767&gt;=MA_SHORT,AVERAGE(INDEX($I$1367:$I1767,402-MA_SHORT):$I1767),"")</f>
        <v>1175.1</v>
      </c>
      <c r="W1767" s="48" t="n">
        <f aca="false">IF($U1767&gt;=MA_MED,AVERAGE(INDEX($I$1367:$I1767,402-MA_MED):$I1767),"")</f>
        <v>1225.54</v>
      </c>
      <c r="X1767" s="48" t="n">
        <f aca="false">IF($U1767&gt;=MA_LONG1,AVERAGE(INDEX($I$1367:$I1767,402-MA_LONG1):$I1767),"")</f>
        <v>1421.88</v>
      </c>
      <c r="Y1767" s="48" t="n">
        <f aca="false">IF($U1767&gt;=MA_LONG2,AVERAGE(INDEX($I$1367:$I1767,402-MA_LONG2):$I1767),"")</f>
        <v>1693.365</v>
      </c>
      <c r="Z1767" s="48" t="n">
        <f aca="false">IF($U1767&gt;=MA_SHORT,AVERAGE(INDEX($L$1647:$L1767,122-MA_SHORT):$L1767),"")</f>
        <v>111879223.5</v>
      </c>
      <c r="AA1767" s="48" t="n">
        <f aca="false">IF($U1767=1,$G1767-$H1767,MAX($G1767-$H1767,ABS($G1767-$I1766),ABS($H1767-$I1766)))</f>
        <v>55</v>
      </c>
      <c r="AB1767" s="48" t="n">
        <f aca="false">IF($U1767&gt;=ATR_PER,AVERAGE(INDEX($AA$1647:$AA1767,122-ATR_PER):$AA1767),"")</f>
        <v>35.7857142857143</v>
      </c>
      <c r="AC1767" s="48" t="n">
        <f aca="false">$O1767-$P1767</f>
        <v>-11373954</v>
      </c>
      <c r="AD1767" s="48" t="n">
        <f aca="false">$AC1767*$I1767</f>
        <v>-13523631306</v>
      </c>
      <c r="AE1767" s="49" t="n">
        <f aca="false">IF($Q1767&gt;0,$O1767*$I1767/$Q1767/1000000,"")</f>
        <v>32.9699150061475</v>
      </c>
      <c r="AF1767" s="49" t="n">
        <f aca="false">IF($R1767&gt;0,$P1767*$I1767/$R1767/1000000,"")</f>
        <v>41.4708636744966</v>
      </c>
      <c r="AG1767" s="50" t="n">
        <f aca="false">IF(AND(ISNUMBER($AE1767),ISNUMBER($AF1767),$AF1767&gt;0),$AE1767/$AF1767,"")</f>
        <v>0.795013946777845</v>
      </c>
      <c r="AH1767" s="48" t="n">
        <f aca="false">IF($U1767&gt;=5,SUM(INDEX($AD$1737:$AD1767,32-5):$AD1767),"")</f>
        <v>-23869256922</v>
      </c>
      <c r="AI1767" s="48" t="n">
        <f aca="false">IF($U1767&gt;=STRUCT_S,MAX(INDEX($G$1617:$G1767,152-STRUCT_S):$G1767),"")</f>
        <v>1240</v>
      </c>
      <c r="AJ1767" s="48" t="n">
        <f aca="false">IF($U1767&gt;=STRUCT_S,MIN(INDEX($H$1617:$H1767,152-STRUCT_S):$H1767),"")</f>
        <v>1115</v>
      </c>
      <c r="AK1767" s="48" t="n">
        <f aca="false">IF($U1767&gt;=STRUCT_L,MAX(INDEX($G$1517:$G1767,252-STRUCT_L):$G1767),"")</f>
        <v>1472</v>
      </c>
      <c r="AL1767" s="48" t="n">
        <f aca="false">IF($U1767&gt;=STRUCT_L,MIN(INDEX($H$1517:$H1767,252-STRUCT_L):$H1767),"")</f>
        <v>1107</v>
      </c>
      <c r="AM1767" s="46" t="n">
        <f aca="false">IF($A1767&lt;&gt;$A1768,1,0)</f>
        <v>0</v>
      </c>
      <c r="AN1767" s="47" t="str">
        <f aca="false">IF($AM1767=1,$A1767,"")</f>
        <v/>
      </c>
    </row>
    <row r="1768" customFormat="false" ht="15" hidden="false" customHeight="false" outlineLevel="0" collapsed="false">
      <c r="A1768" s="43" t="s">
        <v>162</v>
      </c>
      <c r="B1768" s="44" t="s">
        <v>164</v>
      </c>
      <c r="C1768" s="45" t="n">
        <v>46189</v>
      </c>
      <c r="D1768" s="46" t="n">
        <v>20260616</v>
      </c>
      <c r="E1768" s="47" t="s">
        <v>491</v>
      </c>
      <c r="F1768" s="48" t="n">
        <v>1194</v>
      </c>
      <c r="G1768" s="48" t="n">
        <v>1197</v>
      </c>
      <c r="H1768" s="48" t="n">
        <v>1178</v>
      </c>
      <c r="I1768" s="48" t="n">
        <v>1186</v>
      </c>
      <c r="J1768" s="48" t="n">
        <v>1183</v>
      </c>
      <c r="K1768" s="48" t="n">
        <v>1189</v>
      </c>
      <c r="L1768" s="48" t="n">
        <v>82400445</v>
      </c>
      <c r="M1768" s="48" t="n">
        <v>97726927770</v>
      </c>
      <c r="N1768" s="48" t="n">
        <v>2435</v>
      </c>
      <c r="O1768" s="48" t="n">
        <v>41801217</v>
      </c>
      <c r="P1768" s="48" t="n">
        <v>38183663</v>
      </c>
      <c r="Q1768" s="48" t="n">
        <v>1030</v>
      </c>
      <c r="R1768" s="48" t="n">
        <v>1229</v>
      </c>
      <c r="S1768" s="48" t="n">
        <v>40599228</v>
      </c>
      <c r="T1768" s="48" t="n">
        <v>44216782</v>
      </c>
      <c r="U1768" s="46" t="n">
        <f aca="false">IF($A1768=$A1767,$U1767+1,1)</f>
        <v>204</v>
      </c>
      <c r="V1768" s="48" t="n">
        <f aca="false">IF($U1768&gt;=MA_SHORT,AVERAGE(INDEX($I$1368:$I1768,402-MA_SHORT):$I1768),"")</f>
        <v>1177.8</v>
      </c>
      <c r="W1768" s="48" t="n">
        <f aca="false">IF($U1768&gt;=MA_MED,AVERAGE(INDEX($I$1368:$I1768,402-MA_MED):$I1768),"")</f>
        <v>1221.66</v>
      </c>
      <c r="X1768" s="48" t="n">
        <f aca="false">IF($U1768&gt;=MA_LONG1,AVERAGE(INDEX($I$1368:$I1768,402-MA_LONG1):$I1768),"")</f>
        <v>1415.44</v>
      </c>
      <c r="Y1768" s="48" t="n">
        <f aca="false">IF($U1768&gt;=MA_LONG2,AVERAGE(INDEX($I$1368:$I1768,402-MA_LONG2):$I1768),"")</f>
        <v>1689.085</v>
      </c>
      <c r="Z1768" s="48" t="n">
        <f aca="false">IF($U1768&gt;=MA_SHORT,AVERAGE(INDEX($L$1648:$L1768,122-MA_SHORT):$L1768),"")</f>
        <v>111914480.65</v>
      </c>
      <c r="AA1768" s="48" t="n">
        <f aca="false">IF($U1768=1,$G1768-$H1768,MAX($G1768-$H1768,ABS($G1768-$I1767),ABS($H1768-$I1767)))</f>
        <v>19</v>
      </c>
      <c r="AB1768" s="48" t="n">
        <f aca="false">IF($U1768&gt;=ATR_PER,AVERAGE(INDEX($AA$1648:$AA1768,122-ATR_PER):$AA1768),"")</f>
        <v>36.1428571428571</v>
      </c>
      <c r="AC1768" s="48" t="n">
        <f aca="false">$O1768-$P1768</f>
        <v>3617554</v>
      </c>
      <c r="AD1768" s="48" t="n">
        <f aca="false">$AC1768*$I1768</f>
        <v>4290419044</v>
      </c>
      <c r="AE1768" s="49" t="n">
        <f aca="false">IF($Q1768&gt;0,$O1768*$I1768/$Q1768/1000000,"")</f>
        <v>48.1322751087379</v>
      </c>
      <c r="AF1768" s="49" t="n">
        <f aca="false">IF($R1768&gt;0,$P1768*$I1768/$R1768/1000000,"")</f>
        <v>36.8477008283157</v>
      </c>
      <c r="AG1768" s="50" t="n">
        <f aca="false">IF(AND(ISNUMBER($AE1768),ISNUMBER($AF1768),$AF1768&gt;0),$AE1768/$AF1768,"")</f>
        <v>1.30624907461663</v>
      </c>
      <c r="AH1768" s="48" t="n">
        <f aca="false">IF($U1768&gt;=5,SUM(INDEX($AD$1738:$AD1768,32-5):$AD1768),"")</f>
        <v>-14811978070</v>
      </c>
      <c r="AI1768" s="48" t="n">
        <f aca="false">IF($U1768&gt;=STRUCT_S,MAX(INDEX($G$1618:$G1768,152-STRUCT_S):$G1768),"")</f>
        <v>1240</v>
      </c>
      <c r="AJ1768" s="48" t="n">
        <f aca="false">IF($U1768&gt;=STRUCT_S,MIN(INDEX($H$1618:$H1768,152-STRUCT_S):$H1768),"")</f>
        <v>1115</v>
      </c>
      <c r="AK1768" s="48" t="n">
        <f aca="false">IF($U1768&gt;=STRUCT_L,MAX(INDEX($G$1518:$G1768,252-STRUCT_L):$G1768),"")</f>
        <v>1457</v>
      </c>
      <c r="AL1768" s="48" t="n">
        <f aca="false">IF($U1768&gt;=STRUCT_L,MIN(INDEX($H$1518:$H1768,252-STRUCT_L):$H1768),"")</f>
        <v>1107</v>
      </c>
      <c r="AM1768" s="46" t="n">
        <f aca="false">IF($A1768&lt;&gt;$A1769,1,0)</f>
        <v>0</v>
      </c>
      <c r="AN1768" s="47" t="str">
        <f aca="false">IF($AM1768=1,$A1768,"")</f>
        <v/>
      </c>
    </row>
    <row r="1769" customFormat="false" ht="15" hidden="false" customHeight="false" outlineLevel="0" collapsed="false">
      <c r="A1769" s="43" t="s">
        <v>162</v>
      </c>
      <c r="B1769" s="44" t="s">
        <v>164</v>
      </c>
      <c r="C1769" s="45" t="n">
        <v>46190</v>
      </c>
      <c r="D1769" s="46" t="n">
        <v>20260617</v>
      </c>
      <c r="E1769" s="47" t="s">
        <v>492</v>
      </c>
      <c r="F1769" s="48" t="n">
        <v>1170</v>
      </c>
      <c r="G1769" s="48" t="n">
        <v>1206</v>
      </c>
      <c r="H1769" s="48" t="n">
        <v>1155</v>
      </c>
      <c r="I1769" s="48" t="n">
        <v>1175</v>
      </c>
      <c r="J1769" s="48" t="n">
        <v>1202</v>
      </c>
      <c r="K1769" s="48" t="n">
        <v>1186</v>
      </c>
      <c r="L1769" s="48" t="n">
        <v>127003565</v>
      </c>
      <c r="M1769" s="48" t="n">
        <v>149229188875</v>
      </c>
      <c r="N1769" s="48" t="n">
        <v>5351</v>
      </c>
      <c r="O1769" s="48" t="n">
        <v>55537595</v>
      </c>
      <c r="P1769" s="48" t="n">
        <v>70476869</v>
      </c>
      <c r="Q1769" s="48" t="n">
        <v>1862</v>
      </c>
      <c r="R1769" s="48" t="n">
        <v>1696</v>
      </c>
      <c r="S1769" s="48" t="n">
        <v>71465970</v>
      </c>
      <c r="T1769" s="48" t="n">
        <v>56526696</v>
      </c>
      <c r="U1769" s="46" t="n">
        <f aca="false">IF($A1769=$A1768,$U1768+1,1)</f>
        <v>205</v>
      </c>
      <c r="V1769" s="48" t="n">
        <f aca="false">IF($U1769&gt;=MA_SHORT,AVERAGE(INDEX($I$1369:$I1769,402-MA_SHORT):$I1769),"")</f>
        <v>1180.15</v>
      </c>
      <c r="W1769" s="48" t="n">
        <f aca="false">IF($U1769&gt;=MA_MED,AVERAGE(INDEX($I$1369:$I1769,402-MA_MED):$I1769),"")</f>
        <v>1218.34</v>
      </c>
      <c r="X1769" s="48" t="n">
        <f aca="false">IF($U1769&gt;=MA_LONG1,AVERAGE(INDEX($I$1369:$I1769,402-MA_LONG1):$I1769),"")</f>
        <v>1408.98</v>
      </c>
      <c r="Y1769" s="48" t="n">
        <f aca="false">IF($U1769&gt;=MA_LONG2,AVERAGE(INDEX($I$1369:$I1769,402-MA_LONG2):$I1769),"")</f>
        <v>1684.645</v>
      </c>
      <c r="Z1769" s="48" t="n">
        <f aca="false">IF($U1769&gt;=MA_SHORT,AVERAGE(INDEX($L$1649:$L1769,122-MA_SHORT):$L1769),"")</f>
        <v>114252587.25</v>
      </c>
      <c r="AA1769" s="48" t="n">
        <f aca="false">IF($U1769=1,$G1769-$H1769,MAX($G1769-$H1769,ABS($G1769-$I1768),ABS($H1769-$I1768)))</f>
        <v>51</v>
      </c>
      <c r="AB1769" s="48" t="n">
        <f aca="false">IF($U1769&gt;=ATR_PER,AVERAGE(INDEX($AA$1649:$AA1769,122-ATR_PER):$AA1769),"")</f>
        <v>34.8571428571429</v>
      </c>
      <c r="AC1769" s="48" t="n">
        <f aca="false">$O1769-$P1769</f>
        <v>-14939274</v>
      </c>
      <c r="AD1769" s="48" t="n">
        <f aca="false">$AC1769*$I1769</f>
        <v>-17553646950</v>
      </c>
      <c r="AE1769" s="49" t="n">
        <f aca="false">IF($Q1769&gt;0,$O1769*$I1769/$Q1769/1000000,"")</f>
        <v>35.0465489393126</v>
      </c>
      <c r="AF1769" s="49" t="n">
        <f aca="false">IF($R1769&gt;0,$P1769*$I1769/$R1769/1000000,"")</f>
        <v>48.8268402564859</v>
      </c>
      <c r="AG1769" s="50" t="n">
        <f aca="false">IF(AND(ISNUMBER($AE1769),ISNUMBER($AF1769),$AF1769&gt;0),$AE1769/$AF1769,"")</f>
        <v>0.717772207974429</v>
      </c>
      <c r="AH1769" s="48" t="n">
        <f aca="false">IF($U1769&gt;=5,SUM(INDEX($AD$1739:$AD1769,32-5):$AD1769),"")</f>
        <v>-42870759310</v>
      </c>
      <c r="AI1769" s="48" t="n">
        <f aca="false">IF($U1769&gt;=STRUCT_S,MAX(INDEX($G$1619:$G1769,152-STRUCT_S):$G1769),"")</f>
        <v>1240</v>
      </c>
      <c r="AJ1769" s="48" t="n">
        <f aca="false">IF($U1769&gt;=STRUCT_S,MIN(INDEX($H$1619:$H1769,152-STRUCT_S):$H1769),"")</f>
        <v>1115</v>
      </c>
      <c r="AK1769" s="48" t="n">
        <f aca="false">IF($U1769&gt;=STRUCT_L,MAX(INDEX($G$1519:$G1769,252-STRUCT_L):$G1769),"")</f>
        <v>1457</v>
      </c>
      <c r="AL1769" s="48" t="n">
        <f aca="false">IF($U1769&gt;=STRUCT_L,MIN(INDEX($H$1519:$H1769,252-STRUCT_L):$H1769),"")</f>
        <v>1107</v>
      </c>
      <c r="AM1769" s="46" t="n">
        <f aca="false">IF($A1769&lt;&gt;$A1770,1,0)</f>
        <v>0</v>
      </c>
      <c r="AN1769" s="47" t="str">
        <f aca="false">IF($AM1769=1,$A1769,"")</f>
        <v/>
      </c>
    </row>
    <row r="1770" customFormat="false" ht="15" hidden="false" customHeight="false" outlineLevel="0" collapsed="false">
      <c r="A1770" s="43" t="s">
        <v>162</v>
      </c>
      <c r="B1770" s="44" t="s">
        <v>164</v>
      </c>
      <c r="C1770" s="45" t="n">
        <v>46193</v>
      </c>
      <c r="D1770" s="46" t="n">
        <v>20260620</v>
      </c>
      <c r="E1770" s="47" t="s">
        <v>493</v>
      </c>
      <c r="F1770" s="48" t="n">
        <v>1150</v>
      </c>
      <c r="G1770" s="48" t="n">
        <v>1189</v>
      </c>
      <c r="H1770" s="48" t="n">
        <v>1140</v>
      </c>
      <c r="I1770" s="48" t="n">
        <v>1154</v>
      </c>
      <c r="J1770" s="48" t="n">
        <v>1163</v>
      </c>
      <c r="K1770" s="48" t="n">
        <v>1175</v>
      </c>
      <c r="L1770" s="48" t="n">
        <v>87001492</v>
      </c>
      <c r="M1770" s="48" t="n">
        <v>100399721768</v>
      </c>
      <c r="N1770" s="48" t="n">
        <v>8086</v>
      </c>
      <c r="O1770" s="48" t="n">
        <v>31001598</v>
      </c>
      <c r="P1770" s="48" t="n">
        <v>56492519</v>
      </c>
      <c r="Q1770" s="48" t="n">
        <v>3488</v>
      </c>
      <c r="R1770" s="48" t="n">
        <v>3244</v>
      </c>
      <c r="S1770" s="48" t="n">
        <v>55999894</v>
      </c>
      <c r="T1770" s="48" t="n">
        <v>30508973</v>
      </c>
      <c r="U1770" s="46" t="n">
        <f aca="false">IF($A1770=$A1769,$U1769+1,1)</f>
        <v>206</v>
      </c>
      <c r="V1770" s="48" t="n">
        <f aca="false">IF($U1770&gt;=MA_SHORT,AVERAGE(INDEX($I$1370:$I1770,402-MA_SHORT):$I1770),"")</f>
        <v>1180.9</v>
      </c>
      <c r="W1770" s="48" t="n">
        <f aca="false">IF($U1770&gt;=MA_MED,AVERAGE(INDEX($I$1370:$I1770,402-MA_MED):$I1770),"")</f>
        <v>1214.54</v>
      </c>
      <c r="X1770" s="48" t="n">
        <f aca="false">IF($U1770&gt;=MA_LONG1,AVERAGE(INDEX($I$1370:$I1770,402-MA_LONG1):$I1770),"")</f>
        <v>1402.63</v>
      </c>
      <c r="Y1770" s="48" t="n">
        <f aca="false">IF($U1770&gt;=MA_LONG2,AVERAGE(INDEX($I$1370:$I1770,402-MA_LONG2):$I1770),"")</f>
        <v>1680.32</v>
      </c>
      <c r="Z1770" s="48" t="n">
        <f aca="false">IF($U1770&gt;=MA_SHORT,AVERAGE(INDEX($L$1650:$L1770,122-MA_SHORT):$L1770),"")</f>
        <v>114444010.6</v>
      </c>
      <c r="AA1770" s="48" t="n">
        <f aca="false">IF($U1770=1,$G1770-$H1770,MAX($G1770-$H1770,ABS($G1770-$I1769),ABS($H1770-$I1769)))</f>
        <v>49</v>
      </c>
      <c r="AB1770" s="48" t="n">
        <f aca="false">IF($U1770&gt;=ATR_PER,AVERAGE(INDEX($AA$1650:$AA1770,122-ATR_PER):$AA1770),"")</f>
        <v>37.5</v>
      </c>
      <c r="AC1770" s="48" t="n">
        <f aca="false">$O1770-$P1770</f>
        <v>-25490921</v>
      </c>
      <c r="AD1770" s="48" t="n">
        <f aca="false">$AC1770*$I1770</f>
        <v>-29416522834</v>
      </c>
      <c r="AE1770" s="49" t="n">
        <f aca="false">IF($Q1770&gt;0,$O1770*$I1770/$Q1770/1000000,"")</f>
        <v>10.2568360355505</v>
      </c>
      <c r="AF1770" s="49" t="n">
        <f aca="false">IF($R1770&gt;0,$P1770*$I1770/$R1770/1000000,"")</f>
        <v>20.0962906676942</v>
      </c>
      <c r="AG1770" s="50" t="n">
        <f aca="false">IF(AND(ISNUMBER($AE1770),ISNUMBER($AF1770),$AF1770&gt;0),$AE1770/$AF1770,"")</f>
        <v>0.51038453837846</v>
      </c>
      <c r="AH1770" s="48" t="n">
        <f aca="false">IF($U1770&gt;=5,SUM(INDEX($AD$1740:$AD1770,32-5):$AD1770),"")</f>
        <v>-55830140622</v>
      </c>
      <c r="AI1770" s="48" t="n">
        <f aca="false">IF($U1770&gt;=STRUCT_S,MAX(INDEX($G$1620:$G1770,152-STRUCT_S):$G1770),"")</f>
        <v>1240</v>
      </c>
      <c r="AJ1770" s="48" t="n">
        <f aca="false">IF($U1770&gt;=STRUCT_S,MIN(INDEX($H$1620:$H1770,152-STRUCT_S):$H1770),"")</f>
        <v>1115</v>
      </c>
      <c r="AK1770" s="48" t="n">
        <f aca="false">IF($U1770&gt;=STRUCT_L,MAX(INDEX($G$1520:$G1770,252-STRUCT_L):$G1770),"")</f>
        <v>1457</v>
      </c>
      <c r="AL1770" s="48" t="n">
        <f aca="false">IF($U1770&gt;=STRUCT_L,MIN(INDEX($H$1520:$H1770,252-STRUCT_L):$H1770),"")</f>
        <v>1107</v>
      </c>
      <c r="AM1770" s="46" t="n">
        <f aca="false">IF($A1770&lt;&gt;$A1771,1,0)</f>
        <v>0</v>
      </c>
      <c r="AN1770" s="47" t="str">
        <f aca="false">IF($AM1770=1,$A1770,"")</f>
        <v/>
      </c>
    </row>
    <row r="1771" customFormat="false" ht="15" hidden="false" customHeight="false" outlineLevel="0" collapsed="false">
      <c r="A1771" s="43" t="s">
        <v>162</v>
      </c>
      <c r="B1771" s="44" t="s">
        <v>164</v>
      </c>
      <c r="C1771" s="45" t="n">
        <v>46194</v>
      </c>
      <c r="D1771" s="46" t="n">
        <v>20260621</v>
      </c>
      <c r="E1771" s="47" t="s">
        <v>494</v>
      </c>
      <c r="F1771" s="48" t="n">
        <v>1165</v>
      </c>
      <c r="G1771" s="48" t="n">
        <v>1177</v>
      </c>
      <c r="H1771" s="48" t="n">
        <v>1129</v>
      </c>
      <c r="I1771" s="48" t="n">
        <v>1152</v>
      </c>
      <c r="J1771" s="48" t="n">
        <v>1168</v>
      </c>
      <c r="K1771" s="48" t="n">
        <v>1154</v>
      </c>
      <c r="L1771" s="48" t="n">
        <v>117545459</v>
      </c>
      <c r="M1771" s="48" t="n">
        <v>135412368768</v>
      </c>
      <c r="N1771" s="48" t="n">
        <v>3837</v>
      </c>
      <c r="O1771" s="48" t="n">
        <v>51463306</v>
      </c>
      <c r="P1771" s="48" t="n">
        <v>68659051</v>
      </c>
      <c r="Q1771" s="48" t="n">
        <v>1145</v>
      </c>
      <c r="R1771" s="48" t="n">
        <v>1782</v>
      </c>
      <c r="S1771" s="48" t="n">
        <v>66082153</v>
      </c>
      <c r="T1771" s="48" t="n">
        <v>48886408</v>
      </c>
      <c r="U1771" s="46" t="n">
        <f aca="false">IF($A1771=$A1770,$U1770+1,1)</f>
        <v>207</v>
      </c>
      <c r="V1771" s="48" t="n">
        <f aca="false">IF($U1771&gt;=MA_SHORT,AVERAGE(INDEX($I$1371:$I1771,402-MA_SHORT):$I1771),"")</f>
        <v>1181.1</v>
      </c>
      <c r="W1771" s="48" t="n">
        <f aca="false">IF($U1771&gt;=MA_MED,AVERAGE(INDEX($I$1371:$I1771,402-MA_MED):$I1771),"")</f>
        <v>1211.14</v>
      </c>
      <c r="X1771" s="48" t="n">
        <f aca="false">IF($U1771&gt;=MA_LONG1,AVERAGE(INDEX($I$1371:$I1771,402-MA_LONG1):$I1771),"")</f>
        <v>1396.5</v>
      </c>
      <c r="Y1771" s="48" t="n">
        <f aca="false">IF($U1771&gt;=MA_LONG2,AVERAGE(INDEX($I$1371:$I1771,402-MA_LONG2):$I1771),"")</f>
        <v>1676.22</v>
      </c>
      <c r="Z1771" s="48" t="n">
        <f aca="false">IF($U1771&gt;=MA_SHORT,AVERAGE(INDEX($L$1651:$L1771,122-MA_SHORT):$L1771),"")</f>
        <v>116206244.2</v>
      </c>
      <c r="AA1771" s="48" t="n">
        <f aca="false">IF($U1771=1,$G1771-$H1771,MAX($G1771-$H1771,ABS($G1771-$I1770),ABS($H1771-$I1770)))</f>
        <v>48</v>
      </c>
      <c r="AB1771" s="48" t="n">
        <f aca="false">IF($U1771&gt;=ATR_PER,AVERAGE(INDEX($AA$1651:$AA1771,122-ATR_PER):$AA1771),"")</f>
        <v>39.5714285714286</v>
      </c>
      <c r="AC1771" s="48" t="n">
        <f aca="false">$O1771-$P1771</f>
        <v>-17195745</v>
      </c>
      <c r="AD1771" s="48" t="n">
        <f aca="false">$AC1771*$I1771</f>
        <v>-19809498240</v>
      </c>
      <c r="AE1771" s="49" t="n">
        <f aca="false">IF($Q1771&gt;0,$O1771*$I1771/$Q1771/1000000,"")</f>
        <v>51.777928831441</v>
      </c>
      <c r="AF1771" s="49" t="n">
        <f aca="false">IF($R1771&gt;0,$P1771*$I1771/$R1771/1000000,"")</f>
        <v>44.3856491313131</v>
      </c>
      <c r="AG1771" s="50" t="n">
        <f aca="false">IF(AND(ISNUMBER($AE1771),ISNUMBER($AF1771),$AF1771&gt;0),$AE1771/$AF1771,"")</f>
        <v>1.16654661686389</v>
      </c>
      <c r="AH1771" s="48" t="n">
        <f aca="false">IF($U1771&gt;=5,SUM(INDEX($AD$1741:$AD1771,32-5):$AD1771),"")</f>
        <v>-76012880286</v>
      </c>
      <c r="AI1771" s="48" t="n">
        <f aca="false">IF($U1771&gt;=STRUCT_S,MAX(INDEX($G$1621:$G1771,152-STRUCT_S):$G1771),"")</f>
        <v>1240</v>
      </c>
      <c r="AJ1771" s="48" t="n">
        <f aca="false">IF($U1771&gt;=STRUCT_S,MIN(INDEX($H$1621:$H1771,152-STRUCT_S):$H1771),"")</f>
        <v>1115</v>
      </c>
      <c r="AK1771" s="48" t="n">
        <f aca="false">IF($U1771&gt;=STRUCT_L,MAX(INDEX($G$1521:$G1771,252-STRUCT_L):$G1771),"")</f>
        <v>1457</v>
      </c>
      <c r="AL1771" s="48" t="n">
        <f aca="false">IF($U1771&gt;=STRUCT_L,MIN(INDEX($H$1521:$H1771,252-STRUCT_L):$H1771),"")</f>
        <v>1107</v>
      </c>
      <c r="AM1771" s="46" t="n">
        <f aca="false">IF($A1771&lt;&gt;$A1772,1,0)</f>
        <v>0</v>
      </c>
      <c r="AN1771" s="47" t="str">
        <f aca="false">IF($AM1771=1,$A1771,"")</f>
        <v/>
      </c>
    </row>
    <row r="1772" customFormat="false" ht="15" hidden="false" customHeight="false" outlineLevel="0" collapsed="false">
      <c r="A1772" s="43" t="s">
        <v>162</v>
      </c>
      <c r="B1772" s="44" t="s">
        <v>164</v>
      </c>
      <c r="C1772" s="45" t="n">
        <v>46195</v>
      </c>
      <c r="D1772" s="46" t="n">
        <v>20260622</v>
      </c>
      <c r="E1772" s="47" t="s">
        <v>495</v>
      </c>
      <c r="F1772" s="48" t="n">
        <v>1162</v>
      </c>
      <c r="G1772" s="48" t="n">
        <v>1171</v>
      </c>
      <c r="H1772" s="48" t="n">
        <v>1145</v>
      </c>
      <c r="I1772" s="48" t="n">
        <v>1164</v>
      </c>
      <c r="J1772" s="48" t="n">
        <v>1160</v>
      </c>
      <c r="K1772" s="48" t="n">
        <v>1152</v>
      </c>
      <c r="L1772" s="48" t="n">
        <v>83486491</v>
      </c>
      <c r="M1772" s="48" t="n">
        <v>97178275524</v>
      </c>
      <c r="N1772" s="48" t="n">
        <v>1983</v>
      </c>
      <c r="O1772" s="48" t="n">
        <v>41978817</v>
      </c>
      <c r="P1772" s="48" t="n">
        <v>41515443</v>
      </c>
      <c r="Q1772" s="48" t="n">
        <v>943</v>
      </c>
      <c r="R1772" s="48" t="n">
        <v>1009</v>
      </c>
      <c r="S1772" s="48" t="n">
        <v>41507674</v>
      </c>
      <c r="T1772" s="48" t="n">
        <v>41971048</v>
      </c>
      <c r="U1772" s="46" t="n">
        <f aca="false">IF($A1772=$A1771,$U1771+1,1)</f>
        <v>208</v>
      </c>
      <c r="V1772" s="48" t="n">
        <f aca="false">IF($U1772&gt;=MA_SHORT,AVERAGE(INDEX($I$1372:$I1772,402-MA_SHORT):$I1772),"")</f>
        <v>1182.15</v>
      </c>
      <c r="W1772" s="48" t="n">
        <f aca="false">IF($U1772&gt;=MA_MED,AVERAGE(INDEX($I$1372:$I1772,402-MA_MED):$I1772),"")</f>
        <v>1208.3</v>
      </c>
      <c r="X1772" s="48" t="n">
        <f aca="false">IF($U1772&gt;=MA_LONG1,AVERAGE(INDEX($I$1372:$I1772,402-MA_LONG1):$I1772),"")</f>
        <v>1390.64</v>
      </c>
      <c r="Y1772" s="48" t="n">
        <f aca="false">IF($U1772&gt;=MA_LONG2,AVERAGE(INDEX($I$1372:$I1772,402-MA_LONG2):$I1772),"")</f>
        <v>1672.06</v>
      </c>
      <c r="Z1772" s="48" t="n">
        <f aca="false">IF($U1772&gt;=MA_SHORT,AVERAGE(INDEX($L$1652:$L1772,122-MA_SHORT):$L1772),"")</f>
        <v>114672839.7</v>
      </c>
      <c r="AA1772" s="48" t="n">
        <f aca="false">IF($U1772=1,$G1772-$H1772,MAX($G1772-$H1772,ABS($G1772-$I1771),ABS($H1772-$I1771)))</f>
        <v>26</v>
      </c>
      <c r="AB1772" s="48" t="n">
        <f aca="false">IF($U1772&gt;=ATR_PER,AVERAGE(INDEX($AA$1652:$AA1772,122-ATR_PER):$AA1772),"")</f>
        <v>38.6428571428571</v>
      </c>
      <c r="AC1772" s="48" t="n">
        <f aca="false">$O1772-$P1772</f>
        <v>463374</v>
      </c>
      <c r="AD1772" s="48" t="n">
        <f aca="false">$AC1772*$I1772</f>
        <v>539367336</v>
      </c>
      <c r="AE1772" s="49" t="n">
        <f aca="false">IF($Q1772&gt;0,$O1772*$I1772/$Q1772/1000000,"")</f>
        <v>51.8169066680806</v>
      </c>
      <c r="AF1772" s="49" t="n">
        <f aca="false">IF($R1772&gt;0,$P1772*$I1772/$R1772/1000000,"")</f>
        <v>47.8929391992071</v>
      </c>
      <c r="AG1772" s="50" t="n">
        <f aca="false">IF(AND(ISNUMBER($AE1772),ISNUMBER($AF1772),$AF1772&gt;0),$AE1772/$AF1772,"")</f>
        <v>1.08193206628125</v>
      </c>
      <c r="AH1772" s="48" t="n">
        <f aca="false">IF($U1772&gt;=5,SUM(INDEX($AD$1742:$AD1772,32-5):$AD1772),"")</f>
        <v>-61949881644</v>
      </c>
      <c r="AI1772" s="48" t="n">
        <f aca="false">IF($U1772&gt;=STRUCT_S,MAX(INDEX($G$1622:$G1772,152-STRUCT_S):$G1772),"")</f>
        <v>1240</v>
      </c>
      <c r="AJ1772" s="48" t="n">
        <f aca="false">IF($U1772&gt;=STRUCT_S,MIN(INDEX($H$1622:$H1772,152-STRUCT_S):$H1772),"")</f>
        <v>1115</v>
      </c>
      <c r="AK1772" s="48" t="n">
        <f aca="false">IF($U1772&gt;=STRUCT_L,MAX(INDEX($G$1522:$G1772,252-STRUCT_L):$G1772),"")</f>
        <v>1457</v>
      </c>
      <c r="AL1772" s="48" t="n">
        <f aca="false">IF($U1772&gt;=STRUCT_L,MIN(INDEX($H$1522:$H1772,252-STRUCT_L):$H1772),"")</f>
        <v>1107</v>
      </c>
      <c r="AM1772" s="46" t="n">
        <f aca="false">IF($A1772&lt;&gt;$A1773,1,0)</f>
        <v>0</v>
      </c>
      <c r="AN1772" s="47" t="str">
        <f aca="false">IF($AM1772=1,$A1772,"")</f>
        <v/>
      </c>
    </row>
    <row r="1773" customFormat="false" ht="15" hidden="false" customHeight="false" outlineLevel="0" collapsed="false">
      <c r="A1773" s="43" t="s">
        <v>162</v>
      </c>
      <c r="B1773" s="44" t="s">
        <v>164</v>
      </c>
      <c r="C1773" s="45" t="n">
        <v>46196</v>
      </c>
      <c r="D1773" s="46" t="n">
        <v>20260623</v>
      </c>
      <c r="E1773" s="47" t="s">
        <v>496</v>
      </c>
      <c r="F1773" s="48" t="n">
        <v>1160</v>
      </c>
      <c r="G1773" s="48" t="n">
        <v>1168</v>
      </c>
      <c r="H1773" s="48" t="n">
        <v>1160</v>
      </c>
      <c r="I1773" s="48" t="n">
        <v>1164</v>
      </c>
      <c r="J1773" s="48" t="n">
        <v>1163</v>
      </c>
      <c r="K1773" s="48" t="n">
        <v>1164</v>
      </c>
      <c r="L1773" s="48" t="n">
        <v>81038493</v>
      </c>
      <c r="M1773" s="48" t="n">
        <v>94328805852</v>
      </c>
      <c r="N1773" s="48" t="n">
        <v>3316</v>
      </c>
      <c r="O1773" s="48" t="n">
        <v>45023172</v>
      </c>
      <c r="P1773" s="48" t="n">
        <v>34313726</v>
      </c>
      <c r="Q1773" s="48" t="n">
        <v>1418</v>
      </c>
      <c r="R1773" s="48" t="n">
        <v>1081</v>
      </c>
      <c r="S1773" s="48" t="n">
        <v>36015321</v>
      </c>
      <c r="T1773" s="48" t="n">
        <v>46724767</v>
      </c>
      <c r="U1773" s="46" t="n">
        <f aca="false">IF($A1773=$A1772,$U1772+1,1)</f>
        <v>209</v>
      </c>
      <c r="V1773" s="48" t="n">
        <f aca="false">IF($U1773&gt;=MA_SHORT,AVERAGE(INDEX($I$1373:$I1773,402-MA_SHORT):$I1773),"")</f>
        <v>1183.45</v>
      </c>
      <c r="W1773" s="48" t="n">
        <f aca="false">IF($U1773&gt;=MA_MED,AVERAGE(INDEX($I$1373:$I1773,402-MA_MED):$I1773),"")</f>
        <v>1205.84</v>
      </c>
      <c r="X1773" s="48" t="n">
        <f aca="false">IF($U1773&gt;=MA_LONG1,AVERAGE(INDEX($I$1373:$I1773,402-MA_LONG1):$I1773),"")</f>
        <v>1384.86</v>
      </c>
      <c r="Y1773" s="48" t="n">
        <f aca="false">IF($U1773&gt;=MA_LONG2,AVERAGE(INDEX($I$1373:$I1773,402-MA_LONG2):$I1773),"")</f>
        <v>1668.005</v>
      </c>
      <c r="Z1773" s="48" t="n">
        <f aca="false">IF($U1773&gt;=MA_SHORT,AVERAGE(INDEX($L$1653:$L1773,122-MA_SHORT):$L1773),"")</f>
        <v>102268774.7</v>
      </c>
      <c r="AA1773" s="48" t="n">
        <f aca="false">IF($U1773=1,$G1773-$H1773,MAX($G1773-$H1773,ABS($G1773-$I1772),ABS($H1773-$I1772)))</f>
        <v>8</v>
      </c>
      <c r="AB1773" s="48" t="n">
        <f aca="false">IF($U1773&gt;=ATR_PER,AVERAGE(INDEX($AA$1653:$AA1773,122-ATR_PER):$AA1773),"")</f>
        <v>35.3571428571429</v>
      </c>
      <c r="AC1773" s="48" t="n">
        <f aca="false">$O1773-$P1773</f>
        <v>10709446</v>
      </c>
      <c r="AD1773" s="48" t="n">
        <f aca="false">$AC1773*$I1773</f>
        <v>12465795144</v>
      </c>
      <c r="AE1773" s="49" t="n">
        <f aca="false">IF($Q1773&gt;0,$O1773*$I1773/$Q1773/1000000,"")</f>
        <v>36.9583725021157</v>
      </c>
      <c r="AF1773" s="49" t="n">
        <f aca="false">IF($R1773&gt;0,$P1773*$I1773/$R1773/1000000,"")</f>
        <v>36.9483599111933</v>
      </c>
      <c r="AG1773" s="50" t="n">
        <f aca="false">IF(AND(ISNUMBER($AE1773),ISNUMBER($AF1773),$AF1773&gt;0),$AE1773/$AF1773,"")</f>
        <v>1.00027098877857</v>
      </c>
      <c r="AH1773" s="48" t="n">
        <f aca="false">IF($U1773&gt;=5,SUM(INDEX($AD$1743:$AD1773,32-5):$AD1773),"")</f>
        <v>-53774505544</v>
      </c>
      <c r="AI1773" s="48" t="n">
        <f aca="false">IF($U1773&gt;=STRUCT_S,MAX(INDEX($G$1623:$G1773,152-STRUCT_S):$G1773),"")</f>
        <v>1240</v>
      </c>
      <c r="AJ1773" s="48" t="n">
        <f aca="false">IF($U1773&gt;=STRUCT_S,MIN(INDEX($H$1623:$H1773,152-STRUCT_S):$H1773),"")</f>
        <v>1115</v>
      </c>
      <c r="AK1773" s="48" t="n">
        <f aca="false">IF($U1773&gt;=STRUCT_L,MAX(INDEX($G$1523:$G1773,252-STRUCT_L):$G1773),"")</f>
        <v>1430</v>
      </c>
      <c r="AL1773" s="48" t="n">
        <f aca="false">IF($U1773&gt;=STRUCT_L,MIN(INDEX($H$1523:$H1773,252-STRUCT_L):$H1773),"")</f>
        <v>1107</v>
      </c>
      <c r="AM1773" s="46" t="n">
        <f aca="false">IF($A1773&lt;&gt;$A1774,1,0)</f>
        <v>0</v>
      </c>
      <c r="AN1773" s="47" t="str">
        <f aca="false">IF($AM1773=1,$A1773,"")</f>
        <v/>
      </c>
    </row>
    <row r="1774" customFormat="false" ht="15" hidden="false" customHeight="false" outlineLevel="0" collapsed="false">
      <c r="A1774" s="43" t="s">
        <v>162</v>
      </c>
      <c r="B1774" s="44" t="s">
        <v>164</v>
      </c>
      <c r="C1774" s="45" t="n">
        <v>46197</v>
      </c>
      <c r="D1774" s="46" t="n">
        <v>20260624</v>
      </c>
      <c r="E1774" s="47" t="s">
        <v>497</v>
      </c>
      <c r="F1774" s="48" t="n">
        <v>1163</v>
      </c>
      <c r="G1774" s="48" t="n">
        <v>1196</v>
      </c>
      <c r="H1774" s="48" t="n">
        <v>1123</v>
      </c>
      <c r="I1774" s="48" t="n">
        <v>1154</v>
      </c>
      <c r="J1774" s="48" t="n">
        <v>1129</v>
      </c>
      <c r="K1774" s="48" t="n">
        <v>1164</v>
      </c>
      <c r="L1774" s="48" t="n">
        <v>82625806</v>
      </c>
      <c r="M1774" s="48" t="n">
        <v>95350180124</v>
      </c>
      <c r="N1774" s="48" t="n">
        <v>3642</v>
      </c>
      <c r="O1774" s="48" t="n">
        <v>34356157</v>
      </c>
      <c r="P1774" s="48" t="n">
        <v>47543248</v>
      </c>
      <c r="Q1774" s="48" t="n">
        <v>1450</v>
      </c>
      <c r="R1774" s="48" t="n">
        <v>1271</v>
      </c>
      <c r="S1774" s="48" t="n">
        <v>48269649</v>
      </c>
      <c r="T1774" s="48" t="n">
        <v>35082558</v>
      </c>
      <c r="U1774" s="46" t="n">
        <f aca="false">IF($A1774=$A1773,$U1773+1,1)</f>
        <v>210</v>
      </c>
      <c r="V1774" s="48" t="n">
        <f aca="false">IF($U1774&gt;=MA_SHORT,AVERAGE(INDEX($I$1374:$I1774,402-MA_SHORT):$I1774),"")</f>
        <v>1184.15</v>
      </c>
      <c r="W1774" s="48" t="n">
        <f aca="false">IF($U1774&gt;=MA_MED,AVERAGE(INDEX($I$1374:$I1774,402-MA_MED):$I1774),"")</f>
        <v>1202.66</v>
      </c>
      <c r="X1774" s="48" t="n">
        <f aca="false">IF($U1774&gt;=MA_LONG1,AVERAGE(INDEX($I$1374:$I1774,402-MA_LONG1):$I1774),"")</f>
        <v>1379.2</v>
      </c>
      <c r="Y1774" s="48" t="n">
        <f aca="false">IF($U1774&gt;=MA_LONG2,AVERAGE(INDEX($I$1374:$I1774,402-MA_LONG2):$I1774),"")</f>
        <v>1663.78</v>
      </c>
      <c r="Z1774" s="48" t="n">
        <f aca="false">IF($U1774&gt;=MA_SHORT,AVERAGE(INDEX($L$1654:$L1774,122-MA_SHORT):$L1774),"")</f>
        <v>101680284.55</v>
      </c>
      <c r="AA1774" s="48" t="n">
        <f aca="false">IF($U1774=1,$G1774-$H1774,MAX($G1774-$H1774,ABS($G1774-$I1773),ABS($H1774-$I1773)))</f>
        <v>73</v>
      </c>
      <c r="AB1774" s="48" t="n">
        <f aca="false">IF($U1774&gt;=ATR_PER,AVERAGE(INDEX($AA$1654:$AA1774,122-ATR_PER):$AA1774),"")</f>
        <v>38.5714285714286</v>
      </c>
      <c r="AC1774" s="48" t="n">
        <f aca="false">$O1774-$P1774</f>
        <v>-13187091</v>
      </c>
      <c r="AD1774" s="48" t="n">
        <f aca="false">$AC1774*$I1774</f>
        <v>-15217903014</v>
      </c>
      <c r="AE1774" s="49" t="n">
        <f aca="false">IF($Q1774&gt;0,$O1774*$I1774/$Q1774/1000000,"")</f>
        <v>27.3427621917241</v>
      </c>
      <c r="AF1774" s="49" t="n">
        <f aca="false">IF($R1774&gt;0,$P1774*$I1774/$R1774/1000000,"")</f>
        <v>43.1667255641227</v>
      </c>
      <c r="AG1774" s="50" t="n">
        <f aca="false">IF(AND(ISNUMBER($AE1774),ISNUMBER($AF1774),$AF1774&gt;0),$AE1774/$AF1774,"")</f>
        <v>0.633422198102735</v>
      </c>
      <c r="AH1774" s="48" t="n">
        <f aca="false">IF($U1774&gt;=5,SUM(INDEX($AD$1744:$AD1774,32-5):$AD1774),"")</f>
        <v>-51438761608</v>
      </c>
      <c r="AI1774" s="48" t="n">
        <f aca="false">IF($U1774&gt;=STRUCT_S,MAX(INDEX($G$1624:$G1774,152-STRUCT_S):$G1774),"")</f>
        <v>1240</v>
      </c>
      <c r="AJ1774" s="48" t="n">
        <f aca="false">IF($U1774&gt;=STRUCT_S,MIN(INDEX($H$1624:$H1774,152-STRUCT_S):$H1774),"")</f>
        <v>1115</v>
      </c>
      <c r="AK1774" s="48" t="n">
        <f aca="false">IF($U1774&gt;=STRUCT_L,MAX(INDEX($G$1524:$G1774,252-STRUCT_L):$G1774),"")</f>
        <v>1405</v>
      </c>
      <c r="AL1774" s="48" t="n">
        <f aca="false">IF($U1774&gt;=STRUCT_L,MIN(INDEX($H$1524:$H1774,252-STRUCT_L):$H1774),"")</f>
        <v>1107</v>
      </c>
      <c r="AM1774" s="46" t="n">
        <f aca="false">IF($A1774&lt;&gt;$A1775,1,0)</f>
        <v>0</v>
      </c>
      <c r="AN1774" s="47" t="str">
        <f aca="false">IF($AM1774=1,$A1774,"")</f>
        <v/>
      </c>
    </row>
    <row r="1775" customFormat="false" ht="15" hidden="false" customHeight="false" outlineLevel="0" collapsed="false">
      <c r="A1775" s="43" t="s">
        <v>162</v>
      </c>
      <c r="B1775" s="44" t="s">
        <v>164</v>
      </c>
      <c r="C1775" s="45" t="n">
        <v>46200</v>
      </c>
      <c r="D1775" s="46" t="n">
        <v>20260627</v>
      </c>
      <c r="E1775" s="47" t="s">
        <v>498</v>
      </c>
      <c r="F1775" s="48" t="n">
        <v>1165</v>
      </c>
      <c r="G1775" s="48" t="n">
        <v>1176</v>
      </c>
      <c r="H1775" s="48" t="n">
        <v>1145</v>
      </c>
      <c r="I1775" s="48" t="n">
        <v>1167</v>
      </c>
      <c r="J1775" s="48" t="n">
        <v>1168</v>
      </c>
      <c r="K1775" s="48" t="n">
        <v>1154</v>
      </c>
      <c r="L1775" s="48" t="n">
        <v>83886518</v>
      </c>
      <c r="M1775" s="48" t="n">
        <v>97895566506</v>
      </c>
      <c r="N1775" s="48" t="n">
        <v>2742</v>
      </c>
      <c r="O1775" s="48" t="n">
        <v>49804917</v>
      </c>
      <c r="P1775" s="48" t="n">
        <v>38350104</v>
      </c>
      <c r="Q1775" s="48" t="n">
        <v>1093</v>
      </c>
      <c r="R1775" s="48" t="n">
        <v>880</v>
      </c>
      <c r="S1775" s="48" t="n">
        <v>34081601</v>
      </c>
      <c r="T1775" s="48" t="n">
        <v>45536414</v>
      </c>
      <c r="U1775" s="46" t="n">
        <f aca="false">IF($A1775=$A1774,$U1774+1,1)</f>
        <v>211</v>
      </c>
      <c r="V1775" s="48" t="n">
        <f aca="false">IF($U1775&gt;=MA_SHORT,AVERAGE(INDEX($I$1375:$I1775,402-MA_SHORT):$I1775),"")</f>
        <v>1184.6</v>
      </c>
      <c r="W1775" s="48" t="n">
        <f aca="false">IF($U1775&gt;=MA_MED,AVERAGE(INDEX($I$1375:$I1775,402-MA_MED):$I1775),"")</f>
        <v>1199.7</v>
      </c>
      <c r="X1775" s="48" t="n">
        <f aca="false">IF($U1775&gt;=MA_LONG1,AVERAGE(INDEX($I$1375:$I1775,402-MA_LONG1):$I1775),"")</f>
        <v>1373.35</v>
      </c>
      <c r="Y1775" s="48" t="n">
        <f aca="false">IF($U1775&gt;=MA_LONG2,AVERAGE(INDEX($I$1375:$I1775,402-MA_LONG2):$I1775),"")</f>
        <v>1659.69</v>
      </c>
      <c r="Z1775" s="48" t="n">
        <f aca="false">IF($U1775&gt;=MA_SHORT,AVERAGE(INDEX($L$1655:$L1775,122-MA_SHORT):$L1775),"")</f>
        <v>101573634.55</v>
      </c>
      <c r="AA1775" s="48" t="n">
        <f aca="false">IF($U1775=1,$G1775-$H1775,MAX($G1775-$H1775,ABS($G1775-$I1774),ABS($H1775-$I1774)))</f>
        <v>31</v>
      </c>
      <c r="AB1775" s="48" t="n">
        <f aca="false">IF($U1775&gt;=ATR_PER,AVERAGE(INDEX($AA$1655:$AA1775,122-ATR_PER):$AA1775),"")</f>
        <v>39.1428571428571</v>
      </c>
      <c r="AC1775" s="48" t="n">
        <f aca="false">$O1775-$P1775</f>
        <v>11454813</v>
      </c>
      <c r="AD1775" s="48" t="n">
        <f aca="false">$AC1775*$I1775</f>
        <v>13367766771</v>
      </c>
      <c r="AE1775" s="49" t="n">
        <f aca="false">IF($Q1775&gt;0,$O1775*$I1775/$Q1775/1000000,"")</f>
        <v>53.1768875928637</v>
      </c>
      <c r="AF1775" s="49" t="n">
        <f aca="false">IF($R1775&gt;0,$P1775*$I1775/$R1775/1000000,"")</f>
        <v>50.8574674636364</v>
      </c>
      <c r="AG1775" s="50" t="n">
        <f aca="false">IF(AND(ISNUMBER($AE1775),ISNUMBER($AF1775),$AF1775&gt;0),$AE1775/$AF1775,"")</f>
        <v>1.04560628448292</v>
      </c>
      <c r="AH1775" s="48" t="n">
        <f aca="false">IF($U1775&gt;=5,SUM(INDEX($AD$1745:$AD1775,32-5):$AD1775),"")</f>
        <v>-8654472003</v>
      </c>
      <c r="AI1775" s="48" t="n">
        <f aca="false">IF($U1775&gt;=STRUCT_S,MAX(INDEX($G$1625:$G1775,152-STRUCT_S):$G1775),"")</f>
        <v>1240</v>
      </c>
      <c r="AJ1775" s="48" t="n">
        <f aca="false">IF($U1775&gt;=STRUCT_S,MIN(INDEX($H$1625:$H1775,152-STRUCT_S):$H1775),"")</f>
        <v>1123</v>
      </c>
      <c r="AK1775" s="48" t="n">
        <f aca="false">IF($U1775&gt;=STRUCT_L,MAX(INDEX($G$1525:$G1775,252-STRUCT_L):$G1775),"")</f>
        <v>1393</v>
      </c>
      <c r="AL1775" s="48" t="n">
        <f aca="false">IF($U1775&gt;=STRUCT_L,MIN(INDEX($H$1525:$H1775,252-STRUCT_L):$H1775),"")</f>
        <v>1107</v>
      </c>
      <c r="AM1775" s="46" t="n">
        <f aca="false">IF($A1775&lt;&gt;$A1776,1,0)</f>
        <v>0</v>
      </c>
      <c r="AN1775" s="47" t="str">
        <f aca="false">IF($AM1775=1,$A1775,"")</f>
        <v/>
      </c>
    </row>
    <row r="1776" customFormat="false" ht="15" hidden="false" customHeight="false" outlineLevel="0" collapsed="false">
      <c r="A1776" s="43" t="s">
        <v>162</v>
      </c>
      <c r="B1776" s="44" t="s">
        <v>164</v>
      </c>
      <c r="C1776" s="45" t="n">
        <v>46201</v>
      </c>
      <c r="D1776" s="46" t="n">
        <v>20260628</v>
      </c>
      <c r="E1776" s="47" t="s">
        <v>499</v>
      </c>
      <c r="F1776" s="48" t="n">
        <v>1171</v>
      </c>
      <c r="G1776" s="48" t="n">
        <v>1173</v>
      </c>
      <c r="H1776" s="48" t="n">
        <v>1161</v>
      </c>
      <c r="I1776" s="48" t="n">
        <v>1167</v>
      </c>
      <c r="J1776" s="48" t="n">
        <v>1166</v>
      </c>
      <c r="K1776" s="48" t="n">
        <v>1167</v>
      </c>
      <c r="L1776" s="48" t="n">
        <v>109970958</v>
      </c>
      <c r="M1776" s="48" t="n">
        <v>128336107986</v>
      </c>
      <c r="N1776" s="48" t="n">
        <v>3607</v>
      </c>
      <c r="O1776" s="48" t="n">
        <v>59613219</v>
      </c>
      <c r="P1776" s="48" t="n">
        <v>46729410</v>
      </c>
      <c r="Q1776" s="48" t="n">
        <v>1683</v>
      </c>
      <c r="R1776" s="48" t="n">
        <v>1407</v>
      </c>
      <c r="S1776" s="48" t="n">
        <v>50357739</v>
      </c>
      <c r="T1776" s="48" t="n">
        <v>63241548</v>
      </c>
      <c r="U1776" s="46" t="n">
        <f aca="false">IF($A1776=$A1775,$U1775+1,1)</f>
        <v>212</v>
      </c>
      <c r="V1776" s="48" t="n">
        <f aca="false">IF($U1776&gt;=MA_SHORT,AVERAGE(INDEX($I$1376:$I1776,402-MA_SHORT):$I1776),"")</f>
        <v>1184.95</v>
      </c>
      <c r="W1776" s="48" t="n">
        <f aca="false">IF($U1776&gt;=MA_MED,AVERAGE(INDEX($I$1376:$I1776,402-MA_MED):$I1776),"")</f>
        <v>1197.22</v>
      </c>
      <c r="X1776" s="48" t="n">
        <f aca="false">IF($U1776&gt;=MA_LONG1,AVERAGE(INDEX($I$1376:$I1776,402-MA_LONG1):$I1776),"")</f>
        <v>1367.46</v>
      </c>
      <c r="Y1776" s="48" t="n">
        <f aca="false">IF($U1776&gt;=MA_LONG2,AVERAGE(INDEX($I$1376:$I1776,402-MA_LONG2):$I1776),"")</f>
        <v>1655.465</v>
      </c>
      <c r="Z1776" s="48" t="n">
        <f aca="false">IF($U1776&gt;=MA_SHORT,AVERAGE(INDEX($L$1656:$L1776,122-MA_SHORT):$L1776),"")</f>
        <v>96421296.3</v>
      </c>
      <c r="AA1776" s="48" t="n">
        <f aca="false">IF($U1776=1,$G1776-$H1776,MAX($G1776-$H1776,ABS($G1776-$I1775),ABS($H1776-$I1775)))</f>
        <v>12</v>
      </c>
      <c r="AB1776" s="48" t="n">
        <f aca="false">IF($U1776&gt;=ATR_PER,AVERAGE(INDEX($AA$1656:$AA1776,122-ATR_PER):$AA1776),"")</f>
        <v>38.7857142857143</v>
      </c>
      <c r="AC1776" s="48" t="n">
        <f aca="false">$O1776-$P1776</f>
        <v>12883809</v>
      </c>
      <c r="AD1776" s="48" t="n">
        <f aca="false">$AC1776*$I1776</f>
        <v>15035405103</v>
      </c>
      <c r="AE1776" s="49" t="n">
        <f aca="false">IF($Q1776&gt;0,$O1776*$I1776/$Q1776/1000000,"")</f>
        <v>41.3360823368984</v>
      </c>
      <c r="AF1776" s="49" t="n">
        <f aca="false">IF($R1776&gt;0,$P1776*$I1776/$R1776/1000000,"")</f>
        <v>38.7585085074627</v>
      </c>
      <c r="AG1776" s="50" t="n">
        <f aca="false">IF(AND(ISNUMBER($AE1776),ISNUMBER($AF1776),$AF1776&gt;0),$AE1776/$AF1776,"")</f>
        <v>1.06650343185779</v>
      </c>
      <c r="AH1776" s="48" t="n">
        <f aca="false">IF($U1776&gt;=5,SUM(INDEX($AD$1746:$AD1776,32-5):$AD1776),"")</f>
        <v>26190431340</v>
      </c>
      <c r="AI1776" s="48" t="n">
        <f aca="false">IF($U1776&gt;=STRUCT_S,MAX(INDEX($G$1626:$G1776,152-STRUCT_S):$G1776),"")</f>
        <v>1240</v>
      </c>
      <c r="AJ1776" s="48" t="n">
        <f aca="false">IF($U1776&gt;=STRUCT_S,MIN(INDEX($H$1626:$H1776,152-STRUCT_S):$H1776),"")</f>
        <v>1123</v>
      </c>
      <c r="AK1776" s="48" t="n">
        <f aca="false">IF($U1776&gt;=STRUCT_L,MAX(INDEX($G$1526:$G1776,252-STRUCT_L):$G1776),"")</f>
        <v>1391</v>
      </c>
      <c r="AL1776" s="48" t="n">
        <f aca="false">IF($U1776&gt;=STRUCT_L,MIN(INDEX($H$1526:$H1776,252-STRUCT_L):$H1776),"")</f>
        <v>1107</v>
      </c>
      <c r="AM1776" s="46" t="n">
        <f aca="false">IF($A1776&lt;&gt;$A1777,1,0)</f>
        <v>0</v>
      </c>
      <c r="AN1776" s="47" t="str">
        <f aca="false">IF($AM1776=1,$A1776,"")</f>
        <v/>
      </c>
    </row>
    <row r="1777" customFormat="false" ht="15" hidden="false" customHeight="false" outlineLevel="0" collapsed="false">
      <c r="A1777" s="43" t="s">
        <v>162</v>
      </c>
      <c r="B1777" s="44" t="s">
        <v>164</v>
      </c>
      <c r="C1777" s="45" t="n">
        <v>46202</v>
      </c>
      <c r="D1777" s="46" t="n">
        <v>20260629</v>
      </c>
      <c r="E1777" s="47" t="s">
        <v>500</v>
      </c>
      <c r="F1777" s="48" t="n">
        <v>1160</v>
      </c>
      <c r="G1777" s="48" t="n">
        <v>1175</v>
      </c>
      <c r="H1777" s="48" t="n">
        <v>1145</v>
      </c>
      <c r="I1777" s="48" t="n">
        <v>1153</v>
      </c>
      <c r="J1777" s="48" t="n">
        <v>1170</v>
      </c>
      <c r="K1777" s="48" t="n">
        <v>1167</v>
      </c>
      <c r="L1777" s="48" t="n">
        <v>84231343</v>
      </c>
      <c r="M1777" s="48" t="n">
        <v>97118738479</v>
      </c>
      <c r="N1777" s="48" t="n">
        <v>4587</v>
      </c>
      <c r="O1777" s="48" t="n">
        <v>40671162</v>
      </c>
      <c r="P1777" s="48" t="n">
        <v>48459472</v>
      </c>
      <c r="Q1777" s="48" t="n">
        <v>1512</v>
      </c>
      <c r="R1777" s="48" t="n">
        <v>2291</v>
      </c>
      <c r="S1777" s="48" t="n">
        <v>43560181</v>
      </c>
      <c r="T1777" s="48" t="n">
        <v>35771871</v>
      </c>
      <c r="U1777" s="46" t="n">
        <f aca="false">IF($A1777=$A1776,$U1776+1,1)</f>
        <v>213</v>
      </c>
      <c r="V1777" s="48" t="n">
        <f aca="false">IF($U1777&gt;=MA_SHORT,AVERAGE(INDEX($I$1377:$I1777,402-MA_SHORT):$I1777),"")</f>
        <v>1184.45</v>
      </c>
      <c r="W1777" s="48" t="n">
        <f aca="false">IF($U1777&gt;=MA_MED,AVERAGE(INDEX($I$1377:$I1777,402-MA_MED):$I1777),"")</f>
        <v>1193.48</v>
      </c>
      <c r="X1777" s="48" t="n">
        <f aca="false">IF($U1777&gt;=MA_LONG1,AVERAGE(INDEX($I$1377:$I1777,402-MA_LONG1):$I1777),"")</f>
        <v>1361.39</v>
      </c>
      <c r="Y1777" s="48" t="n">
        <f aca="false">IF($U1777&gt;=MA_LONG2,AVERAGE(INDEX($I$1377:$I1777,402-MA_LONG2):$I1777),"")</f>
        <v>1651.255</v>
      </c>
      <c r="Z1777" s="48" t="n">
        <f aca="false">IF($U1777&gt;=MA_SHORT,AVERAGE(INDEX($L$1657:$L1777,122-MA_SHORT):$L1777),"")</f>
        <v>95051672.95</v>
      </c>
      <c r="AA1777" s="48" t="n">
        <f aca="false">IF($U1777=1,$G1777-$H1777,MAX($G1777-$H1777,ABS($G1777-$I1776),ABS($H1777-$I1776)))</f>
        <v>30</v>
      </c>
      <c r="AB1777" s="48" t="n">
        <f aca="false">IF($U1777&gt;=ATR_PER,AVERAGE(INDEX($AA$1657:$AA1777,122-ATR_PER):$AA1777),"")</f>
        <v>37.1428571428571</v>
      </c>
      <c r="AC1777" s="48" t="n">
        <f aca="false">$O1777-$P1777</f>
        <v>-7788310</v>
      </c>
      <c r="AD1777" s="48" t="n">
        <f aca="false">$AC1777*$I1777</f>
        <v>-8979921430</v>
      </c>
      <c r="AE1777" s="49" t="n">
        <f aca="false">IF($Q1777&gt;0,$O1777*$I1777/$Q1777/1000000,"")</f>
        <v>31.0144509166667</v>
      </c>
      <c r="AF1777" s="49" t="n">
        <f aca="false">IF($R1777&gt;0,$P1777*$I1777/$R1777/1000000,"")</f>
        <v>24.3883767856831</v>
      </c>
      <c r="AG1777" s="50" t="n">
        <f aca="false">IF(AND(ISNUMBER($AE1777),ISNUMBER($AF1777),$AF1777&gt;0),$AE1777/$AF1777,"")</f>
        <v>1.27168983771291</v>
      </c>
      <c r="AH1777" s="48" t="n">
        <f aca="false">IF($U1777&gt;=5,SUM(INDEX($AD$1747:$AD1777,32-5):$AD1777),"")</f>
        <v>16671142574</v>
      </c>
      <c r="AI1777" s="48" t="n">
        <f aca="false">IF($U1777&gt;=STRUCT_S,MAX(INDEX($G$1627:$G1777,152-STRUCT_S):$G1777),"")</f>
        <v>1240</v>
      </c>
      <c r="AJ1777" s="48" t="n">
        <f aca="false">IF($U1777&gt;=STRUCT_S,MIN(INDEX($H$1627:$H1777,152-STRUCT_S):$H1777),"")</f>
        <v>1123</v>
      </c>
      <c r="AK1777" s="48" t="n">
        <f aca="false">IF($U1777&gt;=STRUCT_L,MAX(INDEX($G$1527:$G1777,252-STRUCT_L):$G1777),"")</f>
        <v>1391</v>
      </c>
      <c r="AL1777" s="48" t="n">
        <f aca="false">IF($U1777&gt;=STRUCT_L,MIN(INDEX($H$1527:$H1777,252-STRUCT_L):$H1777),"")</f>
        <v>1107</v>
      </c>
      <c r="AM1777" s="46" t="n">
        <f aca="false">IF($A1777&lt;&gt;$A1778,1,0)</f>
        <v>0</v>
      </c>
      <c r="AN1777" s="47" t="str">
        <f aca="false">IF($AM1777=1,$A1777,"")</f>
        <v/>
      </c>
    </row>
    <row r="1778" customFormat="false" ht="15" hidden="false" customHeight="false" outlineLevel="0" collapsed="false">
      <c r="A1778" s="43" t="s">
        <v>162</v>
      </c>
      <c r="B1778" s="44" t="s">
        <v>164</v>
      </c>
      <c r="C1778" s="45" t="n">
        <v>46203</v>
      </c>
      <c r="D1778" s="46" t="n">
        <v>20260630</v>
      </c>
      <c r="E1778" s="47" t="s">
        <v>501</v>
      </c>
      <c r="F1778" s="48" t="n">
        <v>1153</v>
      </c>
      <c r="G1778" s="48" t="n">
        <v>1172</v>
      </c>
      <c r="H1778" s="48" t="n">
        <v>1136</v>
      </c>
      <c r="I1778" s="48" t="n">
        <v>1155</v>
      </c>
      <c r="J1778" s="48" t="n">
        <v>1161</v>
      </c>
      <c r="K1778" s="48" t="n">
        <v>1153</v>
      </c>
      <c r="L1778" s="48" t="n">
        <v>79393306</v>
      </c>
      <c r="M1778" s="48" t="n">
        <v>91699268430</v>
      </c>
      <c r="N1778" s="48" t="n">
        <v>2208</v>
      </c>
      <c r="O1778" s="48" t="n">
        <v>35938625</v>
      </c>
      <c r="P1778" s="48" t="n">
        <v>45552576</v>
      </c>
      <c r="Q1778" s="48" t="n">
        <v>1121</v>
      </c>
      <c r="R1778" s="48" t="n">
        <v>857</v>
      </c>
      <c r="S1778" s="48" t="n">
        <v>43454681</v>
      </c>
      <c r="T1778" s="48" t="n">
        <v>33840730</v>
      </c>
      <c r="U1778" s="46" t="n">
        <f aca="false">IF($A1778=$A1777,$U1777+1,1)</f>
        <v>214</v>
      </c>
      <c r="V1778" s="48" t="n">
        <f aca="false">IF($U1778&gt;=MA_SHORT,AVERAGE(INDEX($I$1378:$I1778,402-MA_SHORT):$I1778),"")</f>
        <v>1182.8</v>
      </c>
      <c r="W1778" s="48" t="n">
        <f aca="false">IF($U1778&gt;=MA_MED,AVERAGE(INDEX($I$1378:$I1778,402-MA_MED):$I1778),"")</f>
        <v>1190.12</v>
      </c>
      <c r="X1778" s="48" t="n">
        <f aca="false">IF($U1778&gt;=MA_LONG1,AVERAGE(INDEX($I$1378:$I1778,402-MA_LONG1):$I1778),"")</f>
        <v>1355.58</v>
      </c>
      <c r="Y1778" s="48" t="n">
        <f aca="false">IF($U1778&gt;=MA_LONG2,AVERAGE(INDEX($I$1378:$I1778,402-MA_LONG2):$I1778),"")</f>
        <v>1647.105</v>
      </c>
      <c r="Z1778" s="48" t="n">
        <f aca="false">IF($U1778&gt;=MA_SHORT,AVERAGE(INDEX($L$1658:$L1778,122-MA_SHORT):$L1778),"")</f>
        <v>93181254.3</v>
      </c>
      <c r="AA1778" s="48" t="n">
        <f aca="false">IF($U1778=1,$G1778-$H1778,MAX($G1778-$H1778,ABS($G1778-$I1777),ABS($H1778-$I1777)))</f>
        <v>36</v>
      </c>
      <c r="AB1778" s="48" t="n">
        <f aca="false">IF($U1778&gt;=ATR_PER,AVERAGE(INDEX($AA$1658:$AA1778,122-ATR_PER):$AA1778),"")</f>
        <v>36.2857142857143</v>
      </c>
      <c r="AC1778" s="48" t="n">
        <f aca="false">$O1778-$P1778</f>
        <v>-9613951</v>
      </c>
      <c r="AD1778" s="48" t="n">
        <f aca="false">$AC1778*$I1778</f>
        <v>-11104113405</v>
      </c>
      <c r="AE1778" s="49" t="n">
        <f aca="false">IF($Q1778&gt;0,$O1778*$I1778/$Q1778/1000000,"")</f>
        <v>37.0286457404104</v>
      </c>
      <c r="AF1778" s="49" t="n">
        <f aca="false">IF($R1778&gt;0,$P1778*$I1778/$R1778/1000000,"")</f>
        <v>61.3923282147025</v>
      </c>
      <c r="AG1778" s="50" t="n">
        <f aca="false">IF(AND(ISNUMBER($AE1778),ISNUMBER($AF1778),$AF1778&gt;0),$AE1778/$AF1778,"")</f>
        <v>0.603147768087782</v>
      </c>
      <c r="AH1778" s="48" t="n">
        <f aca="false">IF($U1778&gt;=5,SUM(INDEX($AD$1748:$AD1778,32-5):$AD1778),"")</f>
        <v>-6898765975</v>
      </c>
      <c r="AI1778" s="48" t="n">
        <f aca="false">IF($U1778&gt;=STRUCT_S,MAX(INDEX($G$1628:$G1778,152-STRUCT_S):$G1778),"")</f>
        <v>1240</v>
      </c>
      <c r="AJ1778" s="48" t="n">
        <f aca="false">IF($U1778&gt;=STRUCT_S,MIN(INDEX($H$1628:$H1778,152-STRUCT_S):$H1778),"")</f>
        <v>1123</v>
      </c>
      <c r="AK1778" s="48" t="n">
        <f aca="false">IF($U1778&gt;=STRUCT_L,MAX(INDEX($G$1528:$G1778,252-STRUCT_L):$G1778),"")</f>
        <v>1391</v>
      </c>
      <c r="AL1778" s="48" t="n">
        <f aca="false">IF($U1778&gt;=STRUCT_L,MIN(INDEX($H$1528:$H1778,252-STRUCT_L):$H1778),"")</f>
        <v>1107</v>
      </c>
      <c r="AM1778" s="46" t="n">
        <f aca="false">IF($A1778&lt;&gt;$A1779,1,0)</f>
        <v>0</v>
      </c>
      <c r="AN1778" s="47" t="str">
        <f aca="false">IF($AM1778=1,$A1778,"")</f>
        <v/>
      </c>
    </row>
    <row r="1779" customFormat="false" ht="15" hidden="false" customHeight="false" outlineLevel="0" collapsed="false">
      <c r="A1779" s="43" t="s">
        <v>162</v>
      </c>
      <c r="B1779" s="44" t="s">
        <v>164</v>
      </c>
      <c r="C1779" s="45" t="n">
        <v>46204</v>
      </c>
      <c r="D1779" s="46" t="n">
        <v>20260701</v>
      </c>
      <c r="E1779" s="47" t="s">
        <v>502</v>
      </c>
      <c r="F1779" s="48" t="n">
        <v>1184</v>
      </c>
      <c r="G1779" s="48" t="n">
        <v>1191</v>
      </c>
      <c r="H1779" s="48" t="n">
        <v>1146</v>
      </c>
      <c r="I1779" s="48" t="n">
        <v>1182</v>
      </c>
      <c r="J1779" s="48" t="n">
        <v>1184</v>
      </c>
      <c r="K1779" s="48" t="n">
        <v>1155</v>
      </c>
      <c r="L1779" s="48" t="n">
        <v>89596503</v>
      </c>
      <c r="M1779" s="48" t="n">
        <v>105903066546</v>
      </c>
      <c r="N1779" s="48" t="n">
        <v>5528</v>
      </c>
      <c r="O1779" s="48" t="n">
        <v>49895421</v>
      </c>
      <c r="P1779" s="48" t="n">
        <v>38709916</v>
      </c>
      <c r="Q1779" s="48" t="n">
        <v>2577</v>
      </c>
      <c r="R1779" s="48" t="n">
        <v>2043</v>
      </c>
      <c r="S1779" s="48" t="n">
        <v>39701082</v>
      </c>
      <c r="T1779" s="48" t="n">
        <v>50886587</v>
      </c>
      <c r="U1779" s="46" t="n">
        <f aca="false">IF($A1779=$A1778,$U1778+1,1)</f>
        <v>215</v>
      </c>
      <c r="V1779" s="48" t="n">
        <f aca="false">IF($U1779&gt;=MA_SHORT,AVERAGE(INDEX($I$1379:$I1779,402-MA_SHORT):$I1779),"")</f>
        <v>1181.35</v>
      </c>
      <c r="W1779" s="48" t="n">
        <f aca="false">IF($U1779&gt;=MA_MED,AVERAGE(INDEX($I$1379:$I1779,402-MA_MED):$I1779),"")</f>
        <v>1187.64</v>
      </c>
      <c r="X1779" s="48" t="n">
        <f aca="false">IF($U1779&gt;=MA_LONG1,AVERAGE(INDEX($I$1379:$I1779,402-MA_LONG1):$I1779),"")</f>
        <v>1350.54</v>
      </c>
      <c r="Y1779" s="48" t="n">
        <f aca="false">IF($U1779&gt;=MA_LONG2,AVERAGE(INDEX($I$1379:$I1779,402-MA_LONG2):$I1779),"")</f>
        <v>1642.915</v>
      </c>
      <c r="Z1779" s="48" t="n">
        <f aca="false">IF($U1779&gt;=MA_SHORT,AVERAGE(INDEX($L$1659:$L1779,122-MA_SHORT):$L1779),"")</f>
        <v>92152514.2</v>
      </c>
      <c r="AA1779" s="48" t="n">
        <f aca="false">IF($U1779=1,$G1779-$H1779,MAX($G1779-$H1779,ABS($G1779-$I1778),ABS($H1779-$I1778)))</f>
        <v>45</v>
      </c>
      <c r="AB1779" s="48" t="n">
        <f aca="false">IF($U1779&gt;=ATR_PER,AVERAGE(INDEX($AA$1659:$AA1779,122-ATR_PER):$AA1779),"")</f>
        <v>35.1428571428571</v>
      </c>
      <c r="AC1779" s="48" t="n">
        <f aca="false">$O1779-$P1779</f>
        <v>11185505</v>
      </c>
      <c r="AD1779" s="48" t="n">
        <f aca="false">$AC1779*$I1779</f>
        <v>13221266910</v>
      </c>
      <c r="AE1779" s="49" t="n">
        <f aca="false">IF($Q1779&gt;0,$O1779*$I1779/$Q1779/1000000,"")</f>
        <v>22.8856762211874</v>
      </c>
      <c r="AF1779" s="49" t="n">
        <f aca="false">IF($R1779&gt;0,$P1779*$I1779/$R1779/1000000,"")</f>
        <v>22.3960453803231</v>
      </c>
      <c r="AG1779" s="50" t="n">
        <f aca="false">IF(AND(ISNUMBER($AE1779),ISNUMBER($AF1779),$AF1779&gt;0),$AE1779/$AF1779,"")</f>
        <v>1.02186237938661</v>
      </c>
      <c r="AH1779" s="48" t="n">
        <f aca="false">IF($U1779&gt;=5,SUM(INDEX($AD$1749:$AD1779,32-5):$AD1779),"")</f>
        <v>21540403949</v>
      </c>
      <c r="AI1779" s="48" t="n">
        <f aca="false">IF($U1779&gt;=STRUCT_S,MAX(INDEX($G$1629:$G1779,152-STRUCT_S):$G1779),"")</f>
        <v>1240</v>
      </c>
      <c r="AJ1779" s="48" t="n">
        <f aca="false">IF($U1779&gt;=STRUCT_S,MIN(INDEX($H$1629:$H1779,152-STRUCT_S):$H1779),"")</f>
        <v>1123</v>
      </c>
      <c r="AK1779" s="48" t="n">
        <f aca="false">IF($U1779&gt;=STRUCT_L,MAX(INDEX($G$1529:$G1779,252-STRUCT_L):$G1779),"")</f>
        <v>1362</v>
      </c>
      <c r="AL1779" s="48" t="n">
        <f aca="false">IF($U1779&gt;=STRUCT_L,MIN(INDEX($H$1529:$H1779,252-STRUCT_L):$H1779),"")</f>
        <v>1107</v>
      </c>
      <c r="AM1779" s="46" t="n">
        <f aca="false">IF($A1779&lt;&gt;$A1780,1,0)</f>
        <v>0</v>
      </c>
      <c r="AN1779" s="47" t="str">
        <f aca="false">IF($AM1779=1,$A1779,"")</f>
        <v/>
      </c>
    </row>
    <row r="1780" customFormat="false" ht="15" hidden="false" customHeight="false" outlineLevel="0" collapsed="false">
      <c r="A1780" s="43" t="s">
        <v>162</v>
      </c>
      <c r="B1780" s="44" t="s">
        <v>164</v>
      </c>
      <c r="C1780" s="45" t="n">
        <v>46207</v>
      </c>
      <c r="D1780" s="46" t="n">
        <v>20260704</v>
      </c>
      <c r="E1780" s="47" t="s">
        <v>503</v>
      </c>
      <c r="F1780" s="48" t="n">
        <v>1176</v>
      </c>
      <c r="G1780" s="48" t="n">
        <v>1199</v>
      </c>
      <c r="H1780" s="48" t="n">
        <v>1164</v>
      </c>
      <c r="I1780" s="48" t="n">
        <v>1181</v>
      </c>
      <c r="J1780" s="48" t="n">
        <v>1199</v>
      </c>
      <c r="K1780" s="48" t="n">
        <v>1182</v>
      </c>
      <c r="L1780" s="48" t="n">
        <v>96683440</v>
      </c>
      <c r="M1780" s="48" t="n">
        <v>114183142640</v>
      </c>
      <c r="N1780" s="48" t="n">
        <v>2928</v>
      </c>
      <c r="O1780" s="48" t="n">
        <v>52770734</v>
      </c>
      <c r="P1780" s="48" t="n">
        <v>47364581</v>
      </c>
      <c r="Q1780" s="48" t="n">
        <v>1290</v>
      </c>
      <c r="R1780" s="48" t="n">
        <v>1162</v>
      </c>
      <c r="S1780" s="48" t="n">
        <v>43912706</v>
      </c>
      <c r="T1780" s="48" t="n">
        <v>49318859</v>
      </c>
      <c r="U1780" s="46" t="n">
        <f aca="false">IF($A1780=$A1779,$U1779+1,1)</f>
        <v>216</v>
      </c>
      <c r="V1780" s="48" t="n">
        <f aca="false">IF($U1780&gt;=MA_SHORT,AVERAGE(INDEX($I$1380:$I1780,402-MA_SHORT):$I1780),"")</f>
        <v>1179.95</v>
      </c>
      <c r="W1780" s="48" t="n">
        <f aca="false">IF($U1780&gt;=MA_MED,AVERAGE(INDEX($I$1380:$I1780,402-MA_MED):$I1780),"")</f>
        <v>1185.42</v>
      </c>
      <c r="X1780" s="48" t="n">
        <f aca="false">IF($U1780&gt;=MA_LONG1,AVERAGE(INDEX($I$1380:$I1780,402-MA_LONG1):$I1780),"")</f>
        <v>1345.31</v>
      </c>
      <c r="Y1780" s="48" t="n">
        <f aca="false">IF($U1780&gt;=MA_LONG2,AVERAGE(INDEX($I$1380:$I1780,402-MA_LONG2):$I1780),"")</f>
        <v>1639.005</v>
      </c>
      <c r="Z1780" s="48" t="n">
        <f aca="false">IF($U1780&gt;=MA_SHORT,AVERAGE(INDEX($L$1660:$L1780,122-MA_SHORT):$L1780),"")</f>
        <v>92009687.1</v>
      </c>
      <c r="AA1780" s="48" t="n">
        <f aca="false">IF($U1780=1,$G1780-$H1780,MAX($G1780-$H1780,ABS($G1780-$I1779),ABS($H1780-$I1779)))</f>
        <v>35</v>
      </c>
      <c r="AB1780" s="48" t="n">
        <f aca="false">IF($U1780&gt;=ATR_PER,AVERAGE(INDEX($AA$1660:$AA1780,122-ATR_PER):$AA1780),"")</f>
        <v>37</v>
      </c>
      <c r="AC1780" s="48" t="n">
        <f aca="false">$O1780-$P1780</f>
        <v>5406153</v>
      </c>
      <c r="AD1780" s="48" t="n">
        <f aca="false">$AC1780*$I1780</f>
        <v>6384666693</v>
      </c>
      <c r="AE1780" s="49" t="n">
        <f aca="false">IF($Q1780&gt;0,$O1780*$I1780/$Q1780/1000000,"")</f>
        <v>48.3118115147287</v>
      </c>
      <c r="AF1780" s="49" t="n">
        <f aca="false">IF($R1780&gt;0,$P1780*$I1780/$R1780/1000000,"")</f>
        <v>48.1390448889845</v>
      </c>
      <c r="AG1780" s="50" t="n">
        <f aca="false">IF(AND(ISNUMBER($AE1780),ISNUMBER($AF1780),$AF1780&gt;0),$AE1780/$AF1780,"")</f>
        <v>1.00358890846594</v>
      </c>
      <c r="AH1780" s="48" t="n">
        <f aca="false">IF($U1780&gt;=5,SUM(INDEX($AD$1750:$AD1780,32-5):$AD1780),"")</f>
        <v>14557303871</v>
      </c>
      <c r="AI1780" s="48" t="n">
        <f aca="false">IF($U1780&gt;=STRUCT_S,MAX(INDEX($G$1630:$G1780,152-STRUCT_S):$G1780),"")</f>
        <v>1240</v>
      </c>
      <c r="AJ1780" s="48" t="n">
        <f aca="false">IF($U1780&gt;=STRUCT_S,MIN(INDEX($H$1630:$H1780,152-STRUCT_S):$H1780),"")</f>
        <v>1123</v>
      </c>
      <c r="AK1780" s="48" t="n">
        <f aca="false">IF($U1780&gt;=STRUCT_L,MAX(INDEX($G$1530:$G1780,252-STRUCT_L):$G1780),"")</f>
        <v>1362</v>
      </c>
      <c r="AL1780" s="48" t="n">
        <f aca="false">IF($U1780&gt;=STRUCT_L,MIN(INDEX($H$1530:$H1780,252-STRUCT_L):$H1780),"")</f>
        <v>1107</v>
      </c>
      <c r="AM1780" s="46" t="n">
        <f aca="false">IF($A1780&lt;&gt;$A1781,1,0)</f>
        <v>0</v>
      </c>
      <c r="AN1780" s="47" t="str">
        <f aca="false">IF($AM1780=1,$A1780,"")</f>
        <v/>
      </c>
    </row>
    <row r="1781" customFormat="false" ht="15" hidden="false" customHeight="false" outlineLevel="0" collapsed="false">
      <c r="A1781" s="43" t="s">
        <v>162</v>
      </c>
      <c r="B1781" s="44" t="s">
        <v>164</v>
      </c>
      <c r="C1781" s="45" t="n">
        <v>46208</v>
      </c>
      <c r="D1781" s="46" t="n">
        <v>20260705</v>
      </c>
      <c r="E1781" s="47" t="s">
        <v>504</v>
      </c>
      <c r="F1781" s="48" t="n">
        <v>1171</v>
      </c>
      <c r="G1781" s="48" t="n">
        <v>1191</v>
      </c>
      <c r="H1781" s="48" t="n">
        <v>1164</v>
      </c>
      <c r="I1781" s="48" t="n">
        <v>1174</v>
      </c>
      <c r="J1781" s="48" t="n">
        <v>1183</v>
      </c>
      <c r="K1781" s="48" t="n">
        <v>1181</v>
      </c>
      <c r="L1781" s="48" t="n">
        <v>81369909</v>
      </c>
      <c r="M1781" s="48" t="n">
        <v>95528273166</v>
      </c>
      <c r="N1781" s="48" t="n">
        <v>3017</v>
      </c>
      <c r="O1781" s="48" t="n">
        <v>42647469</v>
      </c>
      <c r="P1781" s="48" t="n">
        <v>32739358</v>
      </c>
      <c r="Q1781" s="48" t="n">
        <v>1596</v>
      </c>
      <c r="R1781" s="48" t="n">
        <v>1660</v>
      </c>
      <c r="S1781" s="48" t="n">
        <v>38722440</v>
      </c>
      <c r="T1781" s="48" t="n">
        <v>48630551</v>
      </c>
      <c r="U1781" s="46" t="n">
        <f aca="false">IF($A1781=$A1780,$U1780+1,1)</f>
        <v>217</v>
      </c>
      <c r="V1781" s="48" t="n">
        <f aca="false">IF($U1781&gt;=MA_SHORT,AVERAGE(INDEX($I$1381:$I1781,402-MA_SHORT):$I1781),"")</f>
        <v>1177.35</v>
      </c>
      <c r="W1781" s="48" t="n">
        <f aca="false">IF($U1781&gt;=MA_MED,AVERAGE(INDEX($I$1381:$I1781,402-MA_MED):$I1781),"")</f>
        <v>1183.18</v>
      </c>
      <c r="X1781" s="48" t="n">
        <f aca="false">IF($U1781&gt;=MA_LONG1,AVERAGE(INDEX($I$1381:$I1781,402-MA_LONG1):$I1781),"")</f>
        <v>1340.36</v>
      </c>
      <c r="Y1781" s="48" t="n">
        <f aca="false">IF($U1781&gt;=MA_LONG2,AVERAGE(INDEX($I$1381:$I1781,402-MA_LONG2):$I1781),"")</f>
        <v>1634.735</v>
      </c>
      <c r="Z1781" s="48" t="n">
        <f aca="false">IF($U1781&gt;=MA_SHORT,AVERAGE(INDEX($L$1661:$L1781,122-MA_SHORT):$L1781),"")</f>
        <v>91817946.45</v>
      </c>
      <c r="AA1781" s="48" t="n">
        <f aca="false">IF($U1781=1,$G1781-$H1781,MAX($G1781-$H1781,ABS($G1781-$I1780),ABS($H1781-$I1780)))</f>
        <v>27</v>
      </c>
      <c r="AB1781" s="48" t="n">
        <f aca="false">IF($U1781&gt;=ATR_PER,AVERAGE(INDEX($AA$1661:$AA1781,122-ATR_PER):$AA1781),"")</f>
        <v>35</v>
      </c>
      <c r="AC1781" s="48" t="n">
        <f aca="false">$O1781-$P1781</f>
        <v>9908111</v>
      </c>
      <c r="AD1781" s="48" t="n">
        <f aca="false">$AC1781*$I1781</f>
        <v>11632122314</v>
      </c>
      <c r="AE1781" s="49" t="n">
        <f aca="false">IF($Q1781&gt;0,$O1781*$I1781/$Q1781/1000000,"")</f>
        <v>31.3710078984962</v>
      </c>
      <c r="AF1781" s="49" t="n">
        <f aca="false">IF($R1781&gt;0,$P1781*$I1781/$R1781/1000000,"")</f>
        <v>23.1542206578313</v>
      </c>
      <c r="AG1781" s="50" t="n">
        <f aca="false">IF(AND(ISNUMBER($AE1781),ISNUMBER($AF1781),$AF1781&gt;0),$AE1781/$AF1781,"")</f>
        <v>1.35487211433678</v>
      </c>
      <c r="AH1781" s="48" t="n">
        <f aca="false">IF($U1781&gt;=5,SUM(INDEX($AD$1751:$AD1781,32-5):$AD1781),"")</f>
        <v>11154021082</v>
      </c>
      <c r="AI1781" s="48" t="n">
        <f aca="false">IF($U1781&gt;=STRUCT_S,MAX(INDEX($G$1631:$G1781,152-STRUCT_S):$G1781),"")</f>
        <v>1240</v>
      </c>
      <c r="AJ1781" s="48" t="n">
        <f aca="false">IF($U1781&gt;=STRUCT_S,MIN(INDEX($H$1631:$H1781,152-STRUCT_S):$H1781),"")</f>
        <v>1123</v>
      </c>
      <c r="AK1781" s="48" t="n">
        <f aca="false">IF($U1781&gt;=STRUCT_L,MAX(INDEX($G$1531:$G1781,252-STRUCT_L):$G1781),"")</f>
        <v>1358</v>
      </c>
      <c r="AL1781" s="48" t="n">
        <f aca="false">IF($U1781&gt;=STRUCT_L,MIN(INDEX($H$1531:$H1781,252-STRUCT_L):$H1781),"")</f>
        <v>1107</v>
      </c>
      <c r="AM1781" s="46" t="n">
        <f aca="false">IF($A1781&lt;&gt;$A1782,1,0)</f>
        <v>0</v>
      </c>
      <c r="AN1781" s="47" t="str">
        <f aca="false">IF($AM1781=1,$A1781,"")</f>
        <v/>
      </c>
    </row>
    <row r="1782" customFormat="false" ht="15" hidden="false" customHeight="false" outlineLevel="0" collapsed="false">
      <c r="A1782" s="43" t="s">
        <v>162</v>
      </c>
      <c r="B1782" s="44" t="s">
        <v>164</v>
      </c>
      <c r="C1782" s="45" t="n">
        <v>46209</v>
      </c>
      <c r="D1782" s="46" t="n">
        <v>20260706</v>
      </c>
      <c r="E1782" s="47" t="s">
        <v>505</v>
      </c>
      <c r="F1782" s="48" t="n">
        <v>1185</v>
      </c>
      <c r="G1782" s="48" t="n">
        <v>1205</v>
      </c>
      <c r="H1782" s="48" t="n">
        <v>1165</v>
      </c>
      <c r="I1782" s="48" t="n">
        <v>1196</v>
      </c>
      <c r="J1782" s="48" t="n">
        <v>1188</v>
      </c>
      <c r="K1782" s="48" t="n">
        <v>1174</v>
      </c>
      <c r="L1782" s="48" t="n">
        <v>87410248</v>
      </c>
      <c r="M1782" s="48" t="n">
        <v>104542656608</v>
      </c>
      <c r="N1782" s="48" t="n">
        <v>2236</v>
      </c>
      <c r="O1782" s="48" t="n">
        <v>44826706</v>
      </c>
      <c r="P1782" s="48" t="n">
        <v>44378527</v>
      </c>
      <c r="Q1782" s="48" t="n">
        <v>1230</v>
      </c>
      <c r="R1782" s="48" t="n">
        <v>892</v>
      </c>
      <c r="S1782" s="48" t="n">
        <v>42583542</v>
      </c>
      <c r="T1782" s="48" t="n">
        <v>43031721</v>
      </c>
      <c r="U1782" s="46" t="n">
        <f aca="false">IF($A1782=$A1781,$U1781+1,1)</f>
        <v>218</v>
      </c>
      <c r="V1782" s="48" t="n">
        <f aca="false">IF($U1782&gt;=MA_SHORT,AVERAGE(INDEX($I$1382:$I1782,402-MA_SHORT):$I1782),"")</f>
        <v>1176.2</v>
      </c>
      <c r="W1782" s="48" t="n">
        <f aca="false">IF($U1782&gt;=MA_MED,AVERAGE(INDEX($I$1382:$I1782,402-MA_MED):$I1782),"")</f>
        <v>1181.3</v>
      </c>
      <c r="X1782" s="48" t="n">
        <f aca="false">IF($U1782&gt;=MA_LONG1,AVERAGE(INDEX($I$1382:$I1782,402-MA_LONG1):$I1782),"")</f>
        <v>1335.65</v>
      </c>
      <c r="Y1782" s="48" t="n">
        <f aca="false">IF($U1782&gt;=MA_LONG2,AVERAGE(INDEX($I$1382:$I1782,402-MA_LONG2):$I1782),"")</f>
        <v>1630.725</v>
      </c>
      <c r="Z1782" s="48" t="n">
        <f aca="false">IF($U1782&gt;=MA_SHORT,AVERAGE(INDEX($L$1662:$L1782,122-MA_SHORT):$L1782),"")</f>
        <v>90810061.5</v>
      </c>
      <c r="AA1782" s="48" t="n">
        <f aca="false">IF($U1782=1,$G1782-$H1782,MAX($G1782-$H1782,ABS($G1782-$I1781),ABS($H1782-$I1781)))</f>
        <v>40</v>
      </c>
      <c r="AB1782" s="48" t="n">
        <f aca="false">IF($U1782&gt;=ATR_PER,AVERAGE(INDEX($AA$1662:$AA1782,122-ATR_PER):$AA1782),"")</f>
        <v>36.5</v>
      </c>
      <c r="AC1782" s="48" t="n">
        <f aca="false">$O1782-$P1782</f>
        <v>448179</v>
      </c>
      <c r="AD1782" s="48" t="n">
        <f aca="false">$AC1782*$I1782</f>
        <v>536022084</v>
      </c>
      <c r="AE1782" s="49" t="n">
        <f aca="false">IF($Q1782&gt;0,$O1782*$I1782/$Q1782/1000000,"")</f>
        <v>43.587593801626</v>
      </c>
      <c r="AF1782" s="49" t="n">
        <f aca="false">IF($R1782&gt;0,$P1782*$I1782/$R1782/1000000,"")</f>
        <v>59.5030474125561</v>
      </c>
      <c r="AG1782" s="50" t="n">
        <f aca="false">IF(AND(ISNUMBER($AE1782),ISNUMBER($AF1782),$AF1782&gt;0),$AE1782/$AF1782,"")</f>
        <v>0.732527083855345</v>
      </c>
      <c r="AH1782" s="48" t="n">
        <f aca="false">IF($U1782&gt;=5,SUM(INDEX($AD$1752:$AD1782,32-5):$AD1782),"")</f>
        <v>20669964596</v>
      </c>
      <c r="AI1782" s="48" t="n">
        <f aca="false">IF($U1782&gt;=STRUCT_S,MAX(INDEX($G$1632:$G1782,152-STRUCT_S):$G1782),"")</f>
        <v>1240</v>
      </c>
      <c r="AJ1782" s="48" t="n">
        <f aca="false">IF($U1782&gt;=STRUCT_S,MIN(INDEX($H$1632:$H1782,152-STRUCT_S):$H1782),"")</f>
        <v>1123</v>
      </c>
      <c r="AK1782" s="48" t="n">
        <f aca="false">IF($U1782&gt;=STRUCT_L,MAX(INDEX($G$1532:$G1782,252-STRUCT_L):$G1782),"")</f>
        <v>1358</v>
      </c>
      <c r="AL1782" s="48" t="n">
        <f aca="false">IF($U1782&gt;=STRUCT_L,MIN(INDEX($H$1532:$H1782,252-STRUCT_L):$H1782),"")</f>
        <v>1107</v>
      </c>
      <c r="AM1782" s="46" t="n">
        <f aca="false">IF($A1782&lt;&gt;$A1783,1,0)</f>
        <v>0</v>
      </c>
      <c r="AN1782" s="47" t="str">
        <f aca="false">IF($AM1782=1,$A1782,"")</f>
        <v/>
      </c>
    </row>
    <row r="1783" customFormat="false" ht="15" hidden="false" customHeight="false" outlineLevel="0" collapsed="false">
      <c r="A1783" s="43" t="s">
        <v>162</v>
      </c>
      <c r="B1783" s="44" t="s">
        <v>164</v>
      </c>
      <c r="C1783" s="45" t="n">
        <v>46210</v>
      </c>
      <c r="D1783" s="46" t="n">
        <v>20260707</v>
      </c>
      <c r="E1783" s="47" t="s">
        <v>506</v>
      </c>
      <c r="F1783" s="48" t="n">
        <v>1166</v>
      </c>
      <c r="G1783" s="48" t="n">
        <v>1213</v>
      </c>
      <c r="H1783" s="48" t="n">
        <v>1154</v>
      </c>
      <c r="I1783" s="48" t="n">
        <v>1171</v>
      </c>
      <c r="J1783" s="48" t="n">
        <v>1200</v>
      </c>
      <c r="K1783" s="48" t="n">
        <v>1196</v>
      </c>
      <c r="L1783" s="48" t="n">
        <v>128493422</v>
      </c>
      <c r="M1783" s="48" t="n">
        <v>150465797162</v>
      </c>
      <c r="N1783" s="48" t="n">
        <v>9171</v>
      </c>
      <c r="O1783" s="48" t="n">
        <v>50814147</v>
      </c>
      <c r="P1783" s="48" t="n">
        <v>74217798</v>
      </c>
      <c r="Q1783" s="48" t="n">
        <v>3498</v>
      </c>
      <c r="R1783" s="48" t="n">
        <v>3615</v>
      </c>
      <c r="S1783" s="48" t="n">
        <v>77679275</v>
      </c>
      <c r="T1783" s="48" t="n">
        <v>54275624</v>
      </c>
      <c r="U1783" s="46" t="n">
        <f aca="false">IF($A1783=$A1782,$U1782+1,1)</f>
        <v>219</v>
      </c>
      <c r="V1783" s="48" t="n">
        <f aca="false">IF($U1783&gt;=MA_SHORT,AVERAGE(INDEX($I$1383:$I1783,402-MA_SHORT):$I1783),"")</f>
        <v>1174.35</v>
      </c>
      <c r="W1783" s="48" t="n">
        <f aca="false">IF($U1783&gt;=MA_MED,AVERAGE(INDEX($I$1383:$I1783,402-MA_MED):$I1783),"")</f>
        <v>1179.34</v>
      </c>
      <c r="X1783" s="48" t="n">
        <f aca="false">IF($U1783&gt;=MA_LONG1,AVERAGE(INDEX($I$1383:$I1783,402-MA_LONG1):$I1783),"")</f>
        <v>1330.79</v>
      </c>
      <c r="Y1783" s="48" t="n">
        <f aca="false">IF($U1783&gt;=MA_LONG2,AVERAGE(INDEX($I$1383:$I1783,402-MA_LONG2):$I1783),"")</f>
        <v>1626.44</v>
      </c>
      <c r="Z1783" s="48" t="n">
        <f aca="false">IF($U1783&gt;=MA_SHORT,AVERAGE(INDEX($L$1663:$L1783,122-MA_SHORT):$L1783),"")</f>
        <v>93093241.85</v>
      </c>
      <c r="AA1783" s="48" t="n">
        <f aca="false">IF($U1783=1,$G1783-$H1783,MAX($G1783-$H1783,ABS($G1783-$I1782),ABS($H1783-$I1782)))</f>
        <v>59</v>
      </c>
      <c r="AB1783" s="48" t="n">
        <f aca="false">IF($U1783&gt;=ATR_PER,AVERAGE(INDEX($AA$1663:$AA1783,122-ATR_PER):$AA1783),"")</f>
        <v>37.0714285714286</v>
      </c>
      <c r="AC1783" s="48" t="n">
        <f aca="false">$O1783-$P1783</f>
        <v>-23403651</v>
      </c>
      <c r="AD1783" s="48" t="n">
        <f aca="false">$AC1783*$I1783</f>
        <v>-27405675321</v>
      </c>
      <c r="AE1783" s="49" t="n">
        <f aca="false">IF($Q1783&gt;0,$O1783*$I1783/$Q1783/1000000,"")</f>
        <v>17.0106821432247</v>
      </c>
      <c r="AF1783" s="49" t="n">
        <f aca="false">IF($R1783&gt;0,$P1783*$I1783/$R1783/1000000,"")</f>
        <v>24.0412286190871</v>
      </c>
      <c r="AG1783" s="50" t="n">
        <f aca="false">IF(AND(ISNUMBER($AE1783),ISNUMBER($AF1783),$AF1783&gt;0),$AE1783/$AF1783,"")</f>
        <v>0.70756292919736</v>
      </c>
      <c r="AH1783" s="48" t="n">
        <f aca="false">IF($U1783&gt;=5,SUM(INDEX($AD$1753:$AD1783,32-5):$AD1783),"")</f>
        <v>4368402680</v>
      </c>
      <c r="AI1783" s="48" t="n">
        <f aca="false">IF($U1783&gt;=STRUCT_S,MAX(INDEX($G$1633:$G1783,152-STRUCT_S):$G1783),"")</f>
        <v>1237</v>
      </c>
      <c r="AJ1783" s="48" t="n">
        <f aca="false">IF($U1783&gt;=STRUCT_S,MIN(INDEX($H$1633:$H1783,152-STRUCT_S):$H1783),"")</f>
        <v>1123</v>
      </c>
      <c r="AK1783" s="48" t="n">
        <f aca="false">IF($U1783&gt;=STRUCT_L,MAX(INDEX($G$1533:$G1783,252-STRUCT_L):$G1783),"")</f>
        <v>1358</v>
      </c>
      <c r="AL1783" s="48" t="n">
        <f aca="false">IF($U1783&gt;=STRUCT_L,MIN(INDEX($H$1533:$H1783,252-STRUCT_L):$H1783),"")</f>
        <v>1107</v>
      </c>
      <c r="AM1783" s="46" t="n">
        <f aca="false">IF($A1783&lt;&gt;$A1784,1,0)</f>
        <v>0</v>
      </c>
      <c r="AN1783" s="47" t="str">
        <f aca="false">IF($AM1783=1,$A1783,"")</f>
        <v/>
      </c>
    </row>
    <row r="1784" customFormat="false" ht="15" hidden="false" customHeight="false" outlineLevel="0" collapsed="false">
      <c r="A1784" s="43" t="s">
        <v>162</v>
      </c>
      <c r="B1784" s="44" t="s">
        <v>164</v>
      </c>
      <c r="C1784" s="45" t="n">
        <v>46211</v>
      </c>
      <c r="D1784" s="46" t="n">
        <v>20260708</v>
      </c>
      <c r="E1784" s="47" t="s">
        <v>507</v>
      </c>
      <c r="F1784" s="48" t="n">
        <v>1164</v>
      </c>
      <c r="G1784" s="48" t="n">
        <v>1196</v>
      </c>
      <c r="H1784" s="48" t="n">
        <v>1130</v>
      </c>
      <c r="I1784" s="48" t="n">
        <v>1155</v>
      </c>
      <c r="J1784" s="48" t="n">
        <v>1175</v>
      </c>
      <c r="K1784" s="48" t="n">
        <v>1171</v>
      </c>
      <c r="L1784" s="48" t="n">
        <v>85017238</v>
      </c>
      <c r="M1784" s="48" t="n">
        <v>98194909890</v>
      </c>
      <c r="N1784" s="48" t="n">
        <v>6032</v>
      </c>
      <c r="O1784" s="48" t="n">
        <v>28770062</v>
      </c>
      <c r="P1784" s="48" t="n">
        <v>58813380</v>
      </c>
      <c r="Q1784" s="48" t="n">
        <v>2371</v>
      </c>
      <c r="R1784" s="48" t="n">
        <v>2523</v>
      </c>
      <c r="S1784" s="48" t="n">
        <v>56247176</v>
      </c>
      <c r="T1784" s="48" t="n">
        <v>26203858</v>
      </c>
      <c r="U1784" s="46" t="n">
        <f aca="false">IF($A1784=$A1783,$U1783+1,1)</f>
        <v>220</v>
      </c>
      <c r="V1784" s="48" t="n">
        <f aca="false">IF($U1784&gt;=MA_SHORT,AVERAGE(INDEX($I$1384:$I1784,402-MA_SHORT):$I1784),"")</f>
        <v>1171.2</v>
      </c>
      <c r="W1784" s="48" t="n">
        <f aca="false">IF($U1784&gt;=MA_MED,AVERAGE(INDEX($I$1384:$I1784,402-MA_MED):$I1784),"")</f>
        <v>1176.82</v>
      </c>
      <c r="X1784" s="48" t="n">
        <f aca="false">IF($U1784&gt;=MA_LONG1,AVERAGE(INDEX($I$1384:$I1784,402-MA_LONG1):$I1784),"")</f>
        <v>1325.4</v>
      </c>
      <c r="Y1784" s="48" t="n">
        <f aca="false">IF($U1784&gt;=MA_LONG2,AVERAGE(INDEX($I$1384:$I1784,402-MA_LONG2):$I1784),"")</f>
        <v>1622.165</v>
      </c>
      <c r="Z1784" s="48" t="n">
        <f aca="false">IF($U1784&gt;=MA_SHORT,AVERAGE(INDEX($L$1664:$L1784,122-MA_SHORT):$L1784),"")</f>
        <v>92213924.5</v>
      </c>
      <c r="AA1784" s="48" t="n">
        <f aca="false">IF($U1784=1,$G1784-$H1784,MAX($G1784-$H1784,ABS($G1784-$I1783),ABS($H1784-$I1783)))</f>
        <v>66</v>
      </c>
      <c r="AB1784" s="48" t="n">
        <f aca="false">IF($U1784&gt;=ATR_PER,AVERAGE(INDEX($AA$1664:$AA1784,122-ATR_PER):$AA1784),"")</f>
        <v>38.2857142857143</v>
      </c>
      <c r="AC1784" s="48" t="n">
        <f aca="false">$O1784-$P1784</f>
        <v>-30043318</v>
      </c>
      <c r="AD1784" s="48" t="n">
        <f aca="false">$AC1784*$I1784</f>
        <v>-34700032290</v>
      </c>
      <c r="AE1784" s="49" t="n">
        <f aca="false">IF($Q1784&gt;0,$O1784*$I1784/$Q1784/1000000,"")</f>
        <v>14.0149395234078</v>
      </c>
      <c r="AF1784" s="49" t="n">
        <f aca="false">IF($R1784&gt;0,$P1784*$I1784/$R1784/1000000,"")</f>
        <v>26.9240800237812</v>
      </c>
      <c r="AG1784" s="50" t="n">
        <f aca="false">IF(AND(ISNUMBER($AE1784),ISNUMBER($AF1784),$AF1784&gt;0),$AE1784/$AF1784,"")</f>
        <v>0.520535502458353</v>
      </c>
      <c r="AH1784" s="48" t="n">
        <f aca="false">IF($U1784&gt;=5,SUM(INDEX($AD$1754:$AD1784,32-5):$AD1784),"")</f>
        <v>-43552896520</v>
      </c>
      <c r="AI1784" s="48" t="n">
        <f aca="false">IF($U1784&gt;=STRUCT_S,MAX(INDEX($G$1634:$G1784,152-STRUCT_S):$G1784),"")</f>
        <v>1236</v>
      </c>
      <c r="AJ1784" s="48" t="n">
        <f aca="false">IF($U1784&gt;=STRUCT_S,MIN(INDEX($H$1634:$H1784,152-STRUCT_S):$H1784),"")</f>
        <v>1123</v>
      </c>
      <c r="AK1784" s="48" t="n">
        <f aca="false">IF($U1784&gt;=STRUCT_L,MAX(INDEX($G$1534:$G1784,252-STRUCT_L):$G1784),"")</f>
        <v>1358</v>
      </c>
      <c r="AL1784" s="48" t="n">
        <f aca="false">IF($U1784&gt;=STRUCT_L,MIN(INDEX($H$1534:$H1784,252-STRUCT_L):$H1784),"")</f>
        <v>1107</v>
      </c>
      <c r="AM1784" s="46" t="n">
        <f aca="false">IF($A1784&lt;&gt;$A1785,1,0)</f>
        <v>0</v>
      </c>
      <c r="AN1784" s="47" t="str">
        <f aca="false">IF($AM1784=1,$A1784,"")</f>
        <v/>
      </c>
    </row>
    <row r="1785" customFormat="false" ht="15" hidden="false" customHeight="false" outlineLevel="0" collapsed="false">
      <c r="A1785" s="43" t="s">
        <v>162</v>
      </c>
      <c r="B1785" s="44" t="s">
        <v>164</v>
      </c>
      <c r="C1785" s="45" t="n">
        <v>46214</v>
      </c>
      <c r="D1785" s="46" t="n">
        <v>20260711</v>
      </c>
      <c r="E1785" s="47" t="s">
        <v>508</v>
      </c>
      <c r="F1785" s="48" t="n">
        <v>1132</v>
      </c>
      <c r="G1785" s="48" t="n">
        <v>1194</v>
      </c>
      <c r="H1785" s="48" t="n">
        <v>1126</v>
      </c>
      <c r="I1785" s="48" t="n">
        <v>1164</v>
      </c>
      <c r="J1785" s="48" t="n">
        <v>1170</v>
      </c>
      <c r="K1785" s="48" t="n">
        <v>1155</v>
      </c>
      <c r="L1785" s="48" t="n">
        <v>82952349</v>
      </c>
      <c r="M1785" s="48" t="n">
        <v>96556534236</v>
      </c>
      <c r="N1785" s="48" t="n">
        <v>3755</v>
      </c>
      <c r="O1785" s="48" t="n">
        <v>39290604</v>
      </c>
      <c r="P1785" s="48" t="n">
        <v>43630236</v>
      </c>
      <c r="Q1785" s="48" t="n">
        <v>1311</v>
      </c>
      <c r="R1785" s="48" t="n">
        <v>1406</v>
      </c>
      <c r="S1785" s="48" t="n">
        <v>43661745</v>
      </c>
      <c r="T1785" s="48" t="n">
        <v>39322113</v>
      </c>
      <c r="U1785" s="46" t="n">
        <f aca="false">IF($A1785=$A1784,$U1784+1,1)</f>
        <v>221</v>
      </c>
      <c r="V1785" s="48" t="n">
        <f aca="false">IF($U1785&gt;=MA_SHORT,AVERAGE(INDEX($I$1385:$I1785,402-MA_SHORT):$I1785),"")</f>
        <v>1169.75</v>
      </c>
      <c r="W1785" s="48" t="n">
        <f aca="false">IF($U1785&gt;=MA_MED,AVERAGE(INDEX($I$1385:$I1785,402-MA_MED):$I1785),"")</f>
        <v>1174.36</v>
      </c>
      <c r="X1785" s="48" t="n">
        <f aca="false">IF($U1785&gt;=MA_LONG1,AVERAGE(INDEX($I$1385:$I1785,402-MA_LONG1):$I1785),"")</f>
        <v>1320.57</v>
      </c>
      <c r="Y1785" s="48" t="n">
        <f aca="false">IF($U1785&gt;=MA_LONG2,AVERAGE(INDEX($I$1385:$I1785,402-MA_LONG2):$I1785),"")</f>
        <v>1617.9</v>
      </c>
      <c r="Z1785" s="48" t="n">
        <f aca="false">IF($U1785&gt;=MA_SHORT,AVERAGE(INDEX($L$1665:$L1785,122-MA_SHORT):$L1785),"")</f>
        <v>91948926.45</v>
      </c>
      <c r="AA1785" s="48" t="n">
        <f aca="false">IF($U1785=1,$G1785-$H1785,MAX($G1785-$H1785,ABS($G1785-$I1784),ABS($H1785-$I1784)))</f>
        <v>68</v>
      </c>
      <c r="AB1785" s="48" t="n">
        <f aca="false">IF($U1785&gt;=ATR_PER,AVERAGE(INDEX($AA$1665:$AA1785,122-ATR_PER):$AA1785),"")</f>
        <v>39.7142857142857</v>
      </c>
      <c r="AC1785" s="48" t="n">
        <f aca="false">$O1785-$P1785</f>
        <v>-4339632</v>
      </c>
      <c r="AD1785" s="48" t="n">
        <f aca="false">$AC1785*$I1785</f>
        <v>-5051331648</v>
      </c>
      <c r="AE1785" s="49" t="n">
        <f aca="false">IF($Q1785&gt;0,$O1785*$I1785/$Q1785/1000000,"")</f>
        <v>34.8850214004577</v>
      </c>
      <c r="AF1785" s="49" t="n">
        <f aca="false">IF($R1785&gt;0,$P1785*$I1785/$R1785/1000000,"")</f>
        <v>36.1206221223329</v>
      </c>
      <c r="AG1785" s="50" t="n">
        <f aca="false">IF(AND(ISNUMBER($AE1785),ISNUMBER($AF1785),$AF1785&gt;0),$AE1785/$AF1785,"")</f>
        <v>0.965792374292711</v>
      </c>
      <c r="AH1785" s="48" t="n">
        <f aca="false">IF($U1785&gt;=5,SUM(INDEX($AD$1755:$AD1785,32-5):$AD1785),"")</f>
        <v>-54988894861</v>
      </c>
      <c r="AI1785" s="48" t="n">
        <f aca="false">IF($U1785&gt;=STRUCT_S,MAX(INDEX($G$1635:$G1785,152-STRUCT_S):$G1785),"")</f>
        <v>1218</v>
      </c>
      <c r="AJ1785" s="48" t="n">
        <f aca="false">IF($U1785&gt;=STRUCT_S,MIN(INDEX($H$1635:$H1785,152-STRUCT_S):$H1785),"")</f>
        <v>1123</v>
      </c>
      <c r="AK1785" s="48" t="n">
        <f aca="false">IF($U1785&gt;=STRUCT_L,MAX(INDEX($G$1535:$G1785,252-STRUCT_L):$G1785),"")</f>
        <v>1358</v>
      </c>
      <c r="AL1785" s="48" t="n">
        <f aca="false">IF($U1785&gt;=STRUCT_L,MIN(INDEX($H$1535:$H1785,252-STRUCT_L):$H1785),"")</f>
        <v>1107</v>
      </c>
      <c r="AM1785" s="46" t="n">
        <f aca="false">IF($A1785&lt;&gt;$A1786,1,0)</f>
        <v>0</v>
      </c>
      <c r="AN1785" s="47" t="str">
        <f aca="false">IF($AM1785=1,$A1785,"")</f>
        <v/>
      </c>
    </row>
    <row r="1786" customFormat="false" ht="15" hidden="false" customHeight="false" outlineLevel="0" collapsed="false">
      <c r="A1786" s="43" t="s">
        <v>162</v>
      </c>
      <c r="B1786" s="44" t="s">
        <v>164</v>
      </c>
      <c r="C1786" s="45" t="n">
        <v>46215</v>
      </c>
      <c r="D1786" s="46" t="n">
        <v>20260712</v>
      </c>
      <c r="E1786" s="47" t="s">
        <v>509</v>
      </c>
      <c r="F1786" s="48" t="n">
        <v>1157</v>
      </c>
      <c r="G1786" s="48" t="n">
        <v>1174</v>
      </c>
      <c r="H1786" s="48" t="n">
        <v>1140</v>
      </c>
      <c r="I1786" s="48" t="n">
        <v>1150</v>
      </c>
      <c r="J1786" s="48" t="n">
        <v>1172</v>
      </c>
      <c r="K1786" s="48" t="n">
        <v>1164</v>
      </c>
      <c r="L1786" s="48" t="n">
        <v>100571230</v>
      </c>
      <c r="M1786" s="48" t="n">
        <v>115656914500</v>
      </c>
      <c r="N1786" s="48" t="n">
        <v>4039</v>
      </c>
      <c r="O1786" s="48" t="n">
        <v>45819589</v>
      </c>
      <c r="P1786" s="48" t="n">
        <v>57817109</v>
      </c>
      <c r="Q1786" s="48" t="n">
        <v>1807</v>
      </c>
      <c r="R1786" s="48" t="n">
        <v>1526</v>
      </c>
      <c r="S1786" s="48" t="n">
        <v>54751641</v>
      </c>
      <c r="T1786" s="48" t="n">
        <v>42754121</v>
      </c>
      <c r="U1786" s="46" t="n">
        <f aca="false">IF($A1786=$A1785,$U1785+1,1)</f>
        <v>222</v>
      </c>
      <c r="V1786" s="48" t="n">
        <f aca="false">IF($U1786&gt;=MA_SHORT,AVERAGE(INDEX($I$1386:$I1786,402-MA_SHORT):$I1786),"")</f>
        <v>1167.65</v>
      </c>
      <c r="W1786" s="48" t="n">
        <f aca="false">IF($U1786&gt;=MA_MED,AVERAGE(INDEX($I$1386:$I1786,402-MA_MED):$I1786),"")</f>
        <v>1171.84</v>
      </c>
      <c r="X1786" s="48" t="n">
        <f aca="false">IF($U1786&gt;=MA_LONG1,AVERAGE(INDEX($I$1386:$I1786,402-MA_LONG1):$I1786),"")</f>
        <v>1315.7</v>
      </c>
      <c r="Y1786" s="48" t="n">
        <f aca="false">IF($U1786&gt;=MA_LONG2,AVERAGE(INDEX($I$1386:$I1786,402-MA_LONG2):$I1786),"")</f>
        <v>1613.53</v>
      </c>
      <c r="Z1786" s="48" t="n">
        <f aca="false">IF($U1786&gt;=MA_SHORT,AVERAGE(INDEX($L$1666:$L1786,122-MA_SHORT):$L1786),"")</f>
        <v>93028952.75</v>
      </c>
      <c r="AA1786" s="48" t="n">
        <f aca="false">IF($U1786=1,$G1786-$H1786,MAX($G1786-$H1786,ABS($G1786-$I1785),ABS($H1786-$I1785)))</f>
        <v>34</v>
      </c>
      <c r="AB1786" s="48" t="n">
        <f aca="false">IF($U1786&gt;=ATR_PER,AVERAGE(INDEX($AA$1666:$AA1786,122-ATR_PER):$AA1786),"")</f>
        <v>40.2857142857143</v>
      </c>
      <c r="AC1786" s="48" t="n">
        <f aca="false">$O1786-$P1786</f>
        <v>-11997520</v>
      </c>
      <c r="AD1786" s="48" t="n">
        <f aca="false">$AC1786*$I1786</f>
        <v>-13797148000</v>
      </c>
      <c r="AE1786" s="49" t="n">
        <f aca="false">IF($Q1786&gt;0,$O1786*$I1786/$Q1786/1000000,"")</f>
        <v>29.1602254288877</v>
      </c>
      <c r="AF1786" s="49" t="n">
        <f aca="false">IF($R1786&gt;0,$P1786*$I1786/$R1786/1000000,"")</f>
        <v>43.5712158256881</v>
      </c>
      <c r="AG1786" s="50" t="n">
        <f aca="false">IF(AND(ISNUMBER($AE1786),ISNUMBER($AF1786),$AF1786&gt;0),$AE1786/$AF1786,"")</f>
        <v>0.669254343177998</v>
      </c>
      <c r="AH1786" s="48" t="n">
        <f aca="false">IF($U1786&gt;=5,SUM(INDEX($AD$1756:$AD1786,32-5):$AD1786),"")</f>
        <v>-80418165175</v>
      </c>
      <c r="AI1786" s="48" t="n">
        <f aca="false">IF($U1786&gt;=STRUCT_S,MAX(INDEX($G$1636:$G1786,152-STRUCT_S):$G1786),"")</f>
        <v>1218</v>
      </c>
      <c r="AJ1786" s="48" t="n">
        <f aca="false">IF($U1786&gt;=STRUCT_S,MIN(INDEX($H$1636:$H1786,152-STRUCT_S):$H1786),"")</f>
        <v>1123</v>
      </c>
      <c r="AK1786" s="48" t="n">
        <f aca="false">IF($U1786&gt;=STRUCT_L,MAX(INDEX($G$1536:$G1786,252-STRUCT_L):$G1786),"")</f>
        <v>1358</v>
      </c>
      <c r="AL1786" s="48" t="n">
        <f aca="false">IF($U1786&gt;=STRUCT_L,MIN(INDEX($H$1536:$H1786,252-STRUCT_L):$H1786),"")</f>
        <v>1107</v>
      </c>
      <c r="AM1786" s="46" t="n">
        <f aca="false">IF($A1786&lt;&gt;$A1787,1,0)</f>
        <v>0</v>
      </c>
      <c r="AN1786" s="47" t="str">
        <f aca="false">IF($AM1786=1,$A1786,"")</f>
        <v/>
      </c>
    </row>
    <row r="1787" customFormat="false" ht="15" hidden="false" customHeight="false" outlineLevel="0" collapsed="false">
      <c r="A1787" s="43" t="s">
        <v>162</v>
      </c>
      <c r="B1787" s="44" t="s">
        <v>164</v>
      </c>
      <c r="C1787" s="45" t="n">
        <v>46216</v>
      </c>
      <c r="D1787" s="46" t="n">
        <v>20260713</v>
      </c>
      <c r="E1787" s="47" t="s">
        <v>510</v>
      </c>
      <c r="F1787" s="48" t="n">
        <v>1167</v>
      </c>
      <c r="G1787" s="48" t="n">
        <v>1178</v>
      </c>
      <c r="H1787" s="48" t="n">
        <v>1134</v>
      </c>
      <c r="I1787" s="48" t="n">
        <v>1162</v>
      </c>
      <c r="J1787" s="48" t="n">
        <v>1137</v>
      </c>
      <c r="K1787" s="48" t="n">
        <v>1150</v>
      </c>
      <c r="L1787" s="48" t="n">
        <v>83495032</v>
      </c>
      <c r="M1787" s="48" t="n">
        <v>97021227184</v>
      </c>
      <c r="N1787" s="48" t="n">
        <v>2192</v>
      </c>
      <c r="O1787" s="48" t="n">
        <v>42067823</v>
      </c>
      <c r="P1787" s="48" t="n">
        <v>45833736</v>
      </c>
      <c r="Q1787" s="48" t="n">
        <v>939</v>
      </c>
      <c r="R1787" s="48" t="n">
        <v>661</v>
      </c>
      <c r="S1787" s="48" t="n">
        <v>41427209</v>
      </c>
      <c r="T1787" s="48" t="n">
        <v>37661296</v>
      </c>
      <c r="U1787" s="46" t="n">
        <f aca="false">IF($A1787=$A1786,$U1786+1,1)</f>
        <v>223</v>
      </c>
      <c r="V1787" s="48" t="n">
        <f aca="false">IF($U1787&gt;=MA_SHORT,AVERAGE(INDEX($I$1387:$I1787,402-MA_SHORT):$I1787),"")</f>
        <v>1166.3</v>
      </c>
      <c r="W1787" s="48" t="n">
        <f aca="false">IF($U1787&gt;=MA_MED,AVERAGE(INDEX($I$1387:$I1787,402-MA_MED):$I1787),"")</f>
        <v>1169.98</v>
      </c>
      <c r="X1787" s="48" t="n">
        <f aca="false">IF($U1787&gt;=MA_LONG1,AVERAGE(INDEX($I$1387:$I1787,402-MA_LONG1):$I1787),"")</f>
        <v>1310.72</v>
      </c>
      <c r="Y1787" s="48" t="n">
        <f aca="false">IF($U1787&gt;=MA_LONG2,AVERAGE(INDEX($I$1387:$I1787,402-MA_LONG2):$I1787),"")</f>
        <v>1609.125</v>
      </c>
      <c r="Z1787" s="48" t="n">
        <f aca="false">IF($U1787&gt;=MA_SHORT,AVERAGE(INDEX($L$1667:$L1787,122-MA_SHORT):$L1787),"")</f>
        <v>92708662.35</v>
      </c>
      <c r="AA1787" s="48" t="n">
        <f aca="false">IF($U1787=1,$G1787-$H1787,MAX($G1787-$H1787,ABS($G1787-$I1786),ABS($H1787-$I1786)))</f>
        <v>44</v>
      </c>
      <c r="AB1787" s="48" t="n">
        <f aca="false">IF($U1787&gt;=ATR_PER,AVERAGE(INDEX($AA$1667:$AA1787,122-ATR_PER):$AA1787),"")</f>
        <v>42.8571428571429</v>
      </c>
      <c r="AC1787" s="48" t="n">
        <f aca="false">$O1787-$P1787</f>
        <v>-3765913</v>
      </c>
      <c r="AD1787" s="48" t="n">
        <f aca="false">$AC1787*$I1787</f>
        <v>-4375990906</v>
      </c>
      <c r="AE1787" s="49" t="n">
        <f aca="false">IF($Q1787&gt;0,$O1787*$I1787/$Q1787/1000000,"")</f>
        <v>52.0583709542066</v>
      </c>
      <c r="AF1787" s="49" t="n">
        <f aca="false">IF($R1787&gt;0,$P1787*$I1787/$R1787/1000000,"")</f>
        <v>80.57307296823</v>
      </c>
      <c r="AG1787" s="50" t="n">
        <f aca="false">IF(AND(ISNUMBER($AE1787),ISNUMBER($AF1787),$AF1787&gt;0),$AE1787/$AF1787,"")</f>
        <v>0.646101346720799</v>
      </c>
      <c r="AH1787" s="48" t="n">
        <f aca="false">IF($U1787&gt;=5,SUM(INDEX($AD$1757:$AD1787,32-5):$AD1787),"")</f>
        <v>-85330178165</v>
      </c>
      <c r="AI1787" s="48" t="n">
        <f aca="false">IF($U1787&gt;=STRUCT_S,MAX(INDEX($G$1637:$G1787,152-STRUCT_S):$G1787),"")</f>
        <v>1213</v>
      </c>
      <c r="AJ1787" s="48" t="n">
        <f aca="false">IF($U1787&gt;=STRUCT_S,MIN(INDEX($H$1637:$H1787,152-STRUCT_S):$H1787),"")</f>
        <v>1123</v>
      </c>
      <c r="AK1787" s="48" t="n">
        <f aca="false">IF($U1787&gt;=STRUCT_L,MAX(INDEX($G$1537:$G1787,252-STRUCT_L):$G1787),"")</f>
        <v>1355</v>
      </c>
      <c r="AL1787" s="48" t="n">
        <f aca="false">IF($U1787&gt;=STRUCT_L,MIN(INDEX($H$1537:$H1787,252-STRUCT_L):$H1787),"")</f>
        <v>1107</v>
      </c>
      <c r="AM1787" s="46" t="n">
        <f aca="false">IF($A1787&lt;&gt;$A1788,1,0)</f>
        <v>0</v>
      </c>
      <c r="AN1787" s="47" t="str">
        <f aca="false">IF($AM1787=1,$A1787,"")</f>
        <v/>
      </c>
    </row>
    <row r="1788" customFormat="false" ht="15" hidden="false" customHeight="false" outlineLevel="0" collapsed="false">
      <c r="A1788" s="43" t="s">
        <v>162</v>
      </c>
      <c r="B1788" s="44" t="s">
        <v>164</v>
      </c>
      <c r="C1788" s="45" t="n">
        <v>46217</v>
      </c>
      <c r="D1788" s="46" t="n">
        <v>20260714</v>
      </c>
      <c r="E1788" s="47" t="s">
        <v>511</v>
      </c>
      <c r="F1788" s="48" t="n">
        <v>1179</v>
      </c>
      <c r="G1788" s="48" t="n">
        <v>1191</v>
      </c>
      <c r="H1788" s="48" t="n">
        <v>1154</v>
      </c>
      <c r="I1788" s="48" t="n">
        <v>1183</v>
      </c>
      <c r="J1788" s="48" t="n">
        <v>1161</v>
      </c>
      <c r="K1788" s="48" t="n">
        <v>1162</v>
      </c>
      <c r="L1788" s="48" t="n">
        <v>144105724</v>
      </c>
      <c r="M1788" s="48" t="n">
        <v>170477071492</v>
      </c>
      <c r="N1788" s="48" t="n">
        <v>4142</v>
      </c>
      <c r="O1788" s="48" t="n">
        <v>78983800</v>
      </c>
      <c r="P1788" s="48" t="n">
        <v>73603337</v>
      </c>
      <c r="Q1788" s="48" t="n">
        <v>1373</v>
      </c>
      <c r="R1788" s="48" t="n">
        <v>1367</v>
      </c>
      <c r="S1788" s="48" t="n">
        <v>65121924</v>
      </c>
      <c r="T1788" s="48" t="n">
        <v>70502387</v>
      </c>
      <c r="U1788" s="46" t="n">
        <f aca="false">IF($A1788=$A1787,$U1787+1,1)</f>
        <v>224</v>
      </c>
      <c r="V1788" s="48" t="n">
        <f aca="false">IF($U1788&gt;=MA_SHORT,AVERAGE(INDEX($I$1388:$I1788,402-MA_SHORT):$I1788),"")</f>
        <v>1166.15</v>
      </c>
      <c r="W1788" s="48" t="n">
        <f aca="false">IF($U1788&gt;=MA_MED,AVERAGE(INDEX($I$1388:$I1788,402-MA_MED):$I1788),"")</f>
        <v>1168.84</v>
      </c>
      <c r="X1788" s="48" t="n">
        <f aca="false">IF($U1788&gt;=MA_LONG1,AVERAGE(INDEX($I$1388:$I1788,402-MA_LONG1):$I1788),"")</f>
        <v>1305.51</v>
      </c>
      <c r="Y1788" s="48" t="n">
        <f aca="false">IF($U1788&gt;=MA_LONG2,AVERAGE(INDEX($I$1388:$I1788,402-MA_LONG2):$I1788),"")</f>
        <v>1604.72</v>
      </c>
      <c r="Z1788" s="48" t="n">
        <f aca="false">IF($U1788&gt;=MA_SHORT,AVERAGE(INDEX($L$1668:$L1788,122-MA_SHORT):$L1788),"")</f>
        <v>95793926.3</v>
      </c>
      <c r="AA1788" s="48" t="n">
        <f aca="false">IF($U1788=1,$G1788-$H1788,MAX($G1788-$H1788,ABS($G1788-$I1787),ABS($H1788-$I1787)))</f>
        <v>37</v>
      </c>
      <c r="AB1788" s="48" t="n">
        <f aca="false">IF($U1788&gt;=ATR_PER,AVERAGE(INDEX($AA$1668:$AA1788,122-ATR_PER):$AA1788),"")</f>
        <v>40.2857142857143</v>
      </c>
      <c r="AC1788" s="48" t="n">
        <f aca="false">$O1788-$P1788</f>
        <v>5380463</v>
      </c>
      <c r="AD1788" s="48" t="n">
        <f aca="false">$AC1788*$I1788</f>
        <v>6365087729</v>
      </c>
      <c r="AE1788" s="49" t="n">
        <f aca="false">IF($Q1788&gt;0,$O1788*$I1788/$Q1788/1000000,"")</f>
        <v>68.0537766933722</v>
      </c>
      <c r="AF1788" s="49" t="n">
        <f aca="false">IF($R1788&gt;0,$P1788*$I1788/$R1788/1000000,"")</f>
        <v>63.6962309224579</v>
      </c>
      <c r="AG1788" s="50" t="n">
        <f aca="false">IF(AND(ISNUMBER($AE1788),ISNUMBER($AF1788),$AF1788&gt;0),$AE1788/$AF1788,"")</f>
        <v>1.06841135979017</v>
      </c>
      <c r="AH1788" s="48" t="n">
        <f aca="false">IF($U1788&gt;=5,SUM(INDEX($AD$1758:$AD1788,32-5):$AD1788),"")</f>
        <v>-51559415115</v>
      </c>
      <c r="AI1788" s="48" t="n">
        <f aca="false">IF($U1788&gt;=STRUCT_S,MAX(INDEX($G$1638:$G1788,152-STRUCT_S):$G1788),"")</f>
        <v>1213</v>
      </c>
      <c r="AJ1788" s="48" t="n">
        <f aca="false">IF($U1788&gt;=STRUCT_S,MIN(INDEX($H$1638:$H1788,152-STRUCT_S):$H1788),"")</f>
        <v>1123</v>
      </c>
      <c r="AK1788" s="48" t="n">
        <f aca="false">IF($U1788&gt;=STRUCT_L,MAX(INDEX($G$1538:$G1788,252-STRUCT_L):$G1788),"")</f>
        <v>1335</v>
      </c>
      <c r="AL1788" s="48" t="n">
        <f aca="false">IF($U1788&gt;=STRUCT_L,MIN(INDEX($H$1538:$H1788,252-STRUCT_L):$H1788),"")</f>
        <v>1107</v>
      </c>
      <c r="AM1788" s="46" t="n">
        <f aca="false">IF($A1788&lt;&gt;$A1789,1,0)</f>
        <v>0</v>
      </c>
      <c r="AN1788" s="47" t="str">
        <f aca="false">IF($AM1788=1,$A1788,"")</f>
        <v/>
      </c>
    </row>
    <row r="1789" customFormat="false" ht="15" hidden="false" customHeight="false" outlineLevel="0" collapsed="false">
      <c r="A1789" s="43" t="s">
        <v>162</v>
      </c>
      <c r="B1789" s="44" t="s">
        <v>164</v>
      </c>
      <c r="C1789" s="45" t="n">
        <v>46218</v>
      </c>
      <c r="D1789" s="46" t="n">
        <v>20260715</v>
      </c>
      <c r="E1789" s="47" t="s">
        <v>512</v>
      </c>
      <c r="F1789" s="48" t="n">
        <v>1185</v>
      </c>
      <c r="G1789" s="48" t="n">
        <v>1194</v>
      </c>
      <c r="H1789" s="48" t="n">
        <v>1180</v>
      </c>
      <c r="I1789" s="48" t="n">
        <v>1191</v>
      </c>
      <c r="J1789" s="48" t="n">
        <v>1186</v>
      </c>
      <c r="K1789" s="48" t="n">
        <v>1183</v>
      </c>
      <c r="L1789" s="48" t="n">
        <v>95553561</v>
      </c>
      <c r="M1789" s="48" t="n">
        <v>113804291151</v>
      </c>
      <c r="N1789" s="48" t="n">
        <v>5298</v>
      </c>
      <c r="O1789" s="48" t="n">
        <v>47728647</v>
      </c>
      <c r="P1789" s="48" t="n">
        <v>45498114</v>
      </c>
      <c r="Q1789" s="48" t="n">
        <v>2743</v>
      </c>
      <c r="R1789" s="48" t="n">
        <v>2143</v>
      </c>
      <c r="S1789" s="48" t="n">
        <v>47824914</v>
      </c>
      <c r="T1789" s="48" t="n">
        <v>50055447</v>
      </c>
      <c r="U1789" s="46" t="n">
        <f aca="false">IF($A1789=$A1788,$U1788+1,1)</f>
        <v>225</v>
      </c>
      <c r="V1789" s="48" t="n">
        <f aca="false">IF($U1789&gt;=MA_SHORT,AVERAGE(INDEX($I$1389:$I1789,402-MA_SHORT):$I1789),"")</f>
        <v>1166.95</v>
      </c>
      <c r="W1789" s="48" t="n">
        <f aca="false">IF($U1789&gt;=MA_MED,AVERAGE(INDEX($I$1389:$I1789,402-MA_MED):$I1789),"")</f>
        <v>1168.28</v>
      </c>
      <c r="X1789" s="48" t="n">
        <f aca="false">IF($U1789&gt;=MA_LONG1,AVERAGE(INDEX($I$1389:$I1789,402-MA_LONG1):$I1789),"")</f>
        <v>1300.76</v>
      </c>
      <c r="Y1789" s="48" t="n">
        <f aca="false">IF($U1789&gt;=MA_LONG2,AVERAGE(INDEX($I$1389:$I1789,402-MA_LONG2):$I1789),"")</f>
        <v>1600.23</v>
      </c>
      <c r="Z1789" s="48" t="n">
        <f aca="false">IF($U1789&gt;=MA_SHORT,AVERAGE(INDEX($L$1669:$L1789,122-MA_SHORT):$L1789),"")</f>
        <v>94221426.1</v>
      </c>
      <c r="AA1789" s="48" t="n">
        <f aca="false">IF($U1789=1,$G1789-$H1789,MAX($G1789-$H1789,ABS($G1789-$I1788),ABS($H1789-$I1788)))</f>
        <v>14</v>
      </c>
      <c r="AB1789" s="48" t="n">
        <f aca="false">IF($U1789&gt;=ATR_PER,AVERAGE(INDEX($AA$1669:$AA1789,122-ATR_PER):$AA1789),"")</f>
        <v>39.0714285714286</v>
      </c>
      <c r="AC1789" s="48" t="n">
        <f aca="false">$O1789-$P1789</f>
        <v>2230533</v>
      </c>
      <c r="AD1789" s="48" t="n">
        <f aca="false">$AC1789*$I1789</f>
        <v>2656564803</v>
      </c>
      <c r="AE1789" s="49" t="n">
        <f aca="false">IF($Q1789&gt;0,$O1789*$I1789/$Q1789/1000000,"")</f>
        <v>20.7235940856726</v>
      </c>
      <c r="AF1789" s="49" t="n">
        <f aca="false">IF($R1789&gt;0,$P1789*$I1789/$R1789/1000000,"")</f>
        <v>25.2861660167989</v>
      </c>
      <c r="AG1789" s="50" t="n">
        <f aca="false">IF(AND(ISNUMBER($AE1789),ISNUMBER($AF1789),$AF1789&gt;0),$AE1789/$AF1789,"")</f>
        <v>0.819562525687164</v>
      </c>
      <c r="AH1789" s="48" t="n">
        <f aca="false">IF($U1789&gt;=5,SUM(INDEX($AD$1759:$AD1789,32-5):$AD1789),"")</f>
        <v>-14202818022</v>
      </c>
      <c r="AI1789" s="48" t="n">
        <f aca="false">IF($U1789&gt;=STRUCT_S,MAX(INDEX($G$1639:$G1789,152-STRUCT_S):$G1789),"")</f>
        <v>1213</v>
      </c>
      <c r="AJ1789" s="48" t="n">
        <f aca="false">IF($U1789&gt;=STRUCT_S,MIN(INDEX($H$1639:$H1789,152-STRUCT_S):$H1789),"")</f>
        <v>1123</v>
      </c>
      <c r="AK1789" s="48" t="n">
        <f aca="false">IF($U1789&gt;=STRUCT_L,MAX(INDEX($G$1539:$G1789,252-STRUCT_L):$G1789),"")</f>
        <v>1324</v>
      </c>
      <c r="AL1789" s="48" t="n">
        <f aca="false">IF($U1789&gt;=STRUCT_L,MIN(INDEX($H$1539:$H1789,252-STRUCT_L):$H1789),"")</f>
        <v>1107</v>
      </c>
      <c r="AM1789" s="46" t="n">
        <f aca="false">IF($A1789&lt;&gt;$A1790,1,0)</f>
        <v>0</v>
      </c>
      <c r="AN1789" s="47" t="str">
        <f aca="false">IF($AM1789=1,$A1789,"")</f>
        <v/>
      </c>
    </row>
    <row r="1790" customFormat="false" ht="15" hidden="false" customHeight="false" outlineLevel="0" collapsed="false">
      <c r="A1790" s="43" t="s">
        <v>162</v>
      </c>
      <c r="B1790" s="44" t="s">
        <v>164</v>
      </c>
      <c r="C1790" s="45" t="n">
        <v>46221</v>
      </c>
      <c r="D1790" s="46" t="n">
        <v>20260718</v>
      </c>
      <c r="E1790" s="47" t="s">
        <v>513</v>
      </c>
      <c r="F1790" s="48" t="n">
        <v>1176</v>
      </c>
      <c r="G1790" s="48" t="n">
        <v>1201</v>
      </c>
      <c r="H1790" s="48" t="n">
        <v>1172</v>
      </c>
      <c r="I1790" s="48" t="n">
        <v>1182</v>
      </c>
      <c r="J1790" s="48" t="n">
        <v>1177</v>
      </c>
      <c r="K1790" s="48" t="n">
        <v>1191</v>
      </c>
      <c r="L1790" s="48" t="n">
        <v>82138139</v>
      </c>
      <c r="M1790" s="48" t="n">
        <v>97087280298</v>
      </c>
      <c r="N1790" s="48" t="n">
        <v>2706</v>
      </c>
      <c r="O1790" s="48" t="n">
        <v>36730500</v>
      </c>
      <c r="P1790" s="48" t="n">
        <v>45843742</v>
      </c>
      <c r="Q1790" s="48" t="n">
        <v>1298</v>
      </c>
      <c r="R1790" s="48" t="n">
        <v>1285</v>
      </c>
      <c r="S1790" s="48" t="n">
        <v>45407639</v>
      </c>
      <c r="T1790" s="48" t="n">
        <v>36294397</v>
      </c>
      <c r="U1790" s="46" t="n">
        <f aca="false">IF($A1790=$A1789,$U1789+1,1)</f>
        <v>226</v>
      </c>
      <c r="V1790" s="48" t="n">
        <f aca="false">IF($U1790&gt;=MA_SHORT,AVERAGE(INDEX($I$1390:$I1790,402-MA_SHORT):$I1790),"")</f>
        <v>1168.35</v>
      </c>
      <c r="W1790" s="48" t="n">
        <f aca="false">IF($U1790&gt;=MA_MED,AVERAGE(INDEX($I$1390:$I1790,402-MA_MED):$I1790),"")</f>
        <v>1168.24</v>
      </c>
      <c r="X1790" s="48" t="n">
        <f aca="false">IF($U1790&gt;=MA_LONG1,AVERAGE(INDEX($I$1390:$I1790,402-MA_LONG1):$I1790),"")</f>
        <v>1295.92</v>
      </c>
      <c r="Y1790" s="48" t="n">
        <f aca="false">IF($U1790&gt;=MA_LONG2,AVERAGE(INDEX($I$1390:$I1790,402-MA_LONG2):$I1790),"")</f>
        <v>1595.85</v>
      </c>
      <c r="Z1790" s="48" t="n">
        <f aca="false">IF($U1790&gt;=MA_SHORT,AVERAGE(INDEX($L$1670:$L1790,122-MA_SHORT):$L1790),"")</f>
        <v>93978258.45</v>
      </c>
      <c r="AA1790" s="48" t="n">
        <f aca="false">IF($U1790=1,$G1790-$H1790,MAX($G1790-$H1790,ABS($G1790-$I1789),ABS($H1790-$I1789)))</f>
        <v>29</v>
      </c>
      <c r="AB1790" s="48" t="n">
        <f aca="false">IF($U1790&gt;=ATR_PER,AVERAGE(INDEX($AA$1670:$AA1790,122-ATR_PER):$AA1790),"")</f>
        <v>40.2857142857143</v>
      </c>
      <c r="AC1790" s="48" t="n">
        <f aca="false">$O1790-$P1790</f>
        <v>-9113242</v>
      </c>
      <c r="AD1790" s="48" t="n">
        <f aca="false">$AC1790*$I1790</f>
        <v>-10771852044</v>
      </c>
      <c r="AE1790" s="49" t="n">
        <f aca="false">IF($Q1790&gt;0,$O1790*$I1790/$Q1790/1000000,"")</f>
        <v>33.4479591679507</v>
      </c>
      <c r="AF1790" s="49" t="n">
        <f aca="false">IF($R1790&gt;0,$P1790*$I1790/$R1790/1000000,"")</f>
        <v>42.1691074272374</v>
      </c>
      <c r="AG1790" s="50" t="n">
        <f aca="false">IF(AND(ISNUMBER($AE1790),ISNUMBER($AF1790),$AF1790&gt;0),$AE1790/$AF1790,"")</f>
        <v>0.79318632071274</v>
      </c>
      <c r="AH1790" s="48" t="n">
        <f aca="false">IF($U1790&gt;=5,SUM(INDEX($AD$1760:$AD1790,32-5):$AD1790),"")</f>
        <v>-19923338418</v>
      </c>
      <c r="AI1790" s="48" t="n">
        <f aca="false">IF($U1790&gt;=STRUCT_S,MAX(INDEX($G$1640:$G1790,152-STRUCT_S):$G1790),"")</f>
        <v>1213</v>
      </c>
      <c r="AJ1790" s="48" t="n">
        <f aca="false">IF($U1790&gt;=STRUCT_S,MIN(INDEX($H$1640:$H1790,152-STRUCT_S):$H1790),"")</f>
        <v>1123</v>
      </c>
      <c r="AK1790" s="48" t="n">
        <f aca="false">IF($U1790&gt;=STRUCT_L,MAX(INDEX($G$1540:$G1790,252-STRUCT_L):$G1790),"")</f>
        <v>1314</v>
      </c>
      <c r="AL1790" s="48" t="n">
        <f aca="false">IF($U1790&gt;=STRUCT_L,MIN(INDEX($H$1540:$H1790,252-STRUCT_L):$H1790),"")</f>
        <v>1107</v>
      </c>
      <c r="AM1790" s="46" t="n">
        <f aca="false">IF($A1790&lt;&gt;$A1791,1,0)</f>
        <v>0</v>
      </c>
      <c r="AN1790" s="47" t="str">
        <f aca="false">IF($AM1790=1,$A1790,"")</f>
        <v/>
      </c>
    </row>
    <row r="1791" customFormat="false" ht="15" hidden="false" customHeight="false" outlineLevel="0" collapsed="false">
      <c r="A1791" s="43" t="s">
        <v>162</v>
      </c>
      <c r="B1791" s="44" t="s">
        <v>164</v>
      </c>
      <c r="C1791" s="45" t="n">
        <v>46222</v>
      </c>
      <c r="D1791" s="46" t="n">
        <v>20260719</v>
      </c>
      <c r="E1791" s="47" t="s">
        <v>514</v>
      </c>
      <c r="F1791" s="48" t="n">
        <v>1184</v>
      </c>
      <c r="G1791" s="48" t="n">
        <v>1218</v>
      </c>
      <c r="H1791" s="48" t="n">
        <v>1159</v>
      </c>
      <c r="I1791" s="48" t="n">
        <v>1195</v>
      </c>
      <c r="J1791" s="48" t="n">
        <v>1163</v>
      </c>
      <c r="K1791" s="48" t="n">
        <v>1182</v>
      </c>
      <c r="L1791" s="48" t="n">
        <v>128792800</v>
      </c>
      <c r="M1791" s="48" t="n">
        <v>153907396000</v>
      </c>
      <c r="N1791" s="48" t="n">
        <v>4455</v>
      </c>
      <c r="O1791" s="48" t="n">
        <v>73571584</v>
      </c>
      <c r="P1791" s="48" t="n">
        <v>57409238</v>
      </c>
      <c r="Q1791" s="48" t="n">
        <v>2525</v>
      </c>
      <c r="R1791" s="48" t="n">
        <v>1764</v>
      </c>
      <c r="S1791" s="48" t="n">
        <v>55221216</v>
      </c>
      <c r="T1791" s="48" t="n">
        <v>71383562</v>
      </c>
      <c r="U1791" s="46" t="n">
        <f aca="false">IF($A1791=$A1790,$U1790+1,1)</f>
        <v>227</v>
      </c>
      <c r="V1791" s="48" t="n">
        <f aca="false">IF($U1791&gt;=MA_SHORT,AVERAGE(INDEX($I$1391:$I1791,402-MA_SHORT):$I1791),"")</f>
        <v>1170.5</v>
      </c>
      <c r="W1791" s="48" t="n">
        <f aca="false">IF($U1791&gt;=MA_MED,AVERAGE(INDEX($I$1391:$I1791,402-MA_MED):$I1791),"")</f>
        <v>1168.84</v>
      </c>
      <c r="X1791" s="48" t="n">
        <f aca="false">IF($U1791&gt;=MA_LONG1,AVERAGE(INDEX($I$1391:$I1791,402-MA_LONG1):$I1791),"")</f>
        <v>1290.91</v>
      </c>
      <c r="Y1791" s="48" t="n">
        <f aca="false">IF($U1791&gt;=MA_LONG2,AVERAGE(INDEX($I$1391:$I1791,402-MA_LONG2):$I1791),"")</f>
        <v>1591.645</v>
      </c>
      <c r="Z1791" s="48" t="n">
        <f aca="false">IF($U1791&gt;=MA_SHORT,AVERAGE(INDEX($L$1671:$L1791,122-MA_SHORT):$L1791),"")</f>
        <v>94540625.5</v>
      </c>
      <c r="AA1791" s="48" t="n">
        <f aca="false">IF($U1791=1,$G1791-$H1791,MAX($G1791-$H1791,ABS($G1791-$I1790),ABS($H1791-$I1790)))</f>
        <v>59</v>
      </c>
      <c r="AB1791" s="48" t="n">
        <f aca="false">IF($U1791&gt;=ATR_PER,AVERAGE(INDEX($AA$1671:$AA1791,122-ATR_PER):$AA1791),"")</f>
        <v>42.3571428571429</v>
      </c>
      <c r="AC1791" s="48" t="n">
        <f aca="false">$O1791-$P1791</f>
        <v>16162346</v>
      </c>
      <c r="AD1791" s="48" t="n">
        <f aca="false">$AC1791*$I1791</f>
        <v>19314003470</v>
      </c>
      <c r="AE1791" s="49" t="n">
        <f aca="false">IF($Q1791&gt;0,$O1791*$I1791/$Q1791/1000000,"")</f>
        <v>34.8190268831683</v>
      </c>
      <c r="AF1791" s="49" t="n">
        <f aca="false">IF($R1791&gt;0,$P1791*$I1791/$R1791/1000000,"")</f>
        <v>38.8911788038549</v>
      </c>
      <c r="AG1791" s="50" t="n">
        <f aca="false">IF(AND(ISNUMBER($AE1791),ISNUMBER($AF1791),$AF1791&gt;0),$AE1791/$AF1791,"")</f>
        <v>0.89529368751654</v>
      </c>
      <c r="AH1791" s="48" t="n">
        <f aca="false">IF($U1791&gt;=5,SUM(INDEX($AD$1761:$AD1791,32-5):$AD1791),"")</f>
        <v>13187813052</v>
      </c>
      <c r="AI1791" s="48" t="n">
        <f aca="false">IF($U1791&gt;=STRUCT_S,MAX(INDEX($G$1641:$G1791,152-STRUCT_S):$G1791),"")</f>
        <v>1218</v>
      </c>
      <c r="AJ1791" s="48" t="n">
        <f aca="false">IF($U1791&gt;=STRUCT_S,MIN(INDEX($H$1641:$H1791,152-STRUCT_S):$H1791),"")</f>
        <v>1123</v>
      </c>
      <c r="AK1791" s="48" t="n">
        <f aca="false">IF($U1791&gt;=STRUCT_L,MAX(INDEX($G$1541:$G1791,252-STRUCT_L):$G1791),"")</f>
        <v>1314</v>
      </c>
      <c r="AL1791" s="48" t="n">
        <f aca="false">IF($U1791&gt;=STRUCT_L,MIN(INDEX($H$1541:$H1791,252-STRUCT_L):$H1791),"")</f>
        <v>1107</v>
      </c>
      <c r="AM1791" s="46" t="n">
        <f aca="false">IF($A1791&lt;&gt;$A1792,1,0)</f>
        <v>0</v>
      </c>
      <c r="AN1791" s="47" t="str">
        <f aca="false">IF($AM1791=1,$A1791,"")</f>
        <v/>
      </c>
    </row>
    <row r="1792" customFormat="false" ht="15" hidden="false" customHeight="false" outlineLevel="0" collapsed="false">
      <c r="A1792" s="43" t="s">
        <v>162</v>
      </c>
      <c r="B1792" s="44" t="s">
        <v>164</v>
      </c>
      <c r="C1792" s="45" t="n">
        <v>46223</v>
      </c>
      <c r="D1792" s="46" t="n">
        <v>20260720</v>
      </c>
      <c r="E1792" s="47" t="s">
        <v>515</v>
      </c>
      <c r="F1792" s="48" t="n">
        <v>1208</v>
      </c>
      <c r="G1792" s="48" t="n">
        <v>1214</v>
      </c>
      <c r="H1792" s="48" t="n">
        <v>1171</v>
      </c>
      <c r="I1792" s="48" t="n">
        <v>1190</v>
      </c>
      <c r="J1792" s="48" t="n">
        <v>1212</v>
      </c>
      <c r="K1792" s="48" t="n">
        <v>1195</v>
      </c>
      <c r="L1792" s="48" t="n">
        <v>80548128</v>
      </c>
      <c r="M1792" s="48" t="n">
        <v>95852272320</v>
      </c>
      <c r="N1792" s="48" t="n">
        <v>1995</v>
      </c>
      <c r="O1792" s="48" t="n">
        <v>36860643</v>
      </c>
      <c r="P1792" s="48" t="n">
        <v>45192594</v>
      </c>
      <c r="Q1792" s="48" t="n">
        <v>863</v>
      </c>
      <c r="R1792" s="48" t="n">
        <v>1034</v>
      </c>
      <c r="S1792" s="48" t="n">
        <v>43687485</v>
      </c>
      <c r="T1792" s="48" t="n">
        <v>35355534</v>
      </c>
      <c r="U1792" s="46" t="n">
        <f aca="false">IF($A1792=$A1791,$U1791+1,1)</f>
        <v>228</v>
      </c>
      <c r="V1792" s="48" t="n">
        <f aca="false">IF($U1792&gt;=MA_SHORT,AVERAGE(INDEX($I$1392:$I1792,402-MA_SHORT):$I1792),"")</f>
        <v>1171.8</v>
      </c>
      <c r="W1792" s="48" t="n">
        <f aca="false">IF($U1792&gt;=MA_MED,AVERAGE(INDEX($I$1392:$I1792,402-MA_MED):$I1792),"")</f>
        <v>1169.2</v>
      </c>
      <c r="X1792" s="48" t="n">
        <f aca="false">IF($U1792&gt;=MA_LONG1,AVERAGE(INDEX($I$1392:$I1792,402-MA_LONG1):$I1792),"")</f>
        <v>1285.61</v>
      </c>
      <c r="Y1792" s="48" t="n">
        <f aca="false">IF($U1792&gt;=MA_LONG2,AVERAGE(INDEX($I$1392:$I1792,402-MA_LONG2):$I1792),"")</f>
        <v>1587.45</v>
      </c>
      <c r="Z1792" s="48" t="n">
        <f aca="false">IF($U1792&gt;=MA_SHORT,AVERAGE(INDEX($L$1672:$L1792,122-MA_SHORT):$L1792),"")</f>
        <v>94393707.35</v>
      </c>
      <c r="AA1792" s="48" t="n">
        <f aca="false">IF($U1792=1,$G1792-$H1792,MAX($G1792-$H1792,ABS($G1792-$I1791),ABS($H1792-$I1791)))</f>
        <v>43</v>
      </c>
      <c r="AB1792" s="48" t="n">
        <f aca="false">IF($U1792&gt;=ATR_PER,AVERAGE(INDEX($AA$1672:$AA1792,122-ATR_PER):$AA1792),"")</f>
        <v>42.8571428571429</v>
      </c>
      <c r="AC1792" s="48" t="n">
        <f aca="false">$O1792-$P1792</f>
        <v>-8331951</v>
      </c>
      <c r="AD1792" s="48" t="n">
        <f aca="false">$AC1792*$I1792</f>
        <v>-9915021690</v>
      </c>
      <c r="AE1792" s="49" t="n">
        <f aca="false">IF($Q1792&gt;0,$O1792*$I1792/$Q1792/1000000,"")</f>
        <v>50.8275378563152</v>
      </c>
      <c r="AF1792" s="49" t="n">
        <f aca="false">IF($R1792&gt;0,$P1792*$I1792/$R1792/1000000,"")</f>
        <v>52.0108190135397</v>
      </c>
      <c r="AG1792" s="50" t="n">
        <f aca="false">IF(AND(ISNUMBER($AE1792),ISNUMBER($AF1792),$AF1792&gt;0),$AE1792/$AF1792,"")</f>
        <v>0.977249326588831</v>
      </c>
      <c r="AH1792" s="48" t="n">
        <f aca="false">IF($U1792&gt;=5,SUM(INDEX($AD$1762:$AD1792,32-5):$AD1792),"")</f>
        <v>7648782268</v>
      </c>
      <c r="AI1792" s="48" t="n">
        <f aca="false">IF($U1792&gt;=STRUCT_S,MAX(INDEX($G$1642:$G1792,152-STRUCT_S):$G1792),"")</f>
        <v>1218</v>
      </c>
      <c r="AJ1792" s="48" t="n">
        <f aca="false">IF($U1792&gt;=STRUCT_S,MIN(INDEX($H$1642:$H1792,152-STRUCT_S):$H1792),"")</f>
        <v>1123</v>
      </c>
      <c r="AK1792" s="48" t="n">
        <f aca="false">IF($U1792&gt;=STRUCT_L,MAX(INDEX($G$1542:$G1792,252-STRUCT_L):$G1792),"")</f>
        <v>1314</v>
      </c>
      <c r="AL1792" s="48" t="n">
        <f aca="false">IF($U1792&gt;=STRUCT_L,MIN(INDEX($H$1542:$H1792,252-STRUCT_L):$H1792),"")</f>
        <v>1107</v>
      </c>
      <c r="AM1792" s="46" t="n">
        <f aca="false">IF($A1792&lt;&gt;$A1793,1,0)</f>
        <v>0</v>
      </c>
      <c r="AN1792" s="47" t="str">
        <f aca="false">IF($AM1792=1,$A1792,"")</f>
        <v/>
      </c>
    </row>
    <row r="1793" customFormat="false" ht="15" hidden="false" customHeight="false" outlineLevel="0" collapsed="false">
      <c r="A1793" s="43" t="s">
        <v>162</v>
      </c>
      <c r="B1793" s="44" t="s">
        <v>164</v>
      </c>
      <c r="C1793" s="45" t="n">
        <v>46224</v>
      </c>
      <c r="D1793" s="46" t="n">
        <v>20260721</v>
      </c>
      <c r="E1793" s="47" t="s">
        <v>516</v>
      </c>
      <c r="F1793" s="48" t="n">
        <v>1175</v>
      </c>
      <c r="G1793" s="48" t="n">
        <v>1196</v>
      </c>
      <c r="H1793" s="48" t="n">
        <v>1174</v>
      </c>
      <c r="I1793" s="48" t="n">
        <v>1180</v>
      </c>
      <c r="J1793" s="48" t="n">
        <v>1185</v>
      </c>
      <c r="K1793" s="48" t="n">
        <v>1190</v>
      </c>
      <c r="L1793" s="48" t="n">
        <v>99527267</v>
      </c>
      <c r="M1793" s="48" t="n">
        <v>117442175060</v>
      </c>
      <c r="N1793" s="48" t="n">
        <v>5978</v>
      </c>
      <c r="O1793" s="48" t="n">
        <v>51603851</v>
      </c>
      <c r="P1793" s="48" t="n">
        <v>46880099</v>
      </c>
      <c r="Q1793" s="48" t="n">
        <v>2122</v>
      </c>
      <c r="R1793" s="48" t="n">
        <v>2731</v>
      </c>
      <c r="S1793" s="48" t="n">
        <v>47923416</v>
      </c>
      <c r="T1793" s="48" t="n">
        <v>52647168</v>
      </c>
      <c r="U1793" s="46" t="n">
        <f aca="false">IF($A1793=$A1792,$U1792+1,1)</f>
        <v>229</v>
      </c>
      <c r="V1793" s="48" t="n">
        <f aca="false">IF($U1793&gt;=MA_SHORT,AVERAGE(INDEX($I$1393:$I1793,402-MA_SHORT):$I1793),"")</f>
        <v>1172.6</v>
      </c>
      <c r="W1793" s="48" t="n">
        <f aca="false">IF($U1793&gt;=MA_MED,AVERAGE(INDEX($I$1393:$I1793,402-MA_MED):$I1793),"")</f>
        <v>1169.64</v>
      </c>
      <c r="X1793" s="48" t="n">
        <f aca="false">IF($U1793&gt;=MA_LONG1,AVERAGE(INDEX($I$1393:$I1793,402-MA_LONG1):$I1793),"")</f>
        <v>1280.01</v>
      </c>
      <c r="Y1793" s="48" t="n">
        <f aca="false">IF($U1793&gt;=MA_LONG2,AVERAGE(INDEX($I$1393:$I1793,402-MA_LONG2):$I1793),"")</f>
        <v>1583.01</v>
      </c>
      <c r="Z1793" s="48" t="n">
        <f aca="false">IF($U1793&gt;=MA_SHORT,AVERAGE(INDEX($L$1673:$L1793,122-MA_SHORT):$L1793),"")</f>
        <v>95318146.05</v>
      </c>
      <c r="AA1793" s="48" t="n">
        <f aca="false">IF($U1793=1,$G1793-$H1793,MAX($G1793-$H1793,ABS($G1793-$I1792),ABS($H1793-$I1792)))</f>
        <v>22</v>
      </c>
      <c r="AB1793" s="48" t="n">
        <f aca="false">IF($U1793&gt;=ATR_PER,AVERAGE(INDEX($AA$1673:$AA1793,122-ATR_PER):$AA1793),"")</f>
        <v>41.2142857142857</v>
      </c>
      <c r="AC1793" s="48" t="n">
        <f aca="false">$O1793-$P1793</f>
        <v>4723752</v>
      </c>
      <c r="AD1793" s="48" t="n">
        <f aca="false">$AC1793*$I1793</f>
        <v>5574027360</v>
      </c>
      <c r="AE1793" s="49" t="n">
        <f aca="false">IF($Q1793&gt;0,$O1793*$I1793/$Q1793/1000000,"")</f>
        <v>28.695826663525</v>
      </c>
      <c r="AF1793" s="49" t="n">
        <f aca="false">IF($R1793&gt;0,$P1793*$I1793/$R1793/1000000,"")</f>
        <v>20.2557732771878</v>
      </c>
      <c r="AG1793" s="50" t="n">
        <f aca="false">IF(AND(ISNUMBER($AE1793),ISNUMBER($AF1793),$AF1793&gt;0),$AE1793/$AF1793,"")</f>
        <v>1.41667396602639</v>
      </c>
      <c r="AH1793" s="48" t="n">
        <f aca="false">IF($U1793&gt;=5,SUM(INDEX($AD$1763:$AD1793,32-5):$AD1793),"")</f>
        <v>6857721899</v>
      </c>
      <c r="AI1793" s="48" t="n">
        <f aca="false">IF($U1793&gt;=STRUCT_S,MAX(INDEX($G$1643:$G1793,152-STRUCT_S):$G1793),"")</f>
        <v>1218</v>
      </c>
      <c r="AJ1793" s="48" t="n">
        <f aca="false">IF($U1793&gt;=STRUCT_S,MIN(INDEX($H$1643:$H1793,152-STRUCT_S):$H1793),"")</f>
        <v>1123</v>
      </c>
      <c r="AK1793" s="48" t="n">
        <f aca="false">IF($U1793&gt;=STRUCT_L,MAX(INDEX($G$1543:$G1793,252-STRUCT_L):$G1793),"")</f>
        <v>1314</v>
      </c>
      <c r="AL1793" s="48" t="n">
        <f aca="false">IF($U1793&gt;=STRUCT_L,MIN(INDEX($H$1543:$H1793,252-STRUCT_L):$H1793),"")</f>
        <v>1107</v>
      </c>
      <c r="AM1793" s="46" t="n">
        <f aca="false">IF($A1793&lt;&gt;$A1794,1,0)</f>
        <v>0</v>
      </c>
      <c r="AN1793" s="47" t="str">
        <f aca="false">IF($AM1793=1,$A1793,"")</f>
        <v/>
      </c>
    </row>
    <row r="1794" customFormat="false" ht="15" hidden="false" customHeight="false" outlineLevel="0" collapsed="false">
      <c r="A1794" s="43" t="s">
        <v>162</v>
      </c>
      <c r="B1794" s="44" t="s">
        <v>164</v>
      </c>
      <c r="C1794" s="45" t="n">
        <v>46225</v>
      </c>
      <c r="D1794" s="46" t="n">
        <v>20260722</v>
      </c>
      <c r="E1794" s="47" t="s">
        <v>517</v>
      </c>
      <c r="F1794" s="48" t="n">
        <v>1180</v>
      </c>
      <c r="G1794" s="48" t="n">
        <v>1193</v>
      </c>
      <c r="H1794" s="48" t="n">
        <v>1156</v>
      </c>
      <c r="I1794" s="48" t="n">
        <v>1168</v>
      </c>
      <c r="J1794" s="48" t="n">
        <v>1177</v>
      </c>
      <c r="K1794" s="48" t="n">
        <v>1180</v>
      </c>
      <c r="L1794" s="48" t="n">
        <v>83369960</v>
      </c>
      <c r="M1794" s="48" t="n">
        <v>97376113280</v>
      </c>
      <c r="N1794" s="48" t="n">
        <v>2968</v>
      </c>
      <c r="O1794" s="48" t="n">
        <v>40563942</v>
      </c>
      <c r="P1794" s="48" t="n">
        <v>40062212</v>
      </c>
      <c r="Q1794" s="48" t="n">
        <v>996</v>
      </c>
      <c r="R1794" s="48" t="n">
        <v>1481</v>
      </c>
      <c r="S1794" s="48" t="n">
        <v>42806018</v>
      </c>
      <c r="T1794" s="48" t="n">
        <v>43307748</v>
      </c>
      <c r="U1794" s="46" t="n">
        <f aca="false">IF($A1794=$A1793,$U1793+1,1)</f>
        <v>230</v>
      </c>
      <c r="V1794" s="48" t="n">
        <f aca="false">IF($U1794&gt;=MA_SHORT,AVERAGE(INDEX($I$1394:$I1794,402-MA_SHORT):$I1794),"")</f>
        <v>1173.3</v>
      </c>
      <c r="W1794" s="48" t="n">
        <f aca="false">IF($U1794&gt;=MA_MED,AVERAGE(INDEX($I$1394:$I1794,402-MA_MED):$I1794),"")</f>
        <v>1170.26</v>
      </c>
      <c r="X1794" s="48" t="n">
        <f aca="false">IF($U1794&gt;=MA_LONG1,AVERAGE(INDEX($I$1394:$I1794,402-MA_LONG1):$I1794),"")</f>
        <v>1274.44</v>
      </c>
      <c r="Y1794" s="48" t="n">
        <f aca="false">IF($U1794&gt;=MA_LONG2,AVERAGE(INDEX($I$1394:$I1794,402-MA_LONG2):$I1794),"")</f>
        <v>1578.825</v>
      </c>
      <c r="Z1794" s="48" t="n">
        <f aca="false">IF($U1794&gt;=MA_SHORT,AVERAGE(INDEX($L$1674:$L1794,122-MA_SHORT):$L1794),"")</f>
        <v>95355353.75</v>
      </c>
      <c r="AA1794" s="48" t="n">
        <f aca="false">IF($U1794=1,$G1794-$H1794,MAX($G1794-$H1794,ABS($G1794-$I1793),ABS($H1794-$I1793)))</f>
        <v>37</v>
      </c>
      <c r="AB1794" s="48" t="n">
        <f aca="false">IF($U1794&gt;=ATR_PER,AVERAGE(INDEX($AA$1674:$AA1794,122-ATR_PER):$AA1794),"")</f>
        <v>41.3571428571429</v>
      </c>
      <c r="AC1794" s="48" t="n">
        <f aca="false">$O1794-$P1794</f>
        <v>501730</v>
      </c>
      <c r="AD1794" s="48" t="n">
        <f aca="false">$AC1794*$I1794</f>
        <v>586020640</v>
      </c>
      <c r="AE1794" s="49" t="n">
        <f aca="false">IF($Q1794&gt;0,$O1794*$I1794/$Q1794/1000000,"")</f>
        <v>47.5689600963855</v>
      </c>
      <c r="AF1794" s="49" t="n">
        <f aca="false">IF($R1794&gt;0,$P1794*$I1794/$R1794/1000000,"")</f>
        <v>31.5953164186361</v>
      </c>
      <c r="AG1794" s="50" t="n">
        <f aca="false">IF(AND(ISNUMBER($AE1794),ISNUMBER($AF1794),$AF1794&gt;0),$AE1794/$AF1794,"")</f>
        <v>1.50556998594664</v>
      </c>
      <c r="AH1794" s="48" t="n">
        <f aca="false">IF($U1794&gt;=5,SUM(INDEX($AD$1764:$AD1794,32-5):$AD1794),"")</f>
        <v>4787177736</v>
      </c>
      <c r="AI1794" s="48" t="n">
        <f aca="false">IF($U1794&gt;=STRUCT_S,MAX(INDEX($G$1644:$G1794,152-STRUCT_S):$G1794),"")</f>
        <v>1218</v>
      </c>
      <c r="AJ1794" s="48" t="n">
        <f aca="false">IF($U1794&gt;=STRUCT_S,MIN(INDEX($H$1644:$H1794,152-STRUCT_S):$H1794),"")</f>
        <v>1126</v>
      </c>
      <c r="AK1794" s="48" t="n">
        <f aca="false">IF($U1794&gt;=STRUCT_L,MAX(INDEX($G$1544:$G1794,252-STRUCT_L):$G1794),"")</f>
        <v>1314</v>
      </c>
      <c r="AL1794" s="48" t="n">
        <f aca="false">IF($U1794&gt;=STRUCT_L,MIN(INDEX($H$1544:$H1794,252-STRUCT_L):$H1794),"")</f>
        <v>1107</v>
      </c>
      <c r="AM1794" s="46" t="n">
        <f aca="false">IF($A1794&lt;&gt;$A1795,1,0)</f>
        <v>0</v>
      </c>
      <c r="AN1794" s="47" t="str">
        <f aca="false">IF($AM1794=1,$A1794,"")</f>
        <v/>
      </c>
    </row>
    <row r="1795" customFormat="false" ht="15" hidden="false" customHeight="false" outlineLevel="0" collapsed="false">
      <c r="A1795" s="43" t="s">
        <v>162</v>
      </c>
      <c r="B1795" s="44" t="s">
        <v>164</v>
      </c>
      <c r="C1795" s="45" t="n">
        <v>46228</v>
      </c>
      <c r="D1795" s="46" t="n">
        <v>20260725</v>
      </c>
      <c r="E1795" s="47" t="s">
        <v>518</v>
      </c>
      <c r="F1795" s="48" t="n">
        <v>1169</v>
      </c>
      <c r="G1795" s="48" t="n">
        <v>1171</v>
      </c>
      <c r="H1795" s="48" t="n">
        <v>1159</v>
      </c>
      <c r="I1795" s="48" t="n">
        <v>1162</v>
      </c>
      <c r="J1795" s="48" t="n">
        <v>1164</v>
      </c>
      <c r="K1795" s="48" t="n">
        <v>1168</v>
      </c>
      <c r="L1795" s="48" t="n">
        <v>80997369</v>
      </c>
      <c r="M1795" s="48" t="n">
        <v>94118942778</v>
      </c>
      <c r="N1795" s="48" t="n">
        <v>5485</v>
      </c>
      <c r="O1795" s="48" t="n">
        <v>40658446</v>
      </c>
      <c r="P1795" s="48" t="n">
        <v>38495975</v>
      </c>
      <c r="Q1795" s="48" t="n">
        <v>2427</v>
      </c>
      <c r="R1795" s="48" t="n">
        <v>2944</v>
      </c>
      <c r="S1795" s="48" t="n">
        <v>40338923</v>
      </c>
      <c r="T1795" s="48" t="n">
        <v>42501394</v>
      </c>
      <c r="U1795" s="46" t="n">
        <f aca="false">IF($A1795=$A1794,$U1794+1,1)</f>
        <v>231</v>
      </c>
      <c r="V1795" s="48" t="n">
        <f aca="false">IF($U1795&gt;=MA_SHORT,AVERAGE(INDEX($I$1395:$I1795,402-MA_SHORT):$I1795),"")</f>
        <v>1173.05</v>
      </c>
      <c r="W1795" s="48" t="n">
        <f aca="false">IF($U1795&gt;=MA_MED,AVERAGE(INDEX($I$1395:$I1795,402-MA_MED):$I1795),"")</f>
        <v>1170.78</v>
      </c>
      <c r="X1795" s="48" t="n">
        <f aca="false">IF($U1795&gt;=MA_LONG1,AVERAGE(INDEX($I$1395:$I1795,402-MA_LONG1):$I1795),"")</f>
        <v>1268.77</v>
      </c>
      <c r="Y1795" s="48" t="n">
        <f aca="false">IF($U1795&gt;=MA_LONG2,AVERAGE(INDEX($I$1395:$I1795,402-MA_LONG2):$I1795),"")</f>
        <v>1574.565</v>
      </c>
      <c r="Z1795" s="48" t="n">
        <f aca="false">IF($U1795&gt;=MA_SHORT,AVERAGE(INDEX($L$1675:$L1795,122-MA_SHORT):$L1795),"")</f>
        <v>95210896.3</v>
      </c>
      <c r="AA1795" s="48" t="n">
        <f aca="false">IF($U1795=1,$G1795-$H1795,MAX($G1795-$H1795,ABS($G1795-$I1794),ABS($H1795-$I1794)))</f>
        <v>12</v>
      </c>
      <c r="AB1795" s="48" t="n">
        <f aca="false">IF($U1795&gt;=ATR_PER,AVERAGE(INDEX($AA$1675:$AA1795,122-ATR_PER):$AA1795),"")</f>
        <v>40.2857142857143</v>
      </c>
      <c r="AC1795" s="48" t="n">
        <f aca="false">$O1795-$P1795</f>
        <v>2162471</v>
      </c>
      <c r="AD1795" s="48" t="n">
        <f aca="false">$AC1795*$I1795</f>
        <v>2512791302</v>
      </c>
      <c r="AE1795" s="49" t="n">
        <f aca="false">IF($Q1795&gt;0,$O1795*$I1795/$Q1795/1000000,"")</f>
        <v>19.4664665232798</v>
      </c>
      <c r="AF1795" s="49" t="n">
        <f aca="false">IF($R1795&gt;0,$P1795*$I1795/$R1795/1000000,"")</f>
        <v>15.1944031759511</v>
      </c>
      <c r="AG1795" s="50" t="n">
        <f aca="false">IF(AND(ISNUMBER($AE1795),ISNUMBER($AF1795),$AF1795&gt;0),$AE1795/$AF1795,"")</f>
        <v>1.28116032580275</v>
      </c>
      <c r="AH1795" s="48" t="n">
        <f aca="false">IF($U1795&gt;=5,SUM(INDEX($AD$1765:$AD1795,32-5):$AD1795),"")</f>
        <v>18071821082</v>
      </c>
      <c r="AI1795" s="48" t="n">
        <f aca="false">IF($U1795&gt;=STRUCT_S,MAX(INDEX($G$1645:$G1795,152-STRUCT_S):$G1795),"")</f>
        <v>1218</v>
      </c>
      <c r="AJ1795" s="48" t="n">
        <f aca="false">IF($U1795&gt;=STRUCT_S,MIN(INDEX($H$1645:$H1795,152-STRUCT_S):$H1795),"")</f>
        <v>1126</v>
      </c>
      <c r="AK1795" s="48" t="n">
        <f aca="false">IF($U1795&gt;=STRUCT_L,MAX(INDEX($G$1545:$G1795,252-STRUCT_L):$G1795),"")</f>
        <v>1307</v>
      </c>
      <c r="AL1795" s="48" t="n">
        <f aca="false">IF($U1795&gt;=STRUCT_L,MIN(INDEX($H$1545:$H1795,252-STRUCT_L):$H1795),"")</f>
        <v>1107</v>
      </c>
      <c r="AM1795" s="46" t="n">
        <f aca="false">IF($A1795&lt;&gt;$A1796,1,0)</f>
        <v>0</v>
      </c>
      <c r="AN1795" s="47" t="str">
        <f aca="false">IF($AM1795=1,$A1795,"")</f>
        <v/>
      </c>
    </row>
    <row r="1796" customFormat="false" ht="15" hidden="false" customHeight="false" outlineLevel="0" collapsed="false">
      <c r="A1796" s="43" t="s">
        <v>162</v>
      </c>
      <c r="B1796" s="44" t="s">
        <v>164</v>
      </c>
      <c r="C1796" s="45" t="n">
        <v>46229</v>
      </c>
      <c r="D1796" s="46" t="n">
        <v>20260726</v>
      </c>
      <c r="E1796" s="47" t="s">
        <v>519</v>
      </c>
      <c r="F1796" s="48" t="n">
        <v>1150</v>
      </c>
      <c r="G1796" s="48" t="n">
        <v>1165</v>
      </c>
      <c r="H1796" s="48" t="n">
        <v>1121</v>
      </c>
      <c r="I1796" s="48" t="n">
        <v>1124</v>
      </c>
      <c r="J1796" s="48" t="n">
        <v>1132</v>
      </c>
      <c r="K1796" s="48" t="n">
        <v>1162</v>
      </c>
      <c r="L1796" s="48" t="n">
        <v>93993093</v>
      </c>
      <c r="M1796" s="48" t="n">
        <v>105648236532</v>
      </c>
      <c r="N1796" s="48" t="n">
        <v>8343</v>
      </c>
      <c r="O1796" s="48" t="n">
        <v>34042324</v>
      </c>
      <c r="P1796" s="48" t="n">
        <v>61332171</v>
      </c>
      <c r="Q1796" s="48" t="n">
        <v>3522</v>
      </c>
      <c r="R1796" s="48" t="n">
        <v>3789</v>
      </c>
      <c r="S1796" s="48" t="n">
        <v>59950769</v>
      </c>
      <c r="T1796" s="48" t="n">
        <v>32660922</v>
      </c>
      <c r="U1796" s="46" t="n">
        <f aca="false">IF($A1796=$A1795,$U1795+1,1)</f>
        <v>232</v>
      </c>
      <c r="V1796" s="48" t="n">
        <f aca="false">IF($U1796&gt;=MA_SHORT,AVERAGE(INDEX($I$1396:$I1796,402-MA_SHORT):$I1796),"")</f>
        <v>1170.9</v>
      </c>
      <c r="W1796" s="48" t="n">
        <f aca="false">IF($U1796&gt;=MA_MED,AVERAGE(INDEX($I$1396:$I1796,402-MA_MED):$I1796),"")</f>
        <v>1170.66</v>
      </c>
      <c r="X1796" s="48" t="n">
        <f aca="false">IF($U1796&gt;=MA_LONG1,AVERAGE(INDEX($I$1396:$I1796,402-MA_LONG1):$I1796),"")</f>
        <v>1263.1</v>
      </c>
      <c r="Y1796" s="48" t="n">
        <f aca="false">IF($U1796&gt;=MA_LONG2,AVERAGE(INDEX($I$1396:$I1796,402-MA_LONG2):$I1796),"")</f>
        <v>1569.955</v>
      </c>
      <c r="Z1796" s="48" t="n">
        <f aca="false">IF($U1796&gt;=MA_SHORT,AVERAGE(INDEX($L$1676:$L1796,122-MA_SHORT):$L1796),"")</f>
        <v>94412003.05</v>
      </c>
      <c r="AA1796" s="48" t="n">
        <f aca="false">IF($U1796=1,$G1796-$H1796,MAX($G1796-$H1796,ABS($G1796-$I1795),ABS($H1796-$I1795)))</f>
        <v>44</v>
      </c>
      <c r="AB1796" s="48" t="n">
        <f aca="false">IF($U1796&gt;=ATR_PER,AVERAGE(INDEX($AA$1676:$AA1796,122-ATR_PER):$AA1796),"")</f>
        <v>40.5714285714286</v>
      </c>
      <c r="AC1796" s="48" t="n">
        <f aca="false">$O1796-$P1796</f>
        <v>-27289847</v>
      </c>
      <c r="AD1796" s="48" t="n">
        <f aca="false">$AC1796*$I1796</f>
        <v>-30673788028</v>
      </c>
      <c r="AE1796" s="49" t="n">
        <f aca="false">IF($Q1796&gt;0,$O1796*$I1796/$Q1796/1000000,"")</f>
        <v>10.8641601862578</v>
      </c>
      <c r="AF1796" s="49" t="n">
        <f aca="false">IF($R1796&gt;0,$P1796*$I1796/$R1796/1000000,"")</f>
        <v>18.1940776468725</v>
      </c>
      <c r="AG1796" s="50" t="n">
        <f aca="false">IF(AND(ISNUMBER($AE1796),ISNUMBER($AF1796),$AF1796&gt;0),$AE1796/$AF1796,"")</f>
        <v>0.597126185625865</v>
      </c>
      <c r="AH1796" s="48" t="n">
        <f aca="false">IF($U1796&gt;=5,SUM(INDEX($AD$1766:$AD1796,32-5):$AD1796),"")</f>
        <v>-31915970416</v>
      </c>
      <c r="AI1796" s="48" t="n">
        <f aca="false">IF($U1796&gt;=STRUCT_S,MAX(INDEX($G$1646:$G1796,152-STRUCT_S):$G1796),"")</f>
        <v>1218</v>
      </c>
      <c r="AJ1796" s="48" t="n">
        <f aca="false">IF($U1796&gt;=STRUCT_S,MIN(INDEX($H$1646:$H1796,152-STRUCT_S):$H1796),"")</f>
        <v>1121</v>
      </c>
      <c r="AK1796" s="48" t="n">
        <f aca="false">IF($U1796&gt;=STRUCT_L,MAX(INDEX($G$1546:$G1796,252-STRUCT_L):$G1796),"")</f>
        <v>1281</v>
      </c>
      <c r="AL1796" s="48" t="n">
        <f aca="false">IF($U1796&gt;=STRUCT_L,MIN(INDEX($H$1546:$H1796,252-STRUCT_L):$H1796),"")</f>
        <v>1107</v>
      </c>
      <c r="AM1796" s="46" t="n">
        <f aca="false">IF($A1796&lt;&gt;$A1797,1,0)</f>
        <v>0</v>
      </c>
      <c r="AN1796" s="47" t="str">
        <f aca="false">IF($AM1796=1,$A1796,"")</f>
        <v/>
      </c>
    </row>
    <row r="1797" customFormat="false" ht="15" hidden="false" customHeight="false" outlineLevel="0" collapsed="false">
      <c r="A1797" s="43" t="s">
        <v>162</v>
      </c>
      <c r="B1797" s="44" t="s">
        <v>164</v>
      </c>
      <c r="C1797" s="45" t="n">
        <v>46230</v>
      </c>
      <c r="D1797" s="46" t="n">
        <v>20260727</v>
      </c>
      <c r="E1797" s="47" t="s">
        <v>520</v>
      </c>
      <c r="F1797" s="48" t="n">
        <v>1128</v>
      </c>
      <c r="G1797" s="48" t="n">
        <v>1133</v>
      </c>
      <c r="H1797" s="48" t="n">
        <v>1116</v>
      </c>
      <c r="I1797" s="48" t="n">
        <v>1125</v>
      </c>
      <c r="J1797" s="48" t="n">
        <v>1119</v>
      </c>
      <c r="K1797" s="48" t="n">
        <v>1124</v>
      </c>
      <c r="L1797" s="48" t="n">
        <v>336555119</v>
      </c>
      <c r="M1797" s="48" t="n">
        <v>378624508875</v>
      </c>
      <c r="N1797" s="48" t="n">
        <v>11471</v>
      </c>
      <c r="O1797" s="48" t="n">
        <v>157671427</v>
      </c>
      <c r="P1797" s="48" t="n">
        <v>165430314</v>
      </c>
      <c r="Q1797" s="48" t="n">
        <v>6329</v>
      </c>
      <c r="R1797" s="48" t="n">
        <v>4118</v>
      </c>
      <c r="S1797" s="48" t="n">
        <v>178883692</v>
      </c>
      <c r="T1797" s="48" t="n">
        <v>171124805</v>
      </c>
      <c r="U1797" s="46" t="n">
        <f aca="false">IF($A1797=$A1796,$U1796+1,1)</f>
        <v>233</v>
      </c>
      <c r="V1797" s="48" t="n">
        <f aca="false">IF($U1797&gt;=MA_SHORT,AVERAGE(INDEX($I$1397:$I1797,402-MA_SHORT):$I1797),"")</f>
        <v>1169.5</v>
      </c>
      <c r="W1797" s="48" t="n">
        <f aca="false">IF($U1797&gt;=MA_MED,AVERAGE(INDEX($I$1397:$I1797,402-MA_MED):$I1797),"")</f>
        <v>1170.56</v>
      </c>
      <c r="X1797" s="48" t="n">
        <f aca="false">IF($U1797&gt;=MA_LONG1,AVERAGE(INDEX($I$1397:$I1797,402-MA_LONG1):$I1797),"")</f>
        <v>1257.93</v>
      </c>
      <c r="Y1797" s="48" t="n">
        <f aca="false">IF($U1797&gt;=MA_LONG2,AVERAGE(INDEX($I$1397:$I1797,402-MA_LONG2):$I1797),"")</f>
        <v>1565.405</v>
      </c>
      <c r="Z1797" s="48" t="n">
        <f aca="false">IF($U1797&gt;=MA_SHORT,AVERAGE(INDEX($L$1677:$L1797,122-MA_SHORT):$L1797),"")</f>
        <v>107028191.85</v>
      </c>
      <c r="AA1797" s="48" t="n">
        <f aca="false">IF($U1797=1,$G1797-$H1797,MAX($G1797-$H1797,ABS($G1797-$I1796),ABS($H1797-$I1796)))</f>
        <v>17</v>
      </c>
      <c r="AB1797" s="48" t="n">
        <f aca="false">IF($U1797&gt;=ATR_PER,AVERAGE(INDEX($AA$1677:$AA1797,122-ATR_PER):$AA1797),"")</f>
        <v>37.5714285714286</v>
      </c>
      <c r="AC1797" s="48" t="n">
        <f aca="false">$O1797-$P1797</f>
        <v>-7758887</v>
      </c>
      <c r="AD1797" s="48" t="n">
        <f aca="false">$AC1797*$I1797</f>
        <v>-8728747875</v>
      </c>
      <c r="AE1797" s="49" t="n">
        <f aca="false">IF($Q1797&gt;0,$O1797*$I1797/$Q1797/1000000,"")</f>
        <v>28.0266006280613</v>
      </c>
      <c r="AF1797" s="49" t="n">
        <f aca="false">IF($R1797&gt;0,$P1797*$I1797/$R1797/1000000,"")</f>
        <v>45.1940512991744</v>
      </c>
      <c r="AG1797" s="50" t="n">
        <f aca="false">IF(AND(ISNUMBER($AE1797),ISNUMBER($AF1797),$AF1797&gt;0),$AE1797/$AF1797,"")</f>
        <v>0.620139151556287</v>
      </c>
      <c r="AH1797" s="48" t="n">
        <f aca="false">IF($U1797&gt;=5,SUM(INDEX($AD$1767:$AD1797,32-5):$AD1797),"")</f>
        <v>-30729696601</v>
      </c>
      <c r="AI1797" s="48" t="n">
        <f aca="false">IF($U1797&gt;=STRUCT_S,MAX(INDEX($G$1647:$G1797,152-STRUCT_S):$G1797),"")</f>
        <v>1218</v>
      </c>
      <c r="AJ1797" s="48" t="n">
        <f aca="false">IF($U1797&gt;=STRUCT_S,MIN(INDEX($H$1647:$H1797,152-STRUCT_S):$H1797),"")</f>
        <v>1116</v>
      </c>
      <c r="AK1797" s="48" t="n">
        <f aca="false">IF($U1797&gt;=STRUCT_L,MAX(INDEX($G$1547:$G1797,252-STRUCT_L):$G1797),"")</f>
        <v>1263</v>
      </c>
      <c r="AL1797" s="48" t="n">
        <f aca="false">IF($U1797&gt;=STRUCT_L,MIN(INDEX($H$1547:$H1797,252-STRUCT_L):$H1797),"")</f>
        <v>1107</v>
      </c>
      <c r="AM1797" s="46" t="n">
        <f aca="false">IF($A1797&lt;&gt;$A1798,1,0)</f>
        <v>0</v>
      </c>
      <c r="AN1797" s="47" t="str">
        <f aca="false">IF($AM1797=1,$A1797,"")</f>
        <v/>
      </c>
    </row>
    <row r="1798" customFormat="false" ht="15" hidden="false" customHeight="false" outlineLevel="0" collapsed="false">
      <c r="A1798" s="43" t="s">
        <v>162</v>
      </c>
      <c r="B1798" s="44" t="s">
        <v>164</v>
      </c>
      <c r="C1798" s="45" t="n">
        <v>46231</v>
      </c>
      <c r="D1798" s="46" t="n">
        <v>20260728</v>
      </c>
      <c r="E1798" s="47" t="s">
        <v>521</v>
      </c>
      <c r="F1798" s="48" t="n">
        <v>1113</v>
      </c>
      <c r="G1798" s="48" t="n">
        <v>1128</v>
      </c>
      <c r="H1798" s="48" t="n">
        <v>1104</v>
      </c>
      <c r="I1798" s="48" t="n">
        <v>1107</v>
      </c>
      <c r="J1798" s="48" t="n">
        <v>1119</v>
      </c>
      <c r="K1798" s="48" t="n">
        <v>1125</v>
      </c>
      <c r="L1798" s="48" t="n">
        <v>86118771</v>
      </c>
      <c r="M1798" s="48" t="n">
        <v>95333479497</v>
      </c>
      <c r="N1798" s="48" t="n">
        <v>4868</v>
      </c>
      <c r="O1798" s="48" t="n">
        <v>29316770</v>
      </c>
      <c r="P1798" s="48" t="n">
        <v>56637912</v>
      </c>
      <c r="Q1798" s="48" t="n">
        <v>2306</v>
      </c>
      <c r="R1798" s="48" t="n">
        <v>1703</v>
      </c>
      <c r="S1798" s="48" t="n">
        <v>56802001</v>
      </c>
      <c r="T1798" s="48" t="n">
        <v>29480859</v>
      </c>
      <c r="U1798" s="46" t="n">
        <f aca="false">IF($A1798=$A1797,$U1797+1,1)</f>
        <v>234</v>
      </c>
      <c r="V1798" s="48" t="n">
        <f aca="false">IF($U1798&gt;=MA_SHORT,AVERAGE(INDEX($I$1398:$I1798,402-MA_SHORT):$I1798),"")</f>
        <v>1167.1</v>
      </c>
      <c r="W1798" s="48" t="n">
        <f aca="false">IF($U1798&gt;=MA_MED,AVERAGE(INDEX($I$1398:$I1798,402-MA_MED):$I1798),"")</f>
        <v>1170.06</v>
      </c>
      <c r="X1798" s="48" t="n">
        <f aca="false">IF($U1798&gt;=MA_LONG1,AVERAGE(INDEX($I$1398:$I1798,402-MA_LONG1):$I1798),"")</f>
        <v>1252.84</v>
      </c>
      <c r="Y1798" s="48" t="n">
        <f aca="false">IF($U1798&gt;=MA_LONG2,AVERAGE(INDEX($I$1398:$I1798,402-MA_LONG2):$I1798),"")</f>
        <v>1560.6</v>
      </c>
      <c r="Z1798" s="48" t="n">
        <f aca="false">IF($U1798&gt;=MA_SHORT,AVERAGE(INDEX($L$1678:$L1798,122-MA_SHORT):$L1798),"")</f>
        <v>107364465.1</v>
      </c>
      <c r="AA1798" s="48" t="n">
        <f aca="false">IF($U1798=1,$G1798-$H1798,MAX($G1798-$H1798,ABS($G1798-$I1797),ABS($H1798-$I1797)))</f>
        <v>24</v>
      </c>
      <c r="AB1798" s="48" t="n">
        <f aca="false">IF($U1798&gt;=ATR_PER,AVERAGE(INDEX($AA$1678:$AA1798,122-ATR_PER):$AA1798),"")</f>
        <v>34.5714285714286</v>
      </c>
      <c r="AC1798" s="48" t="n">
        <f aca="false">$O1798-$P1798</f>
        <v>-27321142</v>
      </c>
      <c r="AD1798" s="48" t="n">
        <f aca="false">$AC1798*$I1798</f>
        <v>-30244504194</v>
      </c>
      <c r="AE1798" s="49" t="n">
        <f aca="false">IF($Q1798&gt;0,$O1798*$I1798/$Q1798/1000000,"")</f>
        <v>14.0735751908066</v>
      </c>
      <c r="AF1798" s="49" t="n">
        <f aca="false">IF($R1798&gt;0,$P1798*$I1798/$R1798/1000000,"")</f>
        <v>36.8163056864357</v>
      </c>
      <c r="AG1798" s="50" t="n">
        <f aca="false">IF(AND(ISNUMBER($AE1798),ISNUMBER($AF1798),$AF1798&gt;0),$AE1798/$AF1798,"")</f>
        <v>0.382264731031711</v>
      </c>
      <c r="AH1798" s="48" t="n">
        <f aca="false">IF($U1798&gt;=5,SUM(INDEX($AD$1768:$AD1798,32-5):$AD1798),"")</f>
        <v>-66548228155</v>
      </c>
      <c r="AI1798" s="48" t="n">
        <f aca="false">IF($U1798&gt;=STRUCT_S,MAX(INDEX($G$1648:$G1798,152-STRUCT_S):$G1798),"")</f>
        <v>1218</v>
      </c>
      <c r="AJ1798" s="48" t="n">
        <f aca="false">IF($U1798&gt;=STRUCT_S,MIN(INDEX($H$1648:$H1798,152-STRUCT_S):$H1798),"")</f>
        <v>1104</v>
      </c>
      <c r="AK1798" s="48" t="n">
        <f aca="false">IF($U1798&gt;=STRUCT_L,MAX(INDEX($G$1548:$G1798,252-STRUCT_L):$G1798),"")</f>
        <v>1257</v>
      </c>
      <c r="AL1798" s="48" t="n">
        <f aca="false">IF($U1798&gt;=STRUCT_L,MIN(INDEX($H$1548:$H1798,252-STRUCT_L):$H1798),"")</f>
        <v>1104</v>
      </c>
      <c r="AM1798" s="46" t="n">
        <f aca="false">IF($A1798&lt;&gt;$A1799,1,0)</f>
        <v>0</v>
      </c>
      <c r="AN1798" s="47" t="str">
        <f aca="false">IF($AM1798=1,$A1798,"")</f>
        <v/>
      </c>
    </row>
    <row r="1799" customFormat="false" ht="15" hidden="false" customHeight="false" outlineLevel="0" collapsed="false">
      <c r="A1799" s="43" t="s">
        <v>162</v>
      </c>
      <c r="B1799" s="44" t="s">
        <v>164</v>
      </c>
      <c r="C1799" s="45" t="n">
        <v>46232</v>
      </c>
      <c r="D1799" s="46" t="n">
        <v>20260729</v>
      </c>
      <c r="E1799" s="47" t="s">
        <v>522</v>
      </c>
      <c r="F1799" s="48" t="n">
        <v>1108</v>
      </c>
      <c r="G1799" s="48" t="n">
        <v>1118</v>
      </c>
      <c r="H1799" s="48" t="n">
        <v>1093</v>
      </c>
      <c r="I1799" s="48" t="n">
        <v>1103</v>
      </c>
      <c r="J1799" s="48" t="n">
        <v>1115</v>
      </c>
      <c r="K1799" s="48" t="n">
        <v>1107</v>
      </c>
      <c r="L1799" s="48" t="n">
        <v>272086339</v>
      </c>
      <c r="M1799" s="48" t="n">
        <v>300111231917</v>
      </c>
      <c r="N1799" s="48" t="n">
        <v>11239</v>
      </c>
      <c r="O1799" s="48" t="n">
        <v>156806065</v>
      </c>
      <c r="P1799" s="48" t="n">
        <v>120352093</v>
      </c>
      <c r="Q1799" s="48" t="n">
        <v>4521</v>
      </c>
      <c r="R1799" s="48" t="n">
        <v>4222</v>
      </c>
      <c r="S1799" s="48" t="n">
        <v>115280274</v>
      </c>
      <c r="T1799" s="48" t="n">
        <v>151734246</v>
      </c>
      <c r="U1799" s="46" t="n">
        <f aca="false">IF($A1799=$A1798,$U1798+1,1)</f>
        <v>235</v>
      </c>
      <c r="V1799" s="48" t="n">
        <f aca="false">IF($U1799&gt;=MA_SHORT,AVERAGE(INDEX($I$1399:$I1799,402-MA_SHORT):$I1799),"")</f>
        <v>1163.15</v>
      </c>
      <c r="W1799" s="48" t="n">
        <f aca="false">IF($U1799&gt;=MA_MED,AVERAGE(INDEX($I$1399:$I1799,402-MA_MED):$I1799),"")</f>
        <v>1169.56</v>
      </c>
      <c r="X1799" s="48" t="n">
        <f aca="false">IF($U1799&gt;=MA_LONG1,AVERAGE(INDEX($I$1399:$I1799,402-MA_LONG1):$I1799),"")</f>
        <v>1247.66</v>
      </c>
      <c r="Y1799" s="48" t="n">
        <f aca="false">IF($U1799&gt;=MA_LONG2,AVERAGE(INDEX($I$1399:$I1799,402-MA_LONG2):$I1799),"")</f>
        <v>1555.755</v>
      </c>
      <c r="Z1799" s="48" t="n">
        <f aca="false">IF($U1799&gt;=MA_SHORT,AVERAGE(INDEX($L$1679:$L1799,122-MA_SHORT):$L1799),"")</f>
        <v>116488956.9</v>
      </c>
      <c r="AA1799" s="48" t="n">
        <f aca="false">IF($U1799=1,$G1799-$H1799,MAX($G1799-$H1799,ABS($G1799-$I1798),ABS($H1799-$I1798)))</f>
        <v>25</v>
      </c>
      <c r="AB1799" s="48" t="n">
        <f aca="false">IF($U1799&gt;=ATR_PER,AVERAGE(INDEX($AA$1679:$AA1799,122-ATR_PER):$AA1799),"")</f>
        <v>31.5</v>
      </c>
      <c r="AC1799" s="48" t="n">
        <f aca="false">$O1799-$P1799</f>
        <v>36453972</v>
      </c>
      <c r="AD1799" s="48" t="n">
        <f aca="false">$AC1799*$I1799</f>
        <v>40208731116</v>
      </c>
      <c r="AE1799" s="49" t="n">
        <f aca="false">IF($Q1799&gt;0,$O1799*$I1799/$Q1799/1000000,"")</f>
        <v>38.2563790522008</v>
      </c>
      <c r="AF1799" s="49" t="n">
        <f aca="false">IF($R1799&gt;0,$P1799*$I1799/$R1799/1000000,"")</f>
        <v>31.4420555611085</v>
      </c>
      <c r="AG1799" s="50" t="n">
        <f aca="false">IF(AND(ISNUMBER($AE1799),ISNUMBER($AF1799),$AF1799&gt;0),$AE1799/$AF1799,"")</f>
        <v>1.21672639938723</v>
      </c>
      <c r="AH1799" s="48" t="n">
        <f aca="false">IF($U1799&gt;=5,SUM(INDEX($AD$1769:$AD1799,32-5):$AD1799),"")</f>
        <v>-26925517679</v>
      </c>
      <c r="AI1799" s="48" t="n">
        <f aca="false">IF($U1799&gt;=STRUCT_S,MAX(INDEX($G$1649:$G1799,152-STRUCT_S):$G1799),"")</f>
        <v>1218</v>
      </c>
      <c r="AJ1799" s="48" t="n">
        <f aca="false">IF($U1799&gt;=STRUCT_S,MIN(INDEX($H$1649:$H1799,152-STRUCT_S):$H1799),"")</f>
        <v>1093</v>
      </c>
      <c r="AK1799" s="48" t="n">
        <f aca="false">IF($U1799&gt;=STRUCT_L,MAX(INDEX($G$1549:$G1799,252-STRUCT_L):$G1799),"")</f>
        <v>1240</v>
      </c>
      <c r="AL1799" s="48" t="n">
        <f aca="false">IF($U1799&gt;=STRUCT_L,MIN(INDEX($H$1549:$H1799,252-STRUCT_L):$H1799),"")</f>
        <v>1093</v>
      </c>
      <c r="AM1799" s="46" t="n">
        <f aca="false">IF($A1799&lt;&gt;$A1800,1,0)</f>
        <v>0</v>
      </c>
      <c r="AN1799" s="47" t="str">
        <f aca="false">IF($AM1799=1,$A1799,"")</f>
        <v/>
      </c>
    </row>
    <row r="1800" customFormat="false" ht="15" hidden="false" customHeight="false" outlineLevel="0" collapsed="false">
      <c r="A1800" s="43" t="s">
        <v>162</v>
      </c>
      <c r="B1800" s="44" t="s">
        <v>164</v>
      </c>
      <c r="C1800" s="45" t="n">
        <v>46235</v>
      </c>
      <c r="D1800" s="46" t="n">
        <v>20260801</v>
      </c>
      <c r="E1800" s="47" t="s">
        <v>523</v>
      </c>
      <c r="F1800" s="48" t="n">
        <v>1102</v>
      </c>
      <c r="G1800" s="48" t="n">
        <v>1110</v>
      </c>
      <c r="H1800" s="48" t="n">
        <v>1084</v>
      </c>
      <c r="I1800" s="48" t="n">
        <v>1091</v>
      </c>
      <c r="J1800" s="48" t="n">
        <v>1107</v>
      </c>
      <c r="K1800" s="48" t="n">
        <v>1103</v>
      </c>
      <c r="L1800" s="48" t="n">
        <v>83704658</v>
      </c>
      <c r="M1800" s="48" t="n">
        <v>91321781878</v>
      </c>
      <c r="N1800" s="48" t="n">
        <v>4963</v>
      </c>
      <c r="O1800" s="48" t="n">
        <v>39537598</v>
      </c>
      <c r="P1800" s="48" t="n">
        <v>41729117</v>
      </c>
      <c r="Q1800" s="48" t="n">
        <v>2608</v>
      </c>
      <c r="R1800" s="48" t="n">
        <v>2608</v>
      </c>
      <c r="S1800" s="48" t="n">
        <v>44167060</v>
      </c>
      <c r="T1800" s="48" t="n">
        <v>41975541</v>
      </c>
      <c r="U1800" s="46" t="n">
        <f aca="false">IF($A1800=$A1799,$U1799+1,1)</f>
        <v>236</v>
      </c>
      <c r="V1800" s="48" t="n">
        <f aca="false">IF($U1800&gt;=MA_SHORT,AVERAGE(INDEX($I$1400:$I1800,402-MA_SHORT):$I1800),"")</f>
        <v>1158.65</v>
      </c>
      <c r="W1800" s="48" t="n">
        <f aca="false">IF($U1800&gt;=MA_MED,AVERAGE(INDEX($I$1400:$I1800,402-MA_MED):$I1800),"")</f>
        <v>1168.6</v>
      </c>
      <c r="X1800" s="48" t="n">
        <f aca="false">IF($U1800&gt;=MA_LONG1,AVERAGE(INDEX($I$1400:$I1800,402-MA_LONG1):$I1800),"")</f>
        <v>1242.74</v>
      </c>
      <c r="Y1800" s="48" t="n">
        <f aca="false">IF($U1800&gt;=MA_LONG2,AVERAGE(INDEX($I$1400:$I1800,402-MA_LONG2):$I1800),"")</f>
        <v>1550.98</v>
      </c>
      <c r="Z1800" s="48" t="n">
        <f aca="false">IF($U1800&gt;=MA_SHORT,AVERAGE(INDEX($L$1680:$L1800,122-MA_SHORT):$L1800),"")</f>
        <v>115840017.8</v>
      </c>
      <c r="AA1800" s="48" t="n">
        <f aca="false">IF($U1800=1,$G1800-$H1800,MAX($G1800-$H1800,ABS($G1800-$I1799),ABS($H1800-$I1799)))</f>
        <v>26</v>
      </c>
      <c r="AB1800" s="48" t="n">
        <f aca="false">IF($U1800&gt;=ATR_PER,AVERAGE(INDEX($AA$1680:$AA1800,122-ATR_PER):$AA1800),"")</f>
        <v>30.9285714285714</v>
      </c>
      <c r="AC1800" s="48" t="n">
        <f aca="false">$O1800-$P1800</f>
        <v>-2191519</v>
      </c>
      <c r="AD1800" s="48" t="n">
        <f aca="false">$AC1800*$I1800</f>
        <v>-2390947229</v>
      </c>
      <c r="AE1800" s="49" t="n">
        <f aca="false">IF($Q1800&gt;0,$O1800*$I1800/$Q1800/1000000,"")</f>
        <v>16.5396930283742</v>
      </c>
      <c r="AF1800" s="49" t="n">
        <f aca="false">IF($R1800&gt;0,$P1800*$I1800/$R1800/1000000,"")</f>
        <v>17.4564672726227</v>
      </c>
      <c r="AG1800" s="50" t="n">
        <f aca="false">IF(AND(ISNUMBER($AE1800),ISNUMBER($AF1800),$AF1800&gt;0),$AE1800/$AF1800,"")</f>
        <v>0.947482258011834</v>
      </c>
      <c r="AH1800" s="48" t="n">
        <f aca="false">IF($U1800&gt;=5,SUM(INDEX($AD$1770:$AD1800,32-5):$AD1800),"")</f>
        <v>-31829256210</v>
      </c>
      <c r="AI1800" s="48" t="n">
        <f aca="false">IF($U1800&gt;=STRUCT_S,MAX(INDEX($G$1650:$G1800,152-STRUCT_S):$G1800),"")</f>
        <v>1218</v>
      </c>
      <c r="AJ1800" s="48" t="n">
        <f aca="false">IF($U1800&gt;=STRUCT_S,MIN(INDEX($H$1650:$H1800,152-STRUCT_S):$H1800),"")</f>
        <v>1084</v>
      </c>
      <c r="AK1800" s="48" t="n">
        <f aca="false">IF($U1800&gt;=STRUCT_L,MAX(INDEX($G$1550:$G1800,252-STRUCT_L):$G1800),"")</f>
        <v>1240</v>
      </c>
      <c r="AL1800" s="48" t="n">
        <f aca="false">IF($U1800&gt;=STRUCT_L,MIN(INDEX($H$1550:$H1800,252-STRUCT_L):$H1800),"")</f>
        <v>1084</v>
      </c>
      <c r="AM1800" s="46" t="n">
        <f aca="false">IF($A1800&lt;&gt;$A1801,1,0)</f>
        <v>0</v>
      </c>
      <c r="AN1800" s="47" t="str">
        <f aca="false">IF($AM1800=1,$A1800,"")</f>
        <v/>
      </c>
    </row>
    <row r="1801" customFormat="false" ht="15" hidden="false" customHeight="false" outlineLevel="0" collapsed="false">
      <c r="A1801" s="43" t="s">
        <v>162</v>
      </c>
      <c r="B1801" s="44" t="s">
        <v>164</v>
      </c>
      <c r="C1801" s="45" t="n">
        <v>46236</v>
      </c>
      <c r="D1801" s="46" t="n">
        <v>20260802</v>
      </c>
      <c r="E1801" s="47" t="s">
        <v>524</v>
      </c>
      <c r="F1801" s="48" t="n">
        <v>1090</v>
      </c>
      <c r="G1801" s="48" t="n">
        <v>1108</v>
      </c>
      <c r="H1801" s="48" t="n">
        <v>1084</v>
      </c>
      <c r="I1801" s="48" t="n">
        <v>1101</v>
      </c>
      <c r="J1801" s="48" t="n">
        <v>1105</v>
      </c>
      <c r="K1801" s="48" t="n">
        <v>1091</v>
      </c>
      <c r="L1801" s="48" t="n">
        <v>82896815</v>
      </c>
      <c r="M1801" s="48" t="n">
        <v>91269393315</v>
      </c>
      <c r="N1801" s="48" t="n">
        <v>3378</v>
      </c>
      <c r="O1801" s="48" t="n">
        <v>43687817</v>
      </c>
      <c r="P1801" s="48" t="n">
        <v>46355989</v>
      </c>
      <c r="Q1801" s="48" t="n">
        <v>1619</v>
      </c>
      <c r="R1801" s="48" t="n">
        <v>1761</v>
      </c>
      <c r="S1801" s="48" t="n">
        <v>39208998</v>
      </c>
      <c r="T1801" s="48" t="n">
        <v>36540826</v>
      </c>
      <c r="U1801" s="46" t="n">
        <f aca="false">IF($A1801=$A1800,$U1800+1,1)</f>
        <v>237</v>
      </c>
      <c r="V1801" s="48" t="n">
        <f aca="false">IF($U1801&gt;=MA_SHORT,AVERAGE(INDEX($I$1401:$I1801,402-MA_SHORT):$I1801),"")</f>
        <v>1155</v>
      </c>
      <c r="W1801" s="48" t="n">
        <f aca="false">IF($U1801&gt;=MA_MED,AVERAGE(INDEX($I$1401:$I1801,402-MA_MED):$I1801),"")</f>
        <v>1167.66</v>
      </c>
      <c r="X1801" s="48" t="n">
        <f aca="false">IF($U1801&gt;=MA_LONG1,AVERAGE(INDEX($I$1401:$I1801,402-MA_LONG1):$I1801),"")</f>
        <v>1238.4</v>
      </c>
      <c r="Y1801" s="48" t="n">
        <f aca="false">IF($U1801&gt;=MA_LONG2,AVERAGE(INDEX($I$1401:$I1801,402-MA_LONG2):$I1801),"")</f>
        <v>1546.16</v>
      </c>
      <c r="Z1801" s="48" t="n">
        <f aca="false">IF($U1801&gt;=MA_SHORT,AVERAGE(INDEX($L$1681:$L1801,122-MA_SHORT):$L1801),"")</f>
        <v>115916363.1</v>
      </c>
      <c r="AA1801" s="48" t="n">
        <f aca="false">IF($U1801=1,$G1801-$H1801,MAX($G1801-$H1801,ABS($G1801-$I1800),ABS($H1801-$I1800)))</f>
        <v>24</v>
      </c>
      <c r="AB1801" s="48" t="n">
        <f aca="false">IF($U1801&gt;=ATR_PER,AVERAGE(INDEX($AA$1681:$AA1801,122-ATR_PER):$AA1801),"")</f>
        <v>29.5</v>
      </c>
      <c r="AC1801" s="48" t="n">
        <f aca="false">$O1801-$P1801</f>
        <v>-2668172</v>
      </c>
      <c r="AD1801" s="48" t="n">
        <f aca="false">$AC1801*$I1801</f>
        <v>-2937657372</v>
      </c>
      <c r="AE1801" s="49" t="n">
        <f aca="false">IF($Q1801&gt;0,$O1801*$I1801/$Q1801/1000000,"")</f>
        <v>29.7098743156269</v>
      </c>
      <c r="AF1801" s="49" t="n">
        <f aca="false">IF($R1801&gt;0,$P1801*$I1801/$R1801/1000000,"")</f>
        <v>28.9823645025554</v>
      </c>
      <c r="AG1801" s="50" t="n">
        <f aca="false">IF(AND(ISNUMBER($AE1801),ISNUMBER($AF1801),$AF1801&gt;0),$AE1801/$AF1801,"")</f>
        <v>1.02510181020625</v>
      </c>
      <c r="AH1801" s="48" t="n">
        <f aca="false">IF($U1801&gt;=5,SUM(INDEX($AD$1771:$AD1801,32-5):$AD1801),"")</f>
        <v>-4093125554</v>
      </c>
      <c r="AI1801" s="48" t="n">
        <f aca="false">IF($U1801&gt;=STRUCT_S,MAX(INDEX($G$1651:$G1801,152-STRUCT_S):$G1801),"")</f>
        <v>1218</v>
      </c>
      <c r="AJ1801" s="48" t="n">
        <f aca="false">IF($U1801&gt;=STRUCT_S,MIN(INDEX($H$1651:$H1801,152-STRUCT_S):$H1801),"")</f>
        <v>1084</v>
      </c>
      <c r="AK1801" s="48" t="n">
        <f aca="false">IF($U1801&gt;=STRUCT_L,MAX(INDEX($G$1551:$G1801,252-STRUCT_L):$G1801),"")</f>
        <v>1240</v>
      </c>
      <c r="AL1801" s="48" t="n">
        <f aca="false">IF($U1801&gt;=STRUCT_L,MIN(INDEX($H$1551:$H1801,252-STRUCT_L):$H1801),"")</f>
        <v>1084</v>
      </c>
      <c r="AM1801" s="46" t="n">
        <f aca="false">IF($A1801&lt;&gt;$A1802,1,0)</f>
        <v>0</v>
      </c>
      <c r="AN1801" s="47" t="str">
        <f aca="false">IF($AM1801=1,$A1801,"")</f>
        <v/>
      </c>
    </row>
    <row r="1802" customFormat="false" ht="15" hidden="false" customHeight="false" outlineLevel="0" collapsed="false">
      <c r="A1802" s="43" t="s">
        <v>162</v>
      </c>
      <c r="B1802" s="44" t="s">
        <v>164</v>
      </c>
      <c r="C1802" s="45" t="n">
        <v>46237</v>
      </c>
      <c r="D1802" s="46" t="n">
        <v>20260803</v>
      </c>
      <c r="E1802" s="47" t="s">
        <v>525</v>
      </c>
      <c r="F1802" s="48" t="n">
        <v>1085</v>
      </c>
      <c r="G1802" s="48" t="n">
        <v>1104</v>
      </c>
      <c r="H1802" s="48" t="n">
        <v>1080</v>
      </c>
      <c r="I1802" s="48" t="n">
        <v>1083</v>
      </c>
      <c r="J1802" s="48" t="n">
        <v>1080</v>
      </c>
      <c r="K1802" s="48" t="n">
        <v>1101</v>
      </c>
      <c r="L1802" s="48" t="n">
        <v>86283202</v>
      </c>
      <c r="M1802" s="48" t="n">
        <v>93444707766</v>
      </c>
      <c r="N1802" s="48" t="n">
        <v>2308</v>
      </c>
      <c r="O1802" s="48" t="n">
        <v>39189734</v>
      </c>
      <c r="P1802" s="48" t="n">
        <v>43646577</v>
      </c>
      <c r="Q1802" s="48" t="n">
        <v>909</v>
      </c>
      <c r="R1802" s="48" t="n">
        <v>925</v>
      </c>
      <c r="S1802" s="48" t="n">
        <v>47093468</v>
      </c>
      <c r="T1802" s="48" t="n">
        <v>42636625</v>
      </c>
      <c r="U1802" s="46" t="n">
        <f aca="false">IF($A1802=$A1801,$U1801+1,1)</f>
        <v>238</v>
      </c>
      <c r="V1802" s="48" t="n">
        <f aca="false">IF($U1802&gt;=MA_SHORT,AVERAGE(INDEX($I$1402:$I1802,402-MA_SHORT):$I1802),"")</f>
        <v>1149.35</v>
      </c>
      <c r="W1802" s="48" t="n">
        <f aca="false">IF($U1802&gt;=MA_MED,AVERAGE(INDEX($I$1402:$I1802,402-MA_MED):$I1802),"")</f>
        <v>1166.46</v>
      </c>
      <c r="X1802" s="48" t="n">
        <f aca="false">IF($U1802&gt;=MA_LONG1,AVERAGE(INDEX($I$1402:$I1802,402-MA_LONG1):$I1802),"")</f>
        <v>1233.87</v>
      </c>
      <c r="Y1802" s="48" t="n">
        <f aca="false">IF($U1802&gt;=MA_LONG2,AVERAGE(INDEX($I$1402:$I1802,402-MA_LONG2):$I1802),"")</f>
        <v>1541.46</v>
      </c>
      <c r="Z1802" s="48" t="n">
        <f aca="false">IF($U1802&gt;=MA_SHORT,AVERAGE(INDEX($L$1682:$L1802,122-MA_SHORT):$L1802),"")</f>
        <v>115860010.8</v>
      </c>
      <c r="AA1802" s="48" t="n">
        <f aca="false">IF($U1802=1,$G1802-$H1802,MAX($G1802-$H1802,ABS($G1802-$I1801),ABS($H1802-$I1801)))</f>
        <v>24</v>
      </c>
      <c r="AB1802" s="48" t="n">
        <f aca="false">IF($U1802&gt;=ATR_PER,AVERAGE(INDEX($AA$1682:$AA1802,122-ATR_PER):$AA1802),"")</f>
        <v>28.5714285714286</v>
      </c>
      <c r="AC1802" s="48" t="n">
        <f aca="false">$O1802-$P1802</f>
        <v>-4456843</v>
      </c>
      <c r="AD1802" s="48" t="n">
        <f aca="false">$AC1802*$I1802</f>
        <v>-4826760969</v>
      </c>
      <c r="AE1802" s="49" t="n">
        <f aca="false">IF($Q1802&gt;0,$O1802*$I1802/$Q1802/1000000,"")</f>
        <v>46.6913992541254</v>
      </c>
      <c r="AF1802" s="49" t="n">
        <f aca="false">IF($R1802&gt;0,$P1802*$I1802/$R1802/1000000,"")</f>
        <v>51.1018842064865</v>
      </c>
      <c r="AG1802" s="50" t="n">
        <f aca="false">IF(AND(ISNUMBER($AE1802),ISNUMBER($AF1802),$AF1802&gt;0),$AE1802/$AF1802,"")</f>
        <v>0.913692322292076</v>
      </c>
      <c r="AH1802" s="48" t="n">
        <f aca="false">IF($U1802&gt;=5,SUM(INDEX($AD$1772:$AD1802,32-5):$AD1802),"")</f>
        <v>-191138648</v>
      </c>
      <c r="AI1802" s="48" t="n">
        <f aca="false">IF($U1802&gt;=STRUCT_S,MAX(INDEX($G$1652:$G1802,152-STRUCT_S):$G1802),"")</f>
        <v>1218</v>
      </c>
      <c r="AJ1802" s="48" t="n">
        <f aca="false">IF($U1802&gt;=STRUCT_S,MIN(INDEX($H$1652:$H1802,152-STRUCT_S):$H1802),"")</f>
        <v>1080</v>
      </c>
      <c r="AK1802" s="48" t="n">
        <f aca="false">IF($U1802&gt;=STRUCT_L,MAX(INDEX($G$1552:$G1802,252-STRUCT_L):$G1802),"")</f>
        <v>1240</v>
      </c>
      <c r="AL1802" s="48" t="n">
        <f aca="false">IF($U1802&gt;=STRUCT_L,MIN(INDEX($H$1552:$H1802,252-STRUCT_L):$H1802),"")</f>
        <v>1080</v>
      </c>
      <c r="AM1802" s="46" t="n">
        <f aca="false">IF($A1802&lt;&gt;$A1803,1,0)</f>
        <v>0</v>
      </c>
      <c r="AN1802" s="47" t="str">
        <f aca="false">IF($AM1802=1,$A1802,"")</f>
        <v/>
      </c>
    </row>
    <row r="1803" customFormat="false" ht="15" hidden="false" customHeight="false" outlineLevel="0" collapsed="false">
      <c r="A1803" s="43" t="s">
        <v>162</v>
      </c>
      <c r="B1803" s="44" t="s">
        <v>164</v>
      </c>
      <c r="C1803" s="45" t="n">
        <v>46238</v>
      </c>
      <c r="D1803" s="46" t="n">
        <v>20260804</v>
      </c>
      <c r="E1803" s="47" t="s">
        <v>526</v>
      </c>
      <c r="F1803" s="48" t="n">
        <v>1093</v>
      </c>
      <c r="G1803" s="48" t="n">
        <v>1126</v>
      </c>
      <c r="H1803" s="48" t="n">
        <v>1071</v>
      </c>
      <c r="I1803" s="48" t="n">
        <v>1114</v>
      </c>
      <c r="J1803" s="48" t="n">
        <v>1095</v>
      </c>
      <c r="K1803" s="48" t="n">
        <v>1083</v>
      </c>
      <c r="L1803" s="48" t="n">
        <v>112886364</v>
      </c>
      <c r="M1803" s="48" t="n">
        <v>125755409496</v>
      </c>
      <c r="N1803" s="48" t="n">
        <v>8566</v>
      </c>
      <c r="O1803" s="48" t="n">
        <v>62119850</v>
      </c>
      <c r="P1803" s="48" t="n">
        <v>46806023</v>
      </c>
      <c r="Q1803" s="48" t="n">
        <v>3941</v>
      </c>
      <c r="R1803" s="48" t="n">
        <v>2647</v>
      </c>
      <c r="S1803" s="48" t="n">
        <v>50766514</v>
      </c>
      <c r="T1803" s="48" t="n">
        <v>66080341</v>
      </c>
      <c r="U1803" s="46" t="n">
        <f aca="false">IF($A1803=$A1802,$U1802+1,1)</f>
        <v>239</v>
      </c>
      <c r="V1803" s="48" t="n">
        <f aca="false">IF($U1803&gt;=MA_SHORT,AVERAGE(INDEX($I$1403:$I1803,402-MA_SHORT):$I1803),"")</f>
        <v>1146.5</v>
      </c>
      <c r="W1803" s="48" t="n">
        <f aca="false">IF($U1803&gt;=MA_MED,AVERAGE(INDEX($I$1403:$I1803,402-MA_MED):$I1803),"")</f>
        <v>1165.98</v>
      </c>
      <c r="X1803" s="48" t="n">
        <f aca="false">IF($U1803&gt;=MA_LONG1,AVERAGE(INDEX($I$1403:$I1803,402-MA_LONG1):$I1803),"")</f>
        <v>1229.45</v>
      </c>
      <c r="Y1803" s="48" t="n">
        <f aca="false">IF($U1803&gt;=MA_LONG2,AVERAGE(INDEX($I$1403:$I1803,402-MA_LONG2):$I1803),"")</f>
        <v>1536.875</v>
      </c>
      <c r="Z1803" s="48" t="n">
        <f aca="false">IF($U1803&gt;=MA_SHORT,AVERAGE(INDEX($L$1683:$L1803,122-MA_SHORT):$L1803),"")</f>
        <v>115079657.9</v>
      </c>
      <c r="AA1803" s="48" t="n">
        <f aca="false">IF($U1803=1,$G1803-$H1803,MAX($G1803-$H1803,ABS($G1803-$I1802),ABS($H1803-$I1802)))</f>
        <v>55</v>
      </c>
      <c r="AB1803" s="48" t="n">
        <f aca="false">IF($U1803&gt;=ATR_PER,AVERAGE(INDEX($AA$1683:$AA1803,122-ATR_PER):$AA1803),"")</f>
        <v>31.5</v>
      </c>
      <c r="AC1803" s="48" t="n">
        <f aca="false">$O1803-$P1803</f>
        <v>15313827</v>
      </c>
      <c r="AD1803" s="48" t="n">
        <f aca="false">$AC1803*$I1803</f>
        <v>17059603278</v>
      </c>
      <c r="AE1803" s="49" t="n">
        <f aca="false">IF($Q1803&gt;0,$O1803*$I1803/$Q1803/1000000,"")</f>
        <v>17.5593790662268</v>
      </c>
      <c r="AF1803" s="49" t="n">
        <f aca="false">IF($R1803&gt;0,$P1803*$I1803/$R1803/1000000,"")</f>
        <v>19.6984924903665</v>
      </c>
      <c r="AG1803" s="50" t="n">
        <f aca="false">IF(AND(ISNUMBER($AE1803),ISNUMBER($AF1803),$AF1803&gt;0),$AE1803/$AF1803,"")</f>
        <v>0.891407252347572</v>
      </c>
      <c r="AH1803" s="48" t="n">
        <f aca="false">IF($U1803&gt;=5,SUM(INDEX($AD$1773:$AD1803,32-5):$AD1803),"")</f>
        <v>47112968824</v>
      </c>
      <c r="AI1803" s="48" t="n">
        <f aca="false">IF($U1803&gt;=STRUCT_S,MAX(INDEX($G$1653:$G1803,152-STRUCT_S):$G1803),"")</f>
        <v>1218</v>
      </c>
      <c r="AJ1803" s="48" t="n">
        <f aca="false">IF($U1803&gt;=STRUCT_S,MIN(INDEX($H$1653:$H1803,152-STRUCT_S):$H1803),"")</f>
        <v>1071</v>
      </c>
      <c r="AK1803" s="48" t="n">
        <f aca="false">IF($U1803&gt;=STRUCT_L,MAX(INDEX($G$1553:$G1803,252-STRUCT_L):$G1803),"")</f>
        <v>1240</v>
      </c>
      <c r="AL1803" s="48" t="n">
        <f aca="false">IF($U1803&gt;=STRUCT_L,MIN(INDEX($H$1553:$H1803,252-STRUCT_L):$H1803),"")</f>
        <v>1071</v>
      </c>
      <c r="AM1803" s="46" t="n">
        <f aca="false">IF($A1803&lt;&gt;$A1804,1,0)</f>
        <v>0</v>
      </c>
      <c r="AN1803" s="47" t="str">
        <f aca="false">IF($AM1803=1,$A1803,"")</f>
        <v/>
      </c>
    </row>
    <row r="1804" customFormat="false" ht="15" hidden="false" customHeight="false" outlineLevel="0" collapsed="false">
      <c r="A1804" s="43" t="s">
        <v>162</v>
      </c>
      <c r="B1804" s="44" t="s">
        <v>164</v>
      </c>
      <c r="C1804" s="45" t="n">
        <v>46239</v>
      </c>
      <c r="D1804" s="46" t="n">
        <v>20260805</v>
      </c>
      <c r="E1804" s="47" t="s">
        <v>527</v>
      </c>
      <c r="F1804" s="48" t="n">
        <v>1108</v>
      </c>
      <c r="G1804" s="48" t="n">
        <v>1118</v>
      </c>
      <c r="H1804" s="48" t="n">
        <v>1102</v>
      </c>
      <c r="I1804" s="48" t="n">
        <v>1106</v>
      </c>
      <c r="J1804" s="48" t="n">
        <v>1105</v>
      </c>
      <c r="K1804" s="48" t="n">
        <v>1114</v>
      </c>
      <c r="L1804" s="48" t="n">
        <v>210648678</v>
      </c>
      <c r="M1804" s="48" t="n">
        <v>232977437868</v>
      </c>
      <c r="N1804" s="48" t="n">
        <v>9207</v>
      </c>
      <c r="O1804" s="48" t="n">
        <v>92561522</v>
      </c>
      <c r="P1804" s="48" t="n">
        <v>106610965</v>
      </c>
      <c r="Q1804" s="48" t="n">
        <v>3634</v>
      </c>
      <c r="R1804" s="48" t="n">
        <v>4055</v>
      </c>
      <c r="S1804" s="48" t="n">
        <v>118087156</v>
      </c>
      <c r="T1804" s="48" t="n">
        <v>104037713</v>
      </c>
      <c r="U1804" s="46" t="n">
        <f aca="false">IF($A1804=$A1803,$U1803+1,1)</f>
        <v>240</v>
      </c>
      <c r="V1804" s="48" t="n">
        <f aca="false">IF($U1804&gt;=MA_SHORT,AVERAGE(INDEX($I$1404:$I1804,402-MA_SHORT):$I1804),"")</f>
        <v>1144.05</v>
      </c>
      <c r="W1804" s="48" t="n">
        <f aca="false">IF($U1804&gt;=MA_MED,AVERAGE(INDEX($I$1404:$I1804,402-MA_MED):$I1804),"")</f>
        <v>1165.3</v>
      </c>
      <c r="X1804" s="48" t="n">
        <f aca="false">IF($U1804&gt;=MA_LONG1,AVERAGE(INDEX($I$1404:$I1804,402-MA_LONG1):$I1804),"")</f>
        <v>1225.16</v>
      </c>
      <c r="Y1804" s="48" t="n">
        <f aca="false">IF($U1804&gt;=MA_LONG2,AVERAGE(INDEX($I$1404:$I1804,402-MA_LONG2):$I1804),"")</f>
        <v>1532.46</v>
      </c>
      <c r="Z1804" s="48" t="n">
        <f aca="false">IF($U1804&gt;=MA_SHORT,AVERAGE(INDEX($L$1684:$L1804,122-MA_SHORT):$L1804),"")</f>
        <v>121361229.9</v>
      </c>
      <c r="AA1804" s="48" t="n">
        <f aca="false">IF($U1804=1,$G1804-$H1804,MAX($G1804-$H1804,ABS($G1804-$I1803),ABS($H1804-$I1803)))</f>
        <v>16</v>
      </c>
      <c r="AB1804" s="48" t="n">
        <f aca="false">IF($U1804&gt;=ATR_PER,AVERAGE(INDEX($AA$1684:$AA1804,122-ATR_PER):$AA1804),"")</f>
        <v>30.5714285714286</v>
      </c>
      <c r="AC1804" s="48" t="n">
        <f aca="false">$O1804-$P1804</f>
        <v>-14049443</v>
      </c>
      <c r="AD1804" s="48" t="n">
        <f aca="false">$AC1804*$I1804</f>
        <v>-15538683958</v>
      </c>
      <c r="AE1804" s="49" t="n">
        <f aca="false">IF($Q1804&gt;0,$O1804*$I1804/$Q1804/1000000,"")</f>
        <v>28.170898</v>
      </c>
      <c r="AF1804" s="49" t="n">
        <f aca="false">IF($R1804&gt;0,$P1804*$I1804/$R1804/1000000,"")</f>
        <v>29.0781078397041</v>
      </c>
      <c r="AG1804" s="50" t="n">
        <f aca="false">IF(AND(ISNUMBER($AE1804),ISNUMBER($AF1804),$AF1804&gt;0),$AE1804/$AF1804,"")</f>
        <v>0.96880093282874</v>
      </c>
      <c r="AH1804" s="48" t="n">
        <f aca="false">IF($U1804&gt;=5,SUM(INDEX($AD$1774:$AD1804,32-5):$AD1804),"")</f>
        <v>-8634446250</v>
      </c>
      <c r="AI1804" s="48" t="n">
        <f aca="false">IF($U1804&gt;=STRUCT_S,MAX(INDEX($G$1654:$G1804,152-STRUCT_S):$G1804),"")</f>
        <v>1218</v>
      </c>
      <c r="AJ1804" s="48" t="n">
        <f aca="false">IF($U1804&gt;=STRUCT_S,MIN(INDEX($H$1654:$H1804,152-STRUCT_S):$H1804),"")</f>
        <v>1071</v>
      </c>
      <c r="AK1804" s="48" t="n">
        <f aca="false">IF($U1804&gt;=STRUCT_L,MAX(INDEX($G$1554:$G1804,252-STRUCT_L):$G1804),"")</f>
        <v>1240</v>
      </c>
      <c r="AL1804" s="48" t="n">
        <f aca="false">IF($U1804&gt;=STRUCT_L,MIN(INDEX($H$1554:$H1804,252-STRUCT_L):$H1804),"")</f>
        <v>1071</v>
      </c>
      <c r="AM1804" s="46" t="n">
        <f aca="false">IF($A1804&lt;&gt;$A1805,1,0)</f>
        <v>0</v>
      </c>
      <c r="AN1804" s="47" t="str">
        <f aca="false">IF($AM1804=1,$A1804,"")</f>
        <v/>
      </c>
    </row>
    <row r="1805" customFormat="false" ht="15" hidden="false" customHeight="false" outlineLevel="0" collapsed="false">
      <c r="A1805" s="43" t="s">
        <v>162</v>
      </c>
      <c r="B1805" s="44" t="s">
        <v>164</v>
      </c>
      <c r="C1805" s="45" t="n">
        <v>46242</v>
      </c>
      <c r="D1805" s="46" t="n">
        <v>20260808</v>
      </c>
      <c r="E1805" s="47" t="s">
        <v>528</v>
      </c>
      <c r="F1805" s="48" t="n">
        <v>1107</v>
      </c>
      <c r="G1805" s="48" t="n">
        <v>1121</v>
      </c>
      <c r="H1805" s="48" t="n">
        <v>1094</v>
      </c>
      <c r="I1805" s="48" t="n">
        <v>1109</v>
      </c>
      <c r="J1805" s="48" t="n">
        <v>1119</v>
      </c>
      <c r="K1805" s="48" t="n">
        <v>1106</v>
      </c>
      <c r="L1805" s="48" t="n">
        <v>86297583</v>
      </c>
      <c r="M1805" s="48" t="n">
        <v>95704019547</v>
      </c>
      <c r="N1805" s="48" t="n">
        <v>2639</v>
      </c>
      <c r="O1805" s="48" t="n">
        <v>39766907</v>
      </c>
      <c r="P1805" s="48" t="n">
        <v>44630744</v>
      </c>
      <c r="Q1805" s="48" t="n">
        <v>1064</v>
      </c>
      <c r="R1805" s="48" t="n">
        <v>1229</v>
      </c>
      <c r="S1805" s="48" t="n">
        <v>46530676</v>
      </c>
      <c r="T1805" s="48" t="n">
        <v>41666839</v>
      </c>
      <c r="U1805" s="46" t="n">
        <f aca="false">IF($A1805=$A1804,$U1804+1,1)</f>
        <v>241</v>
      </c>
      <c r="V1805" s="48" t="n">
        <f aca="false">IF($U1805&gt;=MA_SHORT,AVERAGE(INDEX($I$1405:$I1805,402-MA_SHORT):$I1805),"")</f>
        <v>1141.3</v>
      </c>
      <c r="W1805" s="48" t="n">
        <f aca="false">IF($U1805&gt;=MA_MED,AVERAGE(INDEX($I$1405:$I1805,402-MA_MED):$I1805),"")</f>
        <v>1164.32</v>
      </c>
      <c r="X1805" s="48" t="n">
        <f aca="false">IF($U1805&gt;=MA_LONG1,AVERAGE(INDEX($I$1405:$I1805,402-MA_LONG1):$I1805),"")</f>
        <v>1221.22</v>
      </c>
      <c r="Y1805" s="48" t="n">
        <f aca="false">IF($U1805&gt;=MA_LONG2,AVERAGE(INDEX($I$1405:$I1805,402-MA_LONG2):$I1805),"")</f>
        <v>1528.225</v>
      </c>
      <c r="Z1805" s="48" t="n">
        <f aca="false">IF($U1805&gt;=MA_SHORT,AVERAGE(INDEX($L$1685:$L1805,122-MA_SHORT):$L1805),"")</f>
        <v>121528491.6</v>
      </c>
      <c r="AA1805" s="48" t="n">
        <f aca="false">IF($U1805=1,$G1805-$H1805,MAX($G1805-$H1805,ABS($G1805-$I1804),ABS($H1805-$I1804)))</f>
        <v>27</v>
      </c>
      <c r="AB1805" s="48" t="n">
        <f aca="false">IF($U1805&gt;=ATR_PER,AVERAGE(INDEX($AA$1685:$AA1805,122-ATR_PER):$AA1805),"")</f>
        <v>28.2857142857143</v>
      </c>
      <c r="AC1805" s="48" t="n">
        <f aca="false">$O1805-$P1805</f>
        <v>-4863837</v>
      </c>
      <c r="AD1805" s="48" t="n">
        <f aca="false">$AC1805*$I1805</f>
        <v>-5393995233</v>
      </c>
      <c r="AE1805" s="49" t="n">
        <f aca="false">IF($Q1805&gt;0,$O1805*$I1805/$Q1805/1000000,"")</f>
        <v>41.4487780667293</v>
      </c>
      <c r="AF1805" s="49" t="n">
        <f aca="false">IF($R1805&gt;0,$P1805*$I1805/$R1805/1000000,"")</f>
        <v>40.27298217738</v>
      </c>
      <c r="AG1805" s="50" t="n">
        <f aca="false">IF(AND(ISNUMBER($AE1805),ISNUMBER($AF1805),$AF1805&gt;0),$AE1805/$AF1805,"")</f>
        <v>1.02919564993153</v>
      </c>
      <c r="AH1805" s="48" t="n">
        <f aca="false">IF($U1805&gt;=5,SUM(INDEX($AD$1775:$AD1805,32-5):$AD1805),"")</f>
        <v>-11637494254</v>
      </c>
      <c r="AI1805" s="48" t="n">
        <f aca="false">IF($U1805&gt;=STRUCT_S,MAX(INDEX($G$1655:$G1805,152-STRUCT_S):$G1805),"")</f>
        <v>1218</v>
      </c>
      <c r="AJ1805" s="48" t="n">
        <f aca="false">IF($U1805&gt;=STRUCT_S,MIN(INDEX($H$1655:$H1805,152-STRUCT_S):$H1805),"")</f>
        <v>1071</v>
      </c>
      <c r="AK1805" s="48" t="n">
        <f aca="false">IF($U1805&gt;=STRUCT_L,MAX(INDEX($G$1555:$G1805,252-STRUCT_L):$G1805),"")</f>
        <v>1240</v>
      </c>
      <c r="AL1805" s="48" t="n">
        <f aca="false">IF($U1805&gt;=STRUCT_L,MIN(INDEX($H$1555:$H1805,252-STRUCT_L):$H1805),"")</f>
        <v>1071</v>
      </c>
      <c r="AM1805" s="46" t="n">
        <f aca="false">IF($A1805&lt;&gt;$A1806,1,0)</f>
        <v>0</v>
      </c>
      <c r="AN1805" s="47" t="str">
        <f aca="false">IF($AM1805=1,$A1805,"")</f>
        <v/>
      </c>
    </row>
    <row r="1806" customFormat="false" ht="15" hidden="false" customHeight="false" outlineLevel="0" collapsed="false">
      <c r="A1806" s="43" t="s">
        <v>162</v>
      </c>
      <c r="B1806" s="44" t="s">
        <v>164</v>
      </c>
      <c r="C1806" s="45" t="n">
        <v>46243</v>
      </c>
      <c r="D1806" s="46" t="n">
        <v>20260809</v>
      </c>
      <c r="E1806" s="47" t="s">
        <v>529</v>
      </c>
      <c r="F1806" s="48" t="n">
        <v>1147</v>
      </c>
      <c r="G1806" s="48" t="n">
        <v>1150</v>
      </c>
      <c r="H1806" s="48" t="n">
        <v>1089</v>
      </c>
      <c r="I1806" s="48" t="n">
        <v>1129</v>
      </c>
      <c r="J1806" s="48" t="n">
        <v>1098</v>
      </c>
      <c r="K1806" s="48" t="n">
        <v>1109</v>
      </c>
      <c r="L1806" s="48" t="n">
        <v>87077832</v>
      </c>
      <c r="M1806" s="48" t="n">
        <v>98310872328</v>
      </c>
      <c r="N1806" s="48" t="n">
        <v>4650</v>
      </c>
      <c r="O1806" s="48" t="n">
        <v>50331941</v>
      </c>
      <c r="P1806" s="48" t="n">
        <v>37539454</v>
      </c>
      <c r="Q1806" s="48" t="n">
        <v>2500</v>
      </c>
      <c r="R1806" s="48" t="n">
        <v>1404</v>
      </c>
      <c r="S1806" s="48" t="n">
        <v>36745891</v>
      </c>
      <c r="T1806" s="48" t="n">
        <v>49538378</v>
      </c>
      <c r="U1806" s="46" t="n">
        <f aca="false">IF($A1806=$A1805,$U1805+1,1)</f>
        <v>242</v>
      </c>
      <c r="V1806" s="48" t="n">
        <f aca="false">IF($U1806&gt;=MA_SHORT,AVERAGE(INDEX($I$1406:$I1806,402-MA_SHORT):$I1806),"")</f>
        <v>1140.25</v>
      </c>
      <c r="W1806" s="48" t="n">
        <f aca="false">IF($U1806&gt;=MA_MED,AVERAGE(INDEX($I$1406:$I1806,402-MA_MED):$I1806),"")</f>
        <v>1163.7</v>
      </c>
      <c r="X1806" s="48" t="n">
        <f aca="false">IF($U1806&gt;=MA_LONG1,AVERAGE(INDEX($I$1406:$I1806,402-MA_LONG1):$I1806),"")</f>
        <v>1217.75</v>
      </c>
      <c r="Y1806" s="48" t="n">
        <f aca="false">IF($U1806&gt;=MA_LONG2,AVERAGE(INDEX($I$1406:$I1806,402-MA_LONG2):$I1806),"")</f>
        <v>1524.145</v>
      </c>
      <c r="Z1806" s="48" t="n">
        <f aca="false">IF($U1806&gt;=MA_SHORT,AVERAGE(INDEX($L$1686:$L1806,122-MA_SHORT):$L1806),"")</f>
        <v>120853821.7</v>
      </c>
      <c r="AA1806" s="48" t="n">
        <f aca="false">IF($U1806=1,$G1806-$H1806,MAX($G1806-$H1806,ABS($G1806-$I1805),ABS($H1806-$I1805)))</f>
        <v>61</v>
      </c>
      <c r="AB1806" s="48" t="n">
        <f aca="false">IF($U1806&gt;=ATR_PER,AVERAGE(INDEX($AA$1686:$AA1806,122-ATR_PER):$AA1806),"")</f>
        <v>29.5714285714286</v>
      </c>
      <c r="AC1806" s="48" t="n">
        <f aca="false">$O1806-$P1806</f>
        <v>12792487</v>
      </c>
      <c r="AD1806" s="48" t="n">
        <f aca="false">$AC1806*$I1806</f>
        <v>14442717823</v>
      </c>
      <c r="AE1806" s="49" t="n">
        <f aca="false">IF($Q1806&gt;0,$O1806*$I1806/$Q1806/1000000,"")</f>
        <v>22.7299045556</v>
      </c>
      <c r="AF1806" s="49" t="n">
        <f aca="false">IF($R1806&gt;0,$P1806*$I1806/$R1806/1000000,"")</f>
        <v>30.1866407165242</v>
      </c>
      <c r="AG1806" s="50" t="n">
        <f aca="false">IF(AND(ISNUMBER($AE1806),ISNUMBER($AF1806),$AF1806&gt;0),$AE1806/$AF1806,"")</f>
        <v>0.752978934259406</v>
      </c>
      <c r="AH1806" s="48" t="n">
        <f aca="false">IF($U1806&gt;=5,SUM(INDEX($AD$1776:$AD1806,32-5):$AD1806),"")</f>
        <v>5742880941</v>
      </c>
      <c r="AI1806" s="48" t="n">
        <f aca="false">IF($U1806&gt;=STRUCT_S,MAX(INDEX($G$1656:$G1806,152-STRUCT_S):$G1806),"")</f>
        <v>1218</v>
      </c>
      <c r="AJ1806" s="48" t="n">
        <f aca="false">IF($U1806&gt;=STRUCT_S,MIN(INDEX($H$1656:$H1806,152-STRUCT_S):$H1806),"")</f>
        <v>1071</v>
      </c>
      <c r="AK1806" s="48" t="n">
        <f aca="false">IF($U1806&gt;=STRUCT_L,MAX(INDEX($G$1556:$G1806,252-STRUCT_L):$G1806),"")</f>
        <v>1240</v>
      </c>
      <c r="AL1806" s="48" t="n">
        <f aca="false">IF($U1806&gt;=STRUCT_L,MIN(INDEX($H$1556:$H1806,252-STRUCT_L):$H1806),"")</f>
        <v>1071</v>
      </c>
      <c r="AM1806" s="46" t="n">
        <f aca="false">IF($A1806&lt;&gt;$A1807,1,0)</f>
        <v>0</v>
      </c>
      <c r="AN1806" s="47" t="str">
        <f aca="false">IF($AM1806=1,$A1806,"")</f>
        <v/>
      </c>
    </row>
    <row r="1807" customFormat="false" ht="15" hidden="false" customHeight="false" outlineLevel="0" collapsed="false">
      <c r="A1807" s="43" t="s">
        <v>162</v>
      </c>
      <c r="B1807" s="44" t="s">
        <v>164</v>
      </c>
      <c r="C1807" s="45" t="n">
        <v>46244</v>
      </c>
      <c r="D1807" s="46" t="n">
        <v>20260810</v>
      </c>
      <c r="E1807" s="47" t="s">
        <v>530</v>
      </c>
      <c r="F1807" s="48" t="n">
        <v>1148</v>
      </c>
      <c r="G1807" s="48" t="n">
        <v>1150</v>
      </c>
      <c r="H1807" s="48" t="n">
        <v>1125</v>
      </c>
      <c r="I1807" s="48" t="n">
        <v>1145</v>
      </c>
      <c r="J1807" s="48" t="n">
        <v>1148</v>
      </c>
      <c r="K1807" s="48" t="n">
        <v>1129</v>
      </c>
      <c r="L1807" s="48" t="n">
        <v>85256876</v>
      </c>
      <c r="M1807" s="48" t="n">
        <v>97619123020</v>
      </c>
      <c r="N1807" s="48" t="n">
        <v>2565</v>
      </c>
      <c r="O1807" s="48" t="n">
        <v>52653573</v>
      </c>
      <c r="P1807" s="48" t="n">
        <v>33600365</v>
      </c>
      <c r="Q1807" s="48" t="n">
        <v>1149</v>
      </c>
      <c r="R1807" s="48" t="n">
        <v>1150</v>
      </c>
      <c r="S1807" s="48" t="n">
        <v>32603303</v>
      </c>
      <c r="T1807" s="48" t="n">
        <v>51656511</v>
      </c>
      <c r="U1807" s="46" t="n">
        <f aca="false">IF($A1807=$A1806,$U1806+1,1)</f>
        <v>243</v>
      </c>
      <c r="V1807" s="48" t="n">
        <f aca="false">IF($U1807&gt;=MA_SHORT,AVERAGE(INDEX($I$1407:$I1807,402-MA_SHORT):$I1807),"")</f>
        <v>1139.4</v>
      </c>
      <c r="W1807" s="48" t="n">
        <f aca="false">IF($U1807&gt;=MA_MED,AVERAGE(INDEX($I$1407:$I1807,402-MA_MED):$I1807),"")</f>
        <v>1163.34</v>
      </c>
      <c r="X1807" s="48" t="n">
        <f aca="false">IF($U1807&gt;=MA_LONG1,AVERAGE(INDEX($I$1407:$I1807,402-MA_LONG1):$I1807),"")</f>
        <v>1214.57</v>
      </c>
      <c r="Y1807" s="48" t="n">
        <f aca="false">IF($U1807&gt;=MA_LONG2,AVERAGE(INDEX($I$1407:$I1807,402-MA_LONG2):$I1807),"")</f>
        <v>1520.07</v>
      </c>
      <c r="Z1807" s="48" t="n">
        <f aca="false">IF($U1807&gt;=MA_SHORT,AVERAGE(INDEX($L$1687:$L1807,122-MA_SHORT):$L1807),"")</f>
        <v>120941913.9</v>
      </c>
      <c r="AA1807" s="48" t="n">
        <f aca="false">IF($U1807=1,$G1807-$H1807,MAX($G1807-$H1807,ABS($G1807-$I1806),ABS($H1807-$I1806)))</f>
        <v>25</v>
      </c>
      <c r="AB1807" s="48" t="n">
        <f aca="false">IF($U1807&gt;=ATR_PER,AVERAGE(INDEX($AA$1687:$AA1807,122-ATR_PER):$AA1807),"")</f>
        <v>29.7857142857143</v>
      </c>
      <c r="AC1807" s="48" t="n">
        <f aca="false">$O1807-$P1807</f>
        <v>19053208</v>
      </c>
      <c r="AD1807" s="48" t="n">
        <f aca="false">$AC1807*$I1807</f>
        <v>21815923160</v>
      </c>
      <c r="AE1807" s="49" t="n">
        <f aca="false">IF($Q1807&gt;0,$O1807*$I1807/$Q1807/1000000,"")</f>
        <v>52.4702707441253</v>
      </c>
      <c r="AF1807" s="49" t="n">
        <f aca="false">IF($R1807&gt;0,$P1807*$I1807/$R1807/1000000,"")</f>
        <v>33.4542764565217</v>
      </c>
      <c r="AG1807" s="50" t="n">
        <f aca="false">IF(AND(ISNUMBER($AE1807),ISNUMBER($AF1807),$AF1807&gt;0),$AE1807/$AF1807,"")</f>
        <v>1.56841744320244</v>
      </c>
      <c r="AH1807" s="48" t="n">
        <f aca="false">IF($U1807&gt;=5,SUM(INDEX($AD$1777:$AD1807,32-5):$AD1807),"")</f>
        <v>32385565070</v>
      </c>
      <c r="AI1807" s="48" t="n">
        <f aca="false">IF($U1807&gt;=STRUCT_S,MAX(INDEX($G$1657:$G1807,152-STRUCT_S):$G1807),"")</f>
        <v>1218</v>
      </c>
      <c r="AJ1807" s="48" t="n">
        <f aca="false">IF($U1807&gt;=STRUCT_S,MIN(INDEX($H$1657:$H1807,152-STRUCT_S):$H1807),"")</f>
        <v>1071</v>
      </c>
      <c r="AK1807" s="48" t="n">
        <f aca="false">IF($U1807&gt;=STRUCT_L,MAX(INDEX($G$1557:$G1807,252-STRUCT_L):$G1807),"")</f>
        <v>1240</v>
      </c>
      <c r="AL1807" s="48" t="n">
        <f aca="false">IF($U1807&gt;=STRUCT_L,MIN(INDEX($H$1557:$H1807,252-STRUCT_L):$H1807),"")</f>
        <v>1071</v>
      </c>
      <c r="AM1807" s="46" t="n">
        <f aca="false">IF($A1807&lt;&gt;$A1808,1,0)</f>
        <v>0</v>
      </c>
      <c r="AN1807" s="47" t="str">
        <f aca="false">IF($AM1807=1,$A1807,"")</f>
        <v/>
      </c>
    </row>
    <row r="1808" customFormat="false" ht="15" hidden="false" customHeight="false" outlineLevel="0" collapsed="false">
      <c r="A1808" s="43" t="s">
        <v>162</v>
      </c>
      <c r="B1808" s="44" t="s">
        <v>164</v>
      </c>
      <c r="C1808" s="45" t="n">
        <v>46245</v>
      </c>
      <c r="D1808" s="46" t="n">
        <v>20260811</v>
      </c>
      <c r="E1808" s="47" t="s">
        <v>531</v>
      </c>
      <c r="F1808" s="48" t="n">
        <v>1140</v>
      </c>
      <c r="G1808" s="48" t="n">
        <v>1148</v>
      </c>
      <c r="H1808" s="48" t="n">
        <v>1139</v>
      </c>
      <c r="I1808" s="48" t="n">
        <v>1142</v>
      </c>
      <c r="J1808" s="48" t="n">
        <v>1143</v>
      </c>
      <c r="K1808" s="48" t="n">
        <v>1145</v>
      </c>
      <c r="L1808" s="48" t="n">
        <v>86075964</v>
      </c>
      <c r="M1808" s="48" t="n">
        <v>98298750888</v>
      </c>
      <c r="N1808" s="48" t="n">
        <v>3142</v>
      </c>
      <c r="O1808" s="48" t="n">
        <v>48125686</v>
      </c>
      <c r="P1808" s="48" t="n">
        <v>35319828</v>
      </c>
      <c r="Q1808" s="48" t="n">
        <v>1375</v>
      </c>
      <c r="R1808" s="48" t="n">
        <v>1215</v>
      </c>
      <c r="S1808" s="48" t="n">
        <v>37950278</v>
      </c>
      <c r="T1808" s="48" t="n">
        <v>50756136</v>
      </c>
      <c r="U1808" s="46" t="n">
        <f aca="false">IF($A1808=$A1807,$U1807+1,1)</f>
        <v>244</v>
      </c>
      <c r="V1808" s="48" t="n">
        <f aca="false">IF($U1808&gt;=MA_SHORT,AVERAGE(INDEX($I$1408:$I1808,402-MA_SHORT):$I1808),"")</f>
        <v>1137.35</v>
      </c>
      <c r="W1808" s="48" t="n">
        <f aca="false">IF($U1808&gt;=MA_MED,AVERAGE(INDEX($I$1408:$I1808,402-MA_MED):$I1808),"")</f>
        <v>1162.42</v>
      </c>
      <c r="X1808" s="48" t="n">
        <f aca="false">IF($U1808&gt;=MA_LONG1,AVERAGE(INDEX($I$1408:$I1808,402-MA_LONG1):$I1808),"")</f>
        <v>1211.72</v>
      </c>
      <c r="Y1808" s="48" t="n">
        <f aca="false">IF($U1808&gt;=MA_LONG2,AVERAGE(INDEX($I$1408:$I1808,402-MA_LONG2):$I1808),"")</f>
        <v>1516.02</v>
      </c>
      <c r="Z1808" s="48" t="n">
        <f aca="false">IF($U1808&gt;=MA_SHORT,AVERAGE(INDEX($L$1688:$L1808,122-MA_SHORT):$L1808),"")</f>
        <v>118040425.9</v>
      </c>
      <c r="AA1808" s="48" t="n">
        <f aca="false">IF($U1808=1,$G1808-$H1808,MAX($G1808-$H1808,ABS($G1808-$I1807),ABS($H1808-$I1807)))</f>
        <v>9</v>
      </c>
      <c r="AB1808" s="48" t="n">
        <f aca="false">IF($U1808&gt;=ATR_PER,AVERAGE(INDEX($AA$1688:$AA1808,122-ATR_PER):$AA1808),"")</f>
        <v>27.7857142857143</v>
      </c>
      <c r="AC1808" s="48" t="n">
        <f aca="false">$O1808-$P1808</f>
        <v>12805858</v>
      </c>
      <c r="AD1808" s="48" t="n">
        <f aca="false">$AC1808*$I1808</f>
        <v>14624289836</v>
      </c>
      <c r="AE1808" s="49" t="n">
        <f aca="false">IF($Q1808&gt;0,$O1808*$I1808/$Q1808/1000000,"")</f>
        <v>39.9705697541818</v>
      </c>
      <c r="AF1808" s="49" t="n">
        <f aca="false">IF($R1808&gt;0,$P1808*$I1808/$R1808/1000000,"")</f>
        <v>33.1977313382716</v>
      </c>
      <c r="AG1808" s="50" t="n">
        <f aca="false">IF(AND(ISNUMBER($AE1808),ISNUMBER($AF1808),$AF1808&gt;0),$AE1808/$AF1808,"")</f>
        <v>1.20401509810709</v>
      </c>
      <c r="AH1808" s="48" t="n">
        <f aca="false">IF($U1808&gt;=5,SUM(INDEX($AD$1778:$AD1808,32-5):$AD1808),"")</f>
        <v>29950251628</v>
      </c>
      <c r="AI1808" s="48" t="n">
        <f aca="false">IF($U1808&gt;=STRUCT_S,MAX(INDEX($G$1658:$G1808,152-STRUCT_S):$G1808),"")</f>
        <v>1218</v>
      </c>
      <c r="AJ1808" s="48" t="n">
        <f aca="false">IF($U1808&gt;=STRUCT_S,MIN(INDEX($H$1658:$H1808,152-STRUCT_S):$H1808),"")</f>
        <v>1071</v>
      </c>
      <c r="AK1808" s="48" t="n">
        <f aca="false">IF($U1808&gt;=STRUCT_L,MAX(INDEX($G$1558:$G1808,252-STRUCT_L):$G1808),"")</f>
        <v>1240</v>
      </c>
      <c r="AL1808" s="48" t="n">
        <f aca="false">IF($U1808&gt;=STRUCT_L,MIN(INDEX($H$1558:$H1808,252-STRUCT_L):$H1808),"")</f>
        <v>1071</v>
      </c>
      <c r="AM1808" s="46" t="n">
        <f aca="false">IF($A1808&lt;&gt;$A1809,1,0)</f>
        <v>0</v>
      </c>
      <c r="AN1808" s="47" t="str">
        <f aca="false">IF($AM1808=1,$A1808,"")</f>
        <v/>
      </c>
    </row>
    <row r="1809" customFormat="false" ht="15" hidden="false" customHeight="false" outlineLevel="0" collapsed="false">
      <c r="A1809" s="43" t="s">
        <v>162</v>
      </c>
      <c r="B1809" s="44" t="s">
        <v>164</v>
      </c>
      <c r="C1809" s="45" t="n">
        <v>46246</v>
      </c>
      <c r="D1809" s="46" t="n">
        <v>20260812</v>
      </c>
      <c r="E1809" s="47" t="s">
        <v>532</v>
      </c>
      <c r="F1809" s="48" t="n">
        <v>1157</v>
      </c>
      <c r="G1809" s="48" t="n">
        <v>1176</v>
      </c>
      <c r="H1809" s="48" t="n">
        <v>1129</v>
      </c>
      <c r="I1809" s="48" t="n">
        <v>1163</v>
      </c>
      <c r="J1809" s="48" t="n">
        <v>1132</v>
      </c>
      <c r="K1809" s="48" t="n">
        <v>1142</v>
      </c>
      <c r="L1809" s="48" t="n">
        <v>87244975</v>
      </c>
      <c r="M1809" s="48" t="n">
        <v>101465905925</v>
      </c>
      <c r="N1809" s="48" t="n">
        <v>2881</v>
      </c>
      <c r="O1809" s="48" t="n">
        <v>50868336</v>
      </c>
      <c r="P1809" s="48" t="n">
        <v>37520432</v>
      </c>
      <c r="Q1809" s="48" t="n">
        <v>1055</v>
      </c>
      <c r="R1809" s="48" t="n">
        <v>1377</v>
      </c>
      <c r="S1809" s="48" t="n">
        <v>36376639</v>
      </c>
      <c r="T1809" s="48" t="n">
        <v>49724543</v>
      </c>
      <c r="U1809" s="46" t="n">
        <f aca="false">IF($A1809=$A1808,$U1808+1,1)</f>
        <v>245</v>
      </c>
      <c r="V1809" s="48" t="n">
        <f aca="false">IF($U1809&gt;=MA_SHORT,AVERAGE(INDEX($I$1409:$I1809,402-MA_SHORT):$I1809),"")</f>
        <v>1135.95</v>
      </c>
      <c r="W1809" s="48" t="n">
        <f aca="false">IF($U1809&gt;=MA_MED,AVERAGE(INDEX($I$1409:$I1809,402-MA_MED):$I1809),"")</f>
        <v>1161.46</v>
      </c>
      <c r="X1809" s="48" t="n">
        <f aca="false">IF($U1809&gt;=MA_LONG1,AVERAGE(INDEX($I$1409:$I1809,402-MA_LONG1):$I1809),"")</f>
        <v>1208.93</v>
      </c>
      <c r="Y1809" s="48" t="n">
        <f aca="false">IF($U1809&gt;=MA_LONG2,AVERAGE(INDEX($I$1409:$I1809,402-MA_LONG2):$I1809),"")</f>
        <v>1512.25</v>
      </c>
      <c r="Z1809" s="48" t="n">
        <f aca="false">IF($U1809&gt;=MA_SHORT,AVERAGE(INDEX($L$1689:$L1809,122-MA_SHORT):$L1809),"")</f>
        <v>117624996.6</v>
      </c>
      <c r="AA1809" s="48" t="n">
        <f aca="false">IF($U1809=1,$G1809-$H1809,MAX($G1809-$H1809,ABS($G1809-$I1808),ABS($H1809-$I1808)))</f>
        <v>47</v>
      </c>
      <c r="AB1809" s="48" t="n">
        <f aca="false">IF($U1809&gt;=ATR_PER,AVERAGE(INDEX($AA$1689:$AA1809,122-ATR_PER):$AA1809),"")</f>
        <v>30.2857142857143</v>
      </c>
      <c r="AC1809" s="48" t="n">
        <f aca="false">$O1809-$P1809</f>
        <v>13347904</v>
      </c>
      <c r="AD1809" s="48" t="n">
        <f aca="false">$AC1809*$I1809</f>
        <v>15523612352</v>
      </c>
      <c r="AE1809" s="49" t="n">
        <f aca="false">IF($Q1809&gt;0,$O1809*$I1809/$Q1809/1000000,"")</f>
        <v>56.0757106805687</v>
      </c>
      <c r="AF1809" s="49" t="n">
        <f aca="false">IF($R1809&gt;0,$P1809*$I1809/$R1809/1000000,"")</f>
        <v>31.68936994626</v>
      </c>
      <c r="AG1809" s="50" t="n">
        <f aca="false">IF(AND(ISNUMBER($AE1809),ISNUMBER($AF1809),$AF1809&gt;0),$AE1809/$AF1809,"")</f>
        <v>1.7695432498552</v>
      </c>
      <c r="AH1809" s="48" t="n">
        <f aca="false">IF($U1809&gt;=5,SUM(INDEX($AD$1779:$AD1809,32-5):$AD1809),"")</f>
        <v>61012547938</v>
      </c>
      <c r="AI1809" s="48" t="n">
        <f aca="false">IF($U1809&gt;=STRUCT_S,MAX(INDEX($G$1659:$G1809,152-STRUCT_S):$G1809),"")</f>
        <v>1218</v>
      </c>
      <c r="AJ1809" s="48" t="n">
        <f aca="false">IF($U1809&gt;=STRUCT_S,MIN(INDEX($H$1659:$H1809,152-STRUCT_S):$H1809),"")</f>
        <v>1071</v>
      </c>
      <c r="AK1809" s="48" t="n">
        <f aca="false">IF($U1809&gt;=STRUCT_L,MAX(INDEX($G$1559:$G1809,252-STRUCT_L):$G1809),"")</f>
        <v>1240</v>
      </c>
      <c r="AL1809" s="48" t="n">
        <f aca="false">IF($U1809&gt;=STRUCT_L,MIN(INDEX($H$1559:$H1809,252-STRUCT_L):$H1809),"")</f>
        <v>1071</v>
      </c>
      <c r="AM1809" s="46" t="n">
        <f aca="false">IF($A1809&lt;&gt;$A1810,1,0)</f>
        <v>0</v>
      </c>
      <c r="AN1809" s="47" t="str">
        <f aca="false">IF($AM1809=1,$A1809,"")</f>
        <v/>
      </c>
    </row>
    <row r="1810" customFormat="false" ht="15" hidden="false" customHeight="false" outlineLevel="0" collapsed="false">
      <c r="A1810" s="43" t="s">
        <v>162</v>
      </c>
      <c r="B1810" s="44" t="s">
        <v>164</v>
      </c>
      <c r="C1810" s="45" t="n">
        <v>46249</v>
      </c>
      <c r="D1810" s="46" t="n">
        <v>20260815</v>
      </c>
      <c r="E1810" s="47" t="s">
        <v>533</v>
      </c>
      <c r="F1810" s="48" t="n">
        <v>1159</v>
      </c>
      <c r="G1810" s="48" t="n">
        <v>1176</v>
      </c>
      <c r="H1810" s="48" t="n">
        <v>1143</v>
      </c>
      <c r="I1810" s="48" t="n">
        <v>1156</v>
      </c>
      <c r="J1810" s="48" t="n">
        <v>1172</v>
      </c>
      <c r="K1810" s="48" t="n">
        <v>1163</v>
      </c>
      <c r="L1810" s="48" t="n">
        <v>81413158</v>
      </c>
      <c r="M1810" s="48" t="n">
        <v>94113610648</v>
      </c>
      <c r="N1810" s="48" t="n">
        <v>2076</v>
      </c>
      <c r="O1810" s="48" t="n">
        <v>42946317</v>
      </c>
      <c r="P1810" s="48" t="n">
        <v>38877041</v>
      </c>
      <c r="Q1810" s="48" t="n">
        <v>1043</v>
      </c>
      <c r="R1810" s="48" t="n">
        <v>758</v>
      </c>
      <c r="S1810" s="48" t="n">
        <v>38466841</v>
      </c>
      <c r="T1810" s="48" t="n">
        <v>42536117</v>
      </c>
      <c r="U1810" s="46" t="n">
        <f aca="false">IF($A1810=$A1809,$U1809+1,1)</f>
        <v>246</v>
      </c>
      <c r="V1810" s="48" t="n">
        <f aca="false">IF($U1810&gt;=MA_SHORT,AVERAGE(INDEX($I$1410:$I1810,402-MA_SHORT):$I1810),"")</f>
        <v>1134.65</v>
      </c>
      <c r="W1810" s="48" t="n">
        <f aca="false">IF($U1810&gt;=MA_MED,AVERAGE(INDEX($I$1410:$I1810,402-MA_MED):$I1810),"")</f>
        <v>1160.4</v>
      </c>
      <c r="X1810" s="48" t="n">
        <f aca="false">IF($U1810&gt;=MA_LONG1,AVERAGE(INDEX($I$1410:$I1810,402-MA_LONG1):$I1810),"")</f>
        <v>1206.32</v>
      </c>
      <c r="Y1810" s="48" t="n">
        <f aca="false">IF($U1810&gt;=MA_LONG2,AVERAGE(INDEX($I$1410:$I1810,402-MA_LONG2):$I1810),"")</f>
        <v>1508.315</v>
      </c>
      <c r="Z1810" s="48" t="n">
        <f aca="false">IF($U1810&gt;=MA_SHORT,AVERAGE(INDEX($L$1690:$L1810,122-MA_SHORT):$L1810),"")</f>
        <v>117588747.55</v>
      </c>
      <c r="AA1810" s="48" t="n">
        <f aca="false">IF($U1810=1,$G1810-$H1810,MAX($G1810-$H1810,ABS($G1810-$I1809),ABS($H1810-$I1809)))</f>
        <v>33</v>
      </c>
      <c r="AB1810" s="48" t="n">
        <f aca="false">IF($U1810&gt;=ATR_PER,AVERAGE(INDEX($AA$1690:$AA1810,122-ATR_PER):$AA1810),"")</f>
        <v>29.5</v>
      </c>
      <c r="AC1810" s="48" t="n">
        <f aca="false">$O1810-$P1810</f>
        <v>4069276</v>
      </c>
      <c r="AD1810" s="48" t="n">
        <f aca="false">$AC1810*$I1810</f>
        <v>4704083056</v>
      </c>
      <c r="AE1810" s="49" t="n">
        <f aca="false">IF($Q1810&gt;0,$O1810*$I1810/$Q1810/1000000,"")</f>
        <v>47.5991778063279</v>
      </c>
      <c r="AF1810" s="49" t="n">
        <f aca="false">IF($R1810&gt;0,$P1810*$I1810/$R1810/1000000,"")</f>
        <v>59.2900519736148</v>
      </c>
      <c r="AG1810" s="50" t="n">
        <f aca="false">IF(AND(ISNUMBER($AE1810),ISNUMBER($AF1810),$AF1810&gt;0),$AE1810/$AF1810,"")</f>
        <v>0.802818959030605</v>
      </c>
      <c r="AH1810" s="48" t="n">
        <f aca="false">IF($U1810&gt;=5,SUM(INDEX($AD$1780:$AD1810,32-5):$AD1810),"")</f>
        <v>71110626227</v>
      </c>
      <c r="AI1810" s="48" t="n">
        <f aca="false">IF($U1810&gt;=STRUCT_S,MAX(INDEX($G$1660:$G1810,152-STRUCT_S):$G1810),"")</f>
        <v>1218</v>
      </c>
      <c r="AJ1810" s="48" t="n">
        <f aca="false">IF($U1810&gt;=STRUCT_S,MIN(INDEX($H$1660:$H1810,152-STRUCT_S):$H1810),"")</f>
        <v>1071</v>
      </c>
      <c r="AK1810" s="48" t="n">
        <f aca="false">IF($U1810&gt;=STRUCT_L,MAX(INDEX($G$1560:$G1810,252-STRUCT_L):$G1810),"")</f>
        <v>1240</v>
      </c>
      <c r="AL1810" s="48" t="n">
        <f aca="false">IF($U1810&gt;=STRUCT_L,MIN(INDEX($H$1560:$H1810,252-STRUCT_L):$H1810),"")</f>
        <v>1071</v>
      </c>
      <c r="AM1810" s="46" t="n">
        <f aca="false">IF($A1810&lt;&gt;$A1811,1,0)</f>
        <v>0</v>
      </c>
      <c r="AN1810" s="47" t="str">
        <f aca="false">IF($AM1810=1,$A1810,"")</f>
        <v/>
      </c>
    </row>
    <row r="1811" customFormat="false" ht="15" hidden="false" customHeight="false" outlineLevel="0" collapsed="false">
      <c r="A1811" s="43" t="s">
        <v>162</v>
      </c>
      <c r="B1811" s="44" t="s">
        <v>164</v>
      </c>
      <c r="C1811" s="45" t="n">
        <v>46250</v>
      </c>
      <c r="D1811" s="46" t="n">
        <v>20260816</v>
      </c>
      <c r="E1811" s="47" t="s">
        <v>534</v>
      </c>
      <c r="F1811" s="48" t="n">
        <v>1144</v>
      </c>
      <c r="G1811" s="48" t="n">
        <v>1168</v>
      </c>
      <c r="H1811" s="48" t="n">
        <v>1142</v>
      </c>
      <c r="I1811" s="48" t="n">
        <v>1154</v>
      </c>
      <c r="J1811" s="48" t="n">
        <v>1146</v>
      </c>
      <c r="K1811" s="48" t="n">
        <v>1156</v>
      </c>
      <c r="L1811" s="48" t="n">
        <v>107181923</v>
      </c>
      <c r="M1811" s="48" t="n">
        <v>123687939142</v>
      </c>
      <c r="N1811" s="48" t="n">
        <v>7127</v>
      </c>
      <c r="O1811" s="48" t="n">
        <v>49850113</v>
      </c>
      <c r="P1811" s="48" t="n">
        <v>62557436</v>
      </c>
      <c r="Q1811" s="48" t="n">
        <v>2393</v>
      </c>
      <c r="R1811" s="48" t="n">
        <v>3391</v>
      </c>
      <c r="S1811" s="48" t="n">
        <v>57331810</v>
      </c>
      <c r="T1811" s="48" t="n">
        <v>44624487</v>
      </c>
      <c r="U1811" s="46" t="n">
        <f aca="false">IF($A1811=$A1810,$U1810+1,1)</f>
        <v>247</v>
      </c>
      <c r="V1811" s="48" t="n">
        <f aca="false">IF($U1811&gt;=MA_SHORT,AVERAGE(INDEX($I$1411:$I1811,402-MA_SHORT):$I1811),"")</f>
        <v>1132.6</v>
      </c>
      <c r="W1811" s="48" t="n">
        <f aca="false">IF($U1811&gt;=MA_MED,AVERAGE(INDEX($I$1411:$I1811,402-MA_MED):$I1811),"")</f>
        <v>1158.96</v>
      </c>
      <c r="X1811" s="48" t="n">
        <f aca="false">IF($U1811&gt;=MA_LONG1,AVERAGE(INDEX($I$1411:$I1811,402-MA_LONG1):$I1811),"")</f>
        <v>1203.65</v>
      </c>
      <c r="Y1811" s="48" t="n">
        <f aca="false">IF($U1811&gt;=MA_LONG2,AVERAGE(INDEX($I$1411:$I1811,402-MA_LONG2):$I1811),"")</f>
        <v>1504.61</v>
      </c>
      <c r="Z1811" s="48" t="n">
        <f aca="false">IF($U1811&gt;=MA_SHORT,AVERAGE(INDEX($L$1691:$L1811,122-MA_SHORT):$L1811),"")</f>
        <v>116508203.7</v>
      </c>
      <c r="AA1811" s="48" t="n">
        <f aca="false">IF($U1811=1,$G1811-$H1811,MAX($G1811-$H1811,ABS($G1811-$I1810),ABS($H1811-$I1810)))</f>
        <v>26</v>
      </c>
      <c r="AB1811" s="48" t="n">
        <f aca="false">IF($U1811&gt;=ATR_PER,AVERAGE(INDEX($AA$1691:$AA1811,122-ATR_PER):$AA1811),"")</f>
        <v>30.1428571428571</v>
      </c>
      <c r="AC1811" s="48" t="n">
        <f aca="false">$O1811-$P1811</f>
        <v>-12707323</v>
      </c>
      <c r="AD1811" s="48" t="n">
        <f aca="false">$AC1811*$I1811</f>
        <v>-14664250742</v>
      </c>
      <c r="AE1811" s="49" t="n">
        <f aca="false">IF($Q1811&gt;0,$O1811*$I1811/$Q1811/1000000,"")</f>
        <v>24.0397118269954</v>
      </c>
      <c r="AF1811" s="49" t="n">
        <f aca="false">IF($R1811&gt;0,$P1811*$I1811/$R1811/1000000,"")</f>
        <v>21.2890832037747</v>
      </c>
      <c r="AG1811" s="50" t="n">
        <f aca="false">IF(AND(ISNUMBER($AE1811),ISNUMBER($AF1811),$AF1811&gt;0),$AE1811/$AF1811,"")</f>
        <v>1.12920371426483</v>
      </c>
      <c r="AH1811" s="48" t="n">
        <f aca="false">IF($U1811&gt;=5,SUM(INDEX($AD$1781:$AD1811,32-5):$AD1811),"")</f>
        <v>42003657662</v>
      </c>
      <c r="AI1811" s="48" t="n">
        <f aca="false">IF($U1811&gt;=STRUCT_S,MAX(INDEX($G$1661:$G1811,152-STRUCT_S):$G1811),"")</f>
        <v>1214</v>
      </c>
      <c r="AJ1811" s="48" t="n">
        <f aca="false">IF($U1811&gt;=STRUCT_S,MIN(INDEX($H$1661:$H1811,152-STRUCT_S):$H1811),"")</f>
        <v>1071</v>
      </c>
      <c r="AK1811" s="48" t="n">
        <f aca="false">IF($U1811&gt;=STRUCT_L,MAX(INDEX($G$1561:$G1811,252-STRUCT_L):$G1811),"")</f>
        <v>1240</v>
      </c>
      <c r="AL1811" s="48" t="n">
        <f aca="false">IF($U1811&gt;=STRUCT_L,MIN(INDEX($H$1561:$H1811,252-STRUCT_L):$H1811),"")</f>
        <v>1071</v>
      </c>
      <c r="AM1811" s="46" t="n">
        <f aca="false">IF($A1811&lt;&gt;$A1812,1,0)</f>
        <v>0</v>
      </c>
      <c r="AN1811" s="47" t="str">
        <f aca="false">IF($AM1811=1,$A1811,"")</f>
        <v/>
      </c>
    </row>
    <row r="1812" customFormat="false" ht="15" hidden="false" customHeight="false" outlineLevel="0" collapsed="false">
      <c r="A1812" s="43" t="s">
        <v>162</v>
      </c>
      <c r="B1812" s="44" t="s">
        <v>164</v>
      </c>
      <c r="C1812" s="45" t="n">
        <v>46251</v>
      </c>
      <c r="D1812" s="46" t="n">
        <v>20260817</v>
      </c>
      <c r="E1812" s="47" t="s">
        <v>535</v>
      </c>
      <c r="F1812" s="48" t="n">
        <v>1164</v>
      </c>
      <c r="G1812" s="48" t="n">
        <v>1189</v>
      </c>
      <c r="H1812" s="48" t="n">
        <v>1145</v>
      </c>
      <c r="I1812" s="48" t="n">
        <v>1179</v>
      </c>
      <c r="J1812" s="48" t="n">
        <v>1152</v>
      </c>
      <c r="K1812" s="48" t="n">
        <v>1154</v>
      </c>
      <c r="L1812" s="48" t="n">
        <v>96416849</v>
      </c>
      <c r="M1812" s="48" t="n">
        <v>113675464971</v>
      </c>
      <c r="N1812" s="48" t="n">
        <v>7543</v>
      </c>
      <c r="O1812" s="48" t="n">
        <v>55821699</v>
      </c>
      <c r="P1812" s="48" t="n">
        <v>39142378</v>
      </c>
      <c r="Q1812" s="48" t="n">
        <v>3309</v>
      </c>
      <c r="R1812" s="48" t="n">
        <v>3898</v>
      </c>
      <c r="S1812" s="48" t="n">
        <v>40595150</v>
      </c>
      <c r="T1812" s="48" t="n">
        <v>57274471</v>
      </c>
      <c r="U1812" s="46" t="n">
        <f aca="false">IF($A1812=$A1811,$U1811+1,1)</f>
        <v>248</v>
      </c>
      <c r="V1812" s="48" t="n">
        <f aca="false">IF($U1812&gt;=MA_SHORT,AVERAGE(INDEX($I$1412:$I1812,402-MA_SHORT):$I1812),"")</f>
        <v>1132.05</v>
      </c>
      <c r="W1812" s="48" t="n">
        <f aca="false">IF($U1812&gt;=MA_MED,AVERAGE(INDEX($I$1412:$I1812,402-MA_MED):$I1812),"")</f>
        <v>1158.16</v>
      </c>
      <c r="X1812" s="48" t="n">
        <f aca="false">IF($U1812&gt;=MA_LONG1,AVERAGE(INDEX($I$1412:$I1812,402-MA_LONG1):$I1812),"")</f>
        <v>1201.22</v>
      </c>
      <c r="Y1812" s="48" t="n">
        <f aca="false">IF($U1812&gt;=MA_LONG2,AVERAGE(INDEX($I$1412:$I1812,402-MA_LONG2):$I1812),"")</f>
        <v>1501.025</v>
      </c>
      <c r="Z1812" s="48" t="n">
        <f aca="false">IF($U1812&gt;=MA_SHORT,AVERAGE(INDEX($L$1692:$L1812,122-MA_SHORT):$L1812),"")</f>
        <v>117301639.75</v>
      </c>
      <c r="AA1812" s="48" t="n">
        <f aca="false">IF($U1812=1,$G1812-$H1812,MAX($G1812-$H1812,ABS($G1812-$I1811),ABS($H1812-$I1811)))</f>
        <v>44</v>
      </c>
      <c r="AB1812" s="48" t="n">
        <f aca="false">IF($U1812&gt;=ATR_PER,AVERAGE(INDEX($AA$1692:$AA1812,122-ATR_PER):$AA1812),"")</f>
        <v>31.5714285714286</v>
      </c>
      <c r="AC1812" s="48" t="n">
        <f aca="false">$O1812-$P1812</f>
        <v>16679321</v>
      </c>
      <c r="AD1812" s="48" t="n">
        <f aca="false">$AC1812*$I1812</f>
        <v>19664919459</v>
      </c>
      <c r="AE1812" s="49" t="n">
        <f aca="false">IF($Q1812&gt;0,$O1812*$I1812/$Q1812/1000000,"")</f>
        <v>19.8893270235721</v>
      </c>
      <c r="AF1812" s="49" t="n">
        <f aca="false">IF($R1812&gt;0,$P1812*$I1812/$R1812/1000000,"")</f>
        <v>11.8391133047717</v>
      </c>
      <c r="AG1812" s="50" t="n">
        <f aca="false">IF(AND(ISNUMBER($AE1812),ISNUMBER($AF1812),$AF1812&gt;0),$AE1812/$AF1812,"")</f>
        <v>1.679967621862</v>
      </c>
      <c r="AH1812" s="48" t="n">
        <f aca="false">IF($U1812&gt;=5,SUM(INDEX($AD$1782:$AD1812,32-5):$AD1812),"")</f>
        <v>39852653961</v>
      </c>
      <c r="AI1812" s="48" t="n">
        <f aca="false">IF($U1812&gt;=STRUCT_S,MAX(INDEX($G$1662:$G1812,152-STRUCT_S):$G1812),"")</f>
        <v>1196</v>
      </c>
      <c r="AJ1812" s="48" t="n">
        <f aca="false">IF($U1812&gt;=STRUCT_S,MIN(INDEX($H$1662:$H1812,152-STRUCT_S):$H1812),"")</f>
        <v>1071</v>
      </c>
      <c r="AK1812" s="48" t="n">
        <f aca="false">IF($U1812&gt;=STRUCT_L,MAX(INDEX($G$1562:$G1812,252-STRUCT_L):$G1812),"")</f>
        <v>1240</v>
      </c>
      <c r="AL1812" s="48" t="n">
        <f aca="false">IF($U1812&gt;=STRUCT_L,MIN(INDEX($H$1562:$H1812,252-STRUCT_L):$H1812),"")</f>
        <v>1071</v>
      </c>
      <c r="AM1812" s="46" t="n">
        <f aca="false">IF($A1812&lt;&gt;$A1813,1,0)</f>
        <v>0</v>
      </c>
      <c r="AN1812" s="47" t="str">
        <f aca="false">IF($AM1812=1,$A1812,"")</f>
        <v/>
      </c>
    </row>
    <row r="1813" customFormat="false" ht="15" hidden="false" customHeight="false" outlineLevel="0" collapsed="false">
      <c r="A1813" s="43" t="s">
        <v>162</v>
      </c>
      <c r="B1813" s="44" t="s">
        <v>164</v>
      </c>
      <c r="C1813" s="45" t="n">
        <v>46252</v>
      </c>
      <c r="D1813" s="46" t="n">
        <v>20260818</v>
      </c>
      <c r="E1813" s="47" t="s">
        <v>536</v>
      </c>
      <c r="F1813" s="48" t="n">
        <v>1209</v>
      </c>
      <c r="G1813" s="48" t="n">
        <v>1232</v>
      </c>
      <c r="H1813" s="48" t="n">
        <v>1173</v>
      </c>
      <c r="I1813" s="48" t="n">
        <v>1226</v>
      </c>
      <c r="J1813" s="48" t="n">
        <v>1180</v>
      </c>
      <c r="K1813" s="48" t="n">
        <v>1179</v>
      </c>
      <c r="L1813" s="48" t="n">
        <v>105219296</v>
      </c>
      <c r="M1813" s="48" t="n">
        <v>128998856896</v>
      </c>
      <c r="N1813" s="48" t="n">
        <v>8977</v>
      </c>
      <c r="O1813" s="48" t="n">
        <v>67767694</v>
      </c>
      <c r="P1813" s="48" t="n">
        <v>33557114</v>
      </c>
      <c r="Q1813" s="48" t="n">
        <v>3377</v>
      </c>
      <c r="R1813" s="48" t="n">
        <v>4109</v>
      </c>
      <c r="S1813" s="48" t="n">
        <v>37451602</v>
      </c>
      <c r="T1813" s="48" t="n">
        <v>71662182</v>
      </c>
      <c r="U1813" s="46" t="n">
        <f aca="false">IF($A1813=$A1812,$U1812+1,1)</f>
        <v>249</v>
      </c>
      <c r="V1813" s="48" t="n">
        <f aca="false">IF($U1813&gt;=MA_SHORT,AVERAGE(INDEX($I$1413:$I1813,402-MA_SHORT):$I1813),"")</f>
        <v>1134.35</v>
      </c>
      <c r="W1813" s="48" t="n">
        <f aca="false">IF($U1813&gt;=MA_MED,AVERAGE(INDEX($I$1413:$I1813,402-MA_MED):$I1813),"")</f>
        <v>1158.52</v>
      </c>
      <c r="X1813" s="48" t="n">
        <f aca="false">IF($U1813&gt;=MA_LONG1,AVERAGE(INDEX($I$1413:$I1813,402-MA_LONG1):$I1813),"")</f>
        <v>1199.36</v>
      </c>
      <c r="Y1813" s="48" t="n">
        <f aca="false">IF($U1813&gt;=MA_LONG2,AVERAGE(INDEX($I$1413:$I1813,402-MA_LONG2):$I1813),"")</f>
        <v>1497.65</v>
      </c>
      <c r="Z1813" s="48" t="n">
        <f aca="false">IF($U1813&gt;=MA_SHORT,AVERAGE(INDEX($L$1693:$L1813,122-MA_SHORT):$L1813),"")</f>
        <v>117586241.2</v>
      </c>
      <c r="AA1813" s="48" t="n">
        <f aca="false">IF($U1813=1,$G1813-$H1813,MAX($G1813-$H1813,ABS($G1813-$I1812),ABS($H1813-$I1812)))</f>
        <v>59</v>
      </c>
      <c r="AB1813" s="48" t="n">
        <f aca="false">IF($U1813&gt;=ATR_PER,AVERAGE(INDEX($AA$1693:$AA1813,122-ATR_PER):$AA1813),"")</f>
        <v>34</v>
      </c>
      <c r="AC1813" s="48" t="n">
        <f aca="false">$O1813-$P1813</f>
        <v>34210580</v>
      </c>
      <c r="AD1813" s="48" t="n">
        <f aca="false">$AC1813*$I1813</f>
        <v>41942171080</v>
      </c>
      <c r="AE1813" s="49" t="n">
        <f aca="false">IF($Q1813&gt;0,$O1813*$I1813/$Q1813/1000000,"")</f>
        <v>24.6026629683151</v>
      </c>
      <c r="AF1813" s="49" t="n">
        <f aca="false">IF($R1813&gt;0,$P1813*$I1813/$R1813/1000000,"")</f>
        <v>10.0124170756875</v>
      </c>
      <c r="AG1813" s="50" t="n">
        <f aca="false">IF(AND(ISNUMBER($AE1813),ISNUMBER($AF1813),$AF1813&gt;0),$AE1813/$AF1813,"")</f>
        <v>2.45721515417652</v>
      </c>
      <c r="AH1813" s="48" t="n">
        <f aca="false">IF($U1813&gt;=5,SUM(INDEX($AD$1783:$AD1813,32-5):$AD1813),"")</f>
        <v>67170535205</v>
      </c>
      <c r="AI1813" s="48" t="n">
        <f aca="false">IF($U1813&gt;=STRUCT_S,MAX(INDEX($G$1663:$G1813,152-STRUCT_S):$G1813),"")</f>
        <v>1232</v>
      </c>
      <c r="AJ1813" s="48" t="n">
        <f aca="false">IF($U1813&gt;=STRUCT_S,MIN(INDEX($H$1663:$H1813,152-STRUCT_S):$H1813),"")</f>
        <v>1071</v>
      </c>
      <c r="AK1813" s="48" t="n">
        <f aca="false">IF($U1813&gt;=STRUCT_L,MAX(INDEX($G$1563:$G1813,252-STRUCT_L):$G1813),"")</f>
        <v>1240</v>
      </c>
      <c r="AL1813" s="48" t="n">
        <f aca="false">IF($U1813&gt;=STRUCT_L,MIN(INDEX($H$1563:$H1813,252-STRUCT_L):$H1813),"")</f>
        <v>1071</v>
      </c>
      <c r="AM1813" s="46" t="n">
        <f aca="false">IF($A1813&lt;&gt;$A1814,1,0)</f>
        <v>0</v>
      </c>
      <c r="AN1813" s="47" t="str">
        <f aca="false">IF($AM1813=1,$A1813,"")</f>
        <v/>
      </c>
    </row>
    <row r="1814" customFormat="false" ht="15" hidden="false" customHeight="false" outlineLevel="0" collapsed="false">
      <c r="A1814" s="43" t="s">
        <v>162</v>
      </c>
      <c r="B1814" s="44" t="s">
        <v>164</v>
      </c>
      <c r="C1814" s="45" t="n">
        <v>46253</v>
      </c>
      <c r="D1814" s="46" t="n">
        <v>20260819</v>
      </c>
      <c r="E1814" s="47" t="s">
        <v>537</v>
      </c>
      <c r="F1814" s="48" t="n">
        <v>1255</v>
      </c>
      <c r="G1814" s="48" t="n">
        <v>1270</v>
      </c>
      <c r="H1814" s="48" t="n">
        <v>1208</v>
      </c>
      <c r="I1814" s="48" t="n">
        <v>1251</v>
      </c>
      <c r="J1814" s="48" t="n">
        <v>1266</v>
      </c>
      <c r="K1814" s="48" t="n">
        <v>1226</v>
      </c>
      <c r="L1814" s="48" t="n">
        <v>116416564</v>
      </c>
      <c r="M1814" s="48" t="n">
        <v>145637121564</v>
      </c>
      <c r="N1814" s="48" t="n">
        <v>5664</v>
      </c>
      <c r="O1814" s="48" t="n">
        <v>59356238</v>
      </c>
      <c r="P1814" s="48" t="n">
        <v>53369684</v>
      </c>
      <c r="Q1814" s="48" t="n">
        <v>3170</v>
      </c>
      <c r="R1814" s="48" t="n">
        <v>2770</v>
      </c>
      <c r="S1814" s="48" t="n">
        <v>57060326</v>
      </c>
      <c r="T1814" s="48" t="n">
        <v>63046880</v>
      </c>
      <c r="U1814" s="46" t="n">
        <f aca="false">IF($A1814=$A1813,$U1813+1,1)</f>
        <v>250</v>
      </c>
      <c r="V1814" s="48" t="n">
        <f aca="false">IF($U1814&gt;=MA_SHORT,AVERAGE(INDEX($I$1414:$I1814,402-MA_SHORT):$I1814),"")</f>
        <v>1138.5</v>
      </c>
      <c r="W1814" s="48" t="n">
        <f aca="false">IF($U1814&gt;=MA_MED,AVERAGE(INDEX($I$1414:$I1814,402-MA_MED):$I1814),"")</f>
        <v>1159.18</v>
      </c>
      <c r="X1814" s="48" t="n">
        <f aca="false">IF($U1814&gt;=MA_LONG1,AVERAGE(INDEX($I$1414:$I1814,402-MA_LONG1):$I1814),"")</f>
        <v>1197.97</v>
      </c>
      <c r="Y1814" s="48" t="n">
        <f aca="false">IF($U1814&gt;=MA_LONG2,AVERAGE(INDEX($I$1414:$I1814,402-MA_LONG2):$I1814),"")</f>
        <v>1494.565</v>
      </c>
      <c r="Z1814" s="48" t="n">
        <f aca="false">IF($U1814&gt;=MA_SHORT,AVERAGE(INDEX($L$1694:$L1814,122-MA_SHORT):$L1814),"")</f>
        <v>119238571.4</v>
      </c>
      <c r="AA1814" s="48" t="n">
        <f aca="false">IF($U1814=1,$G1814-$H1814,MAX($G1814-$H1814,ABS($G1814-$I1813),ABS($H1814-$I1813)))</f>
        <v>62</v>
      </c>
      <c r="AB1814" s="48" t="n">
        <f aca="false">IF($U1814&gt;=ATR_PER,AVERAGE(INDEX($AA$1694:$AA1814,122-ATR_PER):$AA1814),"")</f>
        <v>36.5714285714286</v>
      </c>
      <c r="AC1814" s="48" t="n">
        <f aca="false">$O1814-$P1814</f>
        <v>5986554</v>
      </c>
      <c r="AD1814" s="48" t="n">
        <f aca="false">$AC1814*$I1814</f>
        <v>7489179054</v>
      </c>
      <c r="AE1814" s="49" t="n">
        <f aca="false">IF($Q1814&gt;0,$O1814*$I1814/$Q1814/1000000,"")</f>
        <v>23.4241809899054</v>
      </c>
      <c r="AF1814" s="49" t="n">
        <f aca="false">IF($R1814&gt;0,$P1814*$I1814/$R1814/1000000,"")</f>
        <v>24.1030594527076</v>
      </c>
      <c r="AG1814" s="50" t="n">
        <f aca="false">IF(AND(ISNUMBER($AE1814),ISNUMBER($AF1814),$AF1814&gt;0),$AE1814/$AF1814,"")</f>
        <v>0.971834344758837</v>
      </c>
      <c r="AH1814" s="48" t="n">
        <f aca="false">IF($U1814&gt;=5,SUM(INDEX($AD$1784:$AD1814,32-5):$AD1814),"")</f>
        <v>59136101907</v>
      </c>
      <c r="AI1814" s="48" t="n">
        <f aca="false">IF($U1814&gt;=STRUCT_S,MAX(INDEX($G$1664:$G1814,152-STRUCT_S):$G1814),"")</f>
        <v>1270</v>
      </c>
      <c r="AJ1814" s="48" t="n">
        <f aca="false">IF($U1814&gt;=STRUCT_S,MIN(INDEX($H$1664:$H1814,152-STRUCT_S):$H1814),"")</f>
        <v>1071</v>
      </c>
      <c r="AK1814" s="48" t="n">
        <f aca="false">IF($U1814&gt;=STRUCT_L,MAX(INDEX($G$1564:$G1814,252-STRUCT_L):$G1814),"")</f>
        <v>1270</v>
      </c>
      <c r="AL1814" s="48" t="n">
        <f aca="false">IF($U1814&gt;=STRUCT_L,MIN(INDEX($H$1564:$H1814,252-STRUCT_L):$H1814),"")</f>
        <v>1071</v>
      </c>
      <c r="AM1814" s="46" t="n">
        <f aca="false">IF($A1814&lt;&gt;$A1815,1,0)</f>
        <v>0</v>
      </c>
      <c r="AN1814" s="47" t="str">
        <f aca="false">IF($AM1814=1,$A1814,"")</f>
        <v/>
      </c>
    </row>
    <row r="1815" customFormat="false" ht="15" hidden="false" customHeight="false" outlineLevel="0" collapsed="false">
      <c r="A1815" s="43" t="s">
        <v>162</v>
      </c>
      <c r="B1815" s="44" t="s">
        <v>164</v>
      </c>
      <c r="C1815" s="45" t="n">
        <v>46256</v>
      </c>
      <c r="D1815" s="46" t="n">
        <v>20260822</v>
      </c>
      <c r="E1815" s="47" t="s">
        <v>538</v>
      </c>
      <c r="F1815" s="48" t="n">
        <v>1258</v>
      </c>
      <c r="G1815" s="48" t="n">
        <v>1263</v>
      </c>
      <c r="H1815" s="48" t="n">
        <v>1244</v>
      </c>
      <c r="I1815" s="48" t="n">
        <v>1256</v>
      </c>
      <c r="J1815" s="48" t="n">
        <v>1262</v>
      </c>
      <c r="K1815" s="48" t="n">
        <v>1251</v>
      </c>
      <c r="L1815" s="48" t="n">
        <v>115521675</v>
      </c>
      <c r="M1815" s="48" t="n">
        <v>145095223800</v>
      </c>
      <c r="N1815" s="48" t="n">
        <v>6211</v>
      </c>
      <c r="O1815" s="48" t="n">
        <v>60006270</v>
      </c>
      <c r="P1815" s="48" t="n">
        <v>52047139</v>
      </c>
      <c r="Q1815" s="48" t="n">
        <v>2996</v>
      </c>
      <c r="R1815" s="48" t="n">
        <v>1982</v>
      </c>
      <c r="S1815" s="48" t="n">
        <v>55515405</v>
      </c>
      <c r="T1815" s="48" t="n">
        <v>63474536</v>
      </c>
      <c r="U1815" s="46" t="n">
        <f aca="false">IF($A1815=$A1814,$U1814+1,1)</f>
        <v>251</v>
      </c>
      <c r="V1815" s="48" t="n">
        <f aca="false">IF($U1815&gt;=MA_SHORT,AVERAGE(INDEX($I$1415:$I1815,402-MA_SHORT):$I1815),"")</f>
        <v>1143.2</v>
      </c>
      <c r="W1815" s="48" t="n">
        <f aca="false">IF($U1815&gt;=MA_MED,AVERAGE(INDEX($I$1415:$I1815,402-MA_MED):$I1815),"")</f>
        <v>1160.44</v>
      </c>
      <c r="X1815" s="48" t="n">
        <f aca="false">IF($U1815&gt;=MA_LONG1,AVERAGE(INDEX($I$1415:$I1815,402-MA_LONG1):$I1815),"")</f>
        <v>1196.79</v>
      </c>
      <c r="Y1815" s="48" t="n">
        <f aca="false">IF($U1815&gt;=MA_LONG2,AVERAGE(INDEX($I$1415:$I1815,402-MA_LONG2):$I1815),"")</f>
        <v>1491.475</v>
      </c>
      <c r="Z1815" s="48" t="n">
        <f aca="false">IF($U1815&gt;=MA_SHORT,AVERAGE(INDEX($L$1695:$L1815,122-MA_SHORT):$L1815),"")</f>
        <v>120964786.7</v>
      </c>
      <c r="AA1815" s="48" t="n">
        <f aca="false">IF($U1815=1,$G1815-$H1815,MAX($G1815-$H1815,ABS($G1815-$I1814),ABS($H1815-$I1814)))</f>
        <v>19</v>
      </c>
      <c r="AB1815" s="48" t="n">
        <f aca="false">IF($U1815&gt;=ATR_PER,AVERAGE(INDEX($AA$1695:$AA1815,122-ATR_PER):$AA1815),"")</f>
        <v>36.2142857142857</v>
      </c>
      <c r="AC1815" s="48" t="n">
        <f aca="false">$O1815-$P1815</f>
        <v>7959131</v>
      </c>
      <c r="AD1815" s="48" t="n">
        <f aca="false">$AC1815*$I1815</f>
        <v>9996668536</v>
      </c>
      <c r="AE1815" s="49" t="n">
        <f aca="false">IF($Q1815&gt;0,$O1815*$I1815/$Q1815/1000000,"")</f>
        <v>25.1561665954606</v>
      </c>
      <c r="AF1815" s="49" t="n">
        <f aca="false">IF($R1815&gt;0,$P1815*$I1815/$R1815/1000000,"")</f>
        <v>32.9824452996973</v>
      </c>
      <c r="AG1815" s="50" t="n">
        <f aca="false">IF(AND(ISNUMBER($AE1815),ISNUMBER($AF1815),$AF1815&gt;0),$AE1815/$AF1815,"")</f>
        <v>0.762713812359192</v>
      </c>
      <c r="AH1815" s="48" t="n">
        <f aca="false">IF($U1815&gt;=5,SUM(INDEX($AD$1785:$AD1815,32-5):$AD1815),"")</f>
        <v>64428687387</v>
      </c>
      <c r="AI1815" s="48" t="n">
        <f aca="false">IF($U1815&gt;=STRUCT_S,MAX(INDEX($G$1665:$G1815,152-STRUCT_S):$G1815),"")</f>
        <v>1270</v>
      </c>
      <c r="AJ1815" s="48" t="n">
        <f aca="false">IF($U1815&gt;=STRUCT_S,MIN(INDEX($H$1665:$H1815,152-STRUCT_S):$H1815),"")</f>
        <v>1071</v>
      </c>
      <c r="AK1815" s="48" t="n">
        <f aca="false">IF($U1815&gt;=STRUCT_L,MAX(INDEX($G$1565:$G1815,252-STRUCT_L):$G1815),"")</f>
        <v>1270</v>
      </c>
      <c r="AL1815" s="48" t="n">
        <f aca="false">IF($U1815&gt;=STRUCT_L,MIN(INDEX($H$1565:$H1815,252-STRUCT_L):$H1815),"")</f>
        <v>1071</v>
      </c>
      <c r="AM1815" s="46" t="n">
        <f aca="false">IF($A1815&lt;&gt;$A1816,1,0)</f>
        <v>0</v>
      </c>
      <c r="AN1815" s="47" t="str">
        <f aca="false">IF($AM1815=1,$A1815,"")</f>
        <v/>
      </c>
    </row>
    <row r="1816" customFormat="false" ht="15" hidden="false" customHeight="false" outlineLevel="0" collapsed="false">
      <c r="A1816" s="43" t="s">
        <v>162</v>
      </c>
      <c r="B1816" s="44" t="s">
        <v>164</v>
      </c>
      <c r="C1816" s="45" t="n">
        <v>46257</v>
      </c>
      <c r="D1816" s="46" t="n">
        <v>20260823</v>
      </c>
      <c r="E1816" s="47" t="s">
        <v>539</v>
      </c>
      <c r="F1816" s="48" t="n">
        <v>1236</v>
      </c>
      <c r="G1816" s="48" t="n">
        <v>1265</v>
      </c>
      <c r="H1816" s="48" t="n">
        <v>1235</v>
      </c>
      <c r="I1816" s="48" t="n">
        <v>1244</v>
      </c>
      <c r="J1816" s="48" t="n">
        <v>1238</v>
      </c>
      <c r="K1816" s="48" t="n">
        <v>1256</v>
      </c>
      <c r="L1816" s="48" t="n">
        <v>102223326</v>
      </c>
      <c r="M1816" s="48" t="n">
        <v>127165817544</v>
      </c>
      <c r="N1816" s="48" t="n">
        <v>2886</v>
      </c>
      <c r="O1816" s="48" t="n">
        <v>39331933</v>
      </c>
      <c r="P1816" s="48" t="n">
        <v>62140902</v>
      </c>
      <c r="Q1816" s="48" t="n">
        <v>1282</v>
      </c>
      <c r="R1816" s="48" t="n">
        <v>949</v>
      </c>
      <c r="S1816" s="48" t="n">
        <v>62891393</v>
      </c>
      <c r="T1816" s="48" t="n">
        <v>40082424</v>
      </c>
      <c r="U1816" s="46" t="n">
        <f aca="false">IF($A1816=$A1815,$U1815+1,1)</f>
        <v>252</v>
      </c>
      <c r="V1816" s="48" t="n">
        <f aca="false">IF($U1816&gt;=MA_SHORT,AVERAGE(INDEX($I$1416:$I1816,402-MA_SHORT):$I1816),"")</f>
        <v>1149.2</v>
      </c>
      <c r="W1816" s="48" t="n">
        <f aca="false">IF($U1816&gt;=MA_MED,AVERAGE(INDEX($I$1416:$I1816,402-MA_MED):$I1816),"")</f>
        <v>1161.48</v>
      </c>
      <c r="X1816" s="48" t="n">
        <f aca="false">IF($U1816&gt;=MA_LONG1,AVERAGE(INDEX($I$1416:$I1816,402-MA_LONG1):$I1816),"")</f>
        <v>1195.46</v>
      </c>
      <c r="Y1816" s="48" t="n">
        <f aca="false">IF($U1816&gt;=MA_LONG2,AVERAGE(INDEX($I$1416:$I1816,402-MA_LONG2):$I1816),"")</f>
        <v>1488.415</v>
      </c>
      <c r="Z1816" s="48" t="n">
        <f aca="false">IF($U1816&gt;=MA_SHORT,AVERAGE(INDEX($L$1696:$L1816,122-MA_SHORT):$L1816),"")</f>
        <v>121376298.35</v>
      </c>
      <c r="AA1816" s="48" t="n">
        <f aca="false">IF($U1816=1,$G1816-$H1816,MAX($G1816-$H1816,ABS($G1816-$I1815),ABS($H1816-$I1815)))</f>
        <v>30</v>
      </c>
      <c r="AB1816" s="48" t="n">
        <f aca="false">IF($U1816&gt;=ATR_PER,AVERAGE(INDEX($AA$1696:$AA1816,122-ATR_PER):$AA1816),"")</f>
        <v>36.6428571428571</v>
      </c>
      <c r="AC1816" s="48" t="n">
        <f aca="false">$O1816-$P1816</f>
        <v>-22808969</v>
      </c>
      <c r="AD1816" s="48" t="n">
        <f aca="false">$AC1816*$I1816</f>
        <v>-28374357436</v>
      </c>
      <c r="AE1816" s="49" t="n">
        <f aca="false">IF($Q1816&gt;0,$O1816*$I1816/$Q1816/1000000,"")</f>
        <v>38.1660878720749</v>
      </c>
      <c r="AF1816" s="49" t="n">
        <f aca="false">IF($R1816&gt;0,$P1816*$I1816/$R1816/1000000,"")</f>
        <v>81.4576207460485</v>
      </c>
      <c r="AG1816" s="50" t="n">
        <f aca="false">IF(AND(ISNUMBER($AE1816),ISNUMBER($AF1816),$AF1816&gt;0),$AE1816/$AF1816,"")</f>
        <v>0.46853919280384</v>
      </c>
      <c r="AH1816" s="48" t="n">
        <f aca="false">IF($U1816&gt;=5,SUM(INDEX($AD$1786:$AD1816,32-5):$AD1816),"")</f>
        <v>50718580693</v>
      </c>
      <c r="AI1816" s="48" t="n">
        <f aca="false">IF($U1816&gt;=STRUCT_S,MAX(INDEX($G$1666:$G1816,152-STRUCT_S):$G1816),"")</f>
        <v>1270</v>
      </c>
      <c r="AJ1816" s="48" t="n">
        <f aca="false">IF($U1816&gt;=STRUCT_S,MIN(INDEX($H$1666:$H1816,152-STRUCT_S):$H1816),"")</f>
        <v>1071</v>
      </c>
      <c r="AK1816" s="48" t="n">
        <f aca="false">IF($U1816&gt;=STRUCT_L,MAX(INDEX($G$1566:$G1816,252-STRUCT_L):$G1816),"")</f>
        <v>1270</v>
      </c>
      <c r="AL1816" s="48" t="n">
        <f aca="false">IF($U1816&gt;=STRUCT_L,MIN(INDEX($H$1566:$H1816,252-STRUCT_L):$H1816),"")</f>
        <v>1071</v>
      </c>
      <c r="AM1816" s="46" t="n">
        <f aca="false">IF($A1816&lt;&gt;$A1817,1,0)</f>
        <v>0</v>
      </c>
      <c r="AN1816" s="47" t="str">
        <f aca="false">IF($AM1816=1,$A1816,"")</f>
        <v/>
      </c>
    </row>
    <row r="1817" customFormat="false" ht="15" hidden="false" customHeight="false" outlineLevel="0" collapsed="false">
      <c r="A1817" s="43" t="s">
        <v>162</v>
      </c>
      <c r="B1817" s="44" t="s">
        <v>164</v>
      </c>
      <c r="C1817" s="45" t="n">
        <v>46258</v>
      </c>
      <c r="D1817" s="46" t="n">
        <v>20260824</v>
      </c>
      <c r="E1817" s="47" t="s">
        <v>540</v>
      </c>
      <c r="F1817" s="48" t="n">
        <v>1229</v>
      </c>
      <c r="G1817" s="48" t="n">
        <v>1251</v>
      </c>
      <c r="H1817" s="48" t="n">
        <v>1224</v>
      </c>
      <c r="I1817" s="48" t="n">
        <v>1231</v>
      </c>
      <c r="J1817" s="48" t="n">
        <v>1238</v>
      </c>
      <c r="K1817" s="48" t="n">
        <v>1244</v>
      </c>
      <c r="L1817" s="48" t="n">
        <v>112636807</v>
      </c>
      <c r="M1817" s="48" t="n">
        <v>138655909417</v>
      </c>
      <c r="N1817" s="48" t="n">
        <v>3075</v>
      </c>
      <c r="O1817" s="48" t="n">
        <v>49640369</v>
      </c>
      <c r="P1817" s="48" t="n">
        <v>63141480</v>
      </c>
      <c r="Q1817" s="48" t="n">
        <v>1556</v>
      </c>
      <c r="R1817" s="48" t="n">
        <v>1051</v>
      </c>
      <c r="S1817" s="48" t="n">
        <v>62996438</v>
      </c>
      <c r="T1817" s="48" t="n">
        <v>49495327</v>
      </c>
      <c r="U1817" s="46" t="n">
        <f aca="false">IF($A1817=$A1816,$U1816+1,1)</f>
        <v>253</v>
      </c>
      <c r="V1817" s="48" t="n">
        <f aca="false">IF($U1817&gt;=MA_SHORT,AVERAGE(INDEX($I$1417:$I1817,402-MA_SHORT):$I1817),"")</f>
        <v>1154.5</v>
      </c>
      <c r="W1817" s="48" t="n">
        <f aca="false">IF($U1817&gt;=MA_MED,AVERAGE(INDEX($I$1417:$I1817,402-MA_MED):$I1817),"")</f>
        <v>1162.32</v>
      </c>
      <c r="X1817" s="48" t="n">
        <f aca="false">IF($U1817&gt;=MA_LONG1,AVERAGE(INDEX($I$1417:$I1817,402-MA_LONG1):$I1817),"")</f>
        <v>1193.93</v>
      </c>
      <c r="Y1817" s="48" t="n">
        <f aca="false">IF($U1817&gt;=MA_LONG2,AVERAGE(INDEX($I$1417:$I1817,402-MA_LONG2):$I1817),"")</f>
        <v>1485.285</v>
      </c>
      <c r="Z1817" s="48" t="n">
        <f aca="false">IF($U1817&gt;=MA_SHORT,AVERAGE(INDEX($L$1697:$L1817,122-MA_SHORT):$L1817),"")</f>
        <v>110180382.75</v>
      </c>
      <c r="AA1817" s="48" t="n">
        <f aca="false">IF($U1817=1,$G1817-$H1817,MAX($G1817-$H1817,ABS($G1817-$I1816),ABS($H1817-$I1816)))</f>
        <v>27</v>
      </c>
      <c r="AB1817" s="48" t="n">
        <f aca="false">IF($U1817&gt;=ATR_PER,AVERAGE(INDEX($AA$1697:$AA1817,122-ATR_PER):$AA1817),"")</f>
        <v>34.6428571428571</v>
      </c>
      <c r="AC1817" s="48" t="n">
        <f aca="false">$O1817-$P1817</f>
        <v>-13501111</v>
      </c>
      <c r="AD1817" s="48" t="n">
        <f aca="false">$AC1817*$I1817</f>
        <v>-16619867641</v>
      </c>
      <c r="AE1817" s="49" t="n">
        <f aca="false">IF($Q1817&gt;0,$O1817*$I1817/$Q1817/1000000,"")</f>
        <v>39.2720399993573</v>
      </c>
      <c r="AF1817" s="49" t="n">
        <f aca="false">IF($R1817&gt;0,$P1817*$I1817/$R1817/1000000,"")</f>
        <v>73.9554347098002</v>
      </c>
      <c r="AG1817" s="50" t="n">
        <f aca="false">IF(AND(ISNUMBER($AE1817),ISNUMBER($AF1817),$AF1817&gt;0),$AE1817/$AF1817,"")</f>
        <v>0.531023043180804</v>
      </c>
      <c r="AH1817" s="48" t="n">
        <f aca="false">IF($U1817&gt;=5,SUM(INDEX($AD$1787:$AD1817,32-5):$AD1817),"")</f>
        <v>14433793593</v>
      </c>
      <c r="AI1817" s="48" t="n">
        <f aca="false">IF($U1817&gt;=STRUCT_S,MAX(INDEX($G$1667:$G1817,152-STRUCT_S):$G1817),"")</f>
        <v>1270</v>
      </c>
      <c r="AJ1817" s="48" t="n">
        <f aca="false">IF($U1817&gt;=STRUCT_S,MIN(INDEX($H$1667:$H1817,152-STRUCT_S):$H1817),"")</f>
        <v>1071</v>
      </c>
      <c r="AK1817" s="48" t="n">
        <f aca="false">IF($U1817&gt;=STRUCT_L,MAX(INDEX($G$1567:$G1817,252-STRUCT_L):$G1817),"")</f>
        <v>1270</v>
      </c>
      <c r="AL1817" s="48" t="n">
        <f aca="false">IF($U1817&gt;=STRUCT_L,MIN(INDEX($H$1567:$H1817,252-STRUCT_L):$H1817),"")</f>
        <v>1071</v>
      </c>
      <c r="AM1817" s="46" t="n">
        <f aca="false">IF($A1817&lt;&gt;$A1818,1,0)</f>
        <v>0</v>
      </c>
      <c r="AN1817" s="47" t="str">
        <f aca="false">IF($AM1817=1,$A1817,"")</f>
        <v/>
      </c>
    </row>
    <row r="1818" customFormat="false" ht="15" hidden="false" customHeight="false" outlineLevel="0" collapsed="false">
      <c r="A1818" s="43" t="s">
        <v>162</v>
      </c>
      <c r="B1818" s="44" t="s">
        <v>164</v>
      </c>
      <c r="C1818" s="45" t="n">
        <v>46259</v>
      </c>
      <c r="D1818" s="46" t="n">
        <v>20260825</v>
      </c>
      <c r="E1818" s="47" t="s">
        <v>541</v>
      </c>
      <c r="F1818" s="48" t="n">
        <v>1233</v>
      </c>
      <c r="G1818" s="48" t="n">
        <v>1240</v>
      </c>
      <c r="H1818" s="48" t="n">
        <v>1212</v>
      </c>
      <c r="I1818" s="48" t="n">
        <v>1221</v>
      </c>
      <c r="J1818" s="48" t="n">
        <v>1227</v>
      </c>
      <c r="K1818" s="48" t="n">
        <v>1231</v>
      </c>
      <c r="L1818" s="48" t="n">
        <v>100231907</v>
      </c>
      <c r="M1818" s="48" t="n">
        <v>122383158447</v>
      </c>
      <c r="N1818" s="48" t="n">
        <v>6752</v>
      </c>
      <c r="O1818" s="48" t="n">
        <v>49498122</v>
      </c>
      <c r="P1818" s="48" t="n">
        <v>44901197</v>
      </c>
      <c r="Q1818" s="48" t="n">
        <v>3207</v>
      </c>
      <c r="R1818" s="48" t="n">
        <v>3702</v>
      </c>
      <c r="S1818" s="48" t="n">
        <v>50733785</v>
      </c>
      <c r="T1818" s="48" t="n">
        <v>55330710</v>
      </c>
      <c r="U1818" s="46" t="n">
        <f aca="false">IF($A1818=$A1817,$U1817+1,1)</f>
        <v>254</v>
      </c>
      <c r="V1818" s="48" t="n">
        <f aca="false">IF($U1818&gt;=MA_SHORT,AVERAGE(INDEX($I$1418:$I1818,402-MA_SHORT):$I1818),"")</f>
        <v>1160.2</v>
      </c>
      <c r="W1818" s="48" t="n">
        <f aca="false">IF($U1818&gt;=MA_MED,AVERAGE(INDEX($I$1418:$I1818,402-MA_MED):$I1818),"")</f>
        <v>1163.02</v>
      </c>
      <c r="X1818" s="48" t="n">
        <f aca="false">IF($U1818&gt;=MA_LONG1,AVERAGE(INDEX($I$1418:$I1818,402-MA_LONG1):$I1818),"")</f>
        <v>1192.34</v>
      </c>
      <c r="Y1818" s="48" t="n">
        <f aca="false">IF($U1818&gt;=MA_LONG2,AVERAGE(INDEX($I$1418:$I1818,402-MA_LONG2):$I1818),"")</f>
        <v>1481.9</v>
      </c>
      <c r="Z1818" s="48" t="n">
        <f aca="false">IF($U1818&gt;=MA_SHORT,AVERAGE(INDEX($L$1698:$L1818,122-MA_SHORT):$L1818),"")</f>
        <v>110886039.55</v>
      </c>
      <c r="AA1818" s="48" t="n">
        <f aca="false">IF($U1818=1,$G1818-$H1818,MAX($G1818-$H1818,ABS($G1818-$I1817),ABS($H1818-$I1817)))</f>
        <v>28</v>
      </c>
      <c r="AB1818" s="48" t="n">
        <f aca="false">IF($U1818&gt;=ATR_PER,AVERAGE(INDEX($AA$1698:$AA1818,122-ATR_PER):$AA1818),"")</f>
        <v>35.5</v>
      </c>
      <c r="AC1818" s="48" t="n">
        <f aca="false">$O1818-$P1818</f>
        <v>4596925</v>
      </c>
      <c r="AD1818" s="48" t="n">
        <f aca="false">$AC1818*$I1818</f>
        <v>5612845425</v>
      </c>
      <c r="AE1818" s="49" t="n">
        <f aca="false">IF($Q1818&gt;0,$O1818*$I1818/$Q1818/1000000,"")</f>
        <v>18.8454028568756</v>
      </c>
      <c r="AF1818" s="49" t="n">
        <f aca="false">IF($R1818&gt;0,$P1818*$I1818/$R1818/1000000,"")</f>
        <v>14.8093899343598</v>
      </c>
      <c r="AG1818" s="50" t="n">
        <f aca="false">IF(AND(ISNUMBER($AE1818),ISNUMBER($AF1818),$AF1818&gt;0),$AE1818/$AF1818,"")</f>
        <v>1.27253066739445</v>
      </c>
      <c r="AH1818" s="48" t="n">
        <f aca="false">IF($U1818&gt;=5,SUM(INDEX($AD$1788:$AD1818,32-5):$AD1818),"")</f>
        <v>-21895532062</v>
      </c>
      <c r="AI1818" s="48" t="n">
        <f aca="false">IF($U1818&gt;=STRUCT_S,MAX(INDEX($G$1668:$G1818,152-STRUCT_S):$G1818),"")</f>
        <v>1270</v>
      </c>
      <c r="AJ1818" s="48" t="n">
        <f aca="false">IF($U1818&gt;=STRUCT_S,MIN(INDEX($H$1668:$H1818,152-STRUCT_S):$H1818),"")</f>
        <v>1071</v>
      </c>
      <c r="AK1818" s="48" t="n">
        <f aca="false">IF($U1818&gt;=STRUCT_L,MAX(INDEX($G$1568:$G1818,252-STRUCT_L):$G1818),"")</f>
        <v>1270</v>
      </c>
      <c r="AL1818" s="48" t="n">
        <f aca="false">IF($U1818&gt;=STRUCT_L,MIN(INDEX($H$1568:$H1818,252-STRUCT_L):$H1818),"")</f>
        <v>1071</v>
      </c>
      <c r="AM1818" s="46" t="n">
        <f aca="false">IF($A1818&lt;&gt;$A1819,1,0)</f>
        <v>0</v>
      </c>
      <c r="AN1818" s="47" t="str">
        <f aca="false">IF($AM1818=1,$A1818,"")</f>
        <v/>
      </c>
    </row>
    <row r="1819" customFormat="false" ht="15" hidden="false" customHeight="false" outlineLevel="0" collapsed="false">
      <c r="A1819" s="43" t="s">
        <v>162</v>
      </c>
      <c r="B1819" s="44" t="s">
        <v>164</v>
      </c>
      <c r="C1819" s="45" t="n">
        <v>46260</v>
      </c>
      <c r="D1819" s="46" t="n">
        <v>20260826</v>
      </c>
      <c r="E1819" s="47" t="s">
        <v>542</v>
      </c>
      <c r="F1819" s="48" t="n">
        <v>1200</v>
      </c>
      <c r="G1819" s="48" t="n">
        <v>1232</v>
      </c>
      <c r="H1819" s="48" t="n">
        <v>1184</v>
      </c>
      <c r="I1819" s="48" t="n">
        <v>1194</v>
      </c>
      <c r="J1819" s="48" t="n">
        <v>1200</v>
      </c>
      <c r="K1819" s="48" t="n">
        <v>1221</v>
      </c>
      <c r="L1819" s="48" t="n">
        <v>115393060</v>
      </c>
      <c r="M1819" s="48" t="n">
        <v>137779313640</v>
      </c>
      <c r="N1819" s="48" t="n">
        <v>3023</v>
      </c>
      <c r="O1819" s="48" t="n">
        <v>44073756</v>
      </c>
      <c r="P1819" s="48" t="n">
        <v>68445794</v>
      </c>
      <c r="Q1819" s="48" t="n">
        <v>1070</v>
      </c>
      <c r="R1819" s="48" t="n">
        <v>1456</v>
      </c>
      <c r="S1819" s="48" t="n">
        <v>71319304</v>
      </c>
      <c r="T1819" s="48" t="n">
        <v>46947266</v>
      </c>
      <c r="U1819" s="46" t="n">
        <f aca="false">IF($A1819=$A1818,$U1818+1,1)</f>
        <v>255</v>
      </c>
      <c r="V1819" s="48" t="n">
        <f aca="false">IF($U1819&gt;=MA_SHORT,AVERAGE(INDEX($I$1419:$I1819,402-MA_SHORT):$I1819),"")</f>
        <v>1164.75</v>
      </c>
      <c r="W1819" s="48" t="n">
        <f aca="false">IF($U1819&gt;=MA_MED,AVERAGE(INDEX($I$1419:$I1819,402-MA_MED):$I1819),"")</f>
        <v>1163.4</v>
      </c>
      <c r="X1819" s="48" t="n">
        <f aca="false">IF($U1819&gt;=MA_LONG1,AVERAGE(INDEX($I$1419:$I1819,402-MA_LONG1):$I1819),"")</f>
        <v>1190.87</v>
      </c>
      <c r="Y1819" s="48" t="n">
        <f aca="false">IF($U1819&gt;=MA_LONG2,AVERAGE(INDEX($I$1419:$I1819,402-MA_LONG2):$I1819),"")</f>
        <v>1478.5</v>
      </c>
      <c r="Z1819" s="48" t="n">
        <f aca="false">IF($U1819&gt;=MA_SHORT,AVERAGE(INDEX($L$1699:$L1819,122-MA_SHORT):$L1819),"")</f>
        <v>103051375.6</v>
      </c>
      <c r="AA1819" s="48" t="n">
        <f aca="false">IF($U1819=1,$G1819-$H1819,MAX($G1819-$H1819,ABS($G1819-$I1818),ABS($H1819-$I1818)))</f>
        <v>48</v>
      </c>
      <c r="AB1819" s="48" t="n">
        <f aca="false">IF($U1819&gt;=ATR_PER,AVERAGE(INDEX($AA$1699:$AA1819,122-ATR_PER):$AA1819),"")</f>
        <v>37</v>
      </c>
      <c r="AC1819" s="48" t="n">
        <f aca="false">$O1819-$P1819</f>
        <v>-24372038</v>
      </c>
      <c r="AD1819" s="48" t="n">
        <f aca="false">$AC1819*$I1819</f>
        <v>-29100213372</v>
      </c>
      <c r="AE1819" s="49" t="n">
        <f aca="false">IF($Q1819&gt;0,$O1819*$I1819/$Q1819/1000000,"")</f>
        <v>49.1813688448598</v>
      </c>
      <c r="AF1819" s="49" t="n">
        <f aca="false">IF($R1819&gt;0,$P1819*$I1819/$R1819/1000000,"")</f>
        <v>56.1293118379121</v>
      </c>
      <c r="AG1819" s="50" t="n">
        <f aca="false">IF(AND(ISNUMBER($AE1819),ISNUMBER($AF1819),$AF1819&gt;0),$AE1819/$AF1819,"")</f>
        <v>0.876215425317947</v>
      </c>
      <c r="AH1819" s="48" t="n">
        <f aca="false">IF($U1819&gt;=5,SUM(INDEX($AD$1789:$AD1819,32-5):$AD1819),"")</f>
        <v>-58484924488</v>
      </c>
      <c r="AI1819" s="48" t="n">
        <f aca="false">IF($U1819&gt;=STRUCT_S,MAX(INDEX($G$1669:$G1819,152-STRUCT_S):$G1819),"")</f>
        <v>1270</v>
      </c>
      <c r="AJ1819" s="48" t="n">
        <f aca="false">IF($U1819&gt;=STRUCT_S,MIN(INDEX($H$1669:$H1819,152-STRUCT_S):$H1819),"")</f>
        <v>1071</v>
      </c>
      <c r="AK1819" s="48" t="n">
        <f aca="false">IF($U1819&gt;=STRUCT_L,MAX(INDEX($G$1569:$G1819,252-STRUCT_L):$G1819),"")</f>
        <v>1270</v>
      </c>
      <c r="AL1819" s="48" t="n">
        <f aca="false">IF($U1819&gt;=STRUCT_L,MIN(INDEX($H$1569:$H1819,252-STRUCT_L):$H1819),"")</f>
        <v>1071</v>
      </c>
      <c r="AM1819" s="46" t="n">
        <f aca="false">IF($A1819&lt;&gt;$A1820,1,0)</f>
        <v>0</v>
      </c>
      <c r="AN1819" s="47" t="str">
        <f aca="false">IF($AM1819=1,$A1819,"")</f>
        <v/>
      </c>
    </row>
    <row r="1820" customFormat="false" ht="15" hidden="false" customHeight="false" outlineLevel="0" collapsed="false">
      <c r="A1820" s="43" t="s">
        <v>162</v>
      </c>
      <c r="B1820" s="44" t="s">
        <v>164</v>
      </c>
      <c r="C1820" s="45" t="n">
        <v>46263</v>
      </c>
      <c r="D1820" s="46" t="n">
        <v>20260829</v>
      </c>
      <c r="E1820" s="47" t="s">
        <v>543</v>
      </c>
      <c r="F1820" s="48" t="n">
        <v>1199</v>
      </c>
      <c r="G1820" s="48" t="n">
        <v>1205</v>
      </c>
      <c r="H1820" s="48" t="n">
        <v>1166</v>
      </c>
      <c r="I1820" s="48" t="n">
        <v>1177</v>
      </c>
      <c r="J1820" s="48" t="n">
        <v>1191</v>
      </c>
      <c r="K1820" s="48" t="n">
        <v>1194</v>
      </c>
      <c r="L1820" s="48" t="n">
        <v>85288003</v>
      </c>
      <c r="M1820" s="48" t="n">
        <v>100383979531</v>
      </c>
      <c r="N1820" s="48" t="n">
        <v>2417</v>
      </c>
      <c r="O1820" s="48" t="n">
        <v>32093682</v>
      </c>
      <c r="P1820" s="48" t="n">
        <v>55449219</v>
      </c>
      <c r="Q1820" s="48" t="n">
        <v>846</v>
      </c>
      <c r="R1820" s="48" t="n">
        <v>825</v>
      </c>
      <c r="S1820" s="48" t="n">
        <v>53194321</v>
      </c>
      <c r="T1820" s="48" t="n">
        <v>29838784</v>
      </c>
      <c r="U1820" s="46" t="n">
        <f aca="false">IF($A1820=$A1819,$U1819+1,1)</f>
        <v>256</v>
      </c>
      <c r="V1820" s="48" t="n">
        <f aca="false">IF($U1820&gt;=MA_SHORT,AVERAGE(INDEX($I$1420:$I1820,402-MA_SHORT):$I1820),"")</f>
        <v>1169.05</v>
      </c>
      <c r="W1820" s="48" t="n">
        <f aca="false">IF($U1820&gt;=MA_MED,AVERAGE(INDEX($I$1420:$I1820,402-MA_MED):$I1820),"")</f>
        <v>1163.86</v>
      </c>
      <c r="X1820" s="48" t="n">
        <f aca="false">IF($U1820&gt;=MA_LONG1,AVERAGE(INDEX($I$1420:$I1820,402-MA_LONG1):$I1820),"")</f>
        <v>1189.2</v>
      </c>
      <c r="Y1820" s="48" t="n">
        <f aca="false">IF($U1820&gt;=MA_LONG2,AVERAGE(INDEX($I$1420:$I1820,402-MA_LONG2):$I1820),"")</f>
        <v>1475.055</v>
      </c>
      <c r="Z1820" s="48" t="n">
        <f aca="false">IF($U1820&gt;=MA_SHORT,AVERAGE(INDEX($L$1700:$L1820,122-MA_SHORT):$L1820),"")</f>
        <v>103130542.85</v>
      </c>
      <c r="AA1820" s="48" t="n">
        <f aca="false">IF($U1820=1,$G1820-$H1820,MAX($G1820-$H1820,ABS($G1820-$I1819),ABS($H1820-$I1819)))</f>
        <v>39</v>
      </c>
      <c r="AB1820" s="48" t="n">
        <f aca="false">IF($U1820&gt;=ATR_PER,AVERAGE(INDEX($AA$1700:$AA1820,122-ATR_PER):$AA1820),"")</f>
        <v>35.4285714285714</v>
      </c>
      <c r="AC1820" s="48" t="n">
        <f aca="false">$O1820-$P1820</f>
        <v>-23355537</v>
      </c>
      <c r="AD1820" s="48" t="n">
        <f aca="false">$AC1820*$I1820</f>
        <v>-27489467049</v>
      </c>
      <c r="AE1820" s="49" t="n">
        <f aca="false">IF($Q1820&gt;0,$O1820*$I1820/$Q1820/1000000,"")</f>
        <v>44.6504299219858</v>
      </c>
      <c r="AF1820" s="49" t="n">
        <f aca="false">IF($R1820&gt;0,$P1820*$I1820/$R1820/1000000,"")</f>
        <v>79.10755244</v>
      </c>
      <c r="AG1820" s="50" t="n">
        <f aca="false">IF(AND(ISNUMBER($AE1820),ISNUMBER($AF1820),$AF1820&gt;0),$AE1820/$AF1820,"")</f>
        <v>0.564426891551871</v>
      </c>
      <c r="AH1820" s="48" t="n">
        <f aca="false">IF($U1820&gt;=5,SUM(INDEX($AD$1790:$AD1820,32-5):$AD1820),"")</f>
        <v>-95971060073</v>
      </c>
      <c r="AI1820" s="48" t="n">
        <f aca="false">IF($U1820&gt;=STRUCT_S,MAX(INDEX($G$1670:$G1820,152-STRUCT_S):$G1820),"")</f>
        <v>1270</v>
      </c>
      <c r="AJ1820" s="48" t="n">
        <f aca="false">IF($U1820&gt;=STRUCT_S,MIN(INDEX($H$1670:$H1820,152-STRUCT_S):$H1820),"")</f>
        <v>1071</v>
      </c>
      <c r="AK1820" s="48" t="n">
        <f aca="false">IF($U1820&gt;=STRUCT_L,MAX(INDEX($G$1570:$G1820,252-STRUCT_L):$G1820),"")</f>
        <v>1270</v>
      </c>
      <c r="AL1820" s="48" t="n">
        <f aca="false">IF($U1820&gt;=STRUCT_L,MIN(INDEX($H$1570:$H1820,252-STRUCT_L):$H1820),"")</f>
        <v>1071</v>
      </c>
      <c r="AM1820" s="46" t="n">
        <f aca="false">IF($A1820&lt;&gt;$A1821,1,0)</f>
        <v>0</v>
      </c>
      <c r="AN1820" s="47" t="str">
        <f aca="false">IF($AM1820=1,$A1820,"")</f>
        <v/>
      </c>
    </row>
    <row r="1821" customFormat="false" ht="15" hidden="false" customHeight="false" outlineLevel="0" collapsed="false">
      <c r="A1821" s="43" t="s">
        <v>162</v>
      </c>
      <c r="B1821" s="44" t="s">
        <v>164</v>
      </c>
      <c r="C1821" s="45" t="n">
        <v>46264</v>
      </c>
      <c r="D1821" s="46" t="n">
        <v>20260830</v>
      </c>
      <c r="E1821" s="47" t="s">
        <v>544</v>
      </c>
      <c r="F1821" s="48" t="n">
        <v>1168</v>
      </c>
      <c r="G1821" s="48" t="n">
        <v>1183</v>
      </c>
      <c r="H1821" s="48" t="n">
        <v>1166</v>
      </c>
      <c r="I1821" s="48" t="n">
        <v>1172</v>
      </c>
      <c r="J1821" s="48" t="n">
        <v>1178</v>
      </c>
      <c r="K1821" s="48" t="n">
        <v>1177</v>
      </c>
      <c r="L1821" s="48" t="n">
        <v>80578296</v>
      </c>
      <c r="M1821" s="48" t="n">
        <v>94437762912</v>
      </c>
      <c r="N1821" s="48" t="n">
        <v>5516</v>
      </c>
      <c r="O1821" s="48" t="n">
        <v>44249075</v>
      </c>
      <c r="P1821" s="48" t="n">
        <v>30387602</v>
      </c>
      <c r="Q1821" s="48" t="n">
        <v>1653</v>
      </c>
      <c r="R1821" s="48" t="n">
        <v>2063</v>
      </c>
      <c r="S1821" s="48" t="n">
        <v>36329221</v>
      </c>
      <c r="T1821" s="48" t="n">
        <v>50190694</v>
      </c>
      <c r="U1821" s="46" t="n">
        <f aca="false">IF($A1821=$A1820,$U1820+1,1)</f>
        <v>257</v>
      </c>
      <c r="V1821" s="48" t="n">
        <f aca="false">IF($U1821&gt;=MA_SHORT,AVERAGE(INDEX($I$1421:$I1821,402-MA_SHORT):$I1821),"")</f>
        <v>1172.6</v>
      </c>
      <c r="W1821" s="48" t="n">
        <f aca="false">IF($U1821&gt;=MA_MED,AVERAGE(INDEX($I$1421:$I1821,402-MA_MED):$I1821),"")</f>
        <v>1164.26</v>
      </c>
      <c r="X1821" s="48" t="n">
        <f aca="false">IF($U1821&gt;=MA_LONG1,AVERAGE(INDEX($I$1421:$I1821,402-MA_LONG1):$I1821),"")</f>
        <v>1187.7</v>
      </c>
      <c r="Y1821" s="48" t="n">
        <f aca="false">IF($U1821&gt;=MA_LONG2,AVERAGE(INDEX($I$1421:$I1821,402-MA_LONG2):$I1821),"")</f>
        <v>1471.565</v>
      </c>
      <c r="Z1821" s="48" t="n">
        <f aca="false">IF($U1821&gt;=MA_SHORT,AVERAGE(INDEX($L$1701:$L1821,122-MA_SHORT):$L1821),"")</f>
        <v>103014616.9</v>
      </c>
      <c r="AA1821" s="48" t="n">
        <f aca="false">IF($U1821=1,$G1821-$H1821,MAX($G1821-$H1821,ABS($G1821-$I1820),ABS($H1821-$I1820)))</f>
        <v>17</v>
      </c>
      <c r="AB1821" s="48" t="n">
        <f aca="false">IF($U1821&gt;=ATR_PER,AVERAGE(INDEX($AA$1701:$AA1821,122-ATR_PER):$AA1821),"")</f>
        <v>34.8571428571429</v>
      </c>
      <c r="AC1821" s="48" t="n">
        <f aca="false">$O1821-$P1821</f>
        <v>13861473</v>
      </c>
      <c r="AD1821" s="48" t="n">
        <f aca="false">$AC1821*$I1821</f>
        <v>16245646356</v>
      </c>
      <c r="AE1821" s="49" t="n">
        <f aca="false">IF($Q1821&gt;0,$O1821*$I1821/$Q1821/1000000,"")</f>
        <v>31.373209860859</v>
      </c>
      <c r="AF1821" s="49" t="n">
        <f aca="false">IF($R1821&gt;0,$P1821*$I1821/$R1821/1000000,"")</f>
        <v>17.2633395753757</v>
      </c>
      <c r="AG1821" s="50" t="n">
        <f aca="false">IF(AND(ISNUMBER($AE1821),ISNUMBER($AF1821),$AF1821&gt;0),$AE1821/$AF1821,"")</f>
        <v>1.81733144527897</v>
      </c>
      <c r="AH1821" s="48" t="n">
        <f aca="false">IF($U1821&gt;=5,SUM(INDEX($AD$1791:$AD1821,32-5):$AD1821),"")</f>
        <v>-51351056281</v>
      </c>
      <c r="AI1821" s="48" t="n">
        <f aca="false">IF($U1821&gt;=STRUCT_S,MAX(INDEX($G$1671:$G1821,152-STRUCT_S):$G1821),"")</f>
        <v>1270</v>
      </c>
      <c r="AJ1821" s="48" t="n">
        <f aca="false">IF($U1821&gt;=STRUCT_S,MIN(INDEX($H$1671:$H1821,152-STRUCT_S):$H1821),"")</f>
        <v>1071</v>
      </c>
      <c r="AK1821" s="48" t="n">
        <f aca="false">IF($U1821&gt;=STRUCT_L,MAX(INDEX($G$1571:$G1821,252-STRUCT_L):$G1821),"")</f>
        <v>1270</v>
      </c>
      <c r="AL1821" s="48" t="n">
        <f aca="false">IF($U1821&gt;=STRUCT_L,MIN(INDEX($H$1571:$H1821,252-STRUCT_L):$H1821),"")</f>
        <v>1071</v>
      </c>
      <c r="AM1821" s="46" t="n">
        <f aca="false">IF($A1821&lt;&gt;$A1822,1,0)</f>
        <v>0</v>
      </c>
      <c r="AN1821" s="47" t="str">
        <f aca="false">IF($AM1821=1,$A1821,"")</f>
        <v/>
      </c>
    </row>
    <row r="1822" customFormat="false" ht="15" hidden="false" customHeight="false" outlineLevel="0" collapsed="false">
      <c r="A1822" s="43" t="s">
        <v>162</v>
      </c>
      <c r="B1822" s="44" t="s">
        <v>164</v>
      </c>
      <c r="C1822" s="45" t="n">
        <v>46265</v>
      </c>
      <c r="D1822" s="46" t="n">
        <v>20260831</v>
      </c>
      <c r="E1822" s="47" t="s">
        <v>545</v>
      </c>
      <c r="F1822" s="48" t="n">
        <v>1201</v>
      </c>
      <c r="G1822" s="48" t="n">
        <v>1203</v>
      </c>
      <c r="H1822" s="48" t="n">
        <v>1163</v>
      </c>
      <c r="I1822" s="48" t="n">
        <v>1194</v>
      </c>
      <c r="J1822" s="48" t="n">
        <v>1196</v>
      </c>
      <c r="K1822" s="48" t="n">
        <v>1172</v>
      </c>
      <c r="L1822" s="48" t="n">
        <v>87425324</v>
      </c>
      <c r="M1822" s="48" t="n">
        <v>104385836856</v>
      </c>
      <c r="N1822" s="48" t="n">
        <v>2000</v>
      </c>
      <c r="O1822" s="48" t="n">
        <v>47343007</v>
      </c>
      <c r="P1822" s="48" t="n">
        <v>47941441</v>
      </c>
      <c r="Q1822" s="48" t="n">
        <v>1006</v>
      </c>
      <c r="R1822" s="48" t="n">
        <v>597</v>
      </c>
      <c r="S1822" s="48" t="n">
        <v>40082317</v>
      </c>
      <c r="T1822" s="48" t="n">
        <v>39483883</v>
      </c>
      <c r="U1822" s="46" t="n">
        <f aca="false">IF($A1822=$A1821,$U1821+1,1)</f>
        <v>258</v>
      </c>
      <c r="V1822" s="48" t="n">
        <f aca="false">IF($U1822&gt;=MA_SHORT,AVERAGE(INDEX($I$1422:$I1822,402-MA_SHORT):$I1822),"")</f>
        <v>1178.15</v>
      </c>
      <c r="W1822" s="48" t="n">
        <f aca="false">IF($U1822&gt;=MA_MED,AVERAGE(INDEX($I$1422:$I1822,402-MA_MED):$I1822),"")</f>
        <v>1164.86</v>
      </c>
      <c r="X1822" s="48" t="n">
        <f aca="false">IF($U1822&gt;=MA_LONG1,AVERAGE(INDEX($I$1422:$I1822,402-MA_LONG1):$I1822),"")</f>
        <v>1186.58</v>
      </c>
      <c r="Y1822" s="48" t="n">
        <f aca="false">IF($U1822&gt;=MA_LONG2,AVERAGE(INDEX($I$1422:$I1822,402-MA_LONG2):$I1822),"")</f>
        <v>1468.165</v>
      </c>
      <c r="Z1822" s="48" t="n">
        <f aca="false">IF($U1822&gt;=MA_SHORT,AVERAGE(INDEX($L$1702:$L1822,122-MA_SHORT):$L1822),"")</f>
        <v>103071723</v>
      </c>
      <c r="AA1822" s="48" t="n">
        <f aca="false">IF($U1822=1,$G1822-$H1822,MAX($G1822-$H1822,ABS($G1822-$I1821),ABS($H1822-$I1821)))</f>
        <v>40</v>
      </c>
      <c r="AB1822" s="48" t="n">
        <f aca="false">IF($U1822&gt;=ATR_PER,AVERAGE(INDEX($AA$1702:$AA1822,122-ATR_PER):$AA1822),"")</f>
        <v>37.0714285714286</v>
      </c>
      <c r="AC1822" s="48" t="n">
        <f aca="false">$O1822-$P1822</f>
        <v>-598434</v>
      </c>
      <c r="AD1822" s="48" t="n">
        <f aca="false">$AC1822*$I1822</f>
        <v>-714530196</v>
      </c>
      <c r="AE1822" s="49" t="n">
        <f aca="false">IF($Q1822&gt;0,$O1822*$I1822/$Q1822/1000000,"")</f>
        <v>56.1904079105368</v>
      </c>
      <c r="AF1822" s="49" t="n">
        <f aca="false">IF($R1822&gt;0,$P1822*$I1822/$R1822/1000000,"")</f>
        <v>95.882882</v>
      </c>
      <c r="AG1822" s="50" t="n">
        <f aca="false">IF(AND(ISNUMBER($AE1822),ISNUMBER($AF1822),$AF1822&gt;0),$AE1822/$AF1822,"")</f>
        <v>0.586031695527642</v>
      </c>
      <c r="AH1822" s="48" t="n">
        <f aca="false">IF($U1822&gt;=5,SUM(INDEX($AD$1792:$AD1822,32-5):$AD1822),"")</f>
        <v>-35445718836</v>
      </c>
      <c r="AI1822" s="48" t="n">
        <f aca="false">IF($U1822&gt;=STRUCT_S,MAX(INDEX($G$1672:$G1822,152-STRUCT_S):$G1822),"")</f>
        <v>1270</v>
      </c>
      <c r="AJ1822" s="48" t="n">
        <f aca="false">IF($U1822&gt;=STRUCT_S,MIN(INDEX($H$1672:$H1822,152-STRUCT_S):$H1822),"")</f>
        <v>1071</v>
      </c>
      <c r="AK1822" s="48" t="n">
        <f aca="false">IF($U1822&gt;=STRUCT_L,MAX(INDEX($G$1572:$G1822,252-STRUCT_L):$G1822),"")</f>
        <v>1270</v>
      </c>
      <c r="AL1822" s="48" t="n">
        <f aca="false">IF($U1822&gt;=STRUCT_L,MIN(INDEX($H$1572:$H1822,252-STRUCT_L):$H1822),"")</f>
        <v>1071</v>
      </c>
      <c r="AM1822" s="46" t="n">
        <f aca="false">IF($A1822&lt;&gt;$A1823,1,0)</f>
        <v>0</v>
      </c>
      <c r="AN1822" s="47" t="str">
        <f aca="false">IF($AM1822=1,$A1822,"")</f>
        <v/>
      </c>
    </row>
    <row r="1823" customFormat="false" ht="15" hidden="false" customHeight="false" outlineLevel="0" collapsed="false">
      <c r="A1823" s="43" t="s">
        <v>162</v>
      </c>
      <c r="B1823" s="44" t="s">
        <v>164</v>
      </c>
      <c r="C1823" s="45" t="n">
        <v>46266</v>
      </c>
      <c r="D1823" s="46" t="n">
        <v>20260901</v>
      </c>
      <c r="E1823" s="47" t="s">
        <v>546</v>
      </c>
      <c r="F1823" s="48" t="n">
        <v>1193</v>
      </c>
      <c r="G1823" s="48" t="n">
        <v>1217</v>
      </c>
      <c r="H1823" s="48" t="n">
        <v>1191</v>
      </c>
      <c r="I1823" s="48" t="n">
        <v>1214</v>
      </c>
      <c r="J1823" s="48" t="n">
        <v>1205</v>
      </c>
      <c r="K1823" s="48" t="n">
        <v>1194</v>
      </c>
      <c r="L1823" s="48" t="n">
        <v>123901671</v>
      </c>
      <c r="M1823" s="48" t="n">
        <v>150416628594</v>
      </c>
      <c r="N1823" s="48" t="n">
        <v>4174</v>
      </c>
      <c r="O1823" s="48" t="n">
        <v>64422925</v>
      </c>
      <c r="P1823" s="48" t="n">
        <v>55661650</v>
      </c>
      <c r="Q1823" s="48" t="n">
        <v>2264</v>
      </c>
      <c r="R1823" s="48" t="n">
        <v>2215</v>
      </c>
      <c r="S1823" s="48" t="n">
        <v>59478746</v>
      </c>
      <c r="T1823" s="48" t="n">
        <v>68240021</v>
      </c>
      <c r="U1823" s="46" t="n">
        <f aca="false">IF($A1823=$A1822,$U1822+1,1)</f>
        <v>259</v>
      </c>
      <c r="V1823" s="48" t="n">
        <f aca="false">IF($U1823&gt;=MA_SHORT,AVERAGE(INDEX($I$1423:$I1823,402-MA_SHORT):$I1823),"")</f>
        <v>1183.15</v>
      </c>
      <c r="W1823" s="48" t="n">
        <f aca="false">IF($U1823&gt;=MA_MED,AVERAGE(INDEX($I$1423:$I1823,402-MA_MED):$I1823),"")</f>
        <v>1165.86</v>
      </c>
      <c r="X1823" s="48" t="n">
        <f aca="false">IF($U1823&gt;=MA_LONG1,AVERAGE(INDEX($I$1423:$I1823,402-MA_LONG1):$I1823),"")</f>
        <v>1185.85</v>
      </c>
      <c r="Y1823" s="48" t="n">
        <f aca="false">IF($U1823&gt;=MA_LONG2,AVERAGE(INDEX($I$1423:$I1823,402-MA_LONG2):$I1823),"")</f>
        <v>1464.82</v>
      </c>
      <c r="Z1823" s="48" t="n">
        <f aca="false">IF($U1823&gt;=MA_SHORT,AVERAGE(INDEX($L$1703:$L1823,122-MA_SHORT):$L1823),"")</f>
        <v>103622488.35</v>
      </c>
      <c r="AA1823" s="48" t="n">
        <f aca="false">IF($U1823=1,$G1823-$H1823,MAX($G1823-$H1823,ABS($G1823-$I1822),ABS($H1823-$I1822)))</f>
        <v>26</v>
      </c>
      <c r="AB1823" s="48" t="n">
        <f aca="false">IF($U1823&gt;=ATR_PER,AVERAGE(INDEX($AA$1703:$AA1823,122-ATR_PER):$AA1823),"")</f>
        <v>35.5714285714286</v>
      </c>
      <c r="AC1823" s="48" t="n">
        <f aca="false">$O1823-$P1823</f>
        <v>8761275</v>
      </c>
      <c r="AD1823" s="48" t="n">
        <f aca="false">$AC1823*$I1823</f>
        <v>10636187850</v>
      </c>
      <c r="AE1823" s="49" t="n">
        <f aca="false">IF($Q1823&gt;0,$O1823*$I1823/$Q1823/1000000,"")</f>
        <v>34.5448016563604</v>
      </c>
      <c r="AF1823" s="49" t="n">
        <f aca="false">IF($R1823&gt;0,$P1823*$I1823/$R1823/1000000,"")</f>
        <v>30.5071074943567</v>
      </c>
      <c r="AG1823" s="50" t="n">
        <f aca="false">IF(AND(ISNUMBER($AE1823),ISNUMBER($AF1823),$AF1823&gt;0),$AE1823/$AF1823,"")</f>
        <v>1.13235257268329</v>
      </c>
      <c r="AH1823" s="48" t="n">
        <f aca="false">IF($U1823&gt;=5,SUM(INDEX($AD$1793:$AD1823,32-5):$AD1823),"")</f>
        <v>-30422376411</v>
      </c>
      <c r="AI1823" s="48" t="n">
        <f aca="false">IF($U1823&gt;=STRUCT_S,MAX(INDEX($G$1673:$G1823,152-STRUCT_S):$G1823),"")</f>
        <v>1270</v>
      </c>
      <c r="AJ1823" s="48" t="n">
        <f aca="false">IF($U1823&gt;=STRUCT_S,MIN(INDEX($H$1673:$H1823,152-STRUCT_S):$H1823),"")</f>
        <v>1089</v>
      </c>
      <c r="AK1823" s="48" t="n">
        <f aca="false">IF($U1823&gt;=STRUCT_L,MAX(INDEX($G$1573:$G1823,252-STRUCT_L):$G1823),"")</f>
        <v>1270</v>
      </c>
      <c r="AL1823" s="48" t="n">
        <f aca="false">IF($U1823&gt;=STRUCT_L,MIN(INDEX($H$1573:$H1823,252-STRUCT_L):$H1823),"")</f>
        <v>1071</v>
      </c>
      <c r="AM1823" s="46" t="n">
        <f aca="false">IF($A1823&lt;&gt;$A1824,1,0)</f>
        <v>0</v>
      </c>
      <c r="AN1823" s="47" t="str">
        <f aca="false">IF($AM1823=1,$A1823,"")</f>
        <v/>
      </c>
    </row>
    <row r="1824" customFormat="false" ht="15" hidden="false" customHeight="false" outlineLevel="0" collapsed="false">
      <c r="A1824" s="43" t="s">
        <v>162</v>
      </c>
      <c r="B1824" s="44" t="s">
        <v>164</v>
      </c>
      <c r="C1824" s="45" t="n">
        <v>46267</v>
      </c>
      <c r="D1824" s="46" t="n">
        <v>20260902</v>
      </c>
      <c r="E1824" s="47" t="s">
        <v>547</v>
      </c>
      <c r="F1824" s="48" t="n">
        <v>1226</v>
      </c>
      <c r="G1824" s="48" t="n">
        <v>1256</v>
      </c>
      <c r="H1824" s="48" t="n">
        <v>1188</v>
      </c>
      <c r="I1824" s="48" t="n">
        <v>1230</v>
      </c>
      <c r="J1824" s="48" t="n">
        <v>1194</v>
      </c>
      <c r="K1824" s="48" t="n">
        <v>1214</v>
      </c>
      <c r="L1824" s="48" t="n">
        <v>84789071</v>
      </c>
      <c r="M1824" s="48" t="n">
        <v>104290557330</v>
      </c>
      <c r="N1824" s="48" t="n">
        <v>2954</v>
      </c>
      <c r="O1824" s="48" t="n">
        <v>58073562</v>
      </c>
      <c r="P1824" s="48" t="n">
        <v>31118963</v>
      </c>
      <c r="Q1824" s="48" t="n">
        <v>1559</v>
      </c>
      <c r="R1824" s="48" t="n">
        <v>1444</v>
      </c>
      <c r="S1824" s="48" t="n">
        <v>26715509</v>
      </c>
      <c r="T1824" s="48" t="n">
        <v>53670108</v>
      </c>
      <c r="U1824" s="46" t="n">
        <f aca="false">IF($A1824=$A1823,$U1823+1,1)</f>
        <v>260</v>
      </c>
      <c r="V1824" s="48" t="n">
        <f aca="false">IF($U1824&gt;=MA_SHORT,AVERAGE(INDEX($I$1424:$I1824,402-MA_SHORT):$I1824),"")</f>
        <v>1189.35</v>
      </c>
      <c r="W1824" s="48" t="n">
        <f aca="false">IF($U1824&gt;=MA_MED,AVERAGE(INDEX($I$1424:$I1824,402-MA_MED):$I1824),"")</f>
        <v>1167.38</v>
      </c>
      <c r="X1824" s="48" t="n">
        <f aca="false">IF($U1824&gt;=MA_LONG1,AVERAGE(INDEX($I$1424:$I1824,402-MA_LONG1):$I1824),"")</f>
        <v>1185.02</v>
      </c>
      <c r="Y1824" s="48" t="n">
        <f aca="false">IF($U1824&gt;=MA_LONG2,AVERAGE(INDEX($I$1424:$I1824,402-MA_LONG2):$I1824),"")</f>
        <v>1461.31</v>
      </c>
      <c r="Z1824" s="48" t="n">
        <f aca="false">IF($U1824&gt;=MA_SHORT,AVERAGE(INDEX($L$1704:$L1824,122-MA_SHORT):$L1824),"")</f>
        <v>97329508</v>
      </c>
      <c r="AA1824" s="48" t="n">
        <f aca="false">IF($U1824=1,$G1824-$H1824,MAX($G1824-$H1824,ABS($G1824-$I1823),ABS($H1824-$I1823)))</f>
        <v>68</v>
      </c>
      <c r="AB1824" s="48" t="n">
        <f aca="false">IF($U1824&gt;=ATR_PER,AVERAGE(INDEX($AA$1704:$AA1824,122-ATR_PER):$AA1824),"")</f>
        <v>38.0714285714286</v>
      </c>
      <c r="AC1824" s="48" t="n">
        <f aca="false">$O1824-$P1824</f>
        <v>26954599</v>
      </c>
      <c r="AD1824" s="48" t="n">
        <f aca="false">$AC1824*$I1824</f>
        <v>33154156770</v>
      </c>
      <c r="AE1824" s="49" t="n">
        <f aca="false">IF($Q1824&gt;0,$O1824*$I1824/$Q1824/1000000,"")</f>
        <v>45.8181406414368</v>
      </c>
      <c r="AF1824" s="49" t="n">
        <f aca="false">IF($R1824&gt;0,$P1824*$I1824/$R1824/1000000,"")</f>
        <v>26.5071499238227</v>
      </c>
      <c r="AG1824" s="50" t="n">
        <f aca="false">IF(AND(ISNUMBER($AE1824),ISNUMBER($AF1824),$AF1824&gt;0),$AE1824/$AF1824,"")</f>
        <v>1.7285200699853</v>
      </c>
      <c r="AH1824" s="48" t="n">
        <f aca="false">IF($U1824&gt;=5,SUM(INDEX($AD$1794:$AD1824,32-5):$AD1824),"")</f>
        <v>31831993731</v>
      </c>
      <c r="AI1824" s="48" t="n">
        <f aca="false">IF($U1824&gt;=STRUCT_S,MAX(INDEX($G$1674:$G1824,152-STRUCT_S):$G1824),"")</f>
        <v>1270</v>
      </c>
      <c r="AJ1824" s="48" t="n">
        <f aca="false">IF($U1824&gt;=STRUCT_S,MIN(INDEX($H$1674:$H1824,152-STRUCT_S):$H1824),"")</f>
        <v>1089</v>
      </c>
      <c r="AK1824" s="48" t="n">
        <f aca="false">IF($U1824&gt;=STRUCT_L,MAX(INDEX($G$1574:$G1824,252-STRUCT_L):$G1824),"")</f>
        <v>1270</v>
      </c>
      <c r="AL1824" s="48" t="n">
        <f aca="false">IF($U1824&gt;=STRUCT_L,MIN(INDEX($H$1574:$H1824,252-STRUCT_L):$H1824),"")</f>
        <v>1071</v>
      </c>
      <c r="AM1824" s="46" t="n">
        <f aca="false">IF($A1824&lt;&gt;$A1825,1,0)</f>
        <v>1</v>
      </c>
      <c r="AN1824" s="47" t="str">
        <f aca="false">IF($AM1824=1,$A1824,"")</f>
        <v>اخابر</v>
      </c>
    </row>
    <row r="1825" customFormat="false" ht="15" hidden="false" customHeight="false" outlineLevel="0" collapsed="false">
      <c r="A1825" s="43" t="s">
        <v>167</v>
      </c>
      <c r="B1825" s="44" t="s">
        <v>169</v>
      </c>
      <c r="C1825" s="45" t="n">
        <v>45906</v>
      </c>
      <c r="D1825" s="46" t="n">
        <v>20250906</v>
      </c>
      <c r="E1825" s="47" t="s">
        <v>288</v>
      </c>
      <c r="F1825" s="48" t="n">
        <v>11208</v>
      </c>
      <c r="G1825" s="48" t="n">
        <v>11230</v>
      </c>
      <c r="H1825" s="48" t="n">
        <v>11134</v>
      </c>
      <c r="I1825" s="48" t="n">
        <v>11198</v>
      </c>
      <c r="J1825" s="48" t="n">
        <v>11175</v>
      </c>
      <c r="K1825" s="48" t="n">
        <v>11167</v>
      </c>
      <c r="L1825" s="48" t="n">
        <v>80872048</v>
      </c>
      <c r="M1825" s="48" t="n">
        <v>905605193504</v>
      </c>
      <c r="N1825" s="48" t="n">
        <v>3013</v>
      </c>
      <c r="O1825" s="48" t="n">
        <v>53709905</v>
      </c>
      <c r="P1825" s="48" t="n">
        <v>31148554</v>
      </c>
      <c r="Q1825" s="48" t="n">
        <v>617</v>
      </c>
      <c r="R1825" s="48" t="n">
        <v>1733</v>
      </c>
      <c r="S1825" s="48" t="n">
        <v>27162143</v>
      </c>
      <c r="T1825" s="48" t="n">
        <v>49723494</v>
      </c>
      <c r="U1825" s="46" t="n">
        <f aca="false">IF($A1825=$A1824,$U1824+1,1)</f>
        <v>1</v>
      </c>
      <c r="V1825" s="48" t="str">
        <f aca="false">IF($U1825&gt;=MA_SHORT,AVERAGE(INDEX($I$1425:$I1825,402-MA_SHORT):$I1825),"")</f>
        <v/>
      </c>
      <c r="W1825" s="48" t="str">
        <f aca="false">IF($U1825&gt;=MA_MED,AVERAGE(INDEX($I$1425:$I1825,402-MA_MED):$I1825),"")</f>
        <v/>
      </c>
      <c r="X1825" s="48" t="str">
        <f aca="false">IF($U1825&gt;=MA_LONG1,AVERAGE(INDEX($I$1425:$I1825,402-MA_LONG1):$I1825),"")</f>
        <v/>
      </c>
      <c r="Y1825" s="48" t="str">
        <f aca="false">IF($U1825&gt;=MA_LONG2,AVERAGE(INDEX($I$1425:$I1825,402-MA_LONG2):$I1825),"")</f>
        <v/>
      </c>
      <c r="Z1825" s="48" t="str">
        <f aca="false">IF($U1825&gt;=MA_SHORT,AVERAGE(INDEX($L$1705:$L1825,122-MA_SHORT):$L1825),"")</f>
        <v/>
      </c>
      <c r="AA1825" s="48" t="n">
        <f aca="false">IF($U1825=1,$G1825-$H1825,MAX($G1825-$H1825,ABS($G1825-$I1824),ABS($H1825-$I1824)))</f>
        <v>96</v>
      </c>
      <c r="AB1825" s="48" t="str">
        <f aca="false">IF($U1825&gt;=ATR_PER,AVERAGE(INDEX($AA$1705:$AA1825,122-ATR_PER):$AA1825),"")</f>
        <v/>
      </c>
      <c r="AC1825" s="48" t="n">
        <f aca="false">$O1825-$P1825</f>
        <v>22561351</v>
      </c>
      <c r="AD1825" s="48" t="n">
        <f aca="false">$AC1825*$I1825</f>
        <v>252642008498</v>
      </c>
      <c r="AE1825" s="49" t="n">
        <f aca="false">IF($Q1825&gt;0,$O1825*$I1825/$Q1825/1000000,"")</f>
        <v>974.786898200973</v>
      </c>
      <c r="AF1825" s="49" t="n">
        <f aca="false">IF($R1825&gt;0,$P1825*$I1825/$R1825/1000000,"")</f>
        <v>201.270344888632</v>
      </c>
      <c r="AG1825" s="50" t="n">
        <f aca="false">IF(AND(ISNUMBER($AE1825),ISNUMBER($AF1825),$AF1825&gt;0),$AE1825/$AF1825,"")</f>
        <v>4.84317199704877</v>
      </c>
      <c r="AH1825" s="48" t="str">
        <f aca="false">IF($U1825&gt;=5,SUM(INDEX($AD$1795:$AD1825,32-5):$AD1825),"")</f>
        <v/>
      </c>
      <c r="AI1825" s="48" t="str">
        <f aca="false">IF($U1825&gt;=STRUCT_S,MAX(INDEX($G$1675:$G1825,152-STRUCT_S):$G1825),"")</f>
        <v/>
      </c>
      <c r="AJ1825" s="48" t="str">
        <f aca="false">IF($U1825&gt;=STRUCT_S,MIN(INDEX($H$1675:$H1825,152-STRUCT_S):$H1825),"")</f>
        <v/>
      </c>
      <c r="AK1825" s="48" t="str">
        <f aca="false">IF($U1825&gt;=STRUCT_L,MAX(INDEX($G$1575:$G1825,252-STRUCT_L):$G1825),"")</f>
        <v/>
      </c>
      <c r="AL1825" s="48" t="str">
        <f aca="false">IF($U1825&gt;=STRUCT_L,MIN(INDEX($H$1575:$H1825,252-STRUCT_L):$H1825),"")</f>
        <v/>
      </c>
      <c r="AM1825" s="46" t="n">
        <f aca="false">IF($A1825&lt;&gt;$A1826,1,0)</f>
        <v>0</v>
      </c>
      <c r="AN1825" s="47" t="str">
        <f aca="false">IF($AM1825=1,$A1825,"")</f>
        <v/>
      </c>
    </row>
    <row r="1826" customFormat="false" ht="15" hidden="false" customHeight="false" outlineLevel="0" collapsed="false">
      <c r="A1826" s="43" t="s">
        <v>167</v>
      </c>
      <c r="B1826" s="44" t="s">
        <v>169</v>
      </c>
      <c r="C1826" s="45" t="n">
        <v>45907</v>
      </c>
      <c r="D1826" s="46" t="n">
        <v>20250907</v>
      </c>
      <c r="E1826" s="47" t="s">
        <v>289</v>
      </c>
      <c r="F1826" s="48" t="n">
        <v>11633</v>
      </c>
      <c r="G1826" s="48" t="n">
        <v>11658</v>
      </c>
      <c r="H1826" s="48" t="n">
        <v>11052</v>
      </c>
      <c r="I1826" s="48" t="n">
        <v>11508</v>
      </c>
      <c r="J1826" s="48" t="n">
        <v>11469</v>
      </c>
      <c r="K1826" s="48" t="n">
        <v>11198</v>
      </c>
      <c r="L1826" s="48" t="n">
        <v>93227814</v>
      </c>
      <c r="M1826" s="48" t="n">
        <v>1072865683512</v>
      </c>
      <c r="N1826" s="48" t="n">
        <v>2241</v>
      </c>
      <c r="O1826" s="48" t="n">
        <v>65533312</v>
      </c>
      <c r="P1826" s="48" t="n">
        <v>23343802</v>
      </c>
      <c r="Q1826" s="48" t="n">
        <v>463</v>
      </c>
      <c r="R1826" s="48" t="n">
        <v>1553</v>
      </c>
      <c r="S1826" s="48" t="n">
        <v>27694502</v>
      </c>
      <c r="T1826" s="48" t="n">
        <v>69884012</v>
      </c>
      <c r="U1826" s="46" t="n">
        <f aca="false">IF($A1826=$A1825,$U1825+1,1)</f>
        <v>2</v>
      </c>
      <c r="V1826" s="48" t="str">
        <f aca="false">IF($U1826&gt;=MA_SHORT,AVERAGE(INDEX($I$1426:$I1826,402-MA_SHORT):$I1826),"")</f>
        <v/>
      </c>
      <c r="W1826" s="48" t="str">
        <f aca="false">IF($U1826&gt;=MA_MED,AVERAGE(INDEX($I$1426:$I1826,402-MA_MED):$I1826),"")</f>
        <v/>
      </c>
      <c r="X1826" s="48" t="str">
        <f aca="false">IF($U1826&gt;=MA_LONG1,AVERAGE(INDEX($I$1426:$I1826,402-MA_LONG1):$I1826),"")</f>
        <v/>
      </c>
      <c r="Y1826" s="48" t="str">
        <f aca="false">IF($U1826&gt;=MA_LONG2,AVERAGE(INDEX($I$1426:$I1826,402-MA_LONG2):$I1826),"")</f>
        <v/>
      </c>
      <c r="Z1826" s="48" t="str">
        <f aca="false">IF($U1826&gt;=MA_SHORT,AVERAGE(INDEX($L$1706:$L1826,122-MA_SHORT):$L1826),"")</f>
        <v/>
      </c>
      <c r="AA1826" s="48" t="n">
        <f aca="false">IF($U1826=1,$G1826-$H1826,MAX($G1826-$H1826,ABS($G1826-$I1825),ABS($H1826-$I1825)))</f>
        <v>606</v>
      </c>
      <c r="AB1826" s="48" t="str">
        <f aca="false">IF($U1826&gt;=ATR_PER,AVERAGE(INDEX($AA$1706:$AA1826,122-ATR_PER):$AA1826),"")</f>
        <v/>
      </c>
      <c r="AC1826" s="48" t="n">
        <f aca="false">$O1826-$P1826</f>
        <v>42189510</v>
      </c>
      <c r="AD1826" s="48" t="n">
        <f aca="false">$AC1826*$I1826</f>
        <v>485516881080</v>
      </c>
      <c r="AE1826" s="49" t="n">
        <f aca="false">IF($Q1826&gt;0,$O1826*$I1826/$Q1826/1000000,"")</f>
        <v>1628.84957774514</v>
      </c>
      <c r="AF1826" s="49" t="n">
        <f aca="false">IF($R1826&gt;0,$P1826*$I1826/$R1826/1000000,"")</f>
        <v>172.981631304572</v>
      </c>
      <c r="AG1826" s="50" t="n">
        <f aca="false">IF(AND(ISNUMBER($AE1826),ISNUMBER($AF1826),$AF1826&gt;0),$AE1826/$AF1826,"")</f>
        <v>9.41631527845402</v>
      </c>
      <c r="AH1826" s="48" t="str">
        <f aca="false">IF($U1826&gt;=5,SUM(INDEX($AD$1796:$AD1826,32-5):$AD1826),"")</f>
        <v/>
      </c>
      <c r="AI1826" s="48" t="str">
        <f aca="false">IF($U1826&gt;=STRUCT_S,MAX(INDEX($G$1676:$G1826,152-STRUCT_S):$G1826),"")</f>
        <v/>
      </c>
      <c r="AJ1826" s="48" t="str">
        <f aca="false">IF($U1826&gt;=STRUCT_S,MIN(INDEX($H$1676:$H1826,152-STRUCT_S):$H1826),"")</f>
        <v/>
      </c>
      <c r="AK1826" s="48" t="str">
        <f aca="false">IF($U1826&gt;=STRUCT_L,MAX(INDEX($G$1576:$G1826,252-STRUCT_L):$G1826),"")</f>
        <v/>
      </c>
      <c r="AL1826" s="48" t="str">
        <f aca="false">IF($U1826&gt;=STRUCT_L,MIN(INDEX($H$1576:$H1826,252-STRUCT_L):$H1826),"")</f>
        <v/>
      </c>
      <c r="AM1826" s="46" t="n">
        <f aca="false">IF($A1826&lt;&gt;$A1827,1,0)</f>
        <v>0</v>
      </c>
      <c r="AN1826" s="47" t="str">
        <f aca="false">IF($AM1826=1,$A1826,"")</f>
        <v/>
      </c>
    </row>
    <row r="1827" customFormat="false" ht="15" hidden="false" customHeight="false" outlineLevel="0" collapsed="false">
      <c r="A1827" s="43" t="s">
        <v>167</v>
      </c>
      <c r="B1827" s="44" t="s">
        <v>169</v>
      </c>
      <c r="C1827" s="45" t="n">
        <v>45908</v>
      </c>
      <c r="D1827" s="46" t="n">
        <v>20250908</v>
      </c>
      <c r="E1827" s="47" t="s">
        <v>290</v>
      </c>
      <c r="F1827" s="48" t="n">
        <v>11519</v>
      </c>
      <c r="G1827" s="48" t="n">
        <v>11597</v>
      </c>
      <c r="H1827" s="48" t="n">
        <v>11468</v>
      </c>
      <c r="I1827" s="48" t="n">
        <v>11557</v>
      </c>
      <c r="J1827" s="48" t="n">
        <v>11528</v>
      </c>
      <c r="K1827" s="48" t="n">
        <v>11508</v>
      </c>
      <c r="L1827" s="48" t="n">
        <v>81571395</v>
      </c>
      <c r="M1827" s="48" t="n">
        <v>942720612015</v>
      </c>
      <c r="N1827" s="48" t="n">
        <v>1865</v>
      </c>
      <c r="O1827" s="48" t="n">
        <v>54282669</v>
      </c>
      <c r="P1827" s="48" t="n">
        <v>31442471</v>
      </c>
      <c r="Q1827" s="48" t="n">
        <v>636</v>
      </c>
      <c r="R1827" s="48" t="n">
        <v>1208</v>
      </c>
      <c r="S1827" s="48" t="n">
        <v>27288726</v>
      </c>
      <c r="T1827" s="48" t="n">
        <v>50128924</v>
      </c>
      <c r="U1827" s="46" t="n">
        <f aca="false">IF($A1827=$A1826,$U1826+1,1)</f>
        <v>3</v>
      </c>
      <c r="V1827" s="48" t="str">
        <f aca="false">IF($U1827&gt;=MA_SHORT,AVERAGE(INDEX($I$1427:$I1827,402-MA_SHORT):$I1827),"")</f>
        <v/>
      </c>
      <c r="W1827" s="48" t="str">
        <f aca="false">IF($U1827&gt;=MA_MED,AVERAGE(INDEX($I$1427:$I1827,402-MA_MED):$I1827),"")</f>
        <v/>
      </c>
      <c r="X1827" s="48" t="str">
        <f aca="false">IF($U1827&gt;=MA_LONG1,AVERAGE(INDEX($I$1427:$I1827,402-MA_LONG1):$I1827),"")</f>
        <v/>
      </c>
      <c r="Y1827" s="48" t="str">
        <f aca="false">IF($U1827&gt;=MA_LONG2,AVERAGE(INDEX($I$1427:$I1827,402-MA_LONG2):$I1827),"")</f>
        <v/>
      </c>
      <c r="Z1827" s="48" t="str">
        <f aca="false">IF($U1827&gt;=MA_SHORT,AVERAGE(INDEX($L$1707:$L1827,122-MA_SHORT):$L1827),"")</f>
        <v/>
      </c>
      <c r="AA1827" s="48" t="n">
        <f aca="false">IF($U1827=1,$G1827-$H1827,MAX($G1827-$H1827,ABS($G1827-$I1826),ABS($H1827-$I1826)))</f>
        <v>129</v>
      </c>
      <c r="AB1827" s="48" t="str">
        <f aca="false">IF($U1827&gt;=ATR_PER,AVERAGE(INDEX($AA$1707:$AA1827,122-ATR_PER):$AA1827),"")</f>
        <v/>
      </c>
      <c r="AC1827" s="48" t="n">
        <f aca="false">$O1827-$P1827</f>
        <v>22840198</v>
      </c>
      <c r="AD1827" s="48" t="n">
        <f aca="false">$AC1827*$I1827</f>
        <v>263964168286</v>
      </c>
      <c r="AE1827" s="49" t="n">
        <f aca="false">IF($Q1827&gt;0,$O1827*$I1827/$Q1827/1000000,"")</f>
        <v>986.391203825472</v>
      </c>
      <c r="AF1827" s="49" t="n">
        <f aca="false">IF($R1827&gt;0,$P1827*$I1827/$R1827/1000000,"")</f>
        <v>300.811785883278</v>
      </c>
      <c r="AG1827" s="50" t="n">
        <f aca="false">IF(AND(ISNUMBER($AE1827),ISNUMBER($AF1827),$AF1827&gt;0),$AE1827/$AF1827,"")</f>
        <v>3.27909759562484</v>
      </c>
      <c r="AH1827" s="48" t="str">
        <f aca="false">IF($U1827&gt;=5,SUM(INDEX($AD$1797:$AD1827,32-5):$AD1827),"")</f>
        <v/>
      </c>
      <c r="AI1827" s="48" t="str">
        <f aca="false">IF($U1827&gt;=STRUCT_S,MAX(INDEX($G$1677:$G1827,152-STRUCT_S):$G1827),"")</f>
        <v/>
      </c>
      <c r="AJ1827" s="48" t="str">
        <f aca="false">IF($U1827&gt;=STRUCT_S,MIN(INDEX($H$1677:$H1827,152-STRUCT_S):$H1827),"")</f>
        <v/>
      </c>
      <c r="AK1827" s="48" t="str">
        <f aca="false">IF($U1827&gt;=STRUCT_L,MAX(INDEX($G$1577:$G1827,252-STRUCT_L):$G1827),"")</f>
        <v/>
      </c>
      <c r="AL1827" s="48" t="str">
        <f aca="false">IF($U1827&gt;=STRUCT_L,MIN(INDEX($H$1577:$H1827,252-STRUCT_L):$H1827),"")</f>
        <v/>
      </c>
      <c r="AM1827" s="46" t="n">
        <f aca="false">IF($A1827&lt;&gt;$A1828,1,0)</f>
        <v>0</v>
      </c>
      <c r="AN1827" s="47" t="str">
        <f aca="false">IF($AM1827=1,$A1827,"")</f>
        <v/>
      </c>
    </row>
    <row r="1828" customFormat="false" ht="15" hidden="false" customHeight="false" outlineLevel="0" collapsed="false">
      <c r="A1828" s="43" t="s">
        <v>167</v>
      </c>
      <c r="B1828" s="44" t="s">
        <v>169</v>
      </c>
      <c r="C1828" s="45" t="n">
        <v>45909</v>
      </c>
      <c r="D1828" s="46" t="n">
        <v>20250909</v>
      </c>
      <c r="E1828" s="47" t="s">
        <v>291</v>
      </c>
      <c r="F1828" s="48" t="n">
        <v>11404</v>
      </c>
      <c r="G1828" s="48" t="n">
        <v>11906</v>
      </c>
      <c r="H1828" s="48" t="n">
        <v>11398</v>
      </c>
      <c r="I1828" s="48" t="n">
        <v>11744</v>
      </c>
      <c r="J1828" s="48" t="n">
        <v>11841</v>
      </c>
      <c r="K1828" s="48" t="n">
        <v>11557</v>
      </c>
      <c r="L1828" s="48" t="n">
        <v>123217734</v>
      </c>
      <c r="M1828" s="48" t="n">
        <v>1447069068096</v>
      </c>
      <c r="N1828" s="48" t="n">
        <v>3708</v>
      </c>
      <c r="O1828" s="48" t="n">
        <v>80802648</v>
      </c>
      <c r="P1828" s="48" t="n">
        <v>44799955</v>
      </c>
      <c r="Q1828" s="48" t="n">
        <v>1311</v>
      </c>
      <c r="R1828" s="48" t="n">
        <v>2017</v>
      </c>
      <c r="S1828" s="48" t="n">
        <v>42415086</v>
      </c>
      <c r="T1828" s="48" t="n">
        <v>78417779</v>
      </c>
      <c r="U1828" s="46" t="n">
        <f aca="false">IF($A1828=$A1827,$U1827+1,1)</f>
        <v>4</v>
      </c>
      <c r="V1828" s="48" t="str">
        <f aca="false">IF($U1828&gt;=MA_SHORT,AVERAGE(INDEX($I$1428:$I1828,402-MA_SHORT):$I1828),"")</f>
        <v/>
      </c>
      <c r="W1828" s="48" t="str">
        <f aca="false">IF($U1828&gt;=MA_MED,AVERAGE(INDEX($I$1428:$I1828,402-MA_MED):$I1828),"")</f>
        <v/>
      </c>
      <c r="X1828" s="48" t="str">
        <f aca="false">IF($U1828&gt;=MA_LONG1,AVERAGE(INDEX($I$1428:$I1828,402-MA_LONG1):$I1828),"")</f>
        <v/>
      </c>
      <c r="Y1828" s="48" t="str">
        <f aca="false">IF($U1828&gt;=MA_LONG2,AVERAGE(INDEX($I$1428:$I1828,402-MA_LONG2):$I1828),"")</f>
        <v/>
      </c>
      <c r="Z1828" s="48" t="str">
        <f aca="false">IF($U1828&gt;=MA_SHORT,AVERAGE(INDEX($L$1708:$L1828,122-MA_SHORT):$L1828),"")</f>
        <v/>
      </c>
      <c r="AA1828" s="48" t="n">
        <f aca="false">IF($U1828=1,$G1828-$H1828,MAX($G1828-$H1828,ABS($G1828-$I1827),ABS($H1828-$I1827)))</f>
        <v>508</v>
      </c>
      <c r="AB1828" s="48" t="str">
        <f aca="false">IF($U1828&gt;=ATR_PER,AVERAGE(INDEX($AA$1708:$AA1828,122-ATR_PER):$AA1828),"")</f>
        <v/>
      </c>
      <c r="AC1828" s="48" t="n">
        <f aca="false">$O1828-$P1828</f>
        <v>36002693</v>
      </c>
      <c r="AD1828" s="48" t="n">
        <f aca="false">$AC1828*$I1828</f>
        <v>422815626592</v>
      </c>
      <c r="AE1828" s="49" t="n">
        <f aca="false">IF($Q1828&gt;0,$O1828*$I1828/$Q1828/1000000,"")</f>
        <v>723.833942114417</v>
      </c>
      <c r="AF1828" s="49" t="n">
        <f aca="false">IF($R1828&gt;0,$P1828*$I1828/$R1828/1000000,"")</f>
        <v>260.848126683193</v>
      </c>
      <c r="AG1828" s="50" t="n">
        <f aca="false">IF(AND(ISNUMBER($AE1828),ISNUMBER($AF1828),$AF1828&gt;0),$AE1828/$AF1828,"")</f>
        <v>2.77492482433478</v>
      </c>
      <c r="AH1828" s="48" t="str">
        <f aca="false">IF($U1828&gt;=5,SUM(INDEX($AD$1798:$AD1828,32-5):$AD1828),"")</f>
        <v/>
      </c>
      <c r="AI1828" s="48" t="str">
        <f aca="false">IF($U1828&gt;=STRUCT_S,MAX(INDEX($G$1678:$G1828,152-STRUCT_S):$G1828),"")</f>
        <v/>
      </c>
      <c r="AJ1828" s="48" t="str">
        <f aca="false">IF($U1828&gt;=STRUCT_S,MIN(INDEX($H$1678:$H1828,152-STRUCT_S):$H1828),"")</f>
        <v/>
      </c>
      <c r="AK1828" s="48" t="str">
        <f aca="false">IF($U1828&gt;=STRUCT_L,MAX(INDEX($G$1578:$G1828,252-STRUCT_L):$G1828),"")</f>
        <v/>
      </c>
      <c r="AL1828" s="48" t="str">
        <f aca="false">IF($U1828&gt;=STRUCT_L,MIN(INDEX($H$1578:$H1828,252-STRUCT_L):$H1828),"")</f>
        <v/>
      </c>
      <c r="AM1828" s="46" t="n">
        <f aca="false">IF($A1828&lt;&gt;$A1829,1,0)</f>
        <v>0</v>
      </c>
      <c r="AN1828" s="47" t="str">
        <f aca="false">IF($AM1828=1,$A1828,"")</f>
        <v/>
      </c>
    </row>
    <row r="1829" customFormat="false" ht="15" hidden="false" customHeight="false" outlineLevel="0" collapsed="false">
      <c r="A1829" s="43" t="s">
        <v>167</v>
      </c>
      <c r="B1829" s="44" t="s">
        <v>169</v>
      </c>
      <c r="C1829" s="45" t="n">
        <v>45910</v>
      </c>
      <c r="D1829" s="46" t="n">
        <v>20250910</v>
      </c>
      <c r="E1829" s="47" t="s">
        <v>292</v>
      </c>
      <c r="F1829" s="48" t="n">
        <v>11801</v>
      </c>
      <c r="G1829" s="48" t="n">
        <v>11882</v>
      </c>
      <c r="H1829" s="48" t="n">
        <v>11515</v>
      </c>
      <c r="I1829" s="48" t="n">
        <v>11651</v>
      </c>
      <c r="J1829" s="48" t="n">
        <v>11814</v>
      </c>
      <c r="K1829" s="48" t="n">
        <v>11744</v>
      </c>
      <c r="L1829" s="48" t="n">
        <v>83318571</v>
      </c>
      <c r="M1829" s="48" t="n">
        <v>970744670721</v>
      </c>
      <c r="N1829" s="48" t="n">
        <v>5173</v>
      </c>
      <c r="O1829" s="48" t="n">
        <v>49838251</v>
      </c>
      <c r="P1829" s="48" t="n">
        <v>36923077</v>
      </c>
      <c r="Q1829" s="48" t="n">
        <v>3701</v>
      </c>
      <c r="R1829" s="48" t="n">
        <v>1482</v>
      </c>
      <c r="S1829" s="48" t="n">
        <v>33480320</v>
      </c>
      <c r="T1829" s="48" t="n">
        <v>46395494</v>
      </c>
      <c r="U1829" s="46" t="n">
        <f aca="false">IF($A1829=$A1828,$U1828+1,1)</f>
        <v>5</v>
      </c>
      <c r="V1829" s="48" t="str">
        <f aca="false">IF($U1829&gt;=MA_SHORT,AVERAGE(INDEX($I$1429:$I1829,402-MA_SHORT):$I1829),"")</f>
        <v/>
      </c>
      <c r="W1829" s="48" t="str">
        <f aca="false">IF($U1829&gt;=MA_MED,AVERAGE(INDEX($I$1429:$I1829,402-MA_MED):$I1829),"")</f>
        <v/>
      </c>
      <c r="X1829" s="48" t="str">
        <f aca="false">IF($U1829&gt;=MA_LONG1,AVERAGE(INDEX($I$1429:$I1829,402-MA_LONG1):$I1829),"")</f>
        <v/>
      </c>
      <c r="Y1829" s="48" t="str">
        <f aca="false">IF($U1829&gt;=MA_LONG2,AVERAGE(INDEX($I$1429:$I1829,402-MA_LONG2):$I1829),"")</f>
        <v/>
      </c>
      <c r="Z1829" s="48" t="str">
        <f aca="false">IF($U1829&gt;=MA_SHORT,AVERAGE(INDEX($L$1709:$L1829,122-MA_SHORT):$L1829),"")</f>
        <v/>
      </c>
      <c r="AA1829" s="48" t="n">
        <f aca="false">IF($U1829=1,$G1829-$H1829,MAX($G1829-$H1829,ABS($G1829-$I1828),ABS($H1829-$I1828)))</f>
        <v>367</v>
      </c>
      <c r="AB1829" s="48" t="str">
        <f aca="false">IF($U1829&gt;=ATR_PER,AVERAGE(INDEX($AA$1709:$AA1829,122-ATR_PER):$AA1829),"")</f>
        <v/>
      </c>
      <c r="AC1829" s="48" t="n">
        <f aca="false">$O1829-$P1829</f>
        <v>12915174</v>
      </c>
      <c r="AD1829" s="48" t="n">
        <f aca="false">$AC1829*$I1829</f>
        <v>150474692274</v>
      </c>
      <c r="AE1829" s="49" t="n">
        <f aca="false">IF($Q1829&gt;0,$O1829*$I1829/$Q1829/1000000,"")</f>
        <v>156.894207619832</v>
      </c>
      <c r="AF1829" s="49" t="n">
        <f aca="false">IF($R1829&gt;0,$P1829*$I1829/$R1829/1000000,"")</f>
        <v>290.277172825236</v>
      </c>
      <c r="AG1829" s="50" t="n">
        <f aca="false">IF(AND(ISNUMBER($AE1829),ISNUMBER($AF1829),$AF1829&gt;0),$AE1829/$AF1829,"")</f>
        <v>0.540497918223463</v>
      </c>
      <c r="AH1829" s="48" t="n">
        <f aca="false">IF($U1829&gt;=5,SUM(INDEX($AD$1799:$AD1829,32-5):$AD1829),"")</f>
        <v>1575413376730</v>
      </c>
      <c r="AI1829" s="48" t="str">
        <f aca="false">IF($U1829&gt;=STRUCT_S,MAX(INDEX($G$1679:$G1829,152-STRUCT_S):$G1829),"")</f>
        <v/>
      </c>
      <c r="AJ1829" s="48" t="str">
        <f aca="false">IF($U1829&gt;=STRUCT_S,MIN(INDEX($H$1679:$H1829,152-STRUCT_S):$H1829),"")</f>
        <v/>
      </c>
      <c r="AK1829" s="48" t="str">
        <f aca="false">IF($U1829&gt;=STRUCT_L,MAX(INDEX($G$1579:$G1829,252-STRUCT_L):$G1829),"")</f>
        <v/>
      </c>
      <c r="AL1829" s="48" t="str">
        <f aca="false">IF($U1829&gt;=STRUCT_L,MIN(INDEX($H$1579:$H1829,252-STRUCT_L):$H1829),"")</f>
        <v/>
      </c>
      <c r="AM1829" s="46" t="n">
        <f aca="false">IF($A1829&lt;&gt;$A1830,1,0)</f>
        <v>0</v>
      </c>
      <c r="AN1829" s="47" t="str">
        <f aca="false">IF($AM1829=1,$A1829,"")</f>
        <v/>
      </c>
    </row>
    <row r="1830" customFormat="false" ht="15" hidden="false" customHeight="false" outlineLevel="0" collapsed="false">
      <c r="A1830" s="43" t="s">
        <v>167</v>
      </c>
      <c r="B1830" s="44" t="s">
        <v>169</v>
      </c>
      <c r="C1830" s="45" t="n">
        <v>45913</v>
      </c>
      <c r="D1830" s="46" t="n">
        <v>20250913</v>
      </c>
      <c r="E1830" s="47" t="s">
        <v>293</v>
      </c>
      <c r="F1830" s="48" t="n">
        <v>11664</v>
      </c>
      <c r="G1830" s="48" t="n">
        <v>11817</v>
      </c>
      <c r="H1830" s="48" t="n">
        <v>11499</v>
      </c>
      <c r="I1830" s="48" t="n">
        <v>11665</v>
      </c>
      <c r="J1830" s="48" t="n">
        <v>11598</v>
      </c>
      <c r="K1830" s="48" t="n">
        <v>11651</v>
      </c>
      <c r="L1830" s="48" t="n">
        <v>136509895</v>
      </c>
      <c r="M1830" s="48" t="n">
        <v>1592387925175</v>
      </c>
      <c r="N1830" s="48" t="n">
        <v>6612</v>
      </c>
      <c r="O1830" s="48" t="n">
        <v>88280488</v>
      </c>
      <c r="P1830" s="48" t="n">
        <v>55153158</v>
      </c>
      <c r="Q1830" s="48" t="n">
        <v>1641</v>
      </c>
      <c r="R1830" s="48" t="n">
        <v>5409</v>
      </c>
      <c r="S1830" s="48" t="n">
        <v>48229407</v>
      </c>
      <c r="T1830" s="48" t="n">
        <v>81356737</v>
      </c>
      <c r="U1830" s="46" t="n">
        <f aca="false">IF($A1830=$A1829,$U1829+1,1)</f>
        <v>6</v>
      </c>
      <c r="V1830" s="48" t="str">
        <f aca="false">IF($U1830&gt;=MA_SHORT,AVERAGE(INDEX($I$1430:$I1830,402-MA_SHORT):$I1830),"")</f>
        <v/>
      </c>
      <c r="W1830" s="48" t="str">
        <f aca="false">IF($U1830&gt;=MA_MED,AVERAGE(INDEX($I$1430:$I1830,402-MA_MED):$I1830),"")</f>
        <v/>
      </c>
      <c r="X1830" s="48" t="str">
        <f aca="false">IF($U1830&gt;=MA_LONG1,AVERAGE(INDEX($I$1430:$I1830,402-MA_LONG1):$I1830),"")</f>
        <v/>
      </c>
      <c r="Y1830" s="48" t="str">
        <f aca="false">IF($U1830&gt;=MA_LONG2,AVERAGE(INDEX($I$1430:$I1830,402-MA_LONG2):$I1830),"")</f>
        <v/>
      </c>
      <c r="Z1830" s="48" t="str">
        <f aca="false">IF($U1830&gt;=MA_SHORT,AVERAGE(INDEX($L$1710:$L1830,122-MA_SHORT):$L1830),"")</f>
        <v/>
      </c>
      <c r="AA1830" s="48" t="n">
        <f aca="false">IF($U1830=1,$G1830-$H1830,MAX($G1830-$H1830,ABS($G1830-$I1829),ABS($H1830-$I1829)))</f>
        <v>318</v>
      </c>
      <c r="AB1830" s="48" t="str">
        <f aca="false">IF($U1830&gt;=ATR_PER,AVERAGE(INDEX($AA$1710:$AA1830,122-ATR_PER):$AA1830),"")</f>
        <v/>
      </c>
      <c r="AC1830" s="48" t="n">
        <f aca="false">$O1830-$P1830</f>
        <v>33127330</v>
      </c>
      <c r="AD1830" s="48" t="n">
        <f aca="false">$AC1830*$I1830</f>
        <v>386430304450</v>
      </c>
      <c r="AE1830" s="49" t="n">
        <f aca="false">IF($Q1830&gt;0,$O1830*$I1830/$Q1830/1000000,"")</f>
        <v>627.539239804997</v>
      </c>
      <c r="AF1830" s="49" t="n">
        <f aca="false">IF($R1830&gt;0,$P1830*$I1830/$R1830/1000000,"")</f>
        <v>118.942796833056</v>
      </c>
      <c r="AG1830" s="50" t="n">
        <f aca="false">IF(AND(ISNUMBER($AE1830),ISNUMBER($AF1830),$AF1830&gt;0),$AE1830/$AF1830,"")</f>
        <v>5.27597514531115</v>
      </c>
      <c r="AH1830" s="48" t="n">
        <f aca="false">IF($U1830&gt;=5,SUM(INDEX($AD$1800:$AD1830,32-5):$AD1830),"")</f>
        <v>1709201672682</v>
      </c>
      <c r="AI1830" s="48" t="str">
        <f aca="false">IF($U1830&gt;=STRUCT_S,MAX(INDEX($G$1680:$G1830,152-STRUCT_S):$G1830),"")</f>
        <v/>
      </c>
      <c r="AJ1830" s="48" t="str">
        <f aca="false">IF($U1830&gt;=STRUCT_S,MIN(INDEX($H$1680:$H1830,152-STRUCT_S):$H1830),"")</f>
        <v/>
      </c>
      <c r="AK1830" s="48" t="str">
        <f aca="false">IF($U1830&gt;=STRUCT_L,MAX(INDEX($G$1580:$G1830,252-STRUCT_L):$G1830),"")</f>
        <v/>
      </c>
      <c r="AL1830" s="48" t="str">
        <f aca="false">IF($U1830&gt;=STRUCT_L,MIN(INDEX($H$1580:$H1830,252-STRUCT_L):$H1830),"")</f>
        <v/>
      </c>
      <c r="AM1830" s="46" t="n">
        <f aca="false">IF($A1830&lt;&gt;$A1831,1,0)</f>
        <v>0</v>
      </c>
      <c r="AN1830" s="47" t="str">
        <f aca="false">IF($AM1830=1,$A1830,"")</f>
        <v/>
      </c>
    </row>
    <row r="1831" customFormat="false" ht="15" hidden="false" customHeight="false" outlineLevel="0" collapsed="false">
      <c r="A1831" s="43" t="s">
        <v>167</v>
      </c>
      <c r="B1831" s="44" t="s">
        <v>169</v>
      </c>
      <c r="C1831" s="45" t="n">
        <v>45914</v>
      </c>
      <c r="D1831" s="46" t="n">
        <v>20250914</v>
      </c>
      <c r="E1831" s="47" t="s">
        <v>294</v>
      </c>
      <c r="F1831" s="48" t="n">
        <v>11575</v>
      </c>
      <c r="G1831" s="48" t="n">
        <v>11822</v>
      </c>
      <c r="H1831" s="48" t="n">
        <v>11541</v>
      </c>
      <c r="I1831" s="48" t="n">
        <v>11698</v>
      </c>
      <c r="J1831" s="48" t="n">
        <v>11661</v>
      </c>
      <c r="K1831" s="48" t="n">
        <v>11665</v>
      </c>
      <c r="L1831" s="48" t="n">
        <v>112536045</v>
      </c>
      <c r="M1831" s="48" t="n">
        <v>1316446654410</v>
      </c>
      <c r="N1831" s="48" t="n">
        <v>3238</v>
      </c>
      <c r="O1831" s="48" t="n">
        <v>65445928</v>
      </c>
      <c r="P1831" s="48" t="n">
        <v>55865792</v>
      </c>
      <c r="Q1831" s="48" t="n">
        <v>733</v>
      </c>
      <c r="R1831" s="48" t="n">
        <v>1985</v>
      </c>
      <c r="S1831" s="48" t="n">
        <v>47090117</v>
      </c>
      <c r="T1831" s="48" t="n">
        <v>56670253</v>
      </c>
      <c r="U1831" s="46" t="n">
        <f aca="false">IF($A1831=$A1830,$U1830+1,1)</f>
        <v>7</v>
      </c>
      <c r="V1831" s="48" t="str">
        <f aca="false">IF($U1831&gt;=MA_SHORT,AVERAGE(INDEX($I$1431:$I1831,402-MA_SHORT):$I1831),"")</f>
        <v/>
      </c>
      <c r="W1831" s="48" t="str">
        <f aca="false">IF($U1831&gt;=MA_MED,AVERAGE(INDEX($I$1431:$I1831,402-MA_MED):$I1831),"")</f>
        <v/>
      </c>
      <c r="X1831" s="48" t="str">
        <f aca="false">IF($U1831&gt;=MA_LONG1,AVERAGE(INDEX($I$1431:$I1831,402-MA_LONG1):$I1831),"")</f>
        <v/>
      </c>
      <c r="Y1831" s="48" t="str">
        <f aca="false">IF($U1831&gt;=MA_LONG2,AVERAGE(INDEX($I$1431:$I1831,402-MA_LONG2):$I1831),"")</f>
        <v/>
      </c>
      <c r="Z1831" s="48" t="str">
        <f aca="false">IF($U1831&gt;=MA_SHORT,AVERAGE(INDEX($L$1711:$L1831,122-MA_SHORT):$L1831),"")</f>
        <v/>
      </c>
      <c r="AA1831" s="48" t="n">
        <f aca="false">IF($U1831=1,$G1831-$H1831,MAX($G1831-$H1831,ABS($G1831-$I1830),ABS($H1831-$I1830)))</f>
        <v>281</v>
      </c>
      <c r="AB1831" s="48" t="str">
        <f aca="false">IF($U1831&gt;=ATR_PER,AVERAGE(INDEX($AA$1711:$AA1831,122-ATR_PER):$AA1831),"")</f>
        <v/>
      </c>
      <c r="AC1831" s="48" t="n">
        <f aca="false">$O1831-$P1831</f>
        <v>9580136</v>
      </c>
      <c r="AD1831" s="48" t="n">
        <f aca="false">$AC1831*$I1831</f>
        <v>112068430928</v>
      </c>
      <c r="AE1831" s="49" t="n">
        <f aca="false">IF($Q1831&gt;0,$O1831*$I1831/$Q1831/1000000,"")</f>
        <v>1044.45629705866</v>
      </c>
      <c r="AF1831" s="49" t="n">
        <f aca="false">IF($R1831&gt;0,$P1831*$I1831/$R1831/1000000,"")</f>
        <v>329.228229126448</v>
      </c>
      <c r="AG1831" s="50" t="n">
        <f aca="false">IF(AND(ISNUMBER($AE1831),ISNUMBER($AF1831),$AF1831&gt;0),$AE1831/$AF1831,"")</f>
        <v>3.17243846261286</v>
      </c>
      <c r="AH1831" s="48" t="n">
        <f aca="false">IF($U1831&gt;=5,SUM(INDEX($AD$1801:$AD1831,32-5):$AD1831),"")</f>
        <v>1335753222530</v>
      </c>
      <c r="AI1831" s="48" t="str">
        <f aca="false">IF($U1831&gt;=STRUCT_S,MAX(INDEX($G$1681:$G1831,152-STRUCT_S):$G1831),"")</f>
        <v/>
      </c>
      <c r="AJ1831" s="48" t="str">
        <f aca="false">IF($U1831&gt;=STRUCT_S,MIN(INDEX($H$1681:$H1831,152-STRUCT_S):$H1831),"")</f>
        <v/>
      </c>
      <c r="AK1831" s="48" t="str">
        <f aca="false">IF($U1831&gt;=STRUCT_L,MAX(INDEX($G$1581:$G1831,252-STRUCT_L):$G1831),"")</f>
        <v/>
      </c>
      <c r="AL1831" s="48" t="str">
        <f aca="false">IF($U1831&gt;=STRUCT_L,MIN(INDEX($H$1581:$H1831,252-STRUCT_L):$H1831),"")</f>
        <v/>
      </c>
      <c r="AM1831" s="46" t="n">
        <f aca="false">IF($A1831&lt;&gt;$A1832,1,0)</f>
        <v>0</v>
      </c>
      <c r="AN1831" s="47" t="str">
        <f aca="false">IF($AM1831=1,$A1831,"")</f>
        <v/>
      </c>
    </row>
    <row r="1832" customFormat="false" ht="15" hidden="false" customHeight="false" outlineLevel="0" collapsed="false">
      <c r="A1832" s="43" t="s">
        <v>167</v>
      </c>
      <c r="B1832" s="44" t="s">
        <v>169</v>
      </c>
      <c r="C1832" s="45" t="n">
        <v>45915</v>
      </c>
      <c r="D1832" s="46" t="n">
        <v>20250915</v>
      </c>
      <c r="E1832" s="47" t="s">
        <v>295</v>
      </c>
      <c r="F1832" s="48" t="n">
        <v>11833</v>
      </c>
      <c r="G1832" s="48" t="n">
        <v>11852</v>
      </c>
      <c r="H1832" s="48" t="n">
        <v>11585</v>
      </c>
      <c r="I1832" s="48" t="n">
        <v>11738</v>
      </c>
      <c r="J1832" s="48" t="n">
        <v>11752</v>
      </c>
      <c r="K1832" s="48" t="n">
        <v>11698</v>
      </c>
      <c r="L1832" s="48" t="n">
        <v>130793855</v>
      </c>
      <c r="M1832" s="48" t="n">
        <v>1535258269990</v>
      </c>
      <c r="N1832" s="48" t="n">
        <v>12255</v>
      </c>
      <c r="O1832" s="48" t="n">
        <v>80672886</v>
      </c>
      <c r="P1832" s="48" t="n">
        <v>54820302</v>
      </c>
      <c r="Q1832" s="48" t="n">
        <v>2632</v>
      </c>
      <c r="R1832" s="48" t="n">
        <v>7127</v>
      </c>
      <c r="S1832" s="48" t="n">
        <v>50120969</v>
      </c>
      <c r="T1832" s="48" t="n">
        <v>75973553</v>
      </c>
      <c r="U1832" s="46" t="n">
        <f aca="false">IF($A1832=$A1831,$U1831+1,1)</f>
        <v>8</v>
      </c>
      <c r="V1832" s="48" t="str">
        <f aca="false">IF($U1832&gt;=MA_SHORT,AVERAGE(INDEX($I$1432:$I1832,402-MA_SHORT):$I1832),"")</f>
        <v/>
      </c>
      <c r="W1832" s="48" t="str">
        <f aca="false">IF($U1832&gt;=MA_MED,AVERAGE(INDEX($I$1432:$I1832,402-MA_MED):$I1832),"")</f>
        <v/>
      </c>
      <c r="X1832" s="48" t="str">
        <f aca="false">IF($U1832&gt;=MA_LONG1,AVERAGE(INDEX($I$1432:$I1832,402-MA_LONG1):$I1832),"")</f>
        <v/>
      </c>
      <c r="Y1832" s="48" t="str">
        <f aca="false">IF($U1832&gt;=MA_LONG2,AVERAGE(INDEX($I$1432:$I1832,402-MA_LONG2):$I1832),"")</f>
        <v/>
      </c>
      <c r="Z1832" s="48" t="str">
        <f aca="false">IF($U1832&gt;=MA_SHORT,AVERAGE(INDEX($L$1712:$L1832,122-MA_SHORT):$L1832),"")</f>
        <v/>
      </c>
      <c r="AA1832" s="48" t="n">
        <f aca="false">IF($U1832=1,$G1832-$H1832,MAX($G1832-$H1832,ABS($G1832-$I1831),ABS($H1832-$I1831)))</f>
        <v>267</v>
      </c>
      <c r="AB1832" s="48" t="str">
        <f aca="false">IF($U1832&gt;=ATR_PER,AVERAGE(INDEX($AA$1712:$AA1832,122-ATR_PER):$AA1832),"")</f>
        <v/>
      </c>
      <c r="AC1832" s="48" t="n">
        <f aca="false">$O1832-$P1832</f>
        <v>25852584</v>
      </c>
      <c r="AD1832" s="48" t="n">
        <f aca="false">$AC1832*$I1832</f>
        <v>303457630992</v>
      </c>
      <c r="AE1832" s="49" t="n">
        <f aca="false">IF($Q1832&gt;0,$O1832*$I1832/$Q1832/1000000,"")</f>
        <v>359.779002989362</v>
      </c>
      <c r="AF1832" s="49" t="n">
        <f aca="false">IF($R1832&gt;0,$P1832*$I1832/$R1832/1000000,"")</f>
        <v>90.2877374598008</v>
      </c>
      <c r="AG1832" s="50" t="n">
        <f aca="false">IF(AND(ISNUMBER($AE1832),ISNUMBER($AF1832),$AF1832&gt;0),$AE1832/$AF1832,"")</f>
        <v>3.98480472666122</v>
      </c>
      <c r="AH1832" s="48" t="n">
        <f aca="false">IF($U1832&gt;=5,SUM(INDEX($AD$1802:$AD1832,32-5):$AD1832),"")</f>
        <v>1375246685236</v>
      </c>
      <c r="AI1832" s="48" t="str">
        <f aca="false">IF($U1832&gt;=STRUCT_S,MAX(INDEX($G$1682:$G1832,152-STRUCT_S):$G1832),"")</f>
        <v/>
      </c>
      <c r="AJ1832" s="48" t="str">
        <f aca="false">IF($U1832&gt;=STRUCT_S,MIN(INDEX($H$1682:$H1832,152-STRUCT_S):$H1832),"")</f>
        <v/>
      </c>
      <c r="AK1832" s="48" t="str">
        <f aca="false">IF($U1832&gt;=STRUCT_L,MAX(INDEX($G$1582:$G1832,252-STRUCT_L):$G1832),"")</f>
        <v/>
      </c>
      <c r="AL1832" s="48" t="str">
        <f aca="false">IF($U1832&gt;=STRUCT_L,MIN(INDEX($H$1582:$H1832,252-STRUCT_L):$H1832),"")</f>
        <v/>
      </c>
      <c r="AM1832" s="46" t="n">
        <f aca="false">IF($A1832&lt;&gt;$A1833,1,0)</f>
        <v>0</v>
      </c>
      <c r="AN1832" s="47" t="str">
        <f aca="false">IF($AM1832=1,$A1832,"")</f>
        <v/>
      </c>
    </row>
    <row r="1833" customFormat="false" ht="15" hidden="false" customHeight="false" outlineLevel="0" collapsed="false">
      <c r="A1833" s="43" t="s">
        <v>167</v>
      </c>
      <c r="B1833" s="44" t="s">
        <v>169</v>
      </c>
      <c r="C1833" s="45" t="n">
        <v>45916</v>
      </c>
      <c r="D1833" s="46" t="n">
        <v>20250916</v>
      </c>
      <c r="E1833" s="47" t="s">
        <v>296</v>
      </c>
      <c r="F1833" s="48" t="n">
        <v>11791</v>
      </c>
      <c r="G1833" s="48" t="n">
        <v>11844</v>
      </c>
      <c r="H1833" s="48" t="n">
        <v>11690</v>
      </c>
      <c r="I1833" s="48" t="n">
        <v>11796</v>
      </c>
      <c r="J1833" s="48" t="n">
        <v>11705</v>
      </c>
      <c r="K1833" s="48" t="n">
        <v>11738</v>
      </c>
      <c r="L1833" s="48" t="n">
        <v>100296007</v>
      </c>
      <c r="M1833" s="48" t="n">
        <v>1183091698572</v>
      </c>
      <c r="N1833" s="48" t="n">
        <v>3965</v>
      </c>
      <c r="O1833" s="48" t="n">
        <v>65495856</v>
      </c>
      <c r="P1833" s="48" t="n">
        <v>28225504</v>
      </c>
      <c r="Q1833" s="48" t="n">
        <v>1429</v>
      </c>
      <c r="R1833" s="48" t="n">
        <v>2396</v>
      </c>
      <c r="S1833" s="48" t="n">
        <v>34800151</v>
      </c>
      <c r="T1833" s="48" t="n">
        <v>72070503</v>
      </c>
      <c r="U1833" s="46" t="n">
        <f aca="false">IF($A1833=$A1832,$U1832+1,1)</f>
        <v>9</v>
      </c>
      <c r="V1833" s="48" t="str">
        <f aca="false">IF($U1833&gt;=MA_SHORT,AVERAGE(INDEX($I$1433:$I1833,402-MA_SHORT):$I1833),"")</f>
        <v/>
      </c>
      <c r="W1833" s="48" t="str">
        <f aca="false">IF($U1833&gt;=MA_MED,AVERAGE(INDEX($I$1433:$I1833,402-MA_MED):$I1833),"")</f>
        <v/>
      </c>
      <c r="X1833" s="48" t="str">
        <f aca="false">IF($U1833&gt;=MA_LONG1,AVERAGE(INDEX($I$1433:$I1833,402-MA_LONG1):$I1833),"")</f>
        <v/>
      </c>
      <c r="Y1833" s="48" t="str">
        <f aca="false">IF($U1833&gt;=MA_LONG2,AVERAGE(INDEX($I$1433:$I1833,402-MA_LONG2):$I1833),"")</f>
        <v/>
      </c>
      <c r="Z1833" s="48" t="str">
        <f aca="false">IF($U1833&gt;=MA_SHORT,AVERAGE(INDEX($L$1713:$L1833,122-MA_SHORT):$L1833),"")</f>
        <v/>
      </c>
      <c r="AA1833" s="48" t="n">
        <f aca="false">IF($U1833=1,$G1833-$H1833,MAX($G1833-$H1833,ABS($G1833-$I1832),ABS($H1833-$I1832)))</f>
        <v>154</v>
      </c>
      <c r="AB1833" s="48" t="str">
        <f aca="false">IF($U1833&gt;=ATR_PER,AVERAGE(INDEX($AA$1713:$AA1833,122-ATR_PER):$AA1833),"")</f>
        <v/>
      </c>
      <c r="AC1833" s="48" t="n">
        <f aca="false">$O1833-$P1833</f>
        <v>37270352</v>
      </c>
      <c r="AD1833" s="48" t="n">
        <f aca="false">$AC1833*$I1833</f>
        <v>439641072192</v>
      </c>
      <c r="AE1833" s="49" t="n">
        <f aca="false">IF($Q1833&gt;0,$O1833*$I1833/$Q1833/1000000,"")</f>
        <v>540.650187107068</v>
      </c>
      <c r="AF1833" s="49" t="n">
        <f aca="false">IF($R1833&gt;0,$P1833*$I1833/$R1833/1000000,"")</f>
        <v>138.959952080134</v>
      </c>
      <c r="AG1833" s="50" t="n">
        <f aca="false">IF(AND(ISNUMBER($AE1833),ISNUMBER($AF1833),$AF1833&gt;0),$AE1833/$AF1833,"")</f>
        <v>3.89069065593296</v>
      </c>
      <c r="AH1833" s="48" t="n">
        <f aca="false">IF($U1833&gt;=5,SUM(INDEX($AD$1803:$AD1833,32-5):$AD1833),"")</f>
        <v>1392072130836</v>
      </c>
      <c r="AI1833" s="48" t="str">
        <f aca="false">IF($U1833&gt;=STRUCT_S,MAX(INDEX($G$1683:$G1833,152-STRUCT_S):$G1833),"")</f>
        <v/>
      </c>
      <c r="AJ1833" s="48" t="str">
        <f aca="false">IF($U1833&gt;=STRUCT_S,MIN(INDEX($H$1683:$H1833,152-STRUCT_S):$H1833),"")</f>
        <v/>
      </c>
      <c r="AK1833" s="48" t="str">
        <f aca="false">IF($U1833&gt;=STRUCT_L,MAX(INDEX($G$1583:$G1833,252-STRUCT_L):$G1833),"")</f>
        <v/>
      </c>
      <c r="AL1833" s="48" t="str">
        <f aca="false">IF($U1833&gt;=STRUCT_L,MIN(INDEX($H$1583:$H1833,252-STRUCT_L):$H1833),"")</f>
        <v/>
      </c>
      <c r="AM1833" s="46" t="n">
        <f aca="false">IF($A1833&lt;&gt;$A1834,1,0)</f>
        <v>0</v>
      </c>
      <c r="AN1833" s="47" t="str">
        <f aca="false">IF($AM1833=1,$A1833,"")</f>
        <v/>
      </c>
    </row>
    <row r="1834" customFormat="false" ht="15" hidden="false" customHeight="false" outlineLevel="0" collapsed="false">
      <c r="A1834" s="43" t="s">
        <v>167</v>
      </c>
      <c r="B1834" s="44" t="s">
        <v>169</v>
      </c>
      <c r="C1834" s="45" t="n">
        <v>45917</v>
      </c>
      <c r="D1834" s="46" t="n">
        <v>20250917</v>
      </c>
      <c r="E1834" s="47" t="s">
        <v>297</v>
      </c>
      <c r="F1834" s="48" t="n">
        <v>11786</v>
      </c>
      <c r="G1834" s="48" t="n">
        <v>12183</v>
      </c>
      <c r="H1834" s="48" t="n">
        <v>11747</v>
      </c>
      <c r="I1834" s="48" t="n">
        <v>12132</v>
      </c>
      <c r="J1834" s="48" t="n">
        <v>11845</v>
      </c>
      <c r="K1834" s="48" t="n">
        <v>11796</v>
      </c>
      <c r="L1834" s="48" t="n">
        <v>93133074</v>
      </c>
      <c r="M1834" s="48" t="n">
        <v>1129890453768</v>
      </c>
      <c r="N1834" s="48" t="n">
        <v>2605</v>
      </c>
      <c r="O1834" s="48" t="n">
        <v>68784689</v>
      </c>
      <c r="P1834" s="48" t="n">
        <v>18626614</v>
      </c>
      <c r="Q1834" s="48" t="n">
        <v>622</v>
      </c>
      <c r="R1834" s="48" t="n">
        <v>1883</v>
      </c>
      <c r="S1834" s="48" t="n">
        <v>24348385</v>
      </c>
      <c r="T1834" s="48" t="n">
        <v>74506460</v>
      </c>
      <c r="U1834" s="46" t="n">
        <f aca="false">IF($A1834=$A1833,$U1833+1,1)</f>
        <v>10</v>
      </c>
      <c r="V1834" s="48" t="str">
        <f aca="false">IF($U1834&gt;=MA_SHORT,AVERAGE(INDEX($I$1434:$I1834,402-MA_SHORT):$I1834),"")</f>
        <v/>
      </c>
      <c r="W1834" s="48" t="str">
        <f aca="false">IF($U1834&gt;=MA_MED,AVERAGE(INDEX($I$1434:$I1834,402-MA_MED):$I1834),"")</f>
        <v/>
      </c>
      <c r="X1834" s="48" t="str">
        <f aca="false">IF($U1834&gt;=MA_LONG1,AVERAGE(INDEX($I$1434:$I1834,402-MA_LONG1):$I1834),"")</f>
        <v/>
      </c>
      <c r="Y1834" s="48" t="str">
        <f aca="false">IF($U1834&gt;=MA_LONG2,AVERAGE(INDEX($I$1434:$I1834,402-MA_LONG2):$I1834),"")</f>
        <v/>
      </c>
      <c r="Z1834" s="48" t="str">
        <f aca="false">IF($U1834&gt;=MA_SHORT,AVERAGE(INDEX($L$1714:$L1834,122-MA_SHORT):$L1834),"")</f>
        <v/>
      </c>
      <c r="AA1834" s="48" t="n">
        <f aca="false">IF($U1834=1,$G1834-$H1834,MAX($G1834-$H1834,ABS($G1834-$I1833),ABS($H1834-$I1833)))</f>
        <v>436</v>
      </c>
      <c r="AB1834" s="48" t="str">
        <f aca="false">IF($U1834&gt;=ATR_PER,AVERAGE(INDEX($AA$1714:$AA1834,122-ATR_PER):$AA1834),"")</f>
        <v/>
      </c>
      <c r="AC1834" s="48" t="n">
        <f aca="false">$O1834-$P1834</f>
        <v>50158075</v>
      </c>
      <c r="AD1834" s="48" t="n">
        <f aca="false">$AC1834*$I1834</f>
        <v>608517765900</v>
      </c>
      <c r="AE1834" s="49" t="n">
        <f aca="false">IF($Q1834&gt;0,$O1834*$I1834/$Q1834/1000000,"")</f>
        <v>1341.63319445016</v>
      </c>
      <c r="AF1834" s="49" t="n">
        <f aca="false">IF($R1834&gt;0,$P1834*$I1834/$R1834/1000000,"")</f>
        <v>120.009602255975</v>
      </c>
      <c r="AG1834" s="50" t="n">
        <f aca="false">IF(AND(ISNUMBER($AE1834),ISNUMBER($AF1834),$AF1834&gt;0),$AE1834/$AF1834,"")</f>
        <v>11.1793820596832</v>
      </c>
      <c r="AH1834" s="48" t="n">
        <f aca="false">IF($U1834&gt;=5,SUM(INDEX($AD$1804:$AD1834,32-5):$AD1834),"")</f>
        <v>1850115204462</v>
      </c>
      <c r="AI1834" s="48" t="str">
        <f aca="false">IF($U1834&gt;=STRUCT_S,MAX(INDEX($G$1684:$G1834,152-STRUCT_S):$G1834),"")</f>
        <v/>
      </c>
      <c r="AJ1834" s="48" t="str">
        <f aca="false">IF($U1834&gt;=STRUCT_S,MIN(INDEX($H$1684:$H1834,152-STRUCT_S):$H1834),"")</f>
        <v/>
      </c>
      <c r="AK1834" s="48" t="str">
        <f aca="false">IF($U1834&gt;=STRUCT_L,MAX(INDEX($G$1584:$G1834,252-STRUCT_L):$G1834),"")</f>
        <v/>
      </c>
      <c r="AL1834" s="48" t="str">
        <f aca="false">IF($U1834&gt;=STRUCT_L,MIN(INDEX($H$1584:$H1834,252-STRUCT_L):$H1834),"")</f>
        <v/>
      </c>
      <c r="AM1834" s="46" t="n">
        <f aca="false">IF($A1834&lt;&gt;$A1835,1,0)</f>
        <v>0</v>
      </c>
      <c r="AN1834" s="47" t="str">
        <f aca="false">IF($AM1834=1,$A1834,"")</f>
        <v/>
      </c>
    </row>
    <row r="1835" customFormat="false" ht="15" hidden="false" customHeight="false" outlineLevel="0" collapsed="false">
      <c r="A1835" s="43" t="s">
        <v>167</v>
      </c>
      <c r="B1835" s="44" t="s">
        <v>169</v>
      </c>
      <c r="C1835" s="45" t="n">
        <v>45920</v>
      </c>
      <c r="D1835" s="46" t="n">
        <v>20250920</v>
      </c>
      <c r="E1835" s="47" t="s">
        <v>298</v>
      </c>
      <c r="F1835" s="48" t="n">
        <v>11992</v>
      </c>
      <c r="G1835" s="48" t="n">
        <v>12178</v>
      </c>
      <c r="H1835" s="48" t="n">
        <v>11723</v>
      </c>
      <c r="I1835" s="48" t="n">
        <v>11768</v>
      </c>
      <c r="J1835" s="48" t="n">
        <v>12107</v>
      </c>
      <c r="K1835" s="48" t="n">
        <v>12132</v>
      </c>
      <c r="L1835" s="48" t="n">
        <v>108570833</v>
      </c>
      <c r="M1835" s="48" t="n">
        <v>1277661562744</v>
      </c>
      <c r="N1835" s="48" t="n">
        <v>2821</v>
      </c>
      <c r="O1835" s="48" t="n">
        <v>46573011</v>
      </c>
      <c r="P1835" s="48" t="n">
        <v>67792501</v>
      </c>
      <c r="Q1835" s="48" t="n">
        <v>1677</v>
      </c>
      <c r="R1835" s="48" t="n">
        <v>660</v>
      </c>
      <c r="S1835" s="48" t="n">
        <v>61997822</v>
      </c>
      <c r="T1835" s="48" t="n">
        <v>40778332</v>
      </c>
      <c r="U1835" s="46" t="n">
        <f aca="false">IF($A1835=$A1834,$U1834+1,1)</f>
        <v>11</v>
      </c>
      <c r="V1835" s="48" t="str">
        <f aca="false">IF($U1835&gt;=MA_SHORT,AVERAGE(INDEX($I$1435:$I1835,402-MA_SHORT):$I1835),"")</f>
        <v/>
      </c>
      <c r="W1835" s="48" t="str">
        <f aca="false">IF($U1835&gt;=MA_MED,AVERAGE(INDEX($I$1435:$I1835,402-MA_MED):$I1835),"")</f>
        <v/>
      </c>
      <c r="X1835" s="48" t="str">
        <f aca="false">IF($U1835&gt;=MA_LONG1,AVERAGE(INDEX($I$1435:$I1835,402-MA_LONG1):$I1835),"")</f>
        <v/>
      </c>
      <c r="Y1835" s="48" t="str">
        <f aca="false">IF($U1835&gt;=MA_LONG2,AVERAGE(INDEX($I$1435:$I1835,402-MA_LONG2):$I1835),"")</f>
        <v/>
      </c>
      <c r="Z1835" s="48" t="str">
        <f aca="false">IF($U1835&gt;=MA_SHORT,AVERAGE(INDEX($L$1715:$L1835,122-MA_SHORT):$L1835),"")</f>
        <v/>
      </c>
      <c r="AA1835" s="48" t="n">
        <f aca="false">IF($U1835=1,$G1835-$H1835,MAX($G1835-$H1835,ABS($G1835-$I1834),ABS($H1835-$I1834)))</f>
        <v>455</v>
      </c>
      <c r="AB1835" s="48" t="str">
        <f aca="false">IF($U1835&gt;=ATR_PER,AVERAGE(INDEX($AA$1715:$AA1835,122-ATR_PER):$AA1835),"")</f>
        <v/>
      </c>
      <c r="AC1835" s="48" t="n">
        <f aca="false">$O1835-$P1835</f>
        <v>-21219490</v>
      </c>
      <c r="AD1835" s="48" t="n">
        <f aca="false">$AC1835*$I1835</f>
        <v>-249710958320</v>
      </c>
      <c r="AE1835" s="49" t="n">
        <f aca="false">IF($Q1835&gt;0,$O1835*$I1835/$Q1835/1000000,"")</f>
        <v>326.816454053667</v>
      </c>
      <c r="AF1835" s="49" t="n">
        <f aca="false">IF($R1835&gt;0,$P1835*$I1835/$R1835/1000000,"")</f>
        <v>1208.76083601212</v>
      </c>
      <c r="AG1835" s="50" t="n">
        <f aca="false">IF(AND(ISNUMBER($AE1835),ISNUMBER($AF1835),$AF1835&gt;0),$AE1835/$AF1835,"")</f>
        <v>0.270373132812511</v>
      </c>
      <c r="AH1835" s="48" t="n">
        <f aca="false">IF($U1835&gt;=5,SUM(INDEX($AD$1805:$AD1835,32-5):$AD1835),"")</f>
        <v>1213973941692</v>
      </c>
      <c r="AI1835" s="48" t="str">
        <f aca="false">IF($U1835&gt;=STRUCT_S,MAX(INDEX($G$1685:$G1835,152-STRUCT_S):$G1835),"")</f>
        <v/>
      </c>
      <c r="AJ1835" s="48" t="str">
        <f aca="false">IF($U1835&gt;=STRUCT_S,MIN(INDEX($H$1685:$H1835,152-STRUCT_S):$H1835),"")</f>
        <v/>
      </c>
      <c r="AK1835" s="48" t="str">
        <f aca="false">IF($U1835&gt;=STRUCT_L,MAX(INDEX($G$1585:$G1835,252-STRUCT_L):$G1835),"")</f>
        <v/>
      </c>
      <c r="AL1835" s="48" t="str">
        <f aca="false">IF($U1835&gt;=STRUCT_L,MIN(INDEX($H$1585:$H1835,252-STRUCT_L):$H1835),"")</f>
        <v/>
      </c>
      <c r="AM1835" s="46" t="n">
        <f aca="false">IF($A1835&lt;&gt;$A1836,1,0)</f>
        <v>0</v>
      </c>
      <c r="AN1835" s="47" t="str">
        <f aca="false">IF($AM1835=1,$A1835,"")</f>
        <v/>
      </c>
    </row>
    <row r="1836" customFormat="false" ht="15" hidden="false" customHeight="false" outlineLevel="0" collapsed="false">
      <c r="A1836" s="43" t="s">
        <v>167</v>
      </c>
      <c r="B1836" s="44" t="s">
        <v>169</v>
      </c>
      <c r="C1836" s="45" t="n">
        <v>45921</v>
      </c>
      <c r="D1836" s="46" t="n">
        <v>20250921</v>
      </c>
      <c r="E1836" s="47" t="s">
        <v>299</v>
      </c>
      <c r="F1836" s="48" t="n">
        <v>11642</v>
      </c>
      <c r="G1836" s="48" t="n">
        <v>11810</v>
      </c>
      <c r="H1836" s="48" t="n">
        <v>11595</v>
      </c>
      <c r="I1836" s="48" t="n">
        <v>11636</v>
      </c>
      <c r="J1836" s="48" t="n">
        <v>11782</v>
      </c>
      <c r="K1836" s="48" t="n">
        <v>11768</v>
      </c>
      <c r="L1836" s="48" t="n">
        <v>84892459</v>
      </c>
      <c r="M1836" s="48" t="n">
        <v>987808652924</v>
      </c>
      <c r="N1836" s="48" t="n">
        <v>2279</v>
      </c>
      <c r="O1836" s="48" t="n">
        <v>54719977</v>
      </c>
      <c r="P1836" s="48" t="n">
        <v>30501559</v>
      </c>
      <c r="Q1836" s="48" t="n">
        <v>935</v>
      </c>
      <c r="R1836" s="48" t="n">
        <v>556</v>
      </c>
      <c r="S1836" s="48" t="n">
        <v>30172482</v>
      </c>
      <c r="T1836" s="48" t="n">
        <v>54390900</v>
      </c>
      <c r="U1836" s="46" t="n">
        <f aca="false">IF($A1836=$A1835,$U1835+1,1)</f>
        <v>12</v>
      </c>
      <c r="V1836" s="48" t="str">
        <f aca="false">IF($U1836&gt;=MA_SHORT,AVERAGE(INDEX($I$1436:$I1836,402-MA_SHORT):$I1836),"")</f>
        <v/>
      </c>
      <c r="W1836" s="48" t="str">
        <f aca="false">IF($U1836&gt;=MA_MED,AVERAGE(INDEX($I$1436:$I1836,402-MA_MED):$I1836),"")</f>
        <v/>
      </c>
      <c r="X1836" s="48" t="str">
        <f aca="false">IF($U1836&gt;=MA_LONG1,AVERAGE(INDEX($I$1436:$I1836,402-MA_LONG1):$I1836),"")</f>
        <v/>
      </c>
      <c r="Y1836" s="48" t="str">
        <f aca="false">IF($U1836&gt;=MA_LONG2,AVERAGE(INDEX($I$1436:$I1836,402-MA_LONG2):$I1836),"")</f>
        <v/>
      </c>
      <c r="Z1836" s="48" t="str">
        <f aca="false">IF($U1836&gt;=MA_SHORT,AVERAGE(INDEX($L$1716:$L1836,122-MA_SHORT):$L1836),"")</f>
        <v/>
      </c>
      <c r="AA1836" s="48" t="n">
        <f aca="false">IF($U1836=1,$G1836-$H1836,MAX($G1836-$H1836,ABS($G1836-$I1835),ABS($H1836-$I1835)))</f>
        <v>215</v>
      </c>
      <c r="AB1836" s="48" t="str">
        <f aca="false">IF($U1836&gt;=ATR_PER,AVERAGE(INDEX($AA$1716:$AA1836,122-ATR_PER):$AA1836),"")</f>
        <v/>
      </c>
      <c r="AC1836" s="48" t="n">
        <f aca="false">$O1836-$P1836</f>
        <v>24218418</v>
      </c>
      <c r="AD1836" s="48" t="n">
        <f aca="false">$AC1836*$I1836</f>
        <v>281805511848</v>
      </c>
      <c r="AE1836" s="49" t="n">
        <f aca="false">IF($Q1836&gt;0,$O1836*$I1836/$Q1836/1000000,"")</f>
        <v>680.985724462032</v>
      </c>
      <c r="AF1836" s="49" t="n">
        <f aca="false">IF($R1836&gt;0,$P1836*$I1836/$R1836/1000000,"")</f>
        <v>638.33838223741</v>
      </c>
      <c r="AG1836" s="50" t="n">
        <f aca="false">IF(AND(ISNUMBER($AE1836),ISNUMBER($AF1836),$AF1836&gt;0),$AE1836/$AF1836,"")</f>
        <v>1.06680992935932</v>
      </c>
      <c r="AH1836" s="48" t="n">
        <f aca="false">IF($U1836&gt;=5,SUM(INDEX($AD$1806:$AD1836,32-5):$AD1836),"")</f>
        <v>1383711022612</v>
      </c>
      <c r="AI1836" s="48" t="str">
        <f aca="false">IF($U1836&gt;=STRUCT_S,MAX(INDEX($G$1686:$G1836,152-STRUCT_S):$G1836),"")</f>
        <v/>
      </c>
      <c r="AJ1836" s="48" t="str">
        <f aca="false">IF($U1836&gt;=STRUCT_S,MIN(INDEX($H$1686:$H1836,152-STRUCT_S):$H1836),"")</f>
        <v/>
      </c>
      <c r="AK1836" s="48" t="str">
        <f aca="false">IF($U1836&gt;=STRUCT_L,MAX(INDEX($G$1586:$G1836,252-STRUCT_L):$G1836),"")</f>
        <v/>
      </c>
      <c r="AL1836" s="48" t="str">
        <f aca="false">IF($U1836&gt;=STRUCT_L,MIN(INDEX($H$1586:$H1836,252-STRUCT_L):$H1836),"")</f>
        <v/>
      </c>
      <c r="AM1836" s="46" t="n">
        <f aca="false">IF($A1836&lt;&gt;$A1837,1,0)</f>
        <v>0</v>
      </c>
      <c r="AN1836" s="47" t="str">
        <f aca="false">IF($AM1836=1,$A1836,"")</f>
        <v/>
      </c>
    </row>
    <row r="1837" customFormat="false" ht="15" hidden="false" customHeight="false" outlineLevel="0" collapsed="false">
      <c r="A1837" s="43" t="s">
        <v>167</v>
      </c>
      <c r="B1837" s="44" t="s">
        <v>169</v>
      </c>
      <c r="C1837" s="45" t="n">
        <v>45922</v>
      </c>
      <c r="D1837" s="46" t="n">
        <v>20250922</v>
      </c>
      <c r="E1837" s="47" t="s">
        <v>300</v>
      </c>
      <c r="F1837" s="48" t="n">
        <v>11663</v>
      </c>
      <c r="G1837" s="48" t="n">
        <v>11679</v>
      </c>
      <c r="H1837" s="48" t="n">
        <v>11535</v>
      </c>
      <c r="I1837" s="48" t="n">
        <v>11578</v>
      </c>
      <c r="J1837" s="48" t="n">
        <v>11674</v>
      </c>
      <c r="K1837" s="48" t="n">
        <v>11636</v>
      </c>
      <c r="L1837" s="48" t="n">
        <v>92210945</v>
      </c>
      <c r="M1837" s="48" t="n">
        <v>1067618321210</v>
      </c>
      <c r="N1837" s="48" t="n">
        <v>2187</v>
      </c>
      <c r="O1837" s="48" t="n">
        <v>52035686</v>
      </c>
      <c r="P1837" s="48" t="n">
        <v>44448798</v>
      </c>
      <c r="Q1837" s="48" t="n">
        <v>966</v>
      </c>
      <c r="R1837" s="48" t="n">
        <v>604</v>
      </c>
      <c r="S1837" s="48" t="n">
        <v>40175259</v>
      </c>
      <c r="T1837" s="48" t="n">
        <v>47762147</v>
      </c>
      <c r="U1837" s="46" t="n">
        <f aca="false">IF($A1837=$A1836,$U1836+1,1)</f>
        <v>13</v>
      </c>
      <c r="V1837" s="48" t="str">
        <f aca="false">IF($U1837&gt;=MA_SHORT,AVERAGE(INDEX($I$1437:$I1837,402-MA_SHORT):$I1837),"")</f>
        <v/>
      </c>
      <c r="W1837" s="48" t="str">
        <f aca="false">IF($U1837&gt;=MA_MED,AVERAGE(INDEX($I$1437:$I1837,402-MA_MED):$I1837),"")</f>
        <v/>
      </c>
      <c r="X1837" s="48" t="str">
        <f aca="false">IF($U1837&gt;=MA_LONG1,AVERAGE(INDEX($I$1437:$I1837,402-MA_LONG1):$I1837),"")</f>
        <v/>
      </c>
      <c r="Y1837" s="48" t="str">
        <f aca="false">IF($U1837&gt;=MA_LONG2,AVERAGE(INDEX($I$1437:$I1837,402-MA_LONG2):$I1837),"")</f>
        <v/>
      </c>
      <c r="Z1837" s="48" t="str">
        <f aca="false">IF($U1837&gt;=MA_SHORT,AVERAGE(INDEX($L$1717:$L1837,122-MA_SHORT):$L1837),"")</f>
        <v/>
      </c>
      <c r="AA1837" s="48" t="n">
        <f aca="false">IF($U1837=1,$G1837-$H1837,MAX($G1837-$H1837,ABS($G1837-$I1836),ABS($H1837-$I1836)))</f>
        <v>144</v>
      </c>
      <c r="AB1837" s="48" t="str">
        <f aca="false">IF($U1837&gt;=ATR_PER,AVERAGE(INDEX($AA$1717:$AA1837,122-ATR_PER):$AA1837),"")</f>
        <v/>
      </c>
      <c r="AC1837" s="48" t="n">
        <f aca="false">$O1837-$P1837</f>
        <v>7586888</v>
      </c>
      <c r="AD1837" s="48" t="n">
        <f aca="false">$AC1837*$I1837</f>
        <v>87840989264</v>
      </c>
      <c r="AE1837" s="49" t="n">
        <f aca="false">IF($Q1837&gt;0,$O1837*$I1837/$Q1837/1000000,"")</f>
        <v>623.674091623188</v>
      </c>
      <c r="AF1837" s="49" t="n">
        <f aca="false">IF($R1837&gt;0,$P1837*$I1837/$R1837/1000000,"")</f>
        <v>852.033415966887</v>
      </c>
      <c r="AG1837" s="50" t="n">
        <f aca="false">IF(AND(ISNUMBER($AE1837),ISNUMBER($AF1837),$AF1837&gt;0),$AE1837/$AF1837,"")</f>
        <v>0.731983135796902</v>
      </c>
      <c r="AH1837" s="48" t="n">
        <f aca="false">IF($U1837&gt;=5,SUM(INDEX($AD$1807:$AD1837,32-5):$AD1837),"")</f>
        <v>1168094380884</v>
      </c>
      <c r="AI1837" s="48" t="str">
        <f aca="false">IF($U1837&gt;=STRUCT_S,MAX(INDEX($G$1687:$G1837,152-STRUCT_S):$G1837),"")</f>
        <v/>
      </c>
      <c r="AJ1837" s="48" t="str">
        <f aca="false">IF($U1837&gt;=STRUCT_S,MIN(INDEX($H$1687:$H1837,152-STRUCT_S):$H1837),"")</f>
        <v/>
      </c>
      <c r="AK1837" s="48" t="str">
        <f aca="false">IF($U1837&gt;=STRUCT_L,MAX(INDEX($G$1587:$G1837,252-STRUCT_L):$G1837),"")</f>
        <v/>
      </c>
      <c r="AL1837" s="48" t="str">
        <f aca="false">IF($U1837&gt;=STRUCT_L,MIN(INDEX($H$1587:$H1837,252-STRUCT_L):$H1837),"")</f>
        <v/>
      </c>
      <c r="AM1837" s="46" t="n">
        <f aca="false">IF($A1837&lt;&gt;$A1838,1,0)</f>
        <v>0</v>
      </c>
      <c r="AN1837" s="47" t="str">
        <f aca="false">IF($AM1837=1,$A1837,"")</f>
        <v/>
      </c>
    </row>
    <row r="1838" customFormat="false" ht="15" hidden="false" customHeight="false" outlineLevel="0" collapsed="false">
      <c r="A1838" s="43" t="s">
        <v>167</v>
      </c>
      <c r="B1838" s="44" t="s">
        <v>169</v>
      </c>
      <c r="C1838" s="45" t="n">
        <v>45923</v>
      </c>
      <c r="D1838" s="46" t="n">
        <v>20250923</v>
      </c>
      <c r="E1838" s="47" t="s">
        <v>301</v>
      </c>
      <c r="F1838" s="48" t="n">
        <v>11727</v>
      </c>
      <c r="G1838" s="48" t="n">
        <v>12012</v>
      </c>
      <c r="H1838" s="48" t="n">
        <v>11463</v>
      </c>
      <c r="I1838" s="48" t="n">
        <v>11894</v>
      </c>
      <c r="J1838" s="48" t="n">
        <v>11551</v>
      </c>
      <c r="K1838" s="48" t="n">
        <v>11578</v>
      </c>
      <c r="L1838" s="48" t="n">
        <v>92564643</v>
      </c>
      <c r="M1838" s="48" t="n">
        <v>1100963863842</v>
      </c>
      <c r="N1838" s="48" t="n">
        <v>2848</v>
      </c>
      <c r="O1838" s="48" t="n">
        <v>60891548</v>
      </c>
      <c r="P1838" s="48" t="n">
        <v>38280787</v>
      </c>
      <c r="Q1838" s="48" t="n">
        <v>635</v>
      </c>
      <c r="R1838" s="48" t="n">
        <v>1606</v>
      </c>
      <c r="S1838" s="48" t="n">
        <v>31673095</v>
      </c>
      <c r="T1838" s="48" t="n">
        <v>54283856</v>
      </c>
      <c r="U1838" s="46" t="n">
        <f aca="false">IF($A1838=$A1837,$U1837+1,1)</f>
        <v>14</v>
      </c>
      <c r="V1838" s="48" t="str">
        <f aca="false">IF($U1838&gt;=MA_SHORT,AVERAGE(INDEX($I$1438:$I1838,402-MA_SHORT):$I1838),"")</f>
        <v/>
      </c>
      <c r="W1838" s="48" t="str">
        <f aca="false">IF($U1838&gt;=MA_MED,AVERAGE(INDEX($I$1438:$I1838,402-MA_MED):$I1838),"")</f>
        <v/>
      </c>
      <c r="X1838" s="48" t="str">
        <f aca="false">IF($U1838&gt;=MA_LONG1,AVERAGE(INDEX($I$1438:$I1838,402-MA_LONG1):$I1838),"")</f>
        <v/>
      </c>
      <c r="Y1838" s="48" t="str">
        <f aca="false">IF($U1838&gt;=MA_LONG2,AVERAGE(INDEX($I$1438:$I1838,402-MA_LONG2):$I1838),"")</f>
        <v/>
      </c>
      <c r="Z1838" s="48" t="str">
        <f aca="false">IF($U1838&gt;=MA_SHORT,AVERAGE(INDEX($L$1718:$L1838,122-MA_SHORT):$L1838),"")</f>
        <v/>
      </c>
      <c r="AA1838" s="48" t="n">
        <f aca="false">IF($U1838=1,$G1838-$H1838,MAX($G1838-$H1838,ABS($G1838-$I1837),ABS($H1838-$I1837)))</f>
        <v>549</v>
      </c>
      <c r="AB1838" s="48" t="n">
        <f aca="false">IF($U1838&gt;=ATR_PER,AVERAGE(INDEX($AA$1718:$AA1838,122-ATR_PER):$AA1838),"")</f>
        <v>323.214285714286</v>
      </c>
      <c r="AC1838" s="48" t="n">
        <f aca="false">$O1838-$P1838</f>
        <v>22610761</v>
      </c>
      <c r="AD1838" s="48" t="n">
        <f aca="false">$AC1838*$I1838</f>
        <v>268932391334</v>
      </c>
      <c r="AE1838" s="49" t="n">
        <f aca="false">IF($Q1838&gt;0,$O1838*$I1838/$Q1838/1000000,"")</f>
        <v>1140.54184553071</v>
      </c>
      <c r="AF1838" s="49" t="n">
        <f aca="false">IF($R1838&gt;0,$P1838*$I1838/$R1838/1000000,"")</f>
        <v>283.506650422167</v>
      </c>
      <c r="AG1838" s="50" t="n">
        <f aca="false">IF(AND(ISNUMBER($AE1838),ISNUMBER($AF1838),$AF1838&gt;0),$AE1838/$AF1838,"")</f>
        <v>4.02298092066743</v>
      </c>
      <c r="AH1838" s="48" t="n">
        <f aca="false">IF($U1838&gt;=5,SUM(INDEX($AD$1808:$AD1838,32-5):$AD1838),"")</f>
        <v>997385700026</v>
      </c>
      <c r="AI1838" s="48" t="str">
        <f aca="false">IF($U1838&gt;=STRUCT_S,MAX(INDEX($G$1688:$G1838,152-STRUCT_S):$G1838),"")</f>
        <v/>
      </c>
      <c r="AJ1838" s="48" t="str">
        <f aca="false">IF($U1838&gt;=STRUCT_S,MIN(INDEX($H$1688:$H1838,152-STRUCT_S):$H1838),"")</f>
        <v/>
      </c>
      <c r="AK1838" s="48" t="str">
        <f aca="false">IF($U1838&gt;=STRUCT_L,MAX(INDEX($G$1588:$G1838,252-STRUCT_L):$G1838),"")</f>
        <v/>
      </c>
      <c r="AL1838" s="48" t="str">
        <f aca="false">IF($U1838&gt;=STRUCT_L,MIN(INDEX($H$1588:$H1838,252-STRUCT_L):$H1838),"")</f>
        <v/>
      </c>
      <c r="AM1838" s="46" t="n">
        <f aca="false">IF($A1838&lt;&gt;$A1839,1,0)</f>
        <v>0</v>
      </c>
      <c r="AN1838" s="47" t="str">
        <f aca="false">IF($AM1838=1,$A1838,"")</f>
        <v/>
      </c>
    </row>
    <row r="1839" customFormat="false" ht="15" hidden="false" customHeight="false" outlineLevel="0" collapsed="false">
      <c r="A1839" s="43" t="s">
        <v>167</v>
      </c>
      <c r="B1839" s="44" t="s">
        <v>169</v>
      </c>
      <c r="C1839" s="45" t="n">
        <v>45924</v>
      </c>
      <c r="D1839" s="46" t="n">
        <v>20250924</v>
      </c>
      <c r="E1839" s="47" t="s">
        <v>302</v>
      </c>
      <c r="F1839" s="48" t="n">
        <v>11797</v>
      </c>
      <c r="G1839" s="48" t="n">
        <v>12099</v>
      </c>
      <c r="H1839" s="48" t="n">
        <v>11722</v>
      </c>
      <c r="I1839" s="48" t="n">
        <v>11927</v>
      </c>
      <c r="J1839" s="48" t="n">
        <v>12007</v>
      </c>
      <c r="K1839" s="48" t="n">
        <v>11894</v>
      </c>
      <c r="L1839" s="48" t="n">
        <v>84768609</v>
      </c>
      <c r="M1839" s="48" t="n">
        <v>1011035199543</v>
      </c>
      <c r="N1839" s="48" t="n">
        <v>1922</v>
      </c>
      <c r="O1839" s="48" t="n">
        <v>53996325</v>
      </c>
      <c r="P1839" s="48" t="n">
        <v>27671373</v>
      </c>
      <c r="Q1839" s="48" t="n">
        <v>435</v>
      </c>
      <c r="R1839" s="48" t="n">
        <v>1025</v>
      </c>
      <c r="S1839" s="48" t="n">
        <v>30772284</v>
      </c>
      <c r="T1839" s="48" t="n">
        <v>57097236</v>
      </c>
      <c r="U1839" s="46" t="n">
        <f aca="false">IF($A1839=$A1838,$U1838+1,1)</f>
        <v>15</v>
      </c>
      <c r="V1839" s="48" t="str">
        <f aca="false">IF($U1839&gt;=MA_SHORT,AVERAGE(INDEX($I$1439:$I1839,402-MA_SHORT):$I1839),"")</f>
        <v/>
      </c>
      <c r="W1839" s="48" t="str">
        <f aca="false">IF($U1839&gt;=MA_MED,AVERAGE(INDEX($I$1439:$I1839,402-MA_MED):$I1839),"")</f>
        <v/>
      </c>
      <c r="X1839" s="48" t="str">
        <f aca="false">IF($U1839&gt;=MA_LONG1,AVERAGE(INDEX($I$1439:$I1839,402-MA_LONG1):$I1839),"")</f>
        <v/>
      </c>
      <c r="Y1839" s="48" t="str">
        <f aca="false">IF($U1839&gt;=MA_LONG2,AVERAGE(INDEX($I$1439:$I1839,402-MA_LONG2):$I1839),"")</f>
        <v/>
      </c>
      <c r="Z1839" s="48" t="str">
        <f aca="false">IF($U1839&gt;=MA_SHORT,AVERAGE(INDEX($L$1719:$L1839,122-MA_SHORT):$L1839),"")</f>
        <v/>
      </c>
      <c r="AA1839" s="48" t="n">
        <f aca="false">IF($U1839=1,$G1839-$H1839,MAX($G1839-$H1839,ABS($G1839-$I1838),ABS($H1839-$I1838)))</f>
        <v>377</v>
      </c>
      <c r="AB1839" s="48" t="n">
        <f aca="false">IF($U1839&gt;=ATR_PER,AVERAGE(INDEX($AA$1719:$AA1839,122-ATR_PER):$AA1839),"")</f>
        <v>343.285714285714</v>
      </c>
      <c r="AC1839" s="48" t="n">
        <f aca="false">$O1839-$P1839</f>
        <v>26324952</v>
      </c>
      <c r="AD1839" s="48" t="n">
        <f aca="false">$AC1839*$I1839</f>
        <v>313977702504</v>
      </c>
      <c r="AE1839" s="49" t="n">
        <f aca="false">IF($Q1839&gt;0,$O1839*$I1839/$Q1839/1000000,"")</f>
        <v>1480.49234086207</v>
      </c>
      <c r="AF1839" s="49" t="n">
        <f aca="false">IF($R1839&gt;0,$P1839*$I1839/$R1839/1000000,"")</f>
        <v>321.986795874146</v>
      </c>
      <c r="AG1839" s="50" t="n">
        <f aca="false">IF(AND(ISNUMBER($AE1839),ISNUMBER($AF1839),$AF1839&gt;0),$AE1839/$AF1839,"")</f>
        <v>4.59799084879475</v>
      </c>
      <c r="AH1839" s="48" t="n">
        <f aca="false">IF($U1839&gt;=5,SUM(INDEX($AD$1809:$AD1839,32-5):$AD1839),"")</f>
        <v>702845636630</v>
      </c>
      <c r="AI1839" s="48" t="str">
        <f aca="false">IF($U1839&gt;=STRUCT_S,MAX(INDEX($G$1689:$G1839,152-STRUCT_S):$G1839),"")</f>
        <v/>
      </c>
      <c r="AJ1839" s="48" t="str">
        <f aca="false">IF($U1839&gt;=STRUCT_S,MIN(INDEX($H$1689:$H1839,152-STRUCT_S):$H1839),"")</f>
        <v/>
      </c>
      <c r="AK1839" s="48" t="str">
        <f aca="false">IF($U1839&gt;=STRUCT_L,MAX(INDEX($G$1589:$G1839,252-STRUCT_L):$G1839),"")</f>
        <v/>
      </c>
      <c r="AL1839" s="48" t="str">
        <f aca="false">IF($U1839&gt;=STRUCT_L,MIN(INDEX($H$1589:$H1839,252-STRUCT_L):$H1839),"")</f>
        <v/>
      </c>
      <c r="AM1839" s="46" t="n">
        <f aca="false">IF($A1839&lt;&gt;$A1840,1,0)</f>
        <v>0</v>
      </c>
      <c r="AN1839" s="47" t="str">
        <f aca="false">IF($AM1839=1,$A1839,"")</f>
        <v/>
      </c>
    </row>
    <row r="1840" customFormat="false" ht="15" hidden="false" customHeight="false" outlineLevel="0" collapsed="false">
      <c r="A1840" s="43" t="s">
        <v>167</v>
      </c>
      <c r="B1840" s="44" t="s">
        <v>169</v>
      </c>
      <c r="C1840" s="45" t="n">
        <v>45927</v>
      </c>
      <c r="D1840" s="46" t="n">
        <v>20250927</v>
      </c>
      <c r="E1840" s="47" t="s">
        <v>303</v>
      </c>
      <c r="F1840" s="48" t="n">
        <v>11804</v>
      </c>
      <c r="G1840" s="48" t="n">
        <v>12005</v>
      </c>
      <c r="H1840" s="48" t="n">
        <v>11583</v>
      </c>
      <c r="I1840" s="48" t="n">
        <v>11659</v>
      </c>
      <c r="J1840" s="48" t="n">
        <v>11979</v>
      </c>
      <c r="K1840" s="48" t="n">
        <v>11927</v>
      </c>
      <c r="L1840" s="48" t="n">
        <v>90262877</v>
      </c>
      <c r="M1840" s="48" t="n">
        <v>1052374882943</v>
      </c>
      <c r="N1840" s="48" t="n">
        <v>3188</v>
      </c>
      <c r="O1840" s="48" t="n">
        <v>37971133</v>
      </c>
      <c r="P1840" s="48" t="n">
        <v>49348803</v>
      </c>
      <c r="Q1840" s="48" t="n">
        <v>2097</v>
      </c>
      <c r="R1840" s="48" t="n">
        <v>766</v>
      </c>
      <c r="S1840" s="48" t="n">
        <v>52291744</v>
      </c>
      <c r="T1840" s="48" t="n">
        <v>40914074</v>
      </c>
      <c r="U1840" s="46" t="n">
        <f aca="false">IF($A1840=$A1839,$U1839+1,1)</f>
        <v>16</v>
      </c>
      <c r="V1840" s="48" t="str">
        <f aca="false">IF($U1840&gt;=MA_SHORT,AVERAGE(INDEX($I$1440:$I1840,402-MA_SHORT):$I1840),"")</f>
        <v/>
      </c>
      <c r="W1840" s="48" t="str">
        <f aca="false">IF($U1840&gt;=MA_MED,AVERAGE(INDEX($I$1440:$I1840,402-MA_MED):$I1840),"")</f>
        <v/>
      </c>
      <c r="X1840" s="48" t="str">
        <f aca="false">IF($U1840&gt;=MA_LONG1,AVERAGE(INDEX($I$1440:$I1840,402-MA_LONG1):$I1840),"")</f>
        <v/>
      </c>
      <c r="Y1840" s="48" t="str">
        <f aca="false">IF($U1840&gt;=MA_LONG2,AVERAGE(INDEX($I$1440:$I1840,402-MA_LONG2):$I1840),"")</f>
        <v/>
      </c>
      <c r="Z1840" s="48" t="str">
        <f aca="false">IF($U1840&gt;=MA_SHORT,AVERAGE(INDEX($L$1720:$L1840,122-MA_SHORT):$L1840),"")</f>
        <v/>
      </c>
      <c r="AA1840" s="48" t="n">
        <f aca="false">IF($U1840=1,$G1840-$H1840,MAX($G1840-$H1840,ABS($G1840-$I1839),ABS($H1840-$I1839)))</f>
        <v>422</v>
      </c>
      <c r="AB1840" s="48" t="n">
        <f aca="false">IF($U1840&gt;=ATR_PER,AVERAGE(INDEX($AA$1720:$AA1840,122-ATR_PER):$AA1840),"")</f>
        <v>330.142857142857</v>
      </c>
      <c r="AC1840" s="48" t="n">
        <f aca="false">$O1840-$P1840</f>
        <v>-11377670</v>
      </c>
      <c r="AD1840" s="48" t="n">
        <f aca="false">$AC1840*$I1840</f>
        <v>-132652254530</v>
      </c>
      <c r="AE1840" s="49" t="n">
        <f aca="false">IF($Q1840&gt;0,$O1840*$I1840/$Q1840/1000000,"")</f>
        <v>211.11370512494</v>
      </c>
      <c r="AF1840" s="49" t="n">
        <f aca="false">IF($R1840&gt;0,$P1840*$I1840/$R1840/1000000,"")</f>
        <v>751.119705191906</v>
      </c>
      <c r="AG1840" s="50" t="n">
        <f aca="false">IF(AND(ISNUMBER($AE1840),ISNUMBER($AF1840),$AF1840&gt;0),$AE1840/$AF1840,"")</f>
        <v>0.281065326426235</v>
      </c>
      <c r="AH1840" s="48" t="n">
        <f aca="false">IF($U1840&gt;=5,SUM(INDEX($AD$1810:$AD1840,32-5):$AD1840),"")</f>
        <v>819904340420</v>
      </c>
      <c r="AI1840" s="48" t="str">
        <f aca="false">IF($U1840&gt;=STRUCT_S,MAX(INDEX($G$1690:$G1840,152-STRUCT_S):$G1840),"")</f>
        <v/>
      </c>
      <c r="AJ1840" s="48" t="str">
        <f aca="false">IF($U1840&gt;=STRUCT_S,MIN(INDEX($H$1690:$H1840,152-STRUCT_S):$H1840),"")</f>
        <v/>
      </c>
      <c r="AK1840" s="48" t="str">
        <f aca="false">IF($U1840&gt;=STRUCT_L,MAX(INDEX($G$1590:$G1840,252-STRUCT_L):$G1840),"")</f>
        <v/>
      </c>
      <c r="AL1840" s="48" t="str">
        <f aca="false">IF($U1840&gt;=STRUCT_L,MIN(INDEX($H$1590:$H1840,252-STRUCT_L):$H1840),"")</f>
        <v/>
      </c>
      <c r="AM1840" s="46" t="n">
        <f aca="false">IF($A1840&lt;&gt;$A1841,1,0)</f>
        <v>0</v>
      </c>
      <c r="AN1840" s="47" t="str">
        <f aca="false">IF($AM1840=1,$A1840,"")</f>
        <v/>
      </c>
    </row>
    <row r="1841" customFormat="false" ht="15" hidden="false" customHeight="false" outlineLevel="0" collapsed="false">
      <c r="A1841" s="43" t="s">
        <v>167</v>
      </c>
      <c r="B1841" s="44" t="s">
        <v>169</v>
      </c>
      <c r="C1841" s="45" t="n">
        <v>45928</v>
      </c>
      <c r="D1841" s="46" t="n">
        <v>20250928</v>
      </c>
      <c r="E1841" s="47" t="s">
        <v>304</v>
      </c>
      <c r="F1841" s="48" t="n">
        <v>11862</v>
      </c>
      <c r="G1841" s="48" t="n">
        <v>12149</v>
      </c>
      <c r="H1841" s="48" t="n">
        <v>11438</v>
      </c>
      <c r="I1841" s="48" t="n">
        <v>11923</v>
      </c>
      <c r="J1841" s="48" t="n">
        <v>12039</v>
      </c>
      <c r="K1841" s="48" t="n">
        <v>11659</v>
      </c>
      <c r="L1841" s="48" t="n">
        <v>90345642</v>
      </c>
      <c r="M1841" s="48" t="n">
        <v>1077191089566</v>
      </c>
      <c r="N1841" s="48" t="n">
        <v>2534</v>
      </c>
      <c r="O1841" s="48" t="n">
        <v>64580882</v>
      </c>
      <c r="P1841" s="48" t="n">
        <v>23461061</v>
      </c>
      <c r="Q1841" s="48" t="n">
        <v>733</v>
      </c>
      <c r="R1841" s="48" t="n">
        <v>1397</v>
      </c>
      <c r="S1841" s="48" t="n">
        <v>25764760</v>
      </c>
      <c r="T1841" s="48" t="n">
        <v>66884581</v>
      </c>
      <c r="U1841" s="46" t="n">
        <f aca="false">IF($A1841=$A1840,$U1840+1,1)</f>
        <v>17</v>
      </c>
      <c r="V1841" s="48" t="str">
        <f aca="false">IF($U1841&gt;=MA_SHORT,AVERAGE(INDEX($I$1441:$I1841,402-MA_SHORT):$I1841),"")</f>
        <v/>
      </c>
      <c r="W1841" s="48" t="str">
        <f aca="false">IF($U1841&gt;=MA_MED,AVERAGE(INDEX($I$1441:$I1841,402-MA_MED):$I1841),"")</f>
        <v/>
      </c>
      <c r="X1841" s="48" t="str">
        <f aca="false">IF($U1841&gt;=MA_LONG1,AVERAGE(INDEX($I$1441:$I1841,402-MA_LONG1):$I1841),"")</f>
        <v/>
      </c>
      <c r="Y1841" s="48" t="str">
        <f aca="false">IF($U1841&gt;=MA_LONG2,AVERAGE(INDEX($I$1441:$I1841,402-MA_LONG2):$I1841),"")</f>
        <v/>
      </c>
      <c r="Z1841" s="48" t="str">
        <f aca="false">IF($U1841&gt;=MA_SHORT,AVERAGE(INDEX($L$1721:$L1841,122-MA_SHORT):$L1841),"")</f>
        <v/>
      </c>
      <c r="AA1841" s="48" t="n">
        <f aca="false">IF($U1841=1,$G1841-$H1841,MAX($G1841-$H1841,ABS($G1841-$I1840),ABS($H1841-$I1840)))</f>
        <v>711</v>
      </c>
      <c r="AB1841" s="48" t="n">
        <f aca="false">IF($U1841&gt;=ATR_PER,AVERAGE(INDEX($AA$1721:$AA1841,122-ATR_PER):$AA1841),"")</f>
        <v>371.714285714286</v>
      </c>
      <c r="AC1841" s="48" t="n">
        <f aca="false">$O1841-$P1841</f>
        <v>41119821</v>
      </c>
      <c r="AD1841" s="48" t="n">
        <f aca="false">$AC1841*$I1841</f>
        <v>490271625783</v>
      </c>
      <c r="AE1841" s="49" t="n">
        <f aca="false">IF($Q1841&gt;0,$O1841*$I1841/$Q1841/1000000,"")</f>
        <v>1050.47456491951</v>
      </c>
      <c r="AF1841" s="49" t="n">
        <f aca="false">IF($R1841&gt;0,$P1841*$I1841/$R1841/1000000,"")</f>
        <v>200.233522049392</v>
      </c>
      <c r="AG1841" s="50" t="n">
        <f aca="false">IF(AND(ISNUMBER($AE1841),ISNUMBER($AF1841),$AF1841&gt;0),$AE1841/$AF1841,"")</f>
        <v>5.2462472525474</v>
      </c>
      <c r="AH1841" s="48" t="n">
        <f aca="false">IF($U1841&gt;=5,SUM(INDEX($AD$1811:$AD1841,32-5):$AD1841),"")</f>
        <v>1028370454355</v>
      </c>
      <c r="AI1841" s="48" t="str">
        <f aca="false">IF($U1841&gt;=STRUCT_S,MAX(INDEX($G$1691:$G1841,152-STRUCT_S):$G1841),"")</f>
        <v/>
      </c>
      <c r="AJ1841" s="48" t="str">
        <f aca="false">IF($U1841&gt;=STRUCT_S,MIN(INDEX($H$1691:$H1841,152-STRUCT_S):$H1841),"")</f>
        <v/>
      </c>
      <c r="AK1841" s="48" t="str">
        <f aca="false">IF($U1841&gt;=STRUCT_L,MAX(INDEX($G$1591:$G1841,252-STRUCT_L):$G1841),"")</f>
        <v/>
      </c>
      <c r="AL1841" s="48" t="str">
        <f aca="false">IF($U1841&gt;=STRUCT_L,MIN(INDEX($H$1591:$H1841,252-STRUCT_L):$H1841),"")</f>
        <v/>
      </c>
      <c r="AM1841" s="46" t="n">
        <f aca="false">IF($A1841&lt;&gt;$A1842,1,0)</f>
        <v>0</v>
      </c>
      <c r="AN1841" s="47" t="str">
        <f aca="false">IF($AM1841=1,$A1841,"")</f>
        <v/>
      </c>
    </row>
    <row r="1842" customFormat="false" ht="15" hidden="false" customHeight="false" outlineLevel="0" collapsed="false">
      <c r="A1842" s="43" t="s">
        <v>167</v>
      </c>
      <c r="B1842" s="44" t="s">
        <v>169</v>
      </c>
      <c r="C1842" s="45" t="n">
        <v>45929</v>
      </c>
      <c r="D1842" s="46" t="n">
        <v>20250929</v>
      </c>
      <c r="E1842" s="47" t="s">
        <v>305</v>
      </c>
      <c r="F1842" s="48" t="n">
        <v>11989</v>
      </c>
      <c r="G1842" s="48" t="n">
        <v>12075</v>
      </c>
      <c r="H1842" s="48" t="n">
        <v>11762</v>
      </c>
      <c r="I1842" s="48" t="n">
        <v>11914</v>
      </c>
      <c r="J1842" s="48" t="n">
        <v>11860</v>
      </c>
      <c r="K1842" s="48" t="n">
        <v>11923</v>
      </c>
      <c r="L1842" s="48" t="n">
        <v>79899606</v>
      </c>
      <c r="M1842" s="48" t="n">
        <v>951923905884</v>
      </c>
      <c r="N1842" s="48" t="n">
        <v>3306</v>
      </c>
      <c r="O1842" s="48" t="n">
        <v>42323045</v>
      </c>
      <c r="P1842" s="48" t="n">
        <v>36883657</v>
      </c>
      <c r="Q1842" s="48" t="n">
        <v>1507</v>
      </c>
      <c r="R1842" s="48" t="n">
        <v>1089</v>
      </c>
      <c r="S1842" s="48" t="n">
        <v>37576561</v>
      </c>
      <c r="T1842" s="48" t="n">
        <v>43015949</v>
      </c>
      <c r="U1842" s="46" t="n">
        <f aca="false">IF($A1842=$A1841,$U1841+1,1)</f>
        <v>18</v>
      </c>
      <c r="V1842" s="48" t="str">
        <f aca="false">IF($U1842&gt;=MA_SHORT,AVERAGE(INDEX($I$1442:$I1842,402-MA_SHORT):$I1842),"")</f>
        <v/>
      </c>
      <c r="W1842" s="48" t="str">
        <f aca="false">IF($U1842&gt;=MA_MED,AVERAGE(INDEX($I$1442:$I1842,402-MA_MED):$I1842),"")</f>
        <v/>
      </c>
      <c r="X1842" s="48" t="str">
        <f aca="false">IF($U1842&gt;=MA_LONG1,AVERAGE(INDEX($I$1442:$I1842,402-MA_LONG1):$I1842),"")</f>
        <v/>
      </c>
      <c r="Y1842" s="48" t="str">
        <f aca="false">IF($U1842&gt;=MA_LONG2,AVERAGE(INDEX($I$1442:$I1842,402-MA_LONG2):$I1842),"")</f>
        <v/>
      </c>
      <c r="Z1842" s="48" t="str">
        <f aca="false">IF($U1842&gt;=MA_SHORT,AVERAGE(INDEX($L$1722:$L1842,122-MA_SHORT):$L1842),"")</f>
        <v/>
      </c>
      <c r="AA1842" s="48" t="n">
        <f aca="false">IF($U1842=1,$G1842-$H1842,MAX($G1842-$H1842,ABS($G1842-$I1841),ABS($H1842-$I1841)))</f>
        <v>313</v>
      </c>
      <c r="AB1842" s="48" t="n">
        <f aca="false">IF($U1842&gt;=ATR_PER,AVERAGE(INDEX($AA$1722:$AA1842,122-ATR_PER):$AA1842),"")</f>
        <v>357.785714285714</v>
      </c>
      <c r="AC1842" s="48" t="n">
        <f aca="false">$O1842-$P1842</f>
        <v>5439388</v>
      </c>
      <c r="AD1842" s="48" t="n">
        <f aca="false">$AC1842*$I1842</f>
        <v>64804868632</v>
      </c>
      <c r="AE1842" s="49" t="n">
        <f aca="false">IF($Q1842&gt;0,$O1842*$I1842/$Q1842/1000000,"")</f>
        <v>334.596388938288</v>
      </c>
      <c r="AF1842" s="49" t="n">
        <f aca="false">IF($R1842&gt;0,$P1842*$I1842/$R1842/1000000,"")</f>
        <v>403.518723138659</v>
      </c>
      <c r="AG1842" s="50" t="n">
        <f aca="false">IF(AND(ISNUMBER($AE1842),ISNUMBER($AF1842),$AF1842&gt;0),$AE1842/$AF1842,"")</f>
        <v>0.829196688410694</v>
      </c>
      <c r="AH1842" s="48" t="n">
        <f aca="false">IF($U1842&gt;=5,SUM(INDEX($AD$1812:$AD1842,32-5):$AD1842),"")</f>
        <v>1005334333723</v>
      </c>
      <c r="AI1842" s="48" t="str">
        <f aca="false">IF($U1842&gt;=STRUCT_S,MAX(INDEX($G$1692:$G1842,152-STRUCT_S):$G1842),"")</f>
        <v/>
      </c>
      <c r="AJ1842" s="48" t="str">
        <f aca="false">IF($U1842&gt;=STRUCT_S,MIN(INDEX($H$1692:$H1842,152-STRUCT_S):$H1842),"")</f>
        <v/>
      </c>
      <c r="AK1842" s="48" t="str">
        <f aca="false">IF($U1842&gt;=STRUCT_L,MAX(INDEX($G$1592:$G1842,252-STRUCT_L):$G1842),"")</f>
        <v/>
      </c>
      <c r="AL1842" s="48" t="str">
        <f aca="false">IF($U1842&gt;=STRUCT_L,MIN(INDEX($H$1592:$H1842,252-STRUCT_L):$H1842),"")</f>
        <v/>
      </c>
      <c r="AM1842" s="46" t="n">
        <f aca="false">IF($A1842&lt;&gt;$A1843,1,0)</f>
        <v>0</v>
      </c>
      <c r="AN1842" s="47" t="str">
        <f aca="false">IF($AM1842=1,$A1842,"")</f>
        <v/>
      </c>
    </row>
    <row r="1843" customFormat="false" ht="15" hidden="false" customHeight="false" outlineLevel="0" collapsed="false">
      <c r="A1843" s="43" t="s">
        <v>167</v>
      </c>
      <c r="B1843" s="44" t="s">
        <v>169</v>
      </c>
      <c r="C1843" s="45" t="n">
        <v>45930</v>
      </c>
      <c r="D1843" s="46" t="n">
        <v>20250930</v>
      </c>
      <c r="E1843" s="47" t="s">
        <v>306</v>
      </c>
      <c r="F1843" s="48" t="n">
        <v>11706</v>
      </c>
      <c r="G1843" s="48" t="n">
        <v>12064</v>
      </c>
      <c r="H1843" s="48" t="n">
        <v>11670</v>
      </c>
      <c r="I1843" s="48" t="n">
        <v>11819</v>
      </c>
      <c r="J1843" s="48" t="n">
        <v>12041</v>
      </c>
      <c r="K1843" s="48" t="n">
        <v>11914</v>
      </c>
      <c r="L1843" s="48" t="n">
        <v>83344759</v>
      </c>
      <c r="M1843" s="48" t="n">
        <v>985051706621</v>
      </c>
      <c r="N1843" s="48" t="n">
        <v>2921</v>
      </c>
      <c r="O1843" s="48" t="n">
        <v>51289934</v>
      </c>
      <c r="P1843" s="48" t="n">
        <v>32548743</v>
      </c>
      <c r="Q1843" s="48" t="n">
        <v>1429</v>
      </c>
      <c r="R1843" s="48" t="n">
        <v>852</v>
      </c>
      <c r="S1843" s="48" t="n">
        <v>32054825</v>
      </c>
      <c r="T1843" s="48" t="n">
        <v>50796016</v>
      </c>
      <c r="U1843" s="46" t="n">
        <f aca="false">IF($A1843=$A1842,$U1842+1,1)</f>
        <v>19</v>
      </c>
      <c r="V1843" s="48" t="str">
        <f aca="false">IF($U1843&gt;=MA_SHORT,AVERAGE(INDEX($I$1443:$I1843,402-MA_SHORT):$I1843),"")</f>
        <v/>
      </c>
      <c r="W1843" s="48" t="str">
        <f aca="false">IF($U1843&gt;=MA_MED,AVERAGE(INDEX($I$1443:$I1843,402-MA_MED):$I1843),"")</f>
        <v/>
      </c>
      <c r="X1843" s="48" t="str">
        <f aca="false">IF($U1843&gt;=MA_LONG1,AVERAGE(INDEX($I$1443:$I1843,402-MA_LONG1):$I1843),"")</f>
        <v/>
      </c>
      <c r="Y1843" s="48" t="str">
        <f aca="false">IF($U1843&gt;=MA_LONG2,AVERAGE(INDEX($I$1443:$I1843,402-MA_LONG2):$I1843),"")</f>
        <v/>
      </c>
      <c r="Z1843" s="48" t="str">
        <f aca="false">IF($U1843&gt;=MA_SHORT,AVERAGE(INDEX($L$1723:$L1843,122-MA_SHORT):$L1843),"")</f>
        <v/>
      </c>
      <c r="AA1843" s="48" t="n">
        <f aca="false">IF($U1843=1,$G1843-$H1843,MAX($G1843-$H1843,ABS($G1843-$I1842),ABS($H1843-$I1842)))</f>
        <v>394</v>
      </c>
      <c r="AB1843" s="48" t="n">
        <f aca="false">IF($U1843&gt;=ATR_PER,AVERAGE(INDEX($AA$1723:$AA1843,122-ATR_PER):$AA1843),"")</f>
        <v>359.714285714286</v>
      </c>
      <c r="AC1843" s="48" t="n">
        <f aca="false">$O1843-$P1843</f>
        <v>18741191</v>
      </c>
      <c r="AD1843" s="48" t="n">
        <f aca="false">$AC1843*$I1843</f>
        <v>221502136429</v>
      </c>
      <c r="AE1843" s="49" t="n">
        <f aca="false">IF($Q1843&gt;0,$O1843*$I1843/$Q1843/1000000,"")</f>
        <v>424.209748037789</v>
      </c>
      <c r="AF1843" s="49" t="n">
        <f aca="false">IF($R1843&gt;0,$P1843*$I1843/$R1843/1000000,"")</f>
        <v>451.51830225</v>
      </c>
      <c r="AG1843" s="50" t="n">
        <f aca="false">IF(AND(ISNUMBER($AE1843),ISNUMBER($AF1843),$AF1843&gt;0),$AE1843/$AF1843,"")</f>
        <v>0.93951838923001</v>
      </c>
      <c r="AH1843" s="48" t="n">
        <f aca="false">IF($U1843&gt;=5,SUM(INDEX($AD$1813:$AD1843,32-5):$AD1843),"")</f>
        <v>957904078818</v>
      </c>
      <c r="AI1843" s="48" t="str">
        <f aca="false">IF($U1843&gt;=STRUCT_S,MAX(INDEX($G$1693:$G1843,152-STRUCT_S):$G1843),"")</f>
        <v/>
      </c>
      <c r="AJ1843" s="48" t="str">
        <f aca="false">IF($U1843&gt;=STRUCT_S,MIN(INDEX($H$1693:$H1843,152-STRUCT_S):$H1843),"")</f>
        <v/>
      </c>
      <c r="AK1843" s="48" t="str">
        <f aca="false">IF($U1843&gt;=STRUCT_L,MAX(INDEX($G$1593:$G1843,252-STRUCT_L):$G1843),"")</f>
        <v/>
      </c>
      <c r="AL1843" s="48" t="str">
        <f aca="false">IF($U1843&gt;=STRUCT_L,MIN(INDEX($H$1593:$H1843,252-STRUCT_L):$H1843),"")</f>
        <v/>
      </c>
      <c r="AM1843" s="46" t="n">
        <f aca="false">IF($A1843&lt;&gt;$A1844,1,0)</f>
        <v>0</v>
      </c>
      <c r="AN1843" s="47" t="str">
        <f aca="false">IF($AM1843=1,$A1843,"")</f>
        <v/>
      </c>
    </row>
    <row r="1844" customFormat="false" ht="15" hidden="false" customHeight="false" outlineLevel="0" collapsed="false">
      <c r="A1844" s="43" t="s">
        <v>167</v>
      </c>
      <c r="B1844" s="44" t="s">
        <v>169</v>
      </c>
      <c r="C1844" s="45" t="n">
        <v>45931</v>
      </c>
      <c r="D1844" s="46" t="n">
        <v>20251001</v>
      </c>
      <c r="E1844" s="47" t="s">
        <v>307</v>
      </c>
      <c r="F1844" s="48" t="n">
        <v>11930</v>
      </c>
      <c r="G1844" s="48" t="n">
        <v>12109</v>
      </c>
      <c r="H1844" s="48" t="n">
        <v>11784</v>
      </c>
      <c r="I1844" s="48" t="n">
        <v>12073</v>
      </c>
      <c r="J1844" s="48" t="n">
        <v>11823</v>
      </c>
      <c r="K1844" s="48" t="n">
        <v>11819</v>
      </c>
      <c r="L1844" s="48" t="n">
        <v>137063750</v>
      </c>
      <c r="M1844" s="48" t="n">
        <v>1654770653750</v>
      </c>
      <c r="N1844" s="48" t="n">
        <v>6484</v>
      </c>
      <c r="O1844" s="48" t="n">
        <v>100494380</v>
      </c>
      <c r="P1844" s="48" t="n">
        <v>38007695</v>
      </c>
      <c r="Q1844" s="48" t="n">
        <v>1388</v>
      </c>
      <c r="R1844" s="48" t="n">
        <v>3902</v>
      </c>
      <c r="S1844" s="48" t="n">
        <v>36569370</v>
      </c>
      <c r="T1844" s="48" t="n">
        <v>99056055</v>
      </c>
      <c r="U1844" s="46" t="n">
        <f aca="false">IF($A1844=$A1843,$U1843+1,1)</f>
        <v>20</v>
      </c>
      <c r="V1844" s="48" t="n">
        <f aca="false">IF($U1844&gt;=MA_SHORT,AVERAGE(INDEX($I$1444:$I1844,402-MA_SHORT):$I1844),"")</f>
        <v>11743.9</v>
      </c>
      <c r="W1844" s="48" t="str">
        <f aca="false">IF($U1844&gt;=MA_MED,AVERAGE(INDEX($I$1444:$I1844,402-MA_MED):$I1844),"")</f>
        <v/>
      </c>
      <c r="X1844" s="48" t="str">
        <f aca="false">IF($U1844&gt;=MA_LONG1,AVERAGE(INDEX($I$1444:$I1844,402-MA_LONG1):$I1844),"")</f>
        <v/>
      </c>
      <c r="Y1844" s="48" t="str">
        <f aca="false">IF($U1844&gt;=MA_LONG2,AVERAGE(INDEX($I$1444:$I1844,402-MA_LONG2):$I1844),"")</f>
        <v/>
      </c>
      <c r="Z1844" s="48" t="n">
        <f aca="false">IF($U1844&gt;=MA_SHORT,AVERAGE(INDEX($L$1724:$L1844,122-MA_SHORT):$L1844),"")</f>
        <v>98970028.05</v>
      </c>
      <c r="AA1844" s="48" t="n">
        <f aca="false">IF($U1844=1,$G1844-$H1844,MAX($G1844-$H1844,ABS($G1844-$I1843),ABS($H1844-$I1843)))</f>
        <v>325</v>
      </c>
      <c r="AB1844" s="48" t="n">
        <f aca="false">IF($U1844&gt;=ATR_PER,AVERAGE(INDEX($AA$1724:$AA1844,122-ATR_PER):$AA1844),"")</f>
        <v>360.214285714286</v>
      </c>
      <c r="AC1844" s="48" t="n">
        <f aca="false">$O1844-$P1844</f>
        <v>62486685</v>
      </c>
      <c r="AD1844" s="48" t="n">
        <f aca="false">$AC1844*$I1844</f>
        <v>754401748005</v>
      </c>
      <c r="AE1844" s="49" t="n">
        <f aca="false">IF($Q1844&gt;0,$O1844*$I1844/$Q1844/1000000,"")</f>
        <v>874.112860043228</v>
      </c>
      <c r="AF1844" s="49" t="n">
        <f aca="false">IF($R1844&gt;0,$P1844*$I1844/$R1844/1000000,"")</f>
        <v>117.597873330343</v>
      </c>
      <c r="AG1844" s="50" t="n">
        <f aca="false">IF(AND(ISNUMBER($AE1844),ISNUMBER($AF1844),$AF1844&gt;0),$AE1844/$AF1844,"")</f>
        <v>7.43306690239</v>
      </c>
      <c r="AH1844" s="48" t="n">
        <f aca="false">IF($U1844&gt;=5,SUM(INDEX($AD$1814:$AD1844,32-5):$AD1844),"")</f>
        <v>1398328124319</v>
      </c>
      <c r="AI1844" s="48" t="n">
        <f aca="false">IF($U1844&gt;=STRUCT_S,MAX(INDEX($G$1694:$G1844,152-STRUCT_S):$G1844),"")</f>
        <v>12183</v>
      </c>
      <c r="AJ1844" s="48" t="n">
        <f aca="false">IF($U1844&gt;=STRUCT_S,MIN(INDEX($H$1694:$H1844,152-STRUCT_S):$H1844),"")</f>
        <v>11052</v>
      </c>
      <c r="AK1844" s="48" t="str">
        <f aca="false">IF($U1844&gt;=STRUCT_L,MAX(INDEX($G$1594:$G1844,252-STRUCT_L):$G1844),"")</f>
        <v/>
      </c>
      <c r="AL1844" s="48" t="str">
        <f aca="false">IF($U1844&gt;=STRUCT_L,MIN(INDEX($H$1594:$H1844,252-STRUCT_L):$H1844),"")</f>
        <v/>
      </c>
      <c r="AM1844" s="46" t="n">
        <f aca="false">IF($A1844&lt;&gt;$A1845,1,0)</f>
        <v>0</v>
      </c>
      <c r="AN1844" s="47" t="str">
        <f aca="false">IF($AM1844=1,$A1844,"")</f>
        <v/>
      </c>
    </row>
    <row r="1845" customFormat="false" ht="15" hidden="false" customHeight="false" outlineLevel="0" collapsed="false">
      <c r="A1845" s="43" t="s">
        <v>167</v>
      </c>
      <c r="B1845" s="44" t="s">
        <v>169</v>
      </c>
      <c r="C1845" s="45" t="n">
        <v>45934</v>
      </c>
      <c r="D1845" s="46" t="n">
        <v>20251004</v>
      </c>
      <c r="E1845" s="47" t="s">
        <v>308</v>
      </c>
      <c r="F1845" s="48" t="n">
        <v>12193</v>
      </c>
      <c r="G1845" s="48" t="n">
        <v>12413</v>
      </c>
      <c r="H1845" s="48" t="n">
        <v>11979</v>
      </c>
      <c r="I1845" s="48" t="n">
        <v>12317</v>
      </c>
      <c r="J1845" s="48" t="n">
        <v>12166</v>
      </c>
      <c r="K1845" s="48" t="n">
        <v>12073</v>
      </c>
      <c r="L1845" s="48" t="n">
        <v>89184495</v>
      </c>
      <c r="M1845" s="48" t="n">
        <v>1098485424915</v>
      </c>
      <c r="N1845" s="48" t="n">
        <v>5127</v>
      </c>
      <c r="O1845" s="48" t="n">
        <v>61559305</v>
      </c>
      <c r="P1845" s="48" t="n">
        <v>28165497</v>
      </c>
      <c r="Q1845" s="48" t="n">
        <v>1561</v>
      </c>
      <c r="R1845" s="48" t="n">
        <v>2730</v>
      </c>
      <c r="S1845" s="48" t="n">
        <v>27625190</v>
      </c>
      <c r="T1845" s="48" t="n">
        <v>61018998</v>
      </c>
      <c r="U1845" s="46" t="n">
        <f aca="false">IF($A1845=$A1844,$U1844+1,1)</f>
        <v>21</v>
      </c>
      <c r="V1845" s="48" t="n">
        <f aca="false">IF($U1845&gt;=MA_SHORT,AVERAGE(INDEX($I$1445:$I1845,402-MA_SHORT):$I1845),"")</f>
        <v>11799.85</v>
      </c>
      <c r="W1845" s="48" t="str">
        <f aca="false">IF($U1845&gt;=MA_MED,AVERAGE(INDEX($I$1445:$I1845,402-MA_MED):$I1845),"")</f>
        <v/>
      </c>
      <c r="X1845" s="48" t="str">
        <f aca="false">IF($U1845&gt;=MA_LONG1,AVERAGE(INDEX($I$1445:$I1845,402-MA_LONG1):$I1845),"")</f>
        <v/>
      </c>
      <c r="Y1845" s="48" t="str">
        <f aca="false">IF($U1845&gt;=MA_LONG2,AVERAGE(INDEX($I$1445:$I1845,402-MA_LONG2):$I1845),"")</f>
        <v/>
      </c>
      <c r="Z1845" s="48" t="n">
        <f aca="false">IF($U1845&gt;=MA_SHORT,AVERAGE(INDEX($L$1725:$L1845,122-MA_SHORT):$L1845),"")</f>
        <v>99385650.4</v>
      </c>
      <c r="AA1845" s="48" t="n">
        <f aca="false">IF($U1845=1,$G1845-$H1845,MAX($G1845-$H1845,ABS($G1845-$I1844),ABS($H1845-$I1844)))</f>
        <v>434</v>
      </c>
      <c r="AB1845" s="48" t="n">
        <f aca="false">IF($U1845&gt;=ATR_PER,AVERAGE(INDEX($AA$1725:$AA1845,122-ATR_PER):$AA1845),"")</f>
        <v>371.142857142857</v>
      </c>
      <c r="AC1845" s="48" t="n">
        <f aca="false">$O1845-$P1845</f>
        <v>33393808</v>
      </c>
      <c r="AD1845" s="48" t="n">
        <f aca="false">$AC1845*$I1845</f>
        <v>411311533136</v>
      </c>
      <c r="AE1845" s="49" t="n">
        <f aca="false">IF($Q1845&gt;0,$O1845*$I1845/$Q1845/1000000,"")</f>
        <v>485.730915877643</v>
      </c>
      <c r="AF1845" s="49" t="n">
        <f aca="false">IF($R1845&gt;0,$P1845*$I1845/$R1845/1000000,"")</f>
        <v>127.07488151978</v>
      </c>
      <c r="AG1845" s="50" t="n">
        <f aca="false">IF(AND(ISNUMBER($AE1845),ISNUMBER($AF1845),$AF1845&gt;0),$AE1845/$AF1845,"")</f>
        <v>3.82239912458258</v>
      </c>
      <c r="AH1845" s="48" t="n">
        <f aca="false">IF($U1845&gt;=5,SUM(INDEX($AD$1815:$AD1845,32-5):$AD1845),"")</f>
        <v>1942291911985</v>
      </c>
      <c r="AI1845" s="48" t="n">
        <f aca="false">IF($U1845&gt;=STRUCT_S,MAX(INDEX($G$1695:$G1845,152-STRUCT_S):$G1845),"")</f>
        <v>12413</v>
      </c>
      <c r="AJ1845" s="48" t="n">
        <f aca="false">IF($U1845&gt;=STRUCT_S,MIN(INDEX($H$1695:$H1845,152-STRUCT_S):$H1845),"")</f>
        <v>11052</v>
      </c>
      <c r="AK1845" s="48" t="str">
        <f aca="false">IF($U1845&gt;=STRUCT_L,MAX(INDEX($G$1595:$G1845,252-STRUCT_L):$G1845),"")</f>
        <v/>
      </c>
      <c r="AL1845" s="48" t="str">
        <f aca="false">IF($U1845&gt;=STRUCT_L,MIN(INDEX($H$1595:$H1845,252-STRUCT_L):$H1845),"")</f>
        <v/>
      </c>
      <c r="AM1845" s="46" t="n">
        <f aca="false">IF($A1845&lt;&gt;$A1846,1,0)</f>
        <v>0</v>
      </c>
      <c r="AN1845" s="47" t="str">
        <f aca="false">IF($AM1845=1,$A1845,"")</f>
        <v/>
      </c>
    </row>
    <row r="1846" customFormat="false" ht="15" hidden="false" customHeight="false" outlineLevel="0" collapsed="false">
      <c r="A1846" s="43" t="s">
        <v>167</v>
      </c>
      <c r="B1846" s="44" t="s">
        <v>169</v>
      </c>
      <c r="C1846" s="45" t="n">
        <v>45935</v>
      </c>
      <c r="D1846" s="46" t="n">
        <v>20251005</v>
      </c>
      <c r="E1846" s="47" t="s">
        <v>309</v>
      </c>
      <c r="F1846" s="48" t="n">
        <v>12407</v>
      </c>
      <c r="G1846" s="48" t="n">
        <v>12490</v>
      </c>
      <c r="H1846" s="48" t="n">
        <v>12242</v>
      </c>
      <c r="I1846" s="48" t="n">
        <v>12415</v>
      </c>
      <c r="J1846" s="48" t="n">
        <v>12385</v>
      </c>
      <c r="K1846" s="48" t="n">
        <v>12317</v>
      </c>
      <c r="L1846" s="48" t="n">
        <v>83336489</v>
      </c>
      <c r="M1846" s="48" t="n">
        <v>1034622510935</v>
      </c>
      <c r="N1846" s="48" t="n">
        <v>2708</v>
      </c>
      <c r="O1846" s="48" t="n">
        <v>55214321</v>
      </c>
      <c r="P1846" s="48" t="n">
        <v>30702751</v>
      </c>
      <c r="Q1846" s="48" t="n">
        <v>639</v>
      </c>
      <c r="R1846" s="48" t="n">
        <v>1829</v>
      </c>
      <c r="S1846" s="48" t="n">
        <v>28122168</v>
      </c>
      <c r="T1846" s="48" t="n">
        <v>52633738</v>
      </c>
      <c r="U1846" s="46" t="n">
        <f aca="false">IF($A1846=$A1845,$U1845+1,1)</f>
        <v>22</v>
      </c>
      <c r="V1846" s="48" t="n">
        <f aca="false">IF($U1846&gt;=MA_SHORT,AVERAGE(INDEX($I$1446:$I1846,402-MA_SHORT):$I1846),"")</f>
        <v>11845.2</v>
      </c>
      <c r="W1846" s="48" t="str">
        <f aca="false">IF($U1846&gt;=MA_MED,AVERAGE(INDEX($I$1446:$I1846,402-MA_MED):$I1846),"")</f>
        <v/>
      </c>
      <c r="X1846" s="48" t="str">
        <f aca="false">IF($U1846&gt;=MA_LONG1,AVERAGE(INDEX($I$1446:$I1846,402-MA_LONG1):$I1846),"")</f>
        <v/>
      </c>
      <c r="Y1846" s="48" t="str">
        <f aca="false">IF($U1846&gt;=MA_LONG2,AVERAGE(INDEX($I$1446:$I1846,402-MA_LONG2):$I1846),"")</f>
        <v/>
      </c>
      <c r="Z1846" s="48" t="n">
        <f aca="false">IF($U1846&gt;=MA_SHORT,AVERAGE(INDEX($L$1726:$L1846,122-MA_SHORT):$L1846),"")</f>
        <v>98891084.15</v>
      </c>
      <c r="AA1846" s="48" t="n">
        <f aca="false">IF($U1846=1,$G1846-$H1846,MAX($G1846-$H1846,ABS($G1846-$I1845),ABS($H1846-$I1845)))</f>
        <v>248</v>
      </c>
      <c r="AB1846" s="48" t="n">
        <f aca="false">IF($U1846&gt;=ATR_PER,AVERAGE(INDEX($AA$1726:$AA1846,122-ATR_PER):$AA1846),"")</f>
        <v>369.785714285714</v>
      </c>
      <c r="AC1846" s="48" t="n">
        <f aca="false">$O1846-$P1846</f>
        <v>24511570</v>
      </c>
      <c r="AD1846" s="48" t="n">
        <f aca="false">$AC1846*$I1846</f>
        <v>304311141550</v>
      </c>
      <c r="AE1846" s="49" t="n">
        <f aca="false">IF($Q1846&gt;0,$O1846*$I1846/$Q1846/1000000,"")</f>
        <v>1072.74772334116</v>
      </c>
      <c r="AF1846" s="49" t="n">
        <f aca="false">IF($R1846&gt;0,$P1846*$I1846/$R1846/1000000,"")</f>
        <v>208.406043556588</v>
      </c>
      <c r="AG1846" s="50" t="n">
        <f aca="false">IF(AND(ISNUMBER($AE1846),ISNUMBER($AF1846),$AF1846&gt;0),$AE1846/$AF1846,"")</f>
        <v>5.14739258533007</v>
      </c>
      <c r="AH1846" s="48" t="n">
        <f aca="false">IF($U1846&gt;=5,SUM(INDEX($AD$1816:$AD1846,32-5):$AD1846),"")</f>
        <v>1756331427752</v>
      </c>
      <c r="AI1846" s="48" t="n">
        <f aca="false">IF($U1846&gt;=STRUCT_S,MAX(INDEX($G$1696:$G1846,152-STRUCT_S):$G1846),"")</f>
        <v>12490</v>
      </c>
      <c r="AJ1846" s="48" t="n">
        <f aca="false">IF($U1846&gt;=STRUCT_S,MIN(INDEX($H$1696:$H1846,152-STRUCT_S):$H1846),"")</f>
        <v>11398</v>
      </c>
      <c r="AK1846" s="48" t="str">
        <f aca="false">IF($U1846&gt;=STRUCT_L,MAX(INDEX($G$1596:$G1846,252-STRUCT_L):$G1846),"")</f>
        <v/>
      </c>
      <c r="AL1846" s="48" t="str">
        <f aca="false">IF($U1846&gt;=STRUCT_L,MIN(INDEX($H$1596:$H1846,252-STRUCT_L):$H1846),"")</f>
        <v/>
      </c>
      <c r="AM1846" s="46" t="n">
        <f aca="false">IF($A1846&lt;&gt;$A1847,1,0)</f>
        <v>0</v>
      </c>
      <c r="AN1846" s="47" t="str">
        <f aca="false">IF($AM1846=1,$A1846,"")</f>
        <v/>
      </c>
    </row>
    <row r="1847" customFormat="false" ht="15" hidden="false" customHeight="false" outlineLevel="0" collapsed="false">
      <c r="A1847" s="43" t="s">
        <v>167</v>
      </c>
      <c r="B1847" s="44" t="s">
        <v>169</v>
      </c>
      <c r="C1847" s="45" t="n">
        <v>45936</v>
      </c>
      <c r="D1847" s="46" t="n">
        <v>20251006</v>
      </c>
      <c r="E1847" s="47" t="s">
        <v>310</v>
      </c>
      <c r="F1847" s="48" t="n">
        <v>12239</v>
      </c>
      <c r="G1847" s="48" t="n">
        <v>12647</v>
      </c>
      <c r="H1847" s="48" t="n">
        <v>12189</v>
      </c>
      <c r="I1847" s="48" t="n">
        <v>12421</v>
      </c>
      <c r="J1847" s="48" t="n">
        <v>12213</v>
      </c>
      <c r="K1847" s="48" t="n">
        <v>12415</v>
      </c>
      <c r="L1847" s="48" t="n">
        <v>79770009</v>
      </c>
      <c r="M1847" s="48" t="n">
        <v>990823281789</v>
      </c>
      <c r="N1847" s="48" t="n">
        <v>6714</v>
      </c>
      <c r="O1847" s="48" t="n">
        <v>46096078</v>
      </c>
      <c r="P1847" s="48" t="n">
        <v>30432012</v>
      </c>
      <c r="Q1847" s="48" t="n">
        <v>2350</v>
      </c>
      <c r="R1847" s="48" t="n">
        <v>3392</v>
      </c>
      <c r="S1847" s="48" t="n">
        <v>33673931</v>
      </c>
      <c r="T1847" s="48" t="n">
        <v>49337997</v>
      </c>
      <c r="U1847" s="46" t="n">
        <f aca="false">IF($A1847=$A1846,$U1846+1,1)</f>
        <v>23</v>
      </c>
      <c r="V1847" s="48" t="n">
        <f aca="false">IF($U1847&gt;=MA_SHORT,AVERAGE(INDEX($I$1447:$I1847,402-MA_SHORT):$I1847),"")</f>
        <v>11888.4</v>
      </c>
      <c r="W1847" s="48" t="str">
        <f aca="false">IF($U1847&gt;=MA_MED,AVERAGE(INDEX($I$1447:$I1847,402-MA_MED):$I1847),"")</f>
        <v/>
      </c>
      <c r="X1847" s="48" t="str">
        <f aca="false">IF($U1847&gt;=MA_LONG1,AVERAGE(INDEX($I$1447:$I1847,402-MA_LONG1):$I1847),"")</f>
        <v/>
      </c>
      <c r="Y1847" s="48" t="str">
        <f aca="false">IF($U1847&gt;=MA_LONG2,AVERAGE(INDEX($I$1447:$I1847,402-MA_LONG2):$I1847),"")</f>
        <v/>
      </c>
      <c r="Z1847" s="48" t="n">
        <f aca="false">IF($U1847&gt;=MA_SHORT,AVERAGE(INDEX($L$1727:$L1847,122-MA_SHORT):$L1847),"")</f>
        <v>98801014.85</v>
      </c>
      <c r="AA1847" s="48" t="n">
        <f aca="false">IF($U1847=1,$G1847-$H1847,MAX($G1847-$H1847,ABS($G1847-$I1846),ABS($H1847-$I1846)))</f>
        <v>458</v>
      </c>
      <c r="AB1847" s="48" t="n">
        <f aca="false">IF($U1847&gt;=ATR_PER,AVERAGE(INDEX($AA$1727:$AA1847,122-ATR_PER):$AA1847),"")</f>
        <v>391.5</v>
      </c>
      <c r="AC1847" s="48" t="n">
        <f aca="false">$O1847-$P1847</f>
        <v>15664066</v>
      </c>
      <c r="AD1847" s="48" t="n">
        <f aca="false">$AC1847*$I1847</f>
        <v>194563363786</v>
      </c>
      <c r="AE1847" s="49" t="n">
        <f aca="false">IF($Q1847&gt;0,$O1847*$I1847/$Q1847/1000000,"")</f>
        <v>243.642291420426</v>
      </c>
      <c r="AF1847" s="49" t="n">
        <f aca="false">IF($R1847&gt;0,$P1847*$I1847/$R1847/1000000,"")</f>
        <v>111.437506206368</v>
      </c>
      <c r="AG1847" s="50" t="n">
        <f aca="false">IF(AND(ISNUMBER($AE1847),ISNUMBER($AF1847),$AF1847&gt;0),$AE1847/$AF1847,"")</f>
        <v>2.18635807381791</v>
      </c>
      <c r="AH1847" s="48" t="n">
        <f aca="false">IF($U1847&gt;=5,SUM(INDEX($AD$1817:$AD1847,32-5):$AD1847),"")</f>
        <v>1886089922906</v>
      </c>
      <c r="AI1847" s="48" t="n">
        <f aca="false">IF($U1847&gt;=STRUCT_S,MAX(INDEX($G$1697:$G1847,152-STRUCT_S):$G1847),"")</f>
        <v>12647</v>
      </c>
      <c r="AJ1847" s="48" t="n">
        <f aca="false">IF($U1847&gt;=STRUCT_S,MIN(INDEX($H$1697:$H1847,152-STRUCT_S):$H1847),"")</f>
        <v>11398</v>
      </c>
      <c r="AK1847" s="48" t="str">
        <f aca="false">IF($U1847&gt;=STRUCT_L,MAX(INDEX($G$1597:$G1847,252-STRUCT_L):$G1847),"")</f>
        <v/>
      </c>
      <c r="AL1847" s="48" t="str">
        <f aca="false">IF($U1847&gt;=STRUCT_L,MIN(INDEX($H$1597:$H1847,252-STRUCT_L):$H1847),"")</f>
        <v/>
      </c>
      <c r="AM1847" s="46" t="n">
        <f aca="false">IF($A1847&lt;&gt;$A1848,1,0)</f>
        <v>0</v>
      </c>
      <c r="AN1847" s="47" t="str">
        <f aca="false">IF($AM1847=1,$A1847,"")</f>
        <v/>
      </c>
    </row>
    <row r="1848" customFormat="false" ht="15" hidden="false" customHeight="false" outlineLevel="0" collapsed="false">
      <c r="A1848" s="43" t="s">
        <v>167</v>
      </c>
      <c r="B1848" s="44" t="s">
        <v>169</v>
      </c>
      <c r="C1848" s="45" t="n">
        <v>45937</v>
      </c>
      <c r="D1848" s="46" t="n">
        <v>20251007</v>
      </c>
      <c r="E1848" s="47" t="s">
        <v>311</v>
      </c>
      <c r="F1848" s="48" t="n">
        <v>12442</v>
      </c>
      <c r="G1848" s="48" t="n">
        <v>12549</v>
      </c>
      <c r="H1848" s="48" t="n">
        <v>12253</v>
      </c>
      <c r="I1848" s="48" t="n">
        <v>12381</v>
      </c>
      <c r="J1848" s="48" t="n">
        <v>12533</v>
      </c>
      <c r="K1848" s="48" t="n">
        <v>12421</v>
      </c>
      <c r="L1848" s="48" t="n">
        <v>81076236</v>
      </c>
      <c r="M1848" s="48" t="n">
        <v>1003804877916</v>
      </c>
      <c r="N1848" s="48" t="n">
        <v>1963</v>
      </c>
      <c r="O1848" s="48" t="n">
        <v>45175847</v>
      </c>
      <c r="P1848" s="48" t="n">
        <v>33882510</v>
      </c>
      <c r="Q1848" s="48" t="n">
        <v>1241</v>
      </c>
      <c r="R1848" s="48" t="n">
        <v>535</v>
      </c>
      <c r="S1848" s="48" t="n">
        <v>35900389</v>
      </c>
      <c r="T1848" s="48" t="n">
        <v>47193726</v>
      </c>
      <c r="U1848" s="46" t="n">
        <f aca="false">IF($A1848=$A1847,$U1847+1,1)</f>
        <v>24</v>
      </c>
      <c r="V1848" s="48" t="n">
        <f aca="false">IF($U1848&gt;=MA_SHORT,AVERAGE(INDEX($I$1448:$I1848,402-MA_SHORT):$I1848),"")</f>
        <v>11920.25</v>
      </c>
      <c r="W1848" s="48" t="str">
        <f aca="false">IF($U1848&gt;=MA_MED,AVERAGE(INDEX($I$1448:$I1848,402-MA_MED):$I1848),"")</f>
        <v/>
      </c>
      <c r="X1848" s="48" t="str">
        <f aca="false">IF($U1848&gt;=MA_LONG1,AVERAGE(INDEX($I$1448:$I1848,402-MA_LONG1):$I1848),"")</f>
        <v/>
      </c>
      <c r="Y1848" s="48" t="str">
        <f aca="false">IF($U1848&gt;=MA_LONG2,AVERAGE(INDEX($I$1448:$I1848,402-MA_LONG2):$I1848),"")</f>
        <v/>
      </c>
      <c r="Z1848" s="48" t="n">
        <f aca="false">IF($U1848&gt;=MA_SHORT,AVERAGE(INDEX($L$1728:$L1848,122-MA_SHORT):$L1848),"")</f>
        <v>96693939.95</v>
      </c>
      <c r="AA1848" s="48" t="n">
        <f aca="false">IF($U1848=1,$G1848-$H1848,MAX($G1848-$H1848,ABS($G1848-$I1847),ABS($H1848-$I1847)))</f>
        <v>296</v>
      </c>
      <c r="AB1848" s="48" t="n">
        <f aca="false">IF($U1848&gt;=ATR_PER,AVERAGE(INDEX($AA$1728:$AA1848,122-ATR_PER):$AA1848),"")</f>
        <v>381.5</v>
      </c>
      <c r="AC1848" s="48" t="n">
        <f aca="false">$O1848-$P1848</f>
        <v>11293337</v>
      </c>
      <c r="AD1848" s="48" t="n">
        <f aca="false">$AC1848*$I1848</f>
        <v>139822805397</v>
      </c>
      <c r="AE1848" s="49" t="n">
        <f aca="false">IF($Q1848&gt;0,$O1848*$I1848/$Q1848/1000000,"")</f>
        <v>450.702789449637</v>
      </c>
      <c r="AF1848" s="49" t="n">
        <f aca="false">IF($R1848&gt;0,$P1848*$I1848/$R1848/1000000,"")</f>
        <v>784.110946373832</v>
      </c>
      <c r="AG1848" s="50" t="n">
        <f aca="false">IF(AND(ISNUMBER($AE1848),ISNUMBER($AF1848),$AF1848&gt;0),$AE1848/$AF1848,"")</f>
        <v>0.574794665900202</v>
      </c>
      <c r="AH1848" s="48" t="n">
        <f aca="false">IF($U1848&gt;=5,SUM(INDEX($AD$1818:$AD1848,32-5):$AD1848),"")</f>
        <v>1804410591874</v>
      </c>
      <c r="AI1848" s="48" t="n">
        <f aca="false">IF($U1848&gt;=STRUCT_S,MAX(INDEX($G$1698:$G1848,152-STRUCT_S):$G1848),"")</f>
        <v>12647</v>
      </c>
      <c r="AJ1848" s="48" t="n">
        <f aca="false">IF($U1848&gt;=STRUCT_S,MIN(INDEX($H$1698:$H1848,152-STRUCT_S):$H1848),"")</f>
        <v>11438</v>
      </c>
      <c r="AK1848" s="48" t="str">
        <f aca="false">IF($U1848&gt;=STRUCT_L,MAX(INDEX($G$1598:$G1848,252-STRUCT_L):$G1848),"")</f>
        <v/>
      </c>
      <c r="AL1848" s="48" t="str">
        <f aca="false">IF($U1848&gt;=STRUCT_L,MIN(INDEX($H$1598:$H1848,252-STRUCT_L):$H1848),"")</f>
        <v/>
      </c>
      <c r="AM1848" s="46" t="n">
        <f aca="false">IF($A1848&lt;&gt;$A1849,1,0)</f>
        <v>0</v>
      </c>
      <c r="AN1848" s="47" t="str">
        <f aca="false">IF($AM1848=1,$A1848,"")</f>
        <v/>
      </c>
    </row>
    <row r="1849" customFormat="false" ht="15" hidden="false" customHeight="false" outlineLevel="0" collapsed="false">
      <c r="A1849" s="43" t="s">
        <v>167</v>
      </c>
      <c r="B1849" s="44" t="s">
        <v>169</v>
      </c>
      <c r="C1849" s="45" t="n">
        <v>45938</v>
      </c>
      <c r="D1849" s="46" t="n">
        <v>20251008</v>
      </c>
      <c r="E1849" s="47" t="s">
        <v>312</v>
      </c>
      <c r="F1849" s="48" t="n">
        <v>11974</v>
      </c>
      <c r="G1849" s="48" t="n">
        <v>12459</v>
      </c>
      <c r="H1849" s="48" t="n">
        <v>11866</v>
      </c>
      <c r="I1849" s="48" t="n">
        <v>11942</v>
      </c>
      <c r="J1849" s="48" t="n">
        <v>12101</v>
      </c>
      <c r="K1849" s="48" t="n">
        <v>12381</v>
      </c>
      <c r="L1849" s="48" t="n">
        <v>96460997</v>
      </c>
      <c r="M1849" s="48" t="n">
        <v>1151937226174</v>
      </c>
      <c r="N1849" s="48" t="n">
        <v>4515</v>
      </c>
      <c r="O1849" s="48" t="n">
        <v>42431890</v>
      </c>
      <c r="P1849" s="48" t="n">
        <v>55788332</v>
      </c>
      <c r="Q1849" s="48" t="n">
        <v>1828</v>
      </c>
      <c r="R1849" s="48" t="n">
        <v>1604</v>
      </c>
      <c r="S1849" s="48" t="n">
        <v>54029107</v>
      </c>
      <c r="T1849" s="48" t="n">
        <v>40672665</v>
      </c>
      <c r="U1849" s="46" t="n">
        <f aca="false">IF($A1849=$A1848,$U1848+1,1)</f>
        <v>25</v>
      </c>
      <c r="V1849" s="48" t="n">
        <f aca="false">IF($U1849&gt;=MA_SHORT,AVERAGE(INDEX($I$1449:$I1849,402-MA_SHORT):$I1849),"")</f>
        <v>11934.8</v>
      </c>
      <c r="W1849" s="48" t="str">
        <f aca="false">IF($U1849&gt;=MA_MED,AVERAGE(INDEX($I$1449:$I1849,402-MA_MED):$I1849),"")</f>
        <v/>
      </c>
      <c r="X1849" s="48" t="str">
        <f aca="false">IF($U1849&gt;=MA_LONG1,AVERAGE(INDEX($I$1449:$I1849,402-MA_LONG1):$I1849),"")</f>
        <v/>
      </c>
      <c r="Y1849" s="48" t="str">
        <f aca="false">IF($U1849&gt;=MA_LONG2,AVERAGE(INDEX($I$1449:$I1849,402-MA_LONG2):$I1849),"")</f>
        <v/>
      </c>
      <c r="Z1849" s="48" t="n">
        <f aca="false">IF($U1849&gt;=MA_SHORT,AVERAGE(INDEX($L$1729:$L1849,122-MA_SHORT):$L1849),"")</f>
        <v>97351061.25</v>
      </c>
      <c r="AA1849" s="48" t="n">
        <f aca="false">IF($U1849=1,$G1849-$H1849,MAX($G1849-$H1849,ABS($G1849-$I1848),ABS($H1849-$I1848)))</f>
        <v>593</v>
      </c>
      <c r="AB1849" s="48" t="n">
        <f aca="false">IF($U1849&gt;=ATR_PER,AVERAGE(INDEX($AA$1729:$AA1849,122-ATR_PER):$AA1849),"")</f>
        <v>391.357142857143</v>
      </c>
      <c r="AC1849" s="48" t="n">
        <f aca="false">$O1849-$P1849</f>
        <v>-13356442</v>
      </c>
      <c r="AD1849" s="48" t="n">
        <f aca="false">$AC1849*$I1849</f>
        <v>-159502630364</v>
      </c>
      <c r="AE1849" s="49" t="n">
        <f aca="false">IF($Q1849&gt;0,$O1849*$I1849/$Q1849/1000000,"")</f>
        <v>277.200016619256</v>
      </c>
      <c r="AF1849" s="49" t="n">
        <f aca="false">IF($R1849&gt;0,$P1849*$I1849/$R1849/1000000,"")</f>
        <v>415.351783506234</v>
      </c>
      <c r="AG1849" s="50" t="n">
        <f aca="false">IF(AND(ISNUMBER($AE1849),ISNUMBER($AF1849),$AF1849&gt;0),$AE1849/$AF1849,"")</f>
        <v>0.667386123346441</v>
      </c>
      <c r="AH1849" s="48" t="n">
        <f aca="false">IF($U1849&gt;=5,SUM(INDEX($AD$1819:$AD1849,32-5):$AD1849),"")</f>
        <v>890506213505</v>
      </c>
      <c r="AI1849" s="48" t="n">
        <f aca="false">IF($U1849&gt;=STRUCT_S,MAX(INDEX($G$1699:$G1849,152-STRUCT_S):$G1849),"")</f>
        <v>12647</v>
      </c>
      <c r="AJ1849" s="48" t="n">
        <f aca="false">IF($U1849&gt;=STRUCT_S,MIN(INDEX($H$1699:$H1849,152-STRUCT_S):$H1849),"")</f>
        <v>11438</v>
      </c>
      <c r="AK1849" s="48" t="str">
        <f aca="false">IF($U1849&gt;=STRUCT_L,MAX(INDEX($G$1599:$G1849,252-STRUCT_L):$G1849),"")</f>
        <v/>
      </c>
      <c r="AL1849" s="48" t="str">
        <f aca="false">IF($U1849&gt;=STRUCT_L,MIN(INDEX($H$1599:$H1849,252-STRUCT_L):$H1849),"")</f>
        <v/>
      </c>
      <c r="AM1849" s="46" t="n">
        <f aca="false">IF($A1849&lt;&gt;$A1850,1,0)</f>
        <v>0</v>
      </c>
      <c r="AN1849" s="47" t="str">
        <f aca="false">IF($AM1849=1,$A1849,"")</f>
        <v/>
      </c>
    </row>
    <row r="1850" customFormat="false" ht="15" hidden="false" customHeight="false" outlineLevel="0" collapsed="false">
      <c r="A1850" s="43" t="s">
        <v>167</v>
      </c>
      <c r="B1850" s="44" t="s">
        <v>169</v>
      </c>
      <c r="C1850" s="45" t="n">
        <v>45941</v>
      </c>
      <c r="D1850" s="46" t="n">
        <v>20251011</v>
      </c>
      <c r="E1850" s="47" t="s">
        <v>313</v>
      </c>
      <c r="F1850" s="48" t="n">
        <v>12093</v>
      </c>
      <c r="G1850" s="48" t="n">
        <v>12141</v>
      </c>
      <c r="H1850" s="48" t="n">
        <v>11888</v>
      </c>
      <c r="I1850" s="48" t="n">
        <v>12086</v>
      </c>
      <c r="J1850" s="48" t="n">
        <v>12030</v>
      </c>
      <c r="K1850" s="48" t="n">
        <v>11942</v>
      </c>
      <c r="L1850" s="48" t="n">
        <v>93796002</v>
      </c>
      <c r="M1850" s="48" t="n">
        <v>1133618480172</v>
      </c>
      <c r="N1850" s="48" t="n">
        <v>9796</v>
      </c>
      <c r="O1850" s="48" t="n">
        <v>56630666</v>
      </c>
      <c r="P1850" s="48" t="n">
        <v>36024619</v>
      </c>
      <c r="Q1850" s="48" t="n">
        <v>3234</v>
      </c>
      <c r="R1850" s="48" t="n">
        <v>6846</v>
      </c>
      <c r="S1850" s="48" t="n">
        <v>37165336</v>
      </c>
      <c r="T1850" s="48" t="n">
        <v>57771383</v>
      </c>
      <c r="U1850" s="46" t="n">
        <f aca="false">IF($A1850=$A1849,$U1849+1,1)</f>
        <v>26</v>
      </c>
      <c r="V1850" s="48" t="n">
        <f aca="false">IF($U1850&gt;=MA_SHORT,AVERAGE(INDEX($I$1450:$I1850,402-MA_SHORT):$I1850),"")</f>
        <v>11955.85</v>
      </c>
      <c r="W1850" s="48" t="str">
        <f aca="false">IF($U1850&gt;=MA_MED,AVERAGE(INDEX($I$1450:$I1850,402-MA_MED):$I1850),"")</f>
        <v/>
      </c>
      <c r="X1850" s="48" t="str">
        <f aca="false">IF($U1850&gt;=MA_LONG1,AVERAGE(INDEX($I$1450:$I1850,402-MA_LONG1):$I1850),"")</f>
        <v/>
      </c>
      <c r="Y1850" s="48" t="str">
        <f aca="false">IF($U1850&gt;=MA_LONG2,AVERAGE(INDEX($I$1450:$I1850,402-MA_LONG2):$I1850),"")</f>
        <v/>
      </c>
      <c r="Z1850" s="48" t="n">
        <f aca="false">IF($U1850&gt;=MA_SHORT,AVERAGE(INDEX($L$1730:$L1850,122-MA_SHORT):$L1850),"")</f>
        <v>95215366.6</v>
      </c>
      <c r="AA1850" s="48" t="n">
        <f aca="false">IF($U1850=1,$G1850-$H1850,MAX($G1850-$H1850,ABS($G1850-$I1849),ABS($H1850-$I1849)))</f>
        <v>253</v>
      </c>
      <c r="AB1850" s="48" t="n">
        <f aca="false">IF($U1850&gt;=ATR_PER,AVERAGE(INDEX($AA$1730:$AA1850,122-ATR_PER):$AA1850),"")</f>
        <v>394.071428571429</v>
      </c>
      <c r="AC1850" s="48" t="n">
        <f aca="false">$O1850-$P1850</f>
        <v>20606047</v>
      </c>
      <c r="AD1850" s="48" t="n">
        <f aca="false">$AC1850*$I1850</f>
        <v>249044684042</v>
      </c>
      <c r="AE1850" s="49" t="n">
        <f aca="false">IF($Q1850&gt;0,$O1850*$I1850/$Q1850/1000000,"")</f>
        <v>211.638289819419</v>
      </c>
      <c r="AF1850" s="49" t="n">
        <f aca="false">IF($R1850&gt;0,$P1850*$I1850/$R1850/1000000,"")</f>
        <v>63.5982391519135</v>
      </c>
      <c r="AG1850" s="50" t="n">
        <f aca="false">IF(AND(ISNUMBER($AE1850),ISNUMBER($AF1850),$AF1850&gt;0),$AE1850/$AF1850,"")</f>
        <v>3.32773819907011</v>
      </c>
      <c r="AH1850" s="48" t="n">
        <f aca="false">IF($U1850&gt;=5,SUM(INDEX($AD$1820:$AD1850,32-5):$AD1850),"")</f>
        <v>728239364411</v>
      </c>
      <c r="AI1850" s="48" t="n">
        <f aca="false">IF($U1850&gt;=STRUCT_S,MAX(INDEX($G$1700:$G1850,152-STRUCT_S):$G1850),"")</f>
        <v>12647</v>
      </c>
      <c r="AJ1850" s="48" t="n">
        <f aca="false">IF($U1850&gt;=STRUCT_S,MIN(INDEX($H$1700:$H1850,152-STRUCT_S):$H1850),"")</f>
        <v>11438</v>
      </c>
      <c r="AK1850" s="48" t="str">
        <f aca="false">IF($U1850&gt;=STRUCT_L,MAX(INDEX($G$1600:$G1850,252-STRUCT_L):$G1850),"")</f>
        <v/>
      </c>
      <c r="AL1850" s="48" t="str">
        <f aca="false">IF($U1850&gt;=STRUCT_L,MIN(INDEX($H$1600:$H1850,252-STRUCT_L):$H1850),"")</f>
        <v/>
      </c>
      <c r="AM1850" s="46" t="n">
        <f aca="false">IF($A1850&lt;&gt;$A1851,1,0)</f>
        <v>0</v>
      </c>
      <c r="AN1850" s="47" t="str">
        <f aca="false">IF($AM1850=1,$A1850,"")</f>
        <v/>
      </c>
    </row>
    <row r="1851" customFormat="false" ht="15" hidden="false" customHeight="false" outlineLevel="0" collapsed="false">
      <c r="A1851" s="43" t="s">
        <v>167</v>
      </c>
      <c r="B1851" s="44" t="s">
        <v>169</v>
      </c>
      <c r="C1851" s="45" t="n">
        <v>45942</v>
      </c>
      <c r="D1851" s="46" t="n">
        <v>20251012</v>
      </c>
      <c r="E1851" s="47" t="s">
        <v>314</v>
      </c>
      <c r="F1851" s="48" t="n">
        <v>12016</v>
      </c>
      <c r="G1851" s="48" t="n">
        <v>12133</v>
      </c>
      <c r="H1851" s="48" t="n">
        <v>11654</v>
      </c>
      <c r="I1851" s="48" t="n">
        <v>11699</v>
      </c>
      <c r="J1851" s="48" t="n">
        <v>11995</v>
      </c>
      <c r="K1851" s="48" t="n">
        <v>12086</v>
      </c>
      <c r="L1851" s="48" t="n">
        <v>212091625</v>
      </c>
      <c r="M1851" s="48" t="n">
        <v>2481259920875</v>
      </c>
      <c r="N1851" s="48" t="n">
        <v>7103</v>
      </c>
      <c r="O1851" s="48" t="n">
        <v>91703427</v>
      </c>
      <c r="P1851" s="48" t="n">
        <v>129053038</v>
      </c>
      <c r="Q1851" s="48" t="n">
        <v>3545</v>
      </c>
      <c r="R1851" s="48" t="n">
        <v>2893</v>
      </c>
      <c r="S1851" s="48" t="n">
        <v>120388198</v>
      </c>
      <c r="T1851" s="48" t="n">
        <v>83038587</v>
      </c>
      <c r="U1851" s="46" t="n">
        <f aca="false">IF($A1851=$A1850,$U1850+1,1)</f>
        <v>27</v>
      </c>
      <c r="V1851" s="48" t="n">
        <f aca="false">IF($U1851&gt;=MA_SHORT,AVERAGE(INDEX($I$1451:$I1851,402-MA_SHORT):$I1851),"")</f>
        <v>11955.9</v>
      </c>
      <c r="W1851" s="48" t="str">
        <f aca="false">IF($U1851&gt;=MA_MED,AVERAGE(INDEX($I$1451:$I1851,402-MA_MED):$I1851),"")</f>
        <v/>
      </c>
      <c r="X1851" s="48" t="str">
        <f aca="false">IF($U1851&gt;=MA_LONG1,AVERAGE(INDEX($I$1451:$I1851,402-MA_LONG1):$I1851),"")</f>
        <v/>
      </c>
      <c r="Y1851" s="48" t="str">
        <f aca="false">IF($U1851&gt;=MA_LONG2,AVERAGE(INDEX($I$1451:$I1851,402-MA_LONG2):$I1851),"")</f>
        <v/>
      </c>
      <c r="Z1851" s="48" t="n">
        <f aca="false">IF($U1851&gt;=MA_SHORT,AVERAGE(INDEX($L$1731:$L1851,122-MA_SHORT):$L1851),"")</f>
        <v>100193145.6</v>
      </c>
      <c r="AA1851" s="48" t="n">
        <f aca="false">IF($U1851=1,$G1851-$H1851,MAX($G1851-$H1851,ABS($G1851-$I1850),ABS($H1851-$I1850)))</f>
        <v>479</v>
      </c>
      <c r="AB1851" s="48" t="n">
        <f aca="false">IF($U1851&gt;=ATR_PER,AVERAGE(INDEX($AA$1731:$AA1851,122-ATR_PER):$AA1851),"")</f>
        <v>418</v>
      </c>
      <c r="AC1851" s="48" t="n">
        <f aca="false">$O1851-$P1851</f>
        <v>-37349611</v>
      </c>
      <c r="AD1851" s="48" t="n">
        <f aca="false">$AC1851*$I1851</f>
        <v>-436953099089</v>
      </c>
      <c r="AE1851" s="49" t="n">
        <f aca="false">IF($Q1851&gt;0,$O1851*$I1851/$Q1851/1000000,"")</f>
        <v>302.634243292807</v>
      </c>
      <c r="AF1851" s="49" t="n">
        <f aca="false">IF($R1851&gt;0,$P1851*$I1851/$R1851/1000000,"")</f>
        <v>521.877459924646</v>
      </c>
      <c r="AG1851" s="50" t="n">
        <f aca="false">IF(AND(ISNUMBER($AE1851),ISNUMBER($AF1851),$AF1851&gt;0),$AE1851/$AF1851,"")</f>
        <v>0.579895217809377</v>
      </c>
      <c r="AH1851" s="48" t="n">
        <f aca="false">IF($U1851&gt;=5,SUM(INDEX($AD$1821:$AD1851,32-5):$AD1851),"")</f>
        <v>-13024876228</v>
      </c>
      <c r="AI1851" s="48" t="n">
        <f aca="false">IF($U1851&gt;=STRUCT_S,MAX(INDEX($G$1701:$G1851,152-STRUCT_S):$G1851),"")</f>
        <v>12647</v>
      </c>
      <c r="AJ1851" s="48" t="n">
        <f aca="false">IF($U1851&gt;=STRUCT_S,MIN(INDEX($H$1701:$H1851,152-STRUCT_S):$H1851),"")</f>
        <v>11438</v>
      </c>
      <c r="AK1851" s="48" t="str">
        <f aca="false">IF($U1851&gt;=STRUCT_L,MAX(INDEX($G$1601:$G1851,252-STRUCT_L):$G1851),"")</f>
        <v/>
      </c>
      <c r="AL1851" s="48" t="str">
        <f aca="false">IF($U1851&gt;=STRUCT_L,MIN(INDEX($H$1601:$H1851,252-STRUCT_L):$H1851),"")</f>
        <v/>
      </c>
      <c r="AM1851" s="46" t="n">
        <f aca="false">IF($A1851&lt;&gt;$A1852,1,0)</f>
        <v>0</v>
      </c>
      <c r="AN1851" s="47" t="str">
        <f aca="false">IF($AM1851=1,$A1851,"")</f>
        <v/>
      </c>
    </row>
    <row r="1852" customFormat="false" ht="15" hidden="false" customHeight="false" outlineLevel="0" collapsed="false">
      <c r="A1852" s="43" t="s">
        <v>167</v>
      </c>
      <c r="B1852" s="44" t="s">
        <v>169</v>
      </c>
      <c r="C1852" s="45" t="n">
        <v>45943</v>
      </c>
      <c r="D1852" s="46" t="n">
        <v>20251013</v>
      </c>
      <c r="E1852" s="47" t="s">
        <v>315</v>
      </c>
      <c r="F1852" s="48" t="n">
        <v>11591</v>
      </c>
      <c r="G1852" s="48" t="n">
        <v>12245</v>
      </c>
      <c r="H1852" s="48" t="n">
        <v>11490</v>
      </c>
      <c r="I1852" s="48" t="n">
        <v>12030</v>
      </c>
      <c r="J1852" s="48" t="n">
        <v>11804</v>
      </c>
      <c r="K1852" s="48" t="n">
        <v>11699</v>
      </c>
      <c r="L1852" s="48" t="n">
        <v>93041819</v>
      </c>
      <c r="M1852" s="48" t="n">
        <v>1119293082570</v>
      </c>
      <c r="N1852" s="48" t="n">
        <v>4262</v>
      </c>
      <c r="O1852" s="48" t="n">
        <v>67586753</v>
      </c>
      <c r="P1852" s="48" t="n">
        <v>23114474</v>
      </c>
      <c r="Q1852" s="48" t="n">
        <v>1388</v>
      </c>
      <c r="R1852" s="48" t="n">
        <v>2724</v>
      </c>
      <c r="S1852" s="48" t="n">
        <v>25455066</v>
      </c>
      <c r="T1852" s="48" t="n">
        <v>69927345</v>
      </c>
      <c r="U1852" s="46" t="n">
        <f aca="false">IF($A1852=$A1851,$U1851+1,1)</f>
        <v>28</v>
      </c>
      <c r="V1852" s="48" t="n">
        <f aca="false">IF($U1852&gt;=MA_SHORT,AVERAGE(INDEX($I$1452:$I1852,402-MA_SHORT):$I1852),"")</f>
        <v>11970.5</v>
      </c>
      <c r="W1852" s="48" t="str">
        <f aca="false">IF($U1852&gt;=MA_MED,AVERAGE(INDEX($I$1452:$I1852,402-MA_MED):$I1852),"")</f>
        <v/>
      </c>
      <c r="X1852" s="48" t="str">
        <f aca="false">IF($U1852&gt;=MA_LONG1,AVERAGE(INDEX($I$1452:$I1852,402-MA_LONG1):$I1852),"")</f>
        <v/>
      </c>
      <c r="Y1852" s="48" t="str">
        <f aca="false">IF($U1852&gt;=MA_LONG2,AVERAGE(INDEX($I$1452:$I1852,402-MA_LONG2):$I1852),"")</f>
        <v/>
      </c>
      <c r="Z1852" s="48" t="n">
        <f aca="false">IF($U1852&gt;=MA_SHORT,AVERAGE(INDEX($L$1732:$L1852,122-MA_SHORT):$L1852),"")</f>
        <v>98305543.8</v>
      </c>
      <c r="AA1852" s="48" t="n">
        <f aca="false">IF($U1852=1,$G1852-$H1852,MAX($G1852-$H1852,ABS($G1852-$I1851),ABS($H1852-$I1851)))</f>
        <v>755</v>
      </c>
      <c r="AB1852" s="48" t="n">
        <f aca="false">IF($U1852&gt;=ATR_PER,AVERAGE(INDEX($AA$1732:$AA1852,122-ATR_PER):$AA1852),"")</f>
        <v>432.714285714286</v>
      </c>
      <c r="AC1852" s="48" t="n">
        <f aca="false">$O1852-$P1852</f>
        <v>44472279</v>
      </c>
      <c r="AD1852" s="48" t="n">
        <f aca="false">$AC1852*$I1852</f>
        <v>535001516370</v>
      </c>
      <c r="AE1852" s="49" t="n">
        <f aca="false">IF($Q1852&gt;0,$O1852*$I1852/$Q1852/1000000,"")</f>
        <v>585.784321750721</v>
      </c>
      <c r="AF1852" s="49" t="n">
        <f aca="false">IF($R1852&gt;0,$P1852*$I1852/$R1852/1000000,"")</f>
        <v>102.080441343612</v>
      </c>
      <c r="AG1852" s="50" t="n">
        <f aca="false">IF(AND(ISNUMBER($AE1852),ISNUMBER($AF1852),$AF1852&gt;0),$AE1852/$AF1852,"")</f>
        <v>5.73845796550698</v>
      </c>
      <c r="AH1852" s="48" t="n">
        <f aca="false">IF($U1852&gt;=5,SUM(INDEX($AD$1822:$AD1852,32-5):$AD1852),"")</f>
        <v>327413276356</v>
      </c>
      <c r="AI1852" s="48" t="n">
        <f aca="false">IF($U1852&gt;=STRUCT_S,MAX(INDEX($G$1702:$G1852,152-STRUCT_S):$G1852),"")</f>
        <v>12647</v>
      </c>
      <c r="AJ1852" s="48" t="n">
        <f aca="false">IF($U1852&gt;=STRUCT_S,MIN(INDEX($H$1702:$H1852,152-STRUCT_S):$H1852),"")</f>
        <v>11438</v>
      </c>
      <c r="AK1852" s="48" t="str">
        <f aca="false">IF($U1852&gt;=STRUCT_L,MAX(INDEX($G$1602:$G1852,252-STRUCT_L):$G1852),"")</f>
        <v/>
      </c>
      <c r="AL1852" s="48" t="str">
        <f aca="false">IF($U1852&gt;=STRUCT_L,MIN(INDEX($H$1602:$H1852,252-STRUCT_L):$H1852),"")</f>
        <v/>
      </c>
      <c r="AM1852" s="46" t="n">
        <f aca="false">IF($A1852&lt;&gt;$A1853,1,0)</f>
        <v>0</v>
      </c>
      <c r="AN1852" s="47" t="str">
        <f aca="false">IF($AM1852=1,$A1852,"")</f>
        <v/>
      </c>
    </row>
    <row r="1853" customFormat="false" ht="15" hidden="false" customHeight="false" outlineLevel="0" collapsed="false">
      <c r="A1853" s="43" t="s">
        <v>167</v>
      </c>
      <c r="B1853" s="44" t="s">
        <v>169</v>
      </c>
      <c r="C1853" s="45" t="n">
        <v>45944</v>
      </c>
      <c r="D1853" s="46" t="n">
        <v>20251014</v>
      </c>
      <c r="E1853" s="47" t="s">
        <v>316</v>
      </c>
      <c r="F1853" s="48" t="n">
        <v>12025</v>
      </c>
      <c r="G1853" s="48" t="n">
        <v>12132</v>
      </c>
      <c r="H1853" s="48" t="n">
        <v>11967</v>
      </c>
      <c r="I1853" s="48" t="n">
        <v>12069</v>
      </c>
      <c r="J1853" s="48" t="n">
        <v>12081</v>
      </c>
      <c r="K1853" s="48" t="n">
        <v>12030</v>
      </c>
      <c r="L1853" s="48" t="n">
        <v>81086517</v>
      </c>
      <c r="M1853" s="48" t="n">
        <v>978633173673</v>
      </c>
      <c r="N1853" s="48" t="n">
        <v>3486</v>
      </c>
      <c r="O1853" s="48" t="n">
        <v>54679378</v>
      </c>
      <c r="P1853" s="48" t="n">
        <v>26864726</v>
      </c>
      <c r="Q1853" s="48" t="n">
        <v>896</v>
      </c>
      <c r="R1853" s="48" t="n">
        <v>1984</v>
      </c>
      <c r="S1853" s="48" t="n">
        <v>26407139</v>
      </c>
      <c r="T1853" s="48" t="n">
        <v>54221791</v>
      </c>
      <c r="U1853" s="46" t="n">
        <f aca="false">IF($A1853=$A1852,$U1852+1,1)</f>
        <v>29</v>
      </c>
      <c r="V1853" s="48" t="n">
        <f aca="false">IF($U1853&gt;=MA_SHORT,AVERAGE(INDEX($I$1453:$I1853,402-MA_SHORT):$I1853),"")</f>
        <v>11984.15</v>
      </c>
      <c r="W1853" s="48" t="str">
        <f aca="false">IF($U1853&gt;=MA_MED,AVERAGE(INDEX($I$1453:$I1853,402-MA_MED):$I1853),"")</f>
        <v/>
      </c>
      <c r="X1853" s="48" t="str">
        <f aca="false">IF($U1853&gt;=MA_LONG1,AVERAGE(INDEX($I$1453:$I1853,402-MA_LONG1):$I1853),"")</f>
        <v/>
      </c>
      <c r="Y1853" s="48" t="str">
        <f aca="false">IF($U1853&gt;=MA_LONG2,AVERAGE(INDEX($I$1453:$I1853,402-MA_LONG2):$I1853),"")</f>
        <v/>
      </c>
      <c r="Z1853" s="48" t="n">
        <f aca="false">IF($U1853&gt;=MA_SHORT,AVERAGE(INDEX($L$1733:$L1853,122-MA_SHORT):$L1853),"")</f>
        <v>97345069.3</v>
      </c>
      <c r="AA1853" s="48" t="n">
        <f aca="false">IF($U1853=1,$G1853-$H1853,MAX($G1853-$H1853,ABS($G1853-$I1852),ABS($H1853-$I1852)))</f>
        <v>165</v>
      </c>
      <c r="AB1853" s="48" t="n">
        <f aca="false">IF($U1853&gt;=ATR_PER,AVERAGE(INDEX($AA$1733:$AA1853,122-ATR_PER):$AA1853),"")</f>
        <v>417.571428571429</v>
      </c>
      <c r="AC1853" s="48" t="n">
        <f aca="false">$O1853-$P1853</f>
        <v>27814652</v>
      </c>
      <c r="AD1853" s="48" t="n">
        <f aca="false">$AC1853*$I1853</f>
        <v>335695034988</v>
      </c>
      <c r="AE1853" s="49" t="n">
        <f aca="false">IF($Q1853&gt;0,$O1853*$I1853/$Q1853/1000000,"")</f>
        <v>736.523898529018</v>
      </c>
      <c r="AF1853" s="49" t="n">
        <f aca="false">IF($R1853&gt;0,$P1853*$I1853/$R1853/1000000,"")</f>
        <v>163.422569603831</v>
      </c>
      <c r="AG1853" s="50" t="n">
        <f aca="false">IF(AND(ISNUMBER($AE1853),ISNUMBER($AF1853),$AF1853&gt;0),$AE1853/$AF1853,"")</f>
        <v>4.5068676885604</v>
      </c>
      <c r="AH1853" s="48" t="n">
        <f aca="false">IF($U1853&gt;=5,SUM(INDEX($AD$1823:$AD1853,32-5):$AD1853),"")</f>
        <v>523285505947</v>
      </c>
      <c r="AI1853" s="48" t="n">
        <f aca="false">IF($U1853&gt;=STRUCT_S,MAX(INDEX($G$1703:$G1853,152-STRUCT_S):$G1853),"")</f>
        <v>12647</v>
      </c>
      <c r="AJ1853" s="48" t="n">
        <f aca="false">IF($U1853&gt;=STRUCT_S,MIN(INDEX($H$1703:$H1853,152-STRUCT_S):$H1853),"")</f>
        <v>11438</v>
      </c>
      <c r="AK1853" s="48" t="str">
        <f aca="false">IF($U1853&gt;=STRUCT_L,MAX(INDEX($G$1603:$G1853,252-STRUCT_L):$G1853),"")</f>
        <v/>
      </c>
      <c r="AL1853" s="48" t="str">
        <f aca="false">IF($U1853&gt;=STRUCT_L,MIN(INDEX($H$1603:$H1853,252-STRUCT_L):$H1853),"")</f>
        <v/>
      </c>
      <c r="AM1853" s="46" t="n">
        <f aca="false">IF($A1853&lt;&gt;$A1854,1,0)</f>
        <v>0</v>
      </c>
      <c r="AN1853" s="47" t="str">
        <f aca="false">IF($AM1853=1,$A1853,"")</f>
        <v/>
      </c>
    </row>
    <row r="1854" customFormat="false" ht="15" hidden="false" customHeight="false" outlineLevel="0" collapsed="false">
      <c r="A1854" s="43" t="s">
        <v>167</v>
      </c>
      <c r="B1854" s="44" t="s">
        <v>169</v>
      </c>
      <c r="C1854" s="45" t="n">
        <v>45945</v>
      </c>
      <c r="D1854" s="46" t="n">
        <v>20251015</v>
      </c>
      <c r="E1854" s="47" t="s">
        <v>317</v>
      </c>
      <c r="F1854" s="48" t="n">
        <v>12079</v>
      </c>
      <c r="G1854" s="48" t="n">
        <v>12254</v>
      </c>
      <c r="H1854" s="48" t="n">
        <v>12024</v>
      </c>
      <c r="I1854" s="48" t="n">
        <v>12209</v>
      </c>
      <c r="J1854" s="48" t="n">
        <v>12079</v>
      </c>
      <c r="K1854" s="48" t="n">
        <v>12069</v>
      </c>
      <c r="L1854" s="48" t="n">
        <v>90962438</v>
      </c>
      <c r="M1854" s="48" t="n">
        <v>1110560405542</v>
      </c>
      <c r="N1854" s="48" t="n">
        <v>4298</v>
      </c>
      <c r="O1854" s="48" t="n">
        <v>58683552</v>
      </c>
      <c r="P1854" s="48" t="n">
        <v>34318636</v>
      </c>
      <c r="Q1854" s="48" t="n">
        <v>1459</v>
      </c>
      <c r="R1854" s="48" t="n">
        <v>2411</v>
      </c>
      <c r="S1854" s="48" t="n">
        <v>32278886</v>
      </c>
      <c r="T1854" s="48" t="n">
        <v>56643802</v>
      </c>
      <c r="U1854" s="46" t="n">
        <f aca="false">IF($A1854=$A1853,$U1853+1,1)</f>
        <v>30</v>
      </c>
      <c r="V1854" s="48" t="n">
        <f aca="false">IF($U1854&gt;=MA_SHORT,AVERAGE(INDEX($I$1454:$I1854,402-MA_SHORT):$I1854),"")</f>
        <v>11988</v>
      </c>
      <c r="W1854" s="48" t="str">
        <f aca="false">IF($U1854&gt;=MA_MED,AVERAGE(INDEX($I$1454:$I1854,402-MA_MED):$I1854),"")</f>
        <v/>
      </c>
      <c r="X1854" s="48" t="str">
        <f aca="false">IF($U1854&gt;=MA_LONG1,AVERAGE(INDEX($I$1454:$I1854,402-MA_LONG1):$I1854),"")</f>
        <v/>
      </c>
      <c r="Y1854" s="48" t="str">
        <f aca="false">IF($U1854&gt;=MA_LONG2,AVERAGE(INDEX($I$1454:$I1854,402-MA_LONG2):$I1854),"")</f>
        <v/>
      </c>
      <c r="Z1854" s="48" t="n">
        <f aca="false">IF($U1854&gt;=MA_SHORT,AVERAGE(INDEX($L$1734:$L1854,122-MA_SHORT):$L1854),"")</f>
        <v>97236537.5</v>
      </c>
      <c r="AA1854" s="48" t="n">
        <f aca="false">IF($U1854=1,$G1854-$H1854,MAX($G1854-$H1854,ABS($G1854-$I1853),ABS($H1854-$I1853)))</f>
        <v>230</v>
      </c>
      <c r="AB1854" s="48" t="n">
        <f aca="false">IF($U1854&gt;=ATR_PER,AVERAGE(INDEX($AA$1734:$AA1854,122-ATR_PER):$AA1854),"")</f>
        <v>403.857142857143</v>
      </c>
      <c r="AC1854" s="48" t="n">
        <f aca="false">$O1854-$P1854</f>
        <v>24364916</v>
      </c>
      <c r="AD1854" s="48" t="n">
        <f aca="false">$AC1854*$I1854</f>
        <v>297471259444</v>
      </c>
      <c r="AE1854" s="49" t="n">
        <f aca="false">IF($Q1854&gt;0,$O1854*$I1854/$Q1854/1000000,"")</f>
        <v>491.067502651131</v>
      </c>
      <c r="AF1854" s="49" t="n">
        <f aca="false">IF($R1854&gt;0,$P1854*$I1854/$R1854/1000000,"")</f>
        <v>173.785245509747</v>
      </c>
      <c r="AG1854" s="50" t="n">
        <f aca="false">IF(AND(ISNUMBER($AE1854),ISNUMBER($AF1854),$AF1854&gt;0),$AE1854/$AF1854,"")</f>
        <v>2.82571458359846</v>
      </c>
      <c r="AH1854" s="48" t="n">
        <f aca="false">IF($U1854&gt;=5,SUM(INDEX($AD$1824:$AD1854,32-5):$AD1854),"")</f>
        <v>980259395755</v>
      </c>
      <c r="AI1854" s="48" t="n">
        <f aca="false">IF($U1854&gt;=STRUCT_S,MAX(INDEX($G$1704:$G1854,152-STRUCT_S):$G1854),"")</f>
        <v>12647</v>
      </c>
      <c r="AJ1854" s="48" t="n">
        <f aca="false">IF($U1854&gt;=STRUCT_S,MIN(INDEX($H$1704:$H1854,152-STRUCT_S):$H1854),"")</f>
        <v>11438</v>
      </c>
      <c r="AK1854" s="48" t="str">
        <f aca="false">IF($U1854&gt;=STRUCT_L,MAX(INDEX($G$1604:$G1854,252-STRUCT_L):$G1854),"")</f>
        <v/>
      </c>
      <c r="AL1854" s="48" t="str">
        <f aca="false">IF($U1854&gt;=STRUCT_L,MIN(INDEX($H$1604:$H1854,252-STRUCT_L):$H1854),"")</f>
        <v/>
      </c>
      <c r="AM1854" s="46" t="n">
        <f aca="false">IF($A1854&lt;&gt;$A1855,1,0)</f>
        <v>0</v>
      </c>
      <c r="AN1854" s="47" t="str">
        <f aca="false">IF($AM1854=1,$A1854,"")</f>
        <v/>
      </c>
    </row>
    <row r="1855" customFormat="false" ht="15" hidden="false" customHeight="false" outlineLevel="0" collapsed="false">
      <c r="A1855" s="43" t="s">
        <v>167</v>
      </c>
      <c r="B1855" s="44" t="s">
        <v>169</v>
      </c>
      <c r="C1855" s="45" t="n">
        <v>45948</v>
      </c>
      <c r="D1855" s="46" t="n">
        <v>20251018</v>
      </c>
      <c r="E1855" s="47" t="s">
        <v>318</v>
      </c>
      <c r="F1855" s="48" t="n">
        <v>12185</v>
      </c>
      <c r="G1855" s="48" t="n">
        <v>12268</v>
      </c>
      <c r="H1855" s="48" t="n">
        <v>11974</v>
      </c>
      <c r="I1855" s="48" t="n">
        <v>12032</v>
      </c>
      <c r="J1855" s="48" t="n">
        <v>12206</v>
      </c>
      <c r="K1855" s="48" t="n">
        <v>12209</v>
      </c>
      <c r="L1855" s="48" t="n">
        <v>89182349</v>
      </c>
      <c r="M1855" s="48" t="n">
        <v>1073042023168</v>
      </c>
      <c r="N1855" s="48" t="n">
        <v>3314</v>
      </c>
      <c r="O1855" s="48" t="n">
        <v>47459773</v>
      </c>
      <c r="P1855" s="48" t="n">
        <v>41664823</v>
      </c>
      <c r="Q1855" s="48" t="n">
        <v>2271</v>
      </c>
      <c r="R1855" s="48" t="n">
        <v>888</v>
      </c>
      <c r="S1855" s="48" t="n">
        <v>41722576</v>
      </c>
      <c r="T1855" s="48" t="n">
        <v>47517526</v>
      </c>
      <c r="U1855" s="46" t="n">
        <f aca="false">IF($A1855=$A1854,$U1854+1,1)</f>
        <v>31</v>
      </c>
      <c r="V1855" s="48" t="n">
        <f aca="false">IF($U1855&gt;=MA_SHORT,AVERAGE(INDEX($I$1455:$I1855,402-MA_SHORT):$I1855),"")</f>
        <v>12001.2</v>
      </c>
      <c r="W1855" s="48" t="str">
        <f aca="false">IF($U1855&gt;=MA_MED,AVERAGE(INDEX($I$1455:$I1855,402-MA_MED):$I1855),"")</f>
        <v/>
      </c>
      <c r="X1855" s="48" t="str">
        <f aca="false">IF($U1855&gt;=MA_LONG1,AVERAGE(INDEX($I$1455:$I1855,402-MA_LONG1):$I1855),"")</f>
        <v/>
      </c>
      <c r="Y1855" s="48" t="str">
        <f aca="false">IF($U1855&gt;=MA_LONG2,AVERAGE(INDEX($I$1455:$I1855,402-MA_LONG2):$I1855),"")</f>
        <v/>
      </c>
      <c r="Z1855" s="48" t="n">
        <f aca="false">IF($U1855&gt;=MA_SHORT,AVERAGE(INDEX($L$1735:$L1855,122-MA_SHORT):$L1855),"")</f>
        <v>96267113.3</v>
      </c>
      <c r="AA1855" s="48" t="n">
        <f aca="false">IF($U1855=1,$G1855-$H1855,MAX($G1855-$H1855,ABS($G1855-$I1854),ABS($H1855-$I1854)))</f>
        <v>294</v>
      </c>
      <c r="AB1855" s="48" t="n">
        <f aca="false">IF($U1855&gt;=ATR_PER,AVERAGE(INDEX($AA$1735:$AA1855,122-ATR_PER):$AA1855),"")</f>
        <v>374.071428571429</v>
      </c>
      <c r="AC1855" s="48" t="n">
        <f aca="false">$O1855-$P1855</f>
        <v>5794950</v>
      </c>
      <c r="AD1855" s="48" t="n">
        <f aca="false">$AC1855*$I1855</f>
        <v>69724838400</v>
      </c>
      <c r="AE1855" s="49" t="n">
        <f aca="false">IF($Q1855&gt;0,$O1855*$I1855/$Q1855/1000000,"")</f>
        <v>251.446934714223</v>
      </c>
      <c r="AF1855" s="49" t="n">
        <f aca="false">IF($R1855&gt;0,$P1855*$I1855/$R1855/1000000,"")</f>
        <v>564.539583711712</v>
      </c>
      <c r="AG1855" s="50" t="n">
        <f aca="false">IF(AND(ISNUMBER($AE1855),ISNUMBER($AF1855),$AF1855&gt;0),$AE1855/$AF1855,"")</f>
        <v>0.445401778668946</v>
      </c>
      <c r="AH1855" s="48" t="n">
        <f aca="false">IF($U1855&gt;=5,SUM(INDEX($AD$1825:$AD1855,32-5):$AD1855),"")</f>
        <v>800939550113</v>
      </c>
      <c r="AI1855" s="48" t="n">
        <f aca="false">IF($U1855&gt;=STRUCT_S,MAX(INDEX($G$1705:$G1855,152-STRUCT_S):$G1855),"")</f>
        <v>12647</v>
      </c>
      <c r="AJ1855" s="48" t="n">
        <f aca="false">IF($U1855&gt;=STRUCT_S,MIN(INDEX($H$1705:$H1855,152-STRUCT_S):$H1855),"")</f>
        <v>11438</v>
      </c>
      <c r="AK1855" s="48" t="str">
        <f aca="false">IF($U1855&gt;=STRUCT_L,MAX(INDEX($G$1605:$G1855,252-STRUCT_L):$G1855),"")</f>
        <v/>
      </c>
      <c r="AL1855" s="48" t="str">
        <f aca="false">IF($U1855&gt;=STRUCT_L,MIN(INDEX($H$1605:$H1855,252-STRUCT_L):$H1855),"")</f>
        <v/>
      </c>
      <c r="AM1855" s="46" t="n">
        <f aca="false">IF($A1855&lt;&gt;$A1856,1,0)</f>
        <v>0</v>
      </c>
      <c r="AN1855" s="47" t="str">
        <f aca="false">IF($AM1855=1,$A1855,"")</f>
        <v/>
      </c>
    </row>
    <row r="1856" customFormat="false" ht="15" hidden="false" customHeight="false" outlineLevel="0" collapsed="false">
      <c r="A1856" s="43" t="s">
        <v>167</v>
      </c>
      <c r="B1856" s="44" t="s">
        <v>169</v>
      </c>
      <c r="C1856" s="45" t="n">
        <v>45949</v>
      </c>
      <c r="D1856" s="46" t="n">
        <v>20251019</v>
      </c>
      <c r="E1856" s="47" t="s">
        <v>319</v>
      </c>
      <c r="F1856" s="48" t="n">
        <v>12095</v>
      </c>
      <c r="G1856" s="48" t="n">
        <v>12489</v>
      </c>
      <c r="H1856" s="48" t="n">
        <v>11834</v>
      </c>
      <c r="I1856" s="48" t="n">
        <v>12286</v>
      </c>
      <c r="J1856" s="48" t="n">
        <v>12064</v>
      </c>
      <c r="K1856" s="48" t="n">
        <v>12032</v>
      </c>
      <c r="L1856" s="48" t="n">
        <v>181819041</v>
      </c>
      <c r="M1856" s="48" t="n">
        <v>2233828737726</v>
      </c>
      <c r="N1856" s="48" t="n">
        <v>11183</v>
      </c>
      <c r="O1856" s="48" t="n">
        <v>128648398</v>
      </c>
      <c r="P1856" s="48" t="n">
        <v>53885615</v>
      </c>
      <c r="Q1856" s="48" t="n">
        <v>2435</v>
      </c>
      <c r="R1856" s="48" t="n">
        <v>6479</v>
      </c>
      <c r="S1856" s="48" t="n">
        <v>53170643</v>
      </c>
      <c r="T1856" s="48" t="n">
        <v>127933426</v>
      </c>
      <c r="U1856" s="46" t="n">
        <f aca="false">IF($A1856=$A1855,$U1855+1,1)</f>
        <v>32</v>
      </c>
      <c r="V1856" s="48" t="n">
        <f aca="false">IF($U1856&gt;=MA_SHORT,AVERAGE(INDEX($I$1456:$I1856,402-MA_SHORT):$I1856),"")</f>
        <v>12033.7</v>
      </c>
      <c r="W1856" s="48" t="str">
        <f aca="false">IF($U1856&gt;=MA_MED,AVERAGE(INDEX($I$1456:$I1856,402-MA_MED):$I1856),"")</f>
        <v/>
      </c>
      <c r="X1856" s="48" t="str">
        <f aca="false">IF($U1856&gt;=MA_LONG1,AVERAGE(INDEX($I$1456:$I1856,402-MA_LONG1):$I1856),"")</f>
        <v/>
      </c>
      <c r="Y1856" s="48" t="str">
        <f aca="false">IF($U1856&gt;=MA_LONG2,AVERAGE(INDEX($I$1456:$I1856,402-MA_LONG2):$I1856),"")</f>
        <v/>
      </c>
      <c r="Z1856" s="48" t="n">
        <f aca="false">IF($U1856&gt;=MA_SHORT,AVERAGE(INDEX($L$1736:$L1856,122-MA_SHORT):$L1856),"")</f>
        <v>101113442.4</v>
      </c>
      <c r="AA1856" s="48" t="n">
        <f aca="false">IF($U1856=1,$G1856-$H1856,MAX($G1856-$H1856,ABS($G1856-$I1855),ABS($H1856-$I1855)))</f>
        <v>655</v>
      </c>
      <c r="AB1856" s="48" t="n">
        <f aca="false">IF($U1856&gt;=ATR_PER,AVERAGE(INDEX($AA$1736:$AA1856,122-ATR_PER):$AA1856),"")</f>
        <v>398.5</v>
      </c>
      <c r="AC1856" s="48" t="n">
        <f aca="false">$O1856-$P1856</f>
        <v>74762783</v>
      </c>
      <c r="AD1856" s="48" t="n">
        <f aca="false">$AC1856*$I1856</f>
        <v>918535551938</v>
      </c>
      <c r="AE1856" s="49" t="n">
        <f aca="false">IF($Q1856&gt;0,$O1856*$I1856/$Q1856/1000000,"")</f>
        <v>649.106454960164</v>
      </c>
      <c r="AF1856" s="49" t="n">
        <f aca="false">IF($R1856&gt;0,$P1856*$I1856/$R1856/1000000,"")</f>
        <v>102.182229648094</v>
      </c>
      <c r="AG1856" s="50" t="n">
        <f aca="false">IF(AND(ISNUMBER($AE1856),ISNUMBER($AF1856),$AF1856&gt;0),$AE1856/$AF1856,"")</f>
        <v>6.3524397265124</v>
      </c>
      <c r="AH1856" s="48" t="n">
        <f aca="false">IF($U1856&gt;=5,SUM(INDEX($AD$1826:$AD1856,32-5):$AD1856),"")</f>
        <v>2156428201140</v>
      </c>
      <c r="AI1856" s="48" t="n">
        <f aca="false">IF($U1856&gt;=STRUCT_S,MAX(INDEX($G$1706:$G1856,152-STRUCT_S):$G1856),"")</f>
        <v>12647</v>
      </c>
      <c r="AJ1856" s="48" t="n">
        <f aca="false">IF($U1856&gt;=STRUCT_S,MIN(INDEX($H$1706:$H1856,152-STRUCT_S):$H1856),"")</f>
        <v>11438</v>
      </c>
      <c r="AK1856" s="48" t="str">
        <f aca="false">IF($U1856&gt;=STRUCT_L,MAX(INDEX($G$1606:$G1856,252-STRUCT_L):$G1856),"")</f>
        <v/>
      </c>
      <c r="AL1856" s="48" t="str">
        <f aca="false">IF($U1856&gt;=STRUCT_L,MIN(INDEX($H$1606:$H1856,252-STRUCT_L):$H1856),"")</f>
        <v/>
      </c>
      <c r="AM1856" s="46" t="n">
        <f aca="false">IF($A1856&lt;&gt;$A1857,1,0)</f>
        <v>0</v>
      </c>
      <c r="AN1856" s="47" t="str">
        <f aca="false">IF($AM1856=1,$A1856,"")</f>
        <v/>
      </c>
    </row>
    <row r="1857" customFormat="false" ht="15" hidden="false" customHeight="false" outlineLevel="0" collapsed="false">
      <c r="A1857" s="43" t="s">
        <v>167</v>
      </c>
      <c r="B1857" s="44" t="s">
        <v>169</v>
      </c>
      <c r="C1857" s="45" t="n">
        <v>45950</v>
      </c>
      <c r="D1857" s="46" t="n">
        <v>20251020</v>
      </c>
      <c r="E1857" s="47" t="s">
        <v>320</v>
      </c>
      <c r="F1857" s="48" t="n">
        <v>12330</v>
      </c>
      <c r="G1857" s="48" t="n">
        <v>12368</v>
      </c>
      <c r="H1857" s="48" t="n">
        <v>12064</v>
      </c>
      <c r="I1857" s="48" t="n">
        <v>12145</v>
      </c>
      <c r="J1857" s="48" t="n">
        <v>12077</v>
      </c>
      <c r="K1857" s="48" t="n">
        <v>12286</v>
      </c>
      <c r="L1857" s="48" t="n">
        <v>95948575</v>
      </c>
      <c r="M1857" s="48" t="n">
        <v>1165295443375</v>
      </c>
      <c r="N1857" s="48" t="n">
        <v>4896</v>
      </c>
      <c r="O1857" s="48" t="n">
        <v>50665117</v>
      </c>
      <c r="P1857" s="48" t="n">
        <v>44687517</v>
      </c>
      <c r="Q1857" s="48" t="n">
        <v>2415</v>
      </c>
      <c r="R1857" s="48" t="n">
        <v>1316</v>
      </c>
      <c r="S1857" s="48" t="n">
        <v>45283458</v>
      </c>
      <c r="T1857" s="48" t="n">
        <v>51261058</v>
      </c>
      <c r="U1857" s="46" t="n">
        <f aca="false">IF($A1857=$A1856,$U1856+1,1)</f>
        <v>33</v>
      </c>
      <c r="V1857" s="48" t="n">
        <f aca="false">IF($U1857&gt;=MA_SHORT,AVERAGE(INDEX($I$1457:$I1857,402-MA_SHORT):$I1857),"")</f>
        <v>12062.05</v>
      </c>
      <c r="W1857" s="48" t="str">
        <f aca="false">IF($U1857&gt;=MA_MED,AVERAGE(INDEX($I$1457:$I1857,402-MA_MED):$I1857),"")</f>
        <v/>
      </c>
      <c r="X1857" s="48" t="str">
        <f aca="false">IF($U1857&gt;=MA_LONG1,AVERAGE(INDEX($I$1457:$I1857,402-MA_LONG1):$I1857),"")</f>
        <v/>
      </c>
      <c r="Y1857" s="48" t="str">
        <f aca="false">IF($U1857&gt;=MA_LONG2,AVERAGE(INDEX($I$1457:$I1857,402-MA_LONG2):$I1857),"")</f>
        <v/>
      </c>
      <c r="Z1857" s="48" t="n">
        <f aca="false">IF($U1857&gt;=MA_SHORT,AVERAGE(INDEX($L$1737:$L1857,122-MA_SHORT):$L1857),"")</f>
        <v>101300323.9</v>
      </c>
      <c r="AA1857" s="48" t="n">
        <f aca="false">IF($U1857=1,$G1857-$H1857,MAX($G1857-$H1857,ABS($G1857-$I1856),ABS($H1857-$I1856)))</f>
        <v>304</v>
      </c>
      <c r="AB1857" s="48" t="n">
        <f aca="false">IF($U1857&gt;=ATR_PER,AVERAGE(INDEX($AA$1737:$AA1857,122-ATR_PER):$AA1857),"")</f>
        <v>392.071428571429</v>
      </c>
      <c r="AC1857" s="48" t="n">
        <f aca="false">$O1857-$P1857</f>
        <v>5977600</v>
      </c>
      <c r="AD1857" s="48" t="n">
        <f aca="false">$AC1857*$I1857</f>
        <v>72597952000</v>
      </c>
      <c r="AE1857" s="49" t="n">
        <f aca="false">IF($Q1857&gt;0,$O1857*$I1857/$Q1857/1000000,"")</f>
        <v>254.794139115942</v>
      </c>
      <c r="AF1857" s="49" t="n">
        <f aca="false">IF($R1857&gt;0,$P1857*$I1857/$R1857/1000000,"")</f>
        <v>412.408734015957</v>
      </c>
      <c r="AG1857" s="50" t="n">
        <f aca="false">IF(AND(ISNUMBER($AE1857),ISNUMBER($AF1857),$AF1857&gt;0),$AE1857/$AF1857,"")</f>
        <v>0.617819454585274</v>
      </c>
      <c r="AH1857" s="48" t="n">
        <f aca="false">IF($U1857&gt;=5,SUM(INDEX($AD$1827:$AD1857,32-5):$AD1857),"")</f>
        <v>1694024636770</v>
      </c>
      <c r="AI1857" s="48" t="n">
        <f aca="false">IF($U1857&gt;=STRUCT_S,MAX(INDEX($G$1707:$G1857,152-STRUCT_S):$G1857),"")</f>
        <v>12647</v>
      </c>
      <c r="AJ1857" s="48" t="n">
        <f aca="false">IF($U1857&gt;=STRUCT_S,MIN(INDEX($H$1707:$H1857,152-STRUCT_S):$H1857),"")</f>
        <v>11438</v>
      </c>
      <c r="AK1857" s="48" t="str">
        <f aca="false">IF($U1857&gt;=STRUCT_L,MAX(INDEX($G$1607:$G1857,252-STRUCT_L):$G1857),"")</f>
        <v/>
      </c>
      <c r="AL1857" s="48" t="str">
        <f aca="false">IF($U1857&gt;=STRUCT_L,MIN(INDEX($H$1607:$H1857,252-STRUCT_L):$H1857),"")</f>
        <v/>
      </c>
      <c r="AM1857" s="46" t="n">
        <f aca="false">IF($A1857&lt;&gt;$A1858,1,0)</f>
        <v>0</v>
      </c>
      <c r="AN1857" s="47" t="str">
        <f aca="false">IF($AM1857=1,$A1857,"")</f>
        <v/>
      </c>
    </row>
    <row r="1858" customFormat="false" ht="15" hidden="false" customHeight="false" outlineLevel="0" collapsed="false">
      <c r="A1858" s="43" t="s">
        <v>167</v>
      </c>
      <c r="B1858" s="44" t="s">
        <v>169</v>
      </c>
      <c r="C1858" s="45" t="n">
        <v>45951</v>
      </c>
      <c r="D1858" s="46" t="n">
        <v>20251021</v>
      </c>
      <c r="E1858" s="47" t="s">
        <v>321</v>
      </c>
      <c r="F1858" s="48" t="n">
        <v>12111</v>
      </c>
      <c r="G1858" s="48" t="n">
        <v>12312</v>
      </c>
      <c r="H1858" s="48" t="n">
        <v>11969</v>
      </c>
      <c r="I1858" s="48" t="n">
        <v>12135</v>
      </c>
      <c r="J1858" s="48" t="n">
        <v>12180</v>
      </c>
      <c r="K1858" s="48" t="n">
        <v>12145</v>
      </c>
      <c r="L1858" s="48" t="n">
        <v>79932316</v>
      </c>
      <c r="M1858" s="48" t="n">
        <v>969978654660</v>
      </c>
      <c r="N1858" s="48" t="n">
        <v>3077</v>
      </c>
      <c r="O1858" s="48" t="n">
        <v>44725281</v>
      </c>
      <c r="P1858" s="48" t="n">
        <v>36095048</v>
      </c>
      <c r="Q1858" s="48" t="n">
        <v>1281</v>
      </c>
      <c r="R1858" s="48" t="n">
        <v>1205</v>
      </c>
      <c r="S1858" s="48" t="n">
        <v>35207035</v>
      </c>
      <c r="T1858" s="48" t="n">
        <v>43837268</v>
      </c>
      <c r="U1858" s="46" t="n">
        <f aca="false">IF($A1858=$A1857,$U1857+1,1)</f>
        <v>34</v>
      </c>
      <c r="V1858" s="48" t="n">
        <f aca="false">IF($U1858&gt;=MA_SHORT,AVERAGE(INDEX($I$1458:$I1858,402-MA_SHORT):$I1858),"")</f>
        <v>12074.1</v>
      </c>
      <c r="W1858" s="48" t="str">
        <f aca="false">IF($U1858&gt;=MA_MED,AVERAGE(INDEX($I$1458:$I1858,402-MA_MED):$I1858),"")</f>
        <v/>
      </c>
      <c r="X1858" s="48" t="str">
        <f aca="false">IF($U1858&gt;=MA_LONG1,AVERAGE(INDEX($I$1458:$I1858,402-MA_LONG1):$I1858),"")</f>
        <v/>
      </c>
      <c r="Y1858" s="48" t="str">
        <f aca="false">IF($U1858&gt;=MA_LONG2,AVERAGE(INDEX($I$1458:$I1858,402-MA_LONG2):$I1858),"")</f>
        <v/>
      </c>
      <c r="Z1858" s="48" t="n">
        <f aca="false">IF($U1858&gt;=MA_SHORT,AVERAGE(INDEX($L$1738:$L1858,122-MA_SHORT):$L1858),"")</f>
        <v>100668707.55</v>
      </c>
      <c r="AA1858" s="48" t="n">
        <f aca="false">IF($U1858=1,$G1858-$H1858,MAX($G1858-$H1858,ABS($G1858-$I1857),ABS($H1858-$I1857)))</f>
        <v>343</v>
      </c>
      <c r="AB1858" s="48" t="n">
        <f aca="false">IF($U1858&gt;=ATR_PER,AVERAGE(INDEX($AA$1738:$AA1858,122-ATR_PER):$AA1858),"")</f>
        <v>393.357142857143</v>
      </c>
      <c r="AC1858" s="48" t="n">
        <f aca="false">$O1858-$P1858</f>
        <v>8630233</v>
      </c>
      <c r="AD1858" s="48" t="n">
        <f aca="false">$AC1858*$I1858</f>
        <v>104727877455</v>
      </c>
      <c r="AE1858" s="49" t="n">
        <f aca="false">IF($Q1858&gt;0,$O1858*$I1858/$Q1858/1000000,"")</f>
        <v>423.685624461358</v>
      </c>
      <c r="AF1858" s="49" t="n">
        <f aca="false">IF($R1858&gt;0,$P1858*$I1858/$R1858/1000000,"")</f>
        <v>363.496603717842</v>
      </c>
      <c r="AG1858" s="50" t="n">
        <f aca="false">IF(AND(ISNUMBER($AE1858),ISNUMBER($AF1858),$AF1858&gt;0),$AE1858/$AF1858,"")</f>
        <v>1.16558344734972</v>
      </c>
      <c r="AH1858" s="48" t="n">
        <f aca="false">IF($U1858&gt;=5,SUM(INDEX($AD$1828:$AD1858,32-5):$AD1858),"")</f>
        <v>1463057479237</v>
      </c>
      <c r="AI1858" s="48" t="n">
        <f aca="false">IF($U1858&gt;=STRUCT_S,MAX(INDEX($G$1708:$G1858,152-STRUCT_S):$G1858),"")</f>
        <v>12647</v>
      </c>
      <c r="AJ1858" s="48" t="n">
        <f aca="false">IF($U1858&gt;=STRUCT_S,MIN(INDEX($H$1708:$H1858,152-STRUCT_S):$H1858),"")</f>
        <v>11438</v>
      </c>
      <c r="AK1858" s="48" t="str">
        <f aca="false">IF($U1858&gt;=STRUCT_L,MAX(INDEX($G$1608:$G1858,252-STRUCT_L):$G1858),"")</f>
        <v/>
      </c>
      <c r="AL1858" s="48" t="str">
        <f aca="false">IF($U1858&gt;=STRUCT_L,MIN(INDEX($H$1608:$H1858,252-STRUCT_L):$H1858),"")</f>
        <v/>
      </c>
      <c r="AM1858" s="46" t="n">
        <f aca="false">IF($A1858&lt;&gt;$A1859,1,0)</f>
        <v>0</v>
      </c>
      <c r="AN1858" s="47" t="str">
        <f aca="false">IF($AM1858=1,$A1858,"")</f>
        <v/>
      </c>
    </row>
    <row r="1859" customFormat="false" ht="15" hidden="false" customHeight="false" outlineLevel="0" collapsed="false">
      <c r="A1859" s="43" t="s">
        <v>167</v>
      </c>
      <c r="B1859" s="44" t="s">
        <v>169</v>
      </c>
      <c r="C1859" s="45" t="n">
        <v>45952</v>
      </c>
      <c r="D1859" s="46" t="n">
        <v>20251022</v>
      </c>
      <c r="E1859" s="47" t="s">
        <v>322</v>
      </c>
      <c r="F1859" s="48" t="n">
        <v>12238</v>
      </c>
      <c r="G1859" s="48" t="n">
        <v>12273</v>
      </c>
      <c r="H1859" s="48" t="n">
        <v>11896</v>
      </c>
      <c r="I1859" s="48" t="n">
        <v>12033</v>
      </c>
      <c r="J1859" s="48" t="n">
        <v>12093</v>
      </c>
      <c r="K1859" s="48" t="n">
        <v>12135</v>
      </c>
      <c r="L1859" s="48" t="n">
        <v>148999346</v>
      </c>
      <c r="M1859" s="48" t="n">
        <v>1792909130418</v>
      </c>
      <c r="N1859" s="48" t="n">
        <v>6036</v>
      </c>
      <c r="O1859" s="48" t="n">
        <v>76624079</v>
      </c>
      <c r="P1859" s="48" t="n">
        <v>73386499</v>
      </c>
      <c r="Q1859" s="48" t="n">
        <v>3106</v>
      </c>
      <c r="R1859" s="48" t="n">
        <v>2279</v>
      </c>
      <c r="S1859" s="48" t="n">
        <v>72375267</v>
      </c>
      <c r="T1859" s="48" t="n">
        <v>75612847</v>
      </c>
      <c r="U1859" s="46" t="n">
        <f aca="false">IF($A1859=$A1858,$U1858+1,1)</f>
        <v>35</v>
      </c>
      <c r="V1859" s="48" t="n">
        <f aca="false">IF($U1859&gt;=MA_SHORT,AVERAGE(INDEX($I$1459:$I1859,402-MA_SHORT):$I1859),"")</f>
        <v>12079.4</v>
      </c>
      <c r="W1859" s="48" t="str">
        <f aca="false">IF($U1859&gt;=MA_MED,AVERAGE(INDEX($I$1459:$I1859,402-MA_MED):$I1859),"")</f>
        <v/>
      </c>
      <c r="X1859" s="48" t="str">
        <f aca="false">IF($U1859&gt;=MA_LONG1,AVERAGE(INDEX($I$1459:$I1859,402-MA_LONG1):$I1859),"")</f>
        <v/>
      </c>
      <c r="Y1859" s="48" t="str">
        <f aca="false">IF($U1859&gt;=MA_LONG2,AVERAGE(INDEX($I$1459:$I1859,402-MA_LONG2):$I1859),"")</f>
        <v/>
      </c>
      <c r="Z1859" s="48" t="n">
        <f aca="false">IF($U1859&gt;=MA_SHORT,AVERAGE(INDEX($L$1739:$L1859,122-MA_SHORT):$L1859),"")</f>
        <v>103880244.4</v>
      </c>
      <c r="AA1859" s="48" t="n">
        <f aca="false">IF($U1859=1,$G1859-$H1859,MAX($G1859-$H1859,ABS($G1859-$I1858),ABS($H1859-$I1858)))</f>
        <v>377</v>
      </c>
      <c r="AB1859" s="48" t="n">
        <f aca="false">IF($U1859&gt;=ATR_PER,AVERAGE(INDEX($AA$1739:$AA1859,122-ATR_PER):$AA1859),"")</f>
        <v>389.285714285714</v>
      </c>
      <c r="AC1859" s="48" t="n">
        <f aca="false">$O1859-$P1859</f>
        <v>3237580</v>
      </c>
      <c r="AD1859" s="48" t="n">
        <f aca="false">$AC1859*$I1859</f>
        <v>38957800140</v>
      </c>
      <c r="AE1859" s="49" t="n">
        <f aca="false">IF($Q1859&gt;0,$O1859*$I1859/$Q1859/1000000,"")</f>
        <v>296.850464458146</v>
      </c>
      <c r="AF1859" s="49" t="n">
        <f aca="false">IF($R1859&gt;0,$P1859*$I1859/$R1859/1000000,"")</f>
        <v>387.476850577885</v>
      </c>
      <c r="AG1859" s="50" t="n">
        <f aca="false">IF(AND(ISNUMBER($AE1859),ISNUMBER($AF1859),$AF1859&gt;0),$AE1859/$AF1859,"")</f>
        <v>0.766111482570949</v>
      </c>
      <c r="AH1859" s="48" t="n">
        <f aca="false">IF($U1859&gt;=5,SUM(INDEX($AD$1829:$AD1859,32-5):$AD1859),"")</f>
        <v>1204544019933</v>
      </c>
      <c r="AI1859" s="48" t="n">
        <f aca="false">IF($U1859&gt;=STRUCT_S,MAX(INDEX($G$1709:$G1859,152-STRUCT_S):$G1859),"")</f>
        <v>12647</v>
      </c>
      <c r="AJ1859" s="48" t="n">
        <f aca="false">IF($U1859&gt;=STRUCT_S,MIN(INDEX($H$1709:$H1859,152-STRUCT_S):$H1859),"")</f>
        <v>11438</v>
      </c>
      <c r="AK1859" s="48" t="str">
        <f aca="false">IF($U1859&gt;=STRUCT_L,MAX(INDEX($G$1609:$G1859,252-STRUCT_L):$G1859),"")</f>
        <v/>
      </c>
      <c r="AL1859" s="48" t="str">
        <f aca="false">IF($U1859&gt;=STRUCT_L,MIN(INDEX($H$1609:$H1859,252-STRUCT_L):$H1859),"")</f>
        <v/>
      </c>
      <c r="AM1859" s="46" t="n">
        <f aca="false">IF($A1859&lt;&gt;$A1860,1,0)</f>
        <v>0</v>
      </c>
      <c r="AN1859" s="47" t="str">
        <f aca="false">IF($AM1859=1,$A1859,"")</f>
        <v/>
      </c>
    </row>
    <row r="1860" customFormat="false" ht="15" hidden="false" customHeight="false" outlineLevel="0" collapsed="false">
      <c r="A1860" s="43" t="s">
        <v>167</v>
      </c>
      <c r="B1860" s="44" t="s">
        <v>169</v>
      </c>
      <c r="C1860" s="45" t="n">
        <v>45955</v>
      </c>
      <c r="D1860" s="46" t="n">
        <v>20251025</v>
      </c>
      <c r="E1860" s="47" t="s">
        <v>323</v>
      </c>
      <c r="F1860" s="48" t="n">
        <v>12170</v>
      </c>
      <c r="G1860" s="48" t="n">
        <v>12181</v>
      </c>
      <c r="H1860" s="48" t="n">
        <v>11725</v>
      </c>
      <c r="I1860" s="48" t="n">
        <v>11872</v>
      </c>
      <c r="J1860" s="48" t="n">
        <v>12135</v>
      </c>
      <c r="K1860" s="48" t="n">
        <v>12033</v>
      </c>
      <c r="L1860" s="48" t="n">
        <v>85924726</v>
      </c>
      <c r="M1860" s="48" t="n">
        <v>1020098347072</v>
      </c>
      <c r="N1860" s="48" t="n">
        <v>2276</v>
      </c>
      <c r="O1860" s="48" t="n">
        <v>47954411</v>
      </c>
      <c r="P1860" s="48" t="n">
        <v>41063952</v>
      </c>
      <c r="Q1860" s="48" t="n">
        <v>1259</v>
      </c>
      <c r="R1860" s="48" t="n">
        <v>894</v>
      </c>
      <c r="S1860" s="48" t="n">
        <v>37970315</v>
      </c>
      <c r="T1860" s="48" t="n">
        <v>44860774</v>
      </c>
      <c r="U1860" s="46" t="n">
        <f aca="false">IF($A1860=$A1859,$U1859+1,1)</f>
        <v>36</v>
      </c>
      <c r="V1860" s="48" t="n">
        <f aca="false">IF($U1860&gt;=MA_SHORT,AVERAGE(INDEX($I$1460:$I1860,402-MA_SHORT):$I1860),"")</f>
        <v>12090.05</v>
      </c>
      <c r="W1860" s="48" t="str">
        <f aca="false">IF($U1860&gt;=MA_MED,AVERAGE(INDEX($I$1460:$I1860,402-MA_MED):$I1860),"")</f>
        <v/>
      </c>
      <c r="X1860" s="48" t="str">
        <f aca="false">IF($U1860&gt;=MA_LONG1,AVERAGE(INDEX($I$1460:$I1860,402-MA_LONG1):$I1860),"")</f>
        <v/>
      </c>
      <c r="Y1860" s="48" t="str">
        <f aca="false">IF($U1860&gt;=MA_LONG2,AVERAGE(INDEX($I$1460:$I1860,402-MA_LONG2):$I1860),"")</f>
        <v/>
      </c>
      <c r="Z1860" s="48" t="n">
        <f aca="false">IF($U1860&gt;=MA_SHORT,AVERAGE(INDEX($L$1740:$L1860,122-MA_SHORT):$L1860),"")</f>
        <v>103663336.85</v>
      </c>
      <c r="AA1860" s="48" t="n">
        <f aca="false">IF($U1860=1,$G1860-$H1860,MAX($G1860-$H1860,ABS($G1860-$I1859),ABS($H1860-$I1859)))</f>
        <v>456</v>
      </c>
      <c r="AB1860" s="48" t="n">
        <f aca="false">IF($U1860&gt;=ATR_PER,AVERAGE(INDEX($AA$1740:$AA1860,122-ATR_PER):$AA1860),"")</f>
        <v>404.142857142857</v>
      </c>
      <c r="AC1860" s="48" t="n">
        <f aca="false">$O1860-$P1860</f>
        <v>6890459</v>
      </c>
      <c r="AD1860" s="48" t="n">
        <f aca="false">$AC1860*$I1860</f>
        <v>81803529248</v>
      </c>
      <c r="AE1860" s="49" t="n">
        <f aca="false">IF($Q1860&gt;0,$O1860*$I1860/$Q1860/1000000,"")</f>
        <v>452.196002694202</v>
      </c>
      <c r="AF1860" s="49" t="n">
        <f aca="false">IF($R1860&gt;0,$P1860*$I1860/$R1860/1000000,"")</f>
        <v>545.314584053691</v>
      </c>
      <c r="AG1860" s="50" t="n">
        <f aca="false">IF(AND(ISNUMBER($AE1860),ISNUMBER($AF1860),$AF1860&gt;0),$AE1860/$AF1860,"")</f>
        <v>0.829238784212818</v>
      </c>
      <c r="AH1860" s="48" t="n">
        <f aca="false">IF($U1860&gt;=5,SUM(INDEX($AD$1830:$AD1860,32-5):$AD1860),"")</f>
        <v>1216622710781</v>
      </c>
      <c r="AI1860" s="48" t="n">
        <f aca="false">IF($U1860&gt;=STRUCT_S,MAX(INDEX($G$1710:$G1860,152-STRUCT_S):$G1860),"")</f>
        <v>12647</v>
      </c>
      <c r="AJ1860" s="48" t="n">
        <f aca="false">IF($U1860&gt;=STRUCT_S,MIN(INDEX($H$1710:$H1860,152-STRUCT_S):$H1860),"")</f>
        <v>11438</v>
      </c>
      <c r="AK1860" s="48" t="str">
        <f aca="false">IF($U1860&gt;=STRUCT_L,MAX(INDEX($G$1610:$G1860,252-STRUCT_L):$G1860),"")</f>
        <v/>
      </c>
      <c r="AL1860" s="48" t="str">
        <f aca="false">IF($U1860&gt;=STRUCT_L,MIN(INDEX($H$1610:$H1860,252-STRUCT_L):$H1860),"")</f>
        <v/>
      </c>
      <c r="AM1860" s="46" t="n">
        <f aca="false">IF($A1860&lt;&gt;$A1861,1,0)</f>
        <v>0</v>
      </c>
      <c r="AN1860" s="47" t="str">
        <f aca="false">IF($AM1860=1,$A1860,"")</f>
        <v/>
      </c>
    </row>
    <row r="1861" customFormat="false" ht="15" hidden="false" customHeight="false" outlineLevel="0" collapsed="false">
      <c r="A1861" s="43" t="s">
        <v>167</v>
      </c>
      <c r="B1861" s="44" t="s">
        <v>169</v>
      </c>
      <c r="C1861" s="45" t="n">
        <v>45956</v>
      </c>
      <c r="D1861" s="46" t="n">
        <v>20251026</v>
      </c>
      <c r="E1861" s="47" t="s">
        <v>324</v>
      </c>
      <c r="F1861" s="48" t="n">
        <v>11956</v>
      </c>
      <c r="G1861" s="48" t="n">
        <v>12222</v>
      </c>
      <c r="H1861" s="48" t="n">
        <v>11807</v>
      </c>
      <c r="I1861" s="48" t="n">
        <v>12156</v>
      </c>
      <c r="J1861" s="48" t="n">
        <v>11852</v>
      </c>
      <c r="K1861" s="48" t="n">
        <v>11872</v>
      </c>
      <c r="L1861" s="48" t="n">
        <v>90955732</v>
      </c>
      <c r="M1861" s="48" t="n">
        <v>1105657878192</v>
      </c>
      <c r="N1861" s="48" t="n">
        <v>3252</v>
      </c>
      <c r="O1861" s="48" t="n">
        <v>61797381</v>
      </c>
      <c r="P1861" s="48" t="n">
        <v>31164930</v>
      </c>
      <c r="Q1861" s="48" t="n">
        <v>950</v>
      </c>
      <c r="R1861" s="48" t="n">
        <v>2454</v>
      </c>
      <c r="S1861" s="48" t="n">
        <v>29158351</v>
      </c>
      <c r="T1861" s="48" t="n">
        <v>59790802</v>
      </c>
      <c r="U1861" s="46" t="n">
        <f aca="false">IF($A1861=$A1860,$U1860+1,1)</f>
        <v>37</v>
      </c>
      <c r="V1861" s="48" t="n">
        <f aca="false">IF($U1861&gt;=MA_SHORT,AVERAGE(INDEX($I$1461:$I1861,402-MA_SHORT):$I1861),"")</f>
        <v>12101.7</v>
      </c>
      <c r="W1861" s="48" t="str">
        <f aca="false">IF($U1861&gt;=MA_MED,AVERAGE(INDEX($I$1461:$I1861,402-MA_MED):$I1861),"")</f>
        <v/>
      </c>
      <c r="X1861" s="48" t="str">
        <f aca="false">IF($U1861&gt;=MA_LONG1,AVERAGE(INDEX($I$1461:$I1861,402-MA_LONG1):$I1861),"")</f>
        <v/>
      </c>
      <c r="Y1861" s="48" t="str">
        <f aca="false">IF($U1861&gt;=MA_LONG2,AVERAGE(INDEX($I$1461:$I1861,402-MA_LONG2):$I1861),"")</f>
        <v/>
      </c>
      <c r="Z1861" s="48" t="n">
        <f aca="false">IF($U1861&gt;=MA_SHORT,AVERAGE(INDEX($L$1741:$L1861,122-MA_SHORT):$L1861),"")</f>
        <v>103693841.35</v>
      </c>
      <c r="AA1861" s="48" t="n">
        <f aca="false">IF($U1861=1,$G1861-$H1861,MAX($G1861-$H1861,ABS($G1861-$I1860),ABS($H1861-$I1860)))</f>
        <v>415</v>
      </c>
      <c r="AB1861" s="48" t="n">
        <f aca="false">IF($U1861&gt;=ATR_PER,AVERAGE(INDEX($AA$1741:$AA1861,122-ATR_PER):$AA1861),"")</f>
        <v>401.071428571429</v>
      </c>
      <c r="AC1861" s="48" t="n">
        <f aca="false">$O1861-$P1861</f>
        <v>30632451</v>
      </c>
      <c r="AD1861" s="48" t="n">
        <f aca="false">$AC1861*$I1861</f>
        <v>372368074356</v>
      </c>
      <c r="AE1861" s="49" t="n">
        <f aca="false">IF($Q1861&gt;0,$O1861*$I1861/$Q1861/1000000,"")</f>
        <v>790.746277301053</v>
      </c>
      <c r="AF1861" s="49" t="n">
        <f aca="false">IF($R1861&gt;0,$P1861*$I1861/$R1861/1000000,"")</f>
        <v>154.376890415648</v>
      </c>
      <c r="AG1861" s="50" t="n">
        <f aca="false">IF(AND(ISNUMBER($AE1861),ISNUMBER($AF1861),$AF1861&gt;0),$AE1861/$AF1861,"")</f>
        <v>5.12218036761868</v>
      </c>
      <c r="AH1861" s="48" t="n">
        <f aca="false">IF($U1861&gt;=5,SUM(INDEX($AD$1831:$AD1861,32-5):$AD1861),"")</f>
        <v>670455233199</v>
      </c>
      <c r="AI1861" s="48" t="n">
        <f aca="false">IF($U1861&gt;=STRUCT_S,MAX(INDEX($G$1711:$G1861,152-STRUCT_S):$G1861),"")</f>
        <v>12647</v>
      </c>
      <c r="AJ1861" s="48" t="n">
        <f aca="false">IF($U1861&gt;=STRUCT_S,MIN(INDEX($H$1711:$H1861,152-STRUCT_S):$H1861),"")</f>
        <v>11490</v>
      </c>
      <c r="AK1861" s="48" t="str">
        <f aca="false">IF($U1861&gt;=STRUCT_L,MAX(INDEX($G$1611:$G1861,252-STRUCT_L):$G1861),"")</f>
        <v/>
      </c>
      <c r="AL1861" s="48" t="str">
        <f aca="false">IF($U1861&gt;=STRUCT_L,MIN(INDEX($H$1611:$H1861,252-STRUCT_L):$H1861),"")</f>
        <v/>
      </c>
      <c r="AM1861" s="46" t="n">
        <f aca="false">IF($A1861&lt;&gt;$A1862,1,0)</f>
        <v>0</v>
      </c>
      <c r="AN1861" s="47" t="str">
        <f aca="false">IF($AM1861=1,$A1861,"")</f>
        <v/>
      </c>
    </row>
    <row r="1862" customFormat="false" ht="15" hidden="false" customHeight="false" outlineLevel="0" collapsed="false">
      <c r="A1862" s="43" t="s">
        <v>167</v>
      </c>
      <c r="B1862" s="44" t="s">
        <v>169</v>
      </c>
      <c r="C1862" s="45" t="n">
        <v>45957</v>
      </c>
      <c r="D1862" s="46" t="n">
        <v>20251027</v>
      </c>
      <c r="E1862" s="47" t="s">
        <v>325</v>
      </c>
      <c r="F1862" s="48" t="n">
        <v>12175</v>
      </c>
      <c r="G1862" s="48" t="n">
        <v>12194</v>
      </c>
      <c r="H1862" s="48" t="n">
        <v>12102</v>
      </c>
      <c r="I1862" s="48" t="n">
        <v>12140</v>
      </c>
      <c r="J1862" s="48" t="n">
        <v>12163</v>
      </c>
      <c r="K1862" s="48" t="n">
        <v>12156</v>
      </c>
      <c r="L1862" s="48" t="n">
        <v>80167516</v>
      </c>
      <c r="M1862" s="48" t="n">
        <v>973233644240</v>
      </c>
      <c r="N1862" s="48" t="n">
        <v>3433</v>
      </c>
      <c r="O1862" s="48" t="n">
        <v>51263755</v>
      </c>
      <c r="P1862" s="48" t="n">
        <v>27384465</v>
      </c>
      <c r="Q1862" s="48" t="n">
        <v>1981</v>
      </c>
      <c r="R1862" s="48" t="n">
        <v>1183</v>
      </c>
      <c r="S1862" s="48" t="n">
        <v>28903761</v>
      </c>
      <c r="T1862" s="48" t="n">
        <v>52783051</v>
      </c>
      <c r="U1862" s="46" t="n">
        <f aca="false">IF($A1862=$A1861,$U1861+1,1)</f>
        <v>38</v>
      </c>
      <c r="V1862" s="48" t="n">
        <f aca="false">IF($U1862&gt;=MA_SHORT,AVERAGE(INDEX($I$1462:$I1862,402-MA_SHORT):$I1862),"")</f>
        <v>12113</v>
      </c>
      <c r="W1862" s="48" t="str">
        <f aca="false">IF($U1862&gt;=MA_MED,AVERAGE(INDEX($I$1462:$I1862,402-MA_MED):$I1862),"")</f>
        <v/>
      </c>
      <c r="X1862" s="48" t="str">
        <f aca="false">IF($U1862&gt;=MA_LONG1,AVERAGE(INDEX($I$1462:$I1862,402-MA_LONG1):$I1862),"")</f>
        <v/>
      </c>
      <c r="Y1862" s="48" t="str">
        <f aca="false">IF($U1862&gt;=MA_LONG2,AVERAGE(INDEX($I$1462:$I1862,402-MA_LONG2):$I1862),"")</f>
        <v/>
      </c>
      <c r="Z1862" s="48" t="n">
        <f aca="false">IF($U1862&gt;=MA_SHORT,AVERAGE(INDEX($L$1742:$L1862,122-MA_SHORT):$L1862),"")</f>
        <v>103707236.85</v>
      </c>
      <c r="AA1862" s="48" t="n">
        <f aca="false">IF($U1862=1,$G1862-$H1862,MAX($G1862-$H1862,ABS($G1862-$I1861),ABS($H1862-$I1861)))</f>
        <v>92</v>
      </c>
      <c r="AB1862" s="48" t="n">
        <f aca="false">IF($U1862&gt;=ATR_PER,AVERAGE(INDEX($AA$1742:$AA1862,122-ATR_PER):$AA1862),"")</f>
        <v>386.5</v>
      </c>
      <c r="AC1862" s="48" t="n">
        <f aca="false">$O1862-$P1862</f>
        <v>23879290</v>
      </c>
      <c r="AD1862" s="48" t="n">
        <f aca="false">$AC1862*$I1862</f>
        <v>289894580600</v>
      </c>
      <c r="AE1862" s="49" t="n">
        <f aca="false">IF($Q1862&gt;0,$O1862*$I1862/$Q1862/1000000,"")</f>
        <v>314.155469813226</v>
      </c>
      <c r="AF1862" s="49" t="n">
        <f aca="false">IF($R1862&gt;0,$P1862*$I1862/$R1862/1000000,"")</f>
        <v>281.020629839391</v>
      </c>
      <c r="AG1862" s="50" t="n">
        <f aca="false">IF(AND(ISNUMBER($AE1862),ISNUMBER($AF1862),$AF1862&gt;0),$AE1862/$AF1862,"")</f>
        <v>1.11790892360028</v>
      </c>
      <c r="AH1862" s="48" t="n">
        <f aca="false">IF($U1862&gt;=5,SUM(INDEX($AD$1832:$AD1862,32-5):$AD1862),"")</f>
        <v>887751861799</v>
      </c>
      <c r="AI1862" s="48" t="n">
        <f aca="false">IF($U1862&gt;=STRUCT_S,MAX(INDEX($G$1712:$G1862,152-STRUCT_S):$G1862),"")</f>
        <v>12647</v>
      </c>
      <c r="AJ1862" s="48" t="n">
        <f aca="false">IF($U1862&gt;=STRUCT_S,MIN(INDEX($H$1712:$H1862,152-STRUCT_S):$H1862),"")</f>
        <v>11490</v>
      </c>
      <c r="AK1862" s="48" t="str">
        <f aca="false">IF($U1862&gt;=STRUCT_L,MAX(INDEX($G$1612:$G1862,252-STRUCT_L):$G1862),"")</f>
        <v/>
      </c>
      <c r="AL1862" s="48" t="str">
        <f aca="false">IF($U1862&gt;=STRUCT_L,MIN(INDEX($H$1612:$H1862,252-STRUCT_L):$H1862),"")</f>
        <v/>
      </c>
      <c r="AM1862" s="46" t="n">
        <f aca="false">IF($A1862&lt;&gt;$A1863,1,0)</f>
        <v>0</v>
      </c>
      <c r="AN1862" s="47" t="str">
        <f aca="false">IF($AM1862=1,$A1862,"")</f>
        <v/>
      </c>
    </row>
    <row r="1863" customFormat="false" ht="15" hidden="false" customHeight="false" outlineLevel="0" collapsed="false">
      <c r="A1863" s="43" t="s">
        <v>167</v>
      </c>
      <c r="B1863" s="44" t="s">
        <v>169</v>
      </c>
      <c r="C1863" s="45" t="n">
        <v>45958</v>
      </c>
      <c r="D1863" s="46" t="n">
        <v>20251028</v>
      </c>
      <c r="E1863" s="47" t="s">
        <v>326</v>
      </c>
      <c r="F1863" s="48" t="n">
        <v>11976</v>
      </c>
      <c r="G1863" s="48" t="n">
        <v>12292</v>
      </c>
      <c r="H1863" s="48" t="n">
        <v>11874</v>
      </c>
      <c r="I1863" s="48" t="n">
        <v>12025</v>
      </c>
      <c r="J1863" s="48" t="n">
        <v>11982</v>
      </c>
      <c r="K1863" s="48" t="n">
        <v>12140</v>
      </c>
      <c r="L1863" s="48" t="n">
        <v>84060138</v>
      </c>
      <c r="M1863" s="48" t="n">
        <v>1010823159450</v>
      </c>
      <c r="N1863" s="48" t="n">
        <v>2904</v>
      </c>
      <c r="O1863" s="48" t="n">
        <v>52296108</v>
      </c>
      <c r="P1863" s="48" t="n">
        <v>28377217</v>
      </c>
      <c r="Q1863" s="48" t="n">
        <v>1171</v>
      </c>
      <c r="R1863" s="48" t="n">
        <v>692</v>
      </c>
      <c r="S1863" s="48" t="n">
        <v>31764030</v>
      </c>
      <c r="T1863" s="48" t="n">
        <v>55682921</v>
      </c>
      <c r="U1863" s="46" t="n">
        <f aca="false">IF($A1863=$A1862,$U1862+1,1)</f>
        <v>39</v>
      </c>
      <c r="V1863" s="48" t="n">
        <f aca="false">IF($U1863&gt;=MA_SHORT,AVERAGE(INDEX($I$1463:$I1863,402-MA_SHORT):$I1863),"")</f>
        <v>12123.3</v>
      </c>
      <c r="W1863" s="48" t="str">
        <f aca="false">IF($U1863&gt;=MA_MED,AVERAGE(INDEX($I$1463:$I1863,402-MA_MED):$I1863),"")</f>
        <v/>
      </c>
      <c r="X1863" s="48" t="str">
        <f aca="false">IF($U1863&gt;=MA_LONG1,AVERAGE(INDEX($I$1463:$I1863,402-MA_LONG1):$I1863),"")</f>
        <v/>
      </c>
      <c r="Y1863" s="48" t="str">
        <f aca="false">IF($U1863&gt;=MA_LONG2,AVERAGE(INDEX($I$1463:$I1863,402-MA_LONG2):$I1863),"")</f>
        <v/>
      </c>
      <c r="Z1863" s="48" t="n">
        <f aca="false">IF($U1863&gt;=MA_SHORT,AVERAGE(INDEX($L$1743:$L1863,122-MA_SHORT):$L1863),"")</f>
        <v>103743005.8</v>
      </c>
      <c r="AA1863" s="48" t="n">
        <f aca="false">IF($U1863=1,$G1863-$H1863,MAX($G1863-$H1863,ABS($G1863-$I1862),ABS($H1863-$I1862)))</f>
        <v>418</v>
      </c>
      <c r="AB1863" s="48" t="n">
        <f aca="false">IF($U1863&gt;=ATR_PER,AVERAGE(INDEX($AA$1743:$AA1863,122-ATR_PER):$AA1863),"")</f>
        <v>374</v>
      </c>
      <c r="AC1863" s="48" t="n">
        <f aca="false">$O1863-$P1863</f>
        <v>23918891</v>
      </c>
      <c r="AD1863" s="48" t="n">
        <f aca="false">$AC1863*$I1863</f>
        <v>287624664275</v>
      </c>
      <c r="AE1863" s="49" t="n">
        <f aca="false">IF($Q1863&gt;0,$O1863*$I1863/$Q1863/1000000,"")</f>
        <v>537.028777711358</v>
      </c>
      <c r="AF1863" s="49" t="n">
        <f aca="false">IF($R1863&gt;0,$P1863*$I1863/$R1863/1000000,"")</f>
        <v>493.115656683526</v>
      </c>
      <c r="AG1863" s="50" t="n">
        <f aca="false">IF(AND(ISNUMBER($AE1863),ISNUMBER($AF1863),$AF1863&gt;0),$AE1863/$AF1863,"")</f>
        <v>1.08905237631912</v>
      </c>
      <c r="AH1863" s="48" t="n">
        <f aca="false">IF($U1863&gt;=5,SUM(INDEX($AD$1833:$AD1863,32-5):$AD1863),"")</f>
        <v>1070648648619</v>
      </c>
      <c r="AI1863" s="48" t="n">
        <f aca="false">IF($U1863&gt;=STRUCT_S,MAX(INDEX($G$1713:$G1863,152-STRUCT_S):$G1863),"")</f>
        <v>12647</v>
      </c>
      <c r="AJ1863" s="48" t="n">
        <f aca="false">IF($U1863&gt;=STRUCT_S,MIN(INDEX($H$1713:$H1863,152-STRUCT_S):$H1863),"")</f>
        <v>11490</v>
      </c>
      <c r="AK1863" s="48" t="str">
        <f aca="false">IF($U1863&gt;=STRUCT_L,MAX(INDEX($G$1613:$G1863,252-STRUCT_L):$G1863),"")</f>
        <v/>
      </c>
      <c r="AL1863" s="48" t="str">
        <f aca="false">IF($U1863&gt;=STRUCT_L,MIN(INDEX($H$1613:$H1863,252-STRUCT_L):$H1863),"")</f>
        <v/>
      </c>
      <c r="AM1863" s="46" t="n">
        <f aca="false">IF($A1863&lt;&gt;$A1864,1,0)</f>
        <v>0</v>
      </c>
      <c r="AN1863" s="47" t="str">
        <f aca="false">IF($AM1863=1,$A1863,"")</f>
        <v/>
      </c>
    </row>
    <row r="1864" customFormat="false" ht="15" hidden="false" customHeight="false" outlineLevel="0" collapsed="false">
      <c r="A1864" s="43" t="s">
        <v>167</v>
      </c>
      <c r="B1864" s="44" t="s">
        <v>169</v>
      </c>
      <c r="C1864" s="45" t="n">
        <v>45959</v>
      </c>
      <c r="D1864" s="46" t="n">
        <v>20251029</v>
      </c>
      <c r="E1864" s="47" t="s">
        <v>327</v>
      </c>
      <c r="F1864" s="48" t="n">
        <v>12116</v>
      </c>
      <c r="G1864" s="48" t="n">
        <v>12155</v>
      </c>
      <c r="H1864" s="48" t="n">
        <v>11765</v>
      </c>
      <c r="I1864" s="48" t="n">
        <v>11893</v>
      </c>
      <c r="J1864" s="48" t="n">
        <v>12029</v>
      </c>
      <c r="K1864" s="48" t="n">
        <v>12025</v>
      </c>
      <c r="L1864" s="48" t="n">
        <v>84778051</v>
      </c>
      <c r="M1864" s="48" t="n">
        <v>1008265360543</v>
      </c>
      <c r="N1864" s="48" t="n">
        <v>3581</v>
      </c>
      <c r="O1864" s="48" t="n">
        <v>34237290</v>
      </c>
      <c r="P1864" s="48" t="n">
        <v>49768888</v>
      </c>
      <c r="Q1864" s="48" t="n">
        <v>1723</v>
      </c>
      <c r="R1864" s="48" t="n">
        <v>1389</v>
      </c>
      <c r="S1864" s="48" t="n">
        <v>50540761</v>
      </c>
      <c r="T1864" s="48" t="n">
        <v>35009163</v>
      </c>
      <c r="U1864" s="46" t="n">
        <f aca="false">IF($A1864=$A1863,$U1863+1,1)</f>
        <v>40</v>
      </c>
      <c r="V1864" s="48" t="n">
        <f aca="false">IF($U1864&gt;=MA_SHORT,AVERAGE(INDEX($I$1464:$I1864,402-MA_SHORT):$I1864),"")</f>
        <v>12114.3</v>
      </c>
      <c r="W1864" s="48" t="str">
        <f aca="false">IF($U1864&gt;=MA_MED,AVERAGE(INDEX($I$1464:$I1864,402-MA_MED):$I1864),"")</f>
        <v/>
      </c>
      <c r="X1864" s="48" t="str">
        <f aca="false">IF($U1864&gt;=MA_LONG1,AVERAGE(INDEX($I$1464:$I1864,402-MA_LONG1):$I1864),"")</f>
        <v/>
      </c>
      <c r="Y1864" s="48" t="str">
        <f aca="false">IF($U1864&gt;=MA_LONG2,AVERAGE(INDEX($I$1464:$I1864,402-MA_LONG2):$I1864),"")</f>
        <v/>
      </c>
      <c r="Z1864" s="48" t="n">
        <f aca="false">IF($U1864&gt;=MA_SHORT,AVERAGE(INDEX($L$1744:$L1864,122-MA_SHORT):$L1864),"")</f>
        <v>101128720.85</v>
      </c>
      <c r="AA1864" s="48" t="n">
        <f aca="false">IF($U1864=1,$G1864-$H1864,MAX($G1864-$H1864,ABS($G1864-$I1863),ABS($H1864-$I1863)))</f>
        <v>390</v>
      </c>
      <c r="AB1864" s="48" t="n">
        <f aca="false">IF($U1864&gt;=ATR_PER,AVERAGE(INDEX($AA$1744:$AA1864,122-ATR_PER):$AA1864),"")</f>
        <v>383.785714285714</v>
      </c>
      <c r="AC1864" s="48" t="n">
        <f aca="false">$O1864-$P1864</f>
        <v>-15531598</v>
      </c>
      <c r="AD1864" s="48" t="n">
        <f aca="false">$AC1864*$I1864</f>
        <v>-184717295014</v>
      </c>
      <c r="AE1864" s="49" t="n">
        <f aca="false">IF($Q1864&gt;0,$O1864*$I1864/$Q1864/1000000,"")</f>
        <v>236.322745194428</v>
      </c>
      <c r="AF1864" s="49" t="n">
        <f aca="false">IF($R1864&gt;0,$P1864*$I1864/$R1864/1000000,"")</f>
        <v>426.134906395968</v>
      </c>
      <c r="AG1864" s="50" t="n">
        <f aca="false">IF(AND(ISNUMBER($AE1864),ISNUMBER($AF1864),$AF1864&gt;0),$AE1864/$AF1864,"")</f>
        <v>0.554572605171272</v>
      </c>
      <c r="AH1864" s="48" t="n">
        <f aca="false">IF($U1864&gt;=5,SUM(INDEX($AD$1834:$AD1864,32-5):$AD1864),"")</f>
        <v>846973553465</v>
      </c>
      <c r="AI1864" s="48" t="n">
        <f aca="false">IF($U1864&gt;=STRUCT_S,MAX(INDEX($G$1714:$G1864,152-STRUCT_S):$G1864),"")</f>
        <v>12647</v>
      </c>
      <c r="AJ1864" s="48" t="n">
        <f aca="false">IF($U1864&gt;=STRUCT_S,MIN(INDEX($H$1714:$H1864,152-STRUCT_S):$H1864),"")</f>
        <v>11490</v>
      </c>
      <c r="AK1864" s="48" t="str">
        <f aca="false">IF($U1864&gt;=STRUCT_L,MAX(INDEX($G$1614:$G1864,252-STRUCT_L):$G1864),"")</f>
        <v/>
      </c>
      <c r="AL1864" s="48" t="str">
        <f aca="false">IF($U1864&gt;=STRUCT_L,MIN(INDEX($H$1614:$H1864,252-STRUCT_L):$H1864),"")</f>
        <v/>
      </c>
      <c r="AM1864" s="46" t="n">
        <f aca="false">IF($A1864&lt;&gt;$A1865,1,0)</f>
        <v>0</v>
      </c>
      <c r="AN1864" s="47" t="str">
        <f aca="false">IF($AM1864=1,$A1864,"")</f>
        <v/>
      </c>
    </row>
    <row r="1865" customFormat="false" ht="15" hidden="false" customHeight="false" outlineLevel="0" collapsed="false">
      <c r="A1865" s="43" t="s">
        <v>167</v>
      </c>
      <c r="B1865" s="44" t="s">
        <v>169</v>
      </c>
      <c r="C1865" s="45" t="n">
        <v>45962</v>
      </c>
      <c r="D1865" s="46" t="n">
        <v>20251101</v>
      </c>
      <c r="E1865" s="47" t="s">
        <v>328</v>
      </c>
      <c r="F1865" s="48" t="n">
        <v>11912</v>
      </c>
      <c r="G1865" s="48" t="n">
        <v>12014</v>
      </c>
      <c r="H1865" s="48" t="n">
        <v>11809</v>
      </c>
      <c r="I1865" s="48" t="n">
        <v>11930</v>
      </c>
      <c r="J1865" s="48" t="n">
        <v>12011</v>
      </c>
      <c r="K1865" s="48" t="n">
        <v>11893</v>
      </c>
      <c r="L1865" s="48" t="n">
        <v>81478150</v>
      </c>
      <c r="M1865" s="48" t="n">
        <v>972034329500</v>
      </c>
      <c r="N1865" s="48" t="n">
        <v>2792</v>
      </c>
      <c r="O1865" s="48" t="n">
        <v>52749142</v>
      </c>
      <c r="P1865" s="48" t="n">
        <v>25739361</v>
      </c>
      <c r="Q1865" s="48" t="n">
        <v>608</v>
      </c>
      <c r="R1865" s="48" t="n">
        <v>1774</v>
      </c>
      <c r="S1865" s="48" t="n">
        <v>28729008</v>
      </c>
      <c r="T1865" s="48" t="n">
        <v>55738789</v>
      </c>
      <c r="U1865" s="46" t="n">
        <f aca="false">IF($A1865=$A1864,$U1864+1,1)</f>
        <v>41</v>
      </c>
      <c r="V1865" s="48" t="n">
        <f aca="false">IF($U1865&gt;=MA_SHORT,AVERAGE(INDEX($I$1465:$I1865,402-MA_SHORT):$I1865),"")</f>
        <v>12094.95</v>
      </c>
      <c r="W1865" s="48" t="str">
        <f aca="false">IF($U1865&gt;=MA_MED,AVERAGE(INDEX($I$1465:$I1865,402-MA_MED):$I1865),"")</f>
        <v/>
      </c>
      <c r="X1865" s="48" t="str">
        <f aca="false">IF($U1865&gt;=MA_LONG1,AVERAGE(INDEX($I$1465:$I1865,402-MA_LONG1):$I1865),"")</f>
        <v/>
      </c>
      <c r="Y1865" s="48" t="str">
        <f aca="false">IF($U1865&gt;=MA_LONG2,AVERAGE(INDEX($I$1465:$I1865,402-MA_LONG2):$I1865),"")</f>
        <v/>
      </c>
      <c r="Z1865" s="48" t="n">
        <f aca="false">IF($U1865&gt;=MA_SHORT,AVERAGE(INDEX($L$1745:$L1865,122-MA_SHORT):$L1865),"")</f>
        <v>100743403.6</v>
      </c>
      <c r="AA1865" s="48" t="n">
        <f aca="false">IF($U1865=1,$G1865-$H1865,MAX($G1865-$H1865,ABS($G1865-$I1864),ABS($H1865-$I1864)))</f>
        <v>205</v>
      </c>
      <c r="AB1865" s="48" t="n">
        <f aca="false">IF($U1865&gt;=ATR_PER,AVERAGE(INDEX($AA$1745:$AA1865,122-ATR_PER):$AA1865),"")</f>
        <v>364.214285714286</v>
      </c>
      <c r="AC1865" s="48" t="n">
        <f aca="false">$O1865-$P1865</f>
        <v>27009781</v>
      </c>
      <c r="AD1865" s="48" t="n">
        <f aca="false">$AC1865*$I1865</f>
        <v>322226687330</v>
      </c>
      <c r="AE1865" s="49" t="n">
        <f aca="false">IF($Q1865&gt;0,$O1865*$I1865/$Q1865/1000000,"")</f>
        <v>1035.02839483553</v>
      </c>
      <c r="AF1865" s="49" t="n">
        <f aca="false">IF($R1865&gt;0,$P1865*$I1865/$R1865/1000000,"")</f>
        <v>173.095026341601</v>
      </c>
      <c r="AG1865" s="50" t="n">
        <f aca="false">IF(AND(ISNUMBER($AE1865),ISNUMBER($AF1865),$AF1865&gt;0),$AE1865/$AF1865,"")</f>
        <v>5.97953861939921</v>
      </c>
      <c r="AH1865" s="48" t="n">
        <f aca="false">IF($U1865&gt;=5,SUM(INDEX($AD$1835:$AD1865,32-5):$AD1865),"")</f>
        <v>1087396711547</v>
      </c>
      <c r="AI1865" s="48" t="n">
        <f aca="false">IF($U1865&gt;=STRUCT_S,MAX(INDEX($G$1715:$G1865,152-STRUCT_S):$G1865),"")</f>
        <v>12647</v>
      </c>
      <c r="AJ1865" s="48" t="n">
        <f aca="false">IF($U1865&gt;=STRUCT_S,MIN(INDEX($H$1715:$H1865,152-STRUCT_S):$H1865),"")</f>
        <v>11490</v>
      </c>
      <c r="AK1865" s="48" t="str">
        <f aca="false">IF($U1865&gt;=STRUCT_L,MAX(INDEX($G$1615:$G1865,252-STRUCT_L):$G1865),"")</f>
        <v/>
      </c>
      <c r="AL1865" s="48" t="str">
        <f aca="false">IF($U1865&gt;=STRUCT_L,MIN(INDEX($H$1615:$H1865,252-STRUCT_L):$H1865),"")</f>
        <v/>
      </c>
      <c r="AM1865" s="46" t="n">
        <f aca="false">IF($A1865&lt;&gt;$A1866,1,0)</f>
        <v>0</v>
      </c>
      <c r="AN1865" s="47" t="str">
        <f aca="false">IF($AM1865=1,$A1865,"")</f>
        <v/>
      </c>
    </row>
    <row r="1866" customFormat="false" ht="15" hidden="false" customHeight="false" outlineLevel="0" collapsed="false">
      <c r="A1866" s="43" t="s">
        <v>167</v>
      </c>
      <c r="B1866" s="44" t="s">
        <v>169</v>
      </c>
      <c r="C1866" s="45" t="n">
        <v>45963</v>
      </c>
      <c r="D1866" s="46" t="n">
        <v>20251102</v>
      </c>
      <c r="E1866" s="47" t="s">
        <v>329</v>
      </c>
      <c r="F1866" s="48" t="n">
        <v>11842</v>
      </c>
      <c r="G1866" s="48" t="n">
        <v>12017</v>
      </c>
      <c r="H1866" s="48" t="n">
        <v>11557</v>
      </c>
      <c r="I1866" s="48" t="n">
        <v>11642</v>
      </c>
      <c r="J1866" s="48" t="n">
        <v>11605</v>
      </c>
      <c r="K1866" s="48" t="n">
        <v>11930</v>
      </c>
      <c r="L1866" s="48" t="n">
        <v>91060241</v>
      </c>
      <c r="M1866" s="48" t="n">
        <v>1060123325722</v>
      </c>
      <c r="N1866" s="48" t="n">
        <v>2670</v>
      </c>
      <c r="O1866" s="48" t="n">
        <v>55304323</v>
      </c>
      <c r="P1866" s="48" t="n">
        <v>37728487</v>
      </c>
      <c r="Q1866" s="48" t="n">
        <v>1514</v>
      </c>
      <c r="R1866" s="48" t="n">
        <v>939</v>
      </c>
      <c r="S1866" s="48" t="n">
        <v>35755918</v>
      </c>
      <c r="T1866" s="48" t="n">
        <v>53331754</v>
      </c>
      <c r="U1866" s="46" t="n">
        <f aca="false">IF($A1866=$A1865,$U1865+1,1)</f>
        <v>42</v>
      </c>
      <c r="V1866" s="48" t="n">
        <f aca="false">IF($U1866&gt;=MA_SHORT,AVERAGE(INDEX($I$1466:$I1866,402-MA_SHORT):$I1866),"")</f>
        <v>12056.3</v>
      </c>
      <c r="W1866" s="48" t="str">
        <f aca="false">IF($U1866&gt;=MA_MED,AVERAGE(INDEX($I$1466:$I1866,402-MA_MED):$I1866),"")</f>
        <v/>
      </c>
      <c r="X1866" s="48" t="str">
        <f aca="false">IF($U1866&gt;=MA_LONG1,AVERAGE(INDEX($I$1466:$I1866,402-MA_LONG1):$I1866),"")</f>
        <v/>
      </c>
      <c r="Y1866" s="48" t="str">
        <f aca="false">IF($U1866&gt;=MA_LONG2,AVERAGE(INDEX($I$1466:$I1866,402-MA_LONG2):$I1866),"")</f>
        <v/>
      </c>
      <c r="Z1866" s="48" t="n">
        <f aca="false">IF($U1866&gt;=MA_SHORT,AVERAGE(INDEX($L$1746:$L1866,122-MA_SHORT):$L1866),"")</f>
        <v>101129591.2</v>
      </c>
      <c r="AA1866" s="48" t="n">
        <f aca="false">IF($U1866=1,$G1866-$H1866,MAX($G1866-$H1866,ABS($G1866-$I1865),ABS($H1866-$I1865)))</f>
        <v>460</v>
      </c>
      <c r="AB1866" s="48" t="n">
        <f aca="false">IF($U1866&gt;=ATR_PER,AVERAGE(INDEX($AA$1746:$AA1866,122-ATR_PER):$AA1866),"")</f>
        <v>343.142857142857</v>
      </c>
      <c r="AC1866" s="48" t="n">
        <f aca="false">$O1866-$P1866</f>
        <v>17575836</v>
      </c>
      <c r="AD1866" s="48" t="n">
        <f aca="false">$AC1866*$I1866</f>
        <v>204617882712</v>
      </c>
      <c r="AE1866" s="49" t="n">
        <f aca="false">IF($Q1866&gt;0,$O1866*$I1866/$Q1866/1000000,"")</f>
        <v>425.266134984148</v>
      </c>
      <c r="AF1866" s="49" t="n">
        <f aca="false">IF($R1866&gt;0,$P1866*$I1866/$R1866/1000000,"")</f>
        <v>467.7689517082</v>
      </c>
      <c r="AG1866" s="50" t="n">
        <f aca="false">IF(AND(ISNUMBER($AE1866),ISNUMBER($AF1866),$AF1866&gt;0),$AE1866/$AF1866,"")</f>
        <v>0.9091371572037</v>
      </c>
      <c r="AH1866" s="48" t="n">
        <f aca="false">IF($U1866&gt;=5,SUM(INDEX($AD$1836:$AD1866,32-5):$AD1866),"")</f>
        <v>919646519903</v>
      </c>
      <c r="AI1866" s="48" t="n">
        <f aca="false">IF($U1866&gt;=STRUCT_S,MAX(INDEX($G$1716:$G1866,152-STRUCT_S):$G1866),"")</f>
        <v>12647</v>
      </c>
      <c r="AJ1866" s="48" t="n">
        <f aca="false">IF($U1866&gt;=STRUCT_S,MIN(INDEX($H$1716:$H1866,152-STRUCT_S):$H1866),"")</f>
        <v>11490</v>
      </c>
      <c r="AK1866" s="48" t="str">
        <f aca="false">IF($U1866&gt;=STRUCT_L,MAX(INDEX($G$1616:$G1866,252-STRUCT_L):$G1866),"")</f>
        <v/>
      </c>
      <c r="AL1866" s="48" t="str">
        <f aca="false">IF($U1866&gt;=STRUCT_L,MIN(INDEX($H$1616:$H1866,252-STRUCT_L):$H1866),"")</f>
        <v/>
      </c>
      <c r="AM1866" s="46" t="n">
        <f aca="false">IF($A1866&lt;&gt;$A1867,1,0)</f>
        <v>0</v>
      </c>
      <c r="AN1866" s="47" t="str">
        <f aca="false">IF($AM1866=1,$A1866,"")</f>
        <v/>
      </c>
    </row>
    <row r="1867" customFormat="false" ht="15" hidden="false" customHeight="false" outlineLevel="0" collapsed="false">
      <c r="A1867" s="43" t="s">
        <v>167</v>
      </c>
      <c r="B1867" s="44" t="s">
        <v>169</v>
      </c>
      <c r="C1867" s="45" t="n">
        <v>45964</v>
      </c>
      <c r="D1867" s="46" t="n">
        <v>20251103</v>
      </c>
      <c r="E1867" s="47" t="s">
        <v>330</v>
      </c>
      <c r="F1867" s="48" t="n">
        <v>11528</v>
      </c>
      <c r="G1867" s="48" t="n">
        <v>11898</v>
      </c>
      <c r="H1867" s="48" t="n">
        <v>11483</v>
      </c>
      <c r="I1867" s="48" t="n">
        <v>11737</v>
      </c>
      <c r="J1867" s="48" t="n">
        <v>11826</v>
      </c>
      <c r="K1867" s="48" t="n">
        <v>11642</v>
      </c>
      <c r="L1867" s="48" t="n">
        <v>104530440</v>
      </c>
      <c r="M1867" s="48" t="n">
        <v>1226873774280</v>
      </c>
      <c r="N1867" s="48" t="n">
        <v>2406</v>
      </c>
      <c r="O1867" s="48" t="n">
        <v>69177047</v>
      </c>
      <c r="P1867" s="48" t="n">
        <v>22835316</v>
      </c>
      <c r="Q1867" s="48" t="n">
        <v>831</v>
      </c>
      <c r="R1867" s="48" t="n">
        <v>1785</v>
      </c>
      <c r="S1867" s="48" t="n">
        <v>35353393</v>
      </c>
      <c r="T1867" s="48" t="n">
        <v>81695124</v>
      </c>
      <c r="U1867" s="46" t="n">
        <f aca="false">IF($A1867=$A1866,$U1866+1,1)</f>
        <v>43</v>
      </c>
      <c r="V1867" s="48" t="n">
        <f aca="false">IF($U1867&gt;=MA_SHORT,AVERAGE(INDEX($I$1467:$I1867,402-MA_SHORT):$I1867),"")</f>
        <v>12022.1</v>
      </c>
      <c r="W1867" s="48" t="str">
        <f aca="false">IF($U1867&gt;=MA_MED,AVERAGE(INDEX($I$1467:$I1867,402-MA_MED):$I1867),"")</f>
        <v/>
      </c>
      <c r="X1867" s="48" t="str">
        <f aca="false">IF($U1867&gt;=MA_LONG1,AVERAGE(INDEX($I$1467:$I1867,402-MA_LONG1):$I1867),"")</f>
        <v/>
      </c>
      <c r="Y1867" s="48" t="str">
        <f aca="false">IF($U1867&gt;=MA_LONG2,AVERAGE(INDEX($I$1467:$I1867,402-MA_LONG2):$I1867),"")</f>
        <v/>
      </c>
      <c r="Z1867" s="48" t="n">
        <f aca="false">IF($U1867&gt;=MA_SHORT,AVERAGE(INDEX($L$1747:$L1867,122-MA_SHORT):$L1867),"")</f>
        <v>102367612.75</v>
      </c>
      <c r="AA1867" s="48" t="n">
        <f aca="false">IF($U1867=1,$G1867-$H1867,MAX($G1867-$H1867,ABS($G1867-$I1866),ABS($H1867-$I1866)))</f>
        <v>415</v>
      </c>
      <c r="AB1867" s="48" t="n">
        <f aca="false">IF($U1867&gt;=ATR_PER,AVERAGE(INDEX($AA$1747:$AA1867,122-ATR_PER):$AA1867),"")</f>
        <v>361</v>
      </c>
      <c r="AC1867" s="48" t="n">
        <f aca="false">$O1867-$P1867</f>
        <v>46341731</v>
      </c>
      <c r="AD1867" s="48" t="n">
        <f aca="false">$AC1867*$I1867</f>
        <v>543912896747</v>
      </c>
      <c r="AE1867" s="49" t="n">
        <f aca="false">IF($Q1867&gt;0,$O1867*$I1867/$Q1867/1000000,"")</f>
        <v>977.052949024067</v>
      </c>
      <c r="AF1867" s="49" t="n">
        <f aca="false">IF($R1867&gt;0,$P1867*$I1867/$R1867/1000000,"")</f>
        <v>150.150198258824</v>
      </c>
      <c r="AG1867" s="50" t="n">
        <f aca="false">IF(AND(ISNUMBER($AE1867),ISNUMBER($AF1867),$AF1867&gt;0),$AE1867/$AF1867,"")</f>
        <v>6.50717055557835</v>
      </c>
      <c r="AH1867" s="48" t="n">
        <f aca="false">IF($U1867&gt;=5,SUM(INDEX($AD$1837:$AD1867,32-5):$AD1867),"")</f>
        <v>1173664836050</v>
      </c>
      <c r="AI1867" s="48" t="n">
        <f aca="false">IF($U1867&gt;=STRUCT_S,MAX(INDEX($G$1717:$G1867,152-STRUCT_S):$G1867),"")</f>
        <v>12549</v>
      </c>
      <c r="AJ1867" s="48" t="n">
        <f aca="false">IF($U1867&gt;=STRUCT_S,MIN(INDEX($H$1717:$H1867,152-STRUCT_S):$H1867),"")</f>
        <v>11483</v>
      </c>
      <c r="AK1867" s="48" t="str">
        <f aca="false">IF($U1867&gt;=STRUCT_L,MAX(INDEX($G$1617:$G1867,252-STRUCT_L):$G1867),"")</f>
        <v/>
      </c>
      <c r="AL1867" s="48" t="str">
        <f aca="false">IF($U1867&gt;=STRUCT_L,MIN(INDEX($H$1617:$H1867,252-STRUCT_L):$H1867),"")</f>
        <v/>
      </c>
      <c r="AM1867" s="46" t="n">
        <f aca="false">IF($A1867&lt;&gt;$A1868,1,0)</f>
        <v>0</v>
      </c>
      <c r="AN1867" s="47" t="str">
        <f aca="false">IF($AM1867=1,$A1867,"")</f>
        <v/>
      </c>
    </row>
    <row r="1868" customFormat="false" ht="15" hidden="false" customHeight="false" outlineLevel="0" collapsed="false">
      <c r="A1868" s="43" t="s">
        <v>167</v>
      </c>
      <c r="B1868" s="44" t="s">
        <v>169</v>
      </c>
      <c r="C1868" s="45" t="n">
        <v>45965</v>
      </c>
      <c r="D1868" s="46" t="n">
        <v>20251104</v>
      </c>
      <c r="E1868" s="47" t="s">
        <v>331</v>
      </c>
      <c r="F1868" s="48" t="n">
        <v>11503</v>
      </c>
      <c r="G1868" s="48" t="n">
        <v>11794</v>
      </c>
      <c r="H1868" s="48" t="n">
        <v>11380</v>
      </c>
      <c r="I1868" s="48" t="n">
        <v>11435</v>
      </c>
      <c r="J1868" s="48" t="n">
        <v>11482</v>
      </c>
      <c r="K1868" s="48" t="n">
        <v>11737</v>
      </c>
      <c r="L1868" s="48" t="n">
        <v>163018074</v>
      </c>
      <c r="M1868" s="48" t="n">
        <v>1864111676190</v>
      </c>
      <c r="N1868" s="48" t="n">
        <v>5067</v>
      </c>
      <c r="O1868" s="48" t="n">
        <v>78790035</v>
      </c>
      <c r="P1868" s="48" t="n">
        <v>86640457</v>
      </c>
      <c r="Q1868" s="48" t="n">
        <v>2191</v>
      </c>
      <c r="R1868" s="48" t="n">
        <v>1633</v>
      </c>
      <c r="S1868" s="48" t="n">
        <v>84228039</v>
      </c>
      <c r="T1868" s="48" t="n">
        <v>76377617</v>
      </c>
      <c r="U1868" s="46" t="n">
        <f aca="false">IF($A1868=$A1867,$U1867+1,1)</f>
        <v>44</v>
      </c>
      <c r="V1868" s="48" t="n">
        <f aca="false">IF($U1868&gt;=MA_SHORT,AVERAGE(INDEX($I$1468:$I1868,402-MA_SHORT):$I1868),"")</f>
        <v>11974.8</v>
      </c>
      <c r="W1868" s="48" t="str">
        <f aca="false">IF($U1868&gt;=MA_MED,AVERAGE(INDEX($I$1468:$I1868,402-MA_MED):$I1868),"")</f>
        <v/>
      </c>
      <c r="X1868" s="48" t="str">
        <f aca="false">IF($U1868&gt;=MA_LONG1,AVERAGE(INDEX($I$1468:$I1868,402-MA_LONG1):$I1868),"")</f>
        <v/>
      </c>
      <c r="Y1868" s="48" t="str">
        <f aca="false">IF($U1868&gt;=MA_LONG2,AVERAGE(INDEX($I$1468:$I1868,402-MA_LONG2):$I1868),"")</f>
        <v/>
      </c>
      <c r="Z1868" s="48" t="n">
        <f aca="false">IF($U1868&gt;=MA_SHORT,AVERAGE(INDEX($L$1748:$L1868,122-MA_SHORT):$L1868),"")</f>
        <v>106464704.65</v>
      </c>
      <c r="AA1868" s="48" t="n">
        <f aca="false">IF($U1868=1,$G1868-$H1868,MAX($G1868-$H1868,ABS($G1868-$I1867),ABS($H1868-$I1867)))</f>
        <v>414</v>
      </c>
      <c r="AB1868" s="48" t="n">
        <f aca="false">IF($U1868&gt;=ATR_PER,AVERAGE(INDEX($AA$1748:$AA1868,122-ATR_PER):$AA1868),"")</f>
        <v>374.142857142857</v>
      </c>
      <c r="AC1868" s="48" t="n">
        <f aca="false">$O1868-$P1868</f>
        <v>-7850422</v>
      </c>
      <c r="AD1868" s="48" t="n">
        <f aca="false">$AC1868*$I1868</f>
        <v>-89769575570</v>
      </c>
      <c r="AE1868" s="49" t="n">
        <f aca="false">IF($Q1868&gt;0,$O1868*$I1868/$Q1868/1000000,"")</f>
        <v>411.211341955728</v>
      </c>
      <c r="AF1868" s="49" t="n">
        <f aca="false">IF($R1868&gt;0,$P1868*$I1868/$R1868/1000000,"")</f>
        <v>606.695423022045</v>
      </c>
      <c r="AG1868" s="50" t="n">
        <f aca="false">IF(AND(ISNUMBER($AE1868),ISNUMBER($AF1868),$AF1868&gt;0),$AE1868/$AF1868,"")</f>
        <v>0.67778876574908</v>
      </c>
      <c r="AH1868" s="48" t="n">
        <f aca="false">IF($U1868&gt;=5,SUM(INDEX($AD$1838:$AD1868,32-5):$AD1868),"")</f>
        <v>796270596205</v>
      </c>
      <c r="AI1868" s="48" t="n">
        <f aca="false">IF($U1868&gt;=STRUCT_S,MAX(INDEX($G$1718:$G1868,152-STRUCT_S):$G1868),"")</f>
        <v>12489</v>
      </c>
      <c r="AJ1868" s="48" t="n">
        <f aca="false">IF($U1868&gt;=STRUCT_S,MIN(INDEX($H$1718:$H1868,152-STRUCT_S):$H1868),"")</f>
        <v>11380</v>
      </c>
      <c r="AK1868" s="48" t="str">
        <f aca="false">IF($U1868&gt;=STRUCT_L,MAX(INDEX($G$1618:$G1868,252-STRUCT_L):$G1868),"")</f>
        <v/>
      </c>
      <c r="AL1868" s="48" t="str">
        <f aca="false">IF($U1868&gt;=STRUCT_L,MIN(INDEX($H$1618:$H1868,252-STRUCT_L):$H1868),"")</f>
        <v/>
      </c>
      <c r="AM1868" s="46" t="n">
        <f aca="false">IF($A1868&lt;&gt;$A1869,1,0)</f>
        <v>0</v>
      </c>
      <c r="AN1868" s="47" t="str">
        <f aca="false">IF($AM1868=1,$A1868,"")</f>
        <v/>
      </c>
    </row>
    <row r="1869" customFormat="false" ht="15" hidden="false" customHeight="false" outlineLevel="0" collapsed="false">
      <c r="A1869" s="43" t="s">
        <v>167</v>
      </c>
      <c r="B1869" s="44" t="s">
        <v>169</v>
      </c>
      <c r="C1869" s="45" t="n">
        <v>45966</v>
      </c>
      <c r="D1869" s="46" t="n">
        <v>20251105</v>
      </c>
      <c r="E1869" s="47" t="s">
        <v>332</v>
      </c>
      <c r="F1869" s="48" t="n">
        <v>11468</v>
      </c>
      <c r="G1869" s="48" t="n">
        <v>11544</v>
      </c>
      <c r="H1869" s="48" t="n">
        <v>11136</v>
      </c>
      <c r="I1869" s="48" t="n">
        <v>11243</v>
      </c>
      <c r="J1869" s="48" t="n">
        <v>11321</v>
      </c>
      <c r="K1869" s="48" t="n">
        <v>11435</v>
      </c>
      <c r="L1869" s="48" t="n">
        <v>105780189</v>
      </c>
      <c r="M1869" s="48" t="n">
        <v>1189286664927</v>
      </c>
      <c r="N1869" s="48" t="n">
        <v>2436</v>
      </c>
      <c r="O1869" s="48" t="n">
        <v>40913428</v>
      </c>
      <c r="P1869" s="48" t="n">
        <v>63929741</v>
      </c>
      <c r="Q1869" s="48" t="n">
        <v>1011</v>
      </c>
      <c r="R1869" s="48" t="n">
        <v>814</v>
      </c>
      <c r="S1869" s="48" t="n">
        <v>64866761</v>
      </c>
      <c r="T1869" s="48" t="n">
        <v>41850448</v>
      </c>
      <c r="U1869" s="46" t="n">
        <f aca="false">IF($A1869=$A1868,$U1868+1,1)</f>
        <v>45</v>
      </c>
      <c r="V1869" s="48" t="n">
        <f aca="false">IF($U1869&gt;=MA_SHORT,AVERAGE(INDEX($I$1469:$I1869,402-MA_SHORT):$I1869),"")</f>
        <v>11939.85</v>
      </c>
      <c r="W1869" s="48" t="str">
        <f aca="false">IF($U1869&gt;=MA_MED,AVERAGE(INDEX($I$1469:$I1869,402-MA_MED):$I1869),"")</f>
        <v/>
      </c>
      <c r="X1869" s="48" t="str">
        <f aca="false">IF($U1869&gt;=MA_LONG1,AVERAGE(INDEX($I$1469:$I1869,402-MA_LONG1):$I1869),"")</f>
        <v/>
      </c>
      <c r="Y1869" s="48" t="str">
        <f aca="false">IF($U1869&gt;=MA_LONG2,AVERAGE(INDEX($I$1469:$I1869,402-MA_LONG2):$I1869),"")</f>
        <v/>
      </c>
      <c r="Z1869" s="48" t="n">
        <f aca="false">IF($U1869&gt;=MA_SHORT,AVERAGE(INDEX($L$1749:$L1869,122-MA_SHORT):$L1869),"")</f>
        <v>106930664.25</v>
      </c>
      <c r="AA1869" s="48" t="n">
        <f aca="false">IF($U1869=1,$G1869-$H1869,MAX($G1869-$H1869,ABS($G1869-$I1868),ABS($H1869-$I1868)))</f>
        <v>408</v>
      </c>
      <c r="AB1869" s="48" t="n">
        <f aca="false">IF($U1869&gt;=ATR_PER,AVERAGE(INDEX($AA$1749:$AA1869,122-ATR_PER):$AA1869),"")</f>
        <v>382.285714285714</v>
      </c>
      <c r="AC1869" s="48" t="n">
        <f aca="false">$O1869-$P1869</f>
        <v>-23016313</v>
      </c>
      <c r="AD1869" s="48" t="n">
        <f aca="false">$AC1869*$I1869</f>
        <v>-258772407059</v>
      </c>
      <c r="AE1869" s="49" t="n">
        <f aca="false">IF($Q1869&gt;0,$O1869*$I1869/$Q1869/1000000,"")</f>
        <v>454.984837788328</v>
      </c>
      <c r="AF1869" s="49" t="n">
        <f aca="false">IF($R1869&gt;0,$P1869*$I1869/$R1869/1000000,"")</f>
        <v>883.000095900491</v>
      </c>
      <c r="AG1869" s="50" t="n">
        <f aca="false">IF(AND(ISNUMBER($AE1869),ISNUMBER($AF1869),$AF1869&gt;0),$AE1869/$AF1869,"")</f>
        <v>0.515271561011928</v>
      </c>
      <c r="AH1869" s="48" t="n">
        <f aca="false">IF($U1869&gt;=5,SUM(INDEX($AD$1839:$AD1869,32-5):$AD1869),"")</f>
        <v>722215484160</v>
      </c>
      <c r="AI1869" s="48" t="n">
        <f aca="false">IF($U1869&gt;=STRUCT_S,MAX(INDEX($G$1719:$G1869,152-STRUCT_S):$G1869),"")</f>
        <v>12489</v>
      </c>
      <c r="AJ1869" s="48" t="n">
        <f aca="false">IF($U1869&gt;=STRUCT_S,MIN(INDEX($H$1719:$H1869,152-STRUCT_S):$H1869),"")</f>
        <v>11136</v>
      </c>
      <c r="AK1869" s="48" t="str">
        <f aca="false">IF($U1869&gt;=STRUCT_L,MAX(INDEX($G$1619:$G1869,252-STRUCT_L):$G1869),"")</f>
        <v/>
      </c>
      <c r="AL1869" s="48" t="str">
        <f aca="false">IF($U1869&gt;=STRUCT_L,MIN(INDEX($H$1619:$H1869,252-STRUCT_L):$H1869),"")</f>
        <v/>
      </c>
      <c r="AM1869" s="46" t="n">
        <f aca="false">IF($A1869&lt;&gt;$A1870,1,0)</f>
        <v>0</v>
      </c>
      <c r="AN1869" s="47" t="str">
        <f aca="false">IF($AM1869=1,$A1869,"")</f>
        <v/>
      </c>
    </row>
    <row r="1870" customFormat="false" ht="15" hidden="false" customHeight="false" outlineLevel="0" collapsed="false">
      <c r="A1870" s="43" t="s">
        <v>167</v>
      </c>
      <c r="B1870" s="44" t="s">
        <v>169</v>
      </c>
      <c r="C1870" s="45" t="n">
        <v>45969</v>
      </c>
      <c r="D1870" s="46" t="n">
        <v>20251108</v>
      </c>
      <c r="E1870" s="47" t="s">
        <v>333</v>
      </c>
      <c r="F1870" s="48" t="n">
        <v>11159</v>
      </c>
      <c r="G1870" s="48" t="n">
        <v>11318</v>
      </c>
      <c r="H1870" s="48" t="n">
        <v>10854</v>
      </c>
      <c r="I1870" s="48" t="n">
        <v>10927</v>
      </c>
      <c r="J1870" s="48" t="n">
        <v>11096</v>
      </c>
      <c r="K1870" s="48" t="n">
        <v>11243</v>
      </c>
      <c r="L1870" s="48" t="n">
        <v>92952748</v>
      </c>
      <c r="M1870" s="48" t="n">
        <v>1015694677396</v>
      </c>
      <c r="N1870" s="48" t="n">
        <v>10053</v>
      </c>
      <c r="O1870" s="48" t="n">
        <v>45513198</v>
      </c>
      <c r="P1870" s="48" t="n">
        <v>49502975</v>
      </c>
      <c r="Q1870" s="48" t="n">
        <v>5063</v>
      </c>
      <c r="R1870" s="48" t="n">
        <v>3454</v>
      </c>
      <c r="S1870" s="48" t="n">
        <v>47439550</v>
      </c>
      <c r="T1870" s="48" t="n">
        <v>43449773</v>
      </c>
      <c r="U1870" s="46" t="n">
        <f aca="false">IF($A1870=$A1869,$U1869+1,1)</f>
        <v>46</v>
      </c>
      <c r="V1870" s="48" t="n">
        <f aca="false">IF($U1870&gt;=MA_SHORT,AVERAGE(INDEX($I$1470:$I1870,402-MA_SHORT):$I1870),"")</f>
        <v>11881.9</v>
      </c>
      <c r="W1870" s="48" t="str">
        <f aca="false">IF($U1870&gt;=MA_MED,AVERAGE(INDEX($I$1470:$I1870,402-MA_MED):$I1870),"")</f>
        <v/>
      </c>
      <c r="X1870" s="48" t="str">
        <f aca="false">IF($U1870&gt;=MA_LONG1,AVERAGE(INDEX($I$1470:$I1870,402-MA_LONG1):$I1870),"")</f>
        <v/>
      </c>
      <c r="Y1870" s="48" t="str">
        <f aca="false">IF($U1870&gt;=MA_LONG2,AVERAGE(INDEX($I$1470:$I1870,402-MA_LONG2):$I1870),"")</f>
        <v/>
      </c>
      <c r="Z1870" s="48" t="n">
        <f aca="false">IF($U1870&gt;=MA_SHORT,AVERAGE(INDEX($L$1750:$L1870,122-MA_SHORT):$L1870),"")</f>
        <v>106888501.55</v>
      </c>
      <c r="AA1870" s="48" t="n">
        <f aca="false">IF($U1870=1,$G1870-$H1870,MAX($G1870-$H1870,ABS($G1870-$I1869),ABS($H1870-$I1869)))</f>
        <v>464</v>
      </c>
      <c r="AB1870" s="48" t="n">
        <f aca="false">IF($U1870&gt;=ATR_PER,AVERAGE(INDEX($AA$1750:$AA1870,122-ATR_PER):$AA1870),"")</f>
        <v>368.642857142857</v>
      </c>
      <c r="AC1870" s="48" t="n">
        <f aca="false">$O1870-$P1870</f>
        <v>-3989777</v>
      </c>
      <c r="AD1870" s="48" t="n">
        <f aca="false">$AC1870*$I1870</f>
        <v>-43596293279</v>
      </c>
      <c r="AE1870" s="49" t="n">
        <f aca="false">IF($Q1870&gt;0,$O1870*$I1870/$Q1870/1000000,"")</f>
        <v>98.2268841686747</v>
      </c>
      <c r="AF1870" s="49" t="n">
        <f aca="false">IF($R1870&gt;0,$P1870*$I1870/$R1870/1000000,"")</f>
        <v>156.60654540388</v>
      </c>
      <c r="AG1870" s="50" t="n">
        <f aca="false">IF(AND(ISNUMBER($AE1870),ISNUMBER($AF1870),$AF1870&gt;0),$AE1870/$AF1870,"")</f>
        <v>0.627220809419894</v>
      </c>
      <c r="AH1870" s="48" t="n">
        <f aca="false">IF($U1870&gt;=5,SUM(INDEX($AD$1840:$AD1870,32-5):$AD1870),"")</f>
        <v>356392503551</v>
      </c>
      <c r="AI1870" s="48" t="n">
        <f aca="false">IF($U1870&gt;=STRUCT_S,MAX(INDEX($G$1720:$G1870,152-STRUCT_S):$G1870),"")</f>
        <v>12489</v>
      </c>
      <c r="AJ1870" s="48" t="n">
        <f aca="false">IF($U1870&gt;=STRUCT_S,MIN(INDEX($H$1720:$H1870,152-STRUCT_S):$H1870),"")</f>
        <v>10854</v>
      </c>
      <c r="AK1870" s="48" t="str">
        <f aca="false">IF($U1870&gt;=STRUCT_L,MAX(INDEX($G$1620:$G1870,252-STRUCT_L):$G1870),"")</f>
        <v/>
      </c>
      <c r="AL1870" s="48" t="str">
        <f aca="false">IF($U1870&gt;=STRUCT_L,MIN(INDEX($H$1620:$H1870,252-STRUCT_L):$H1870),"")</f>
        <v/>
      </c>
      <c r="AM1870" s="46" t="n">
        <f aca="false">IF($A1870&lt;&gt;$A1871,1,0)</f>
        <v>0</v>
      </c>
      <c r="AN1870" s="47" t="str">
        <f aca="false">IF($AM1870=1,$A1870,"")</f>
        <v/>
      </c>
    </row>
    <row r="1871" customFormat="false" ht="15" hidden="false" customHeight="false" outlineLevel="0" collapsed="false">
      <c r="A1871" s="43" t="s">
        <v>167</v>
      </c>
      <c r="B1871" s="44" t="s">
        <v>169</v>
      </c>
      <c r="C1871" s="45" t="n">
        <v>45970</v>
      </c>
      <c r="D1871" s="46" t="n">
        <v>20251109</v>
      </c>
      <c r="E1871" s="47" t="s">
        <v>334</v>
      </c>
      <c r="F1871" s="48" t="n">
        <v>10701</v>
      </c>
      <c r="G1871" s="48" t="n">
        <v>11129</v>
      </c>
      <c r="H1871" s="48" t="n">
        <v>10654</v>
      </c>
      <c r="I1871" s="48" t="n">
        <v>10855</v>
      </c>
      <c r="J1871" s="48" t="n">
        <v>11045</v>
      </c>
      <c r="K1871" s="48" t="n">
        <v>10927</v>
      </c>
      <c r="L1871" s="48" t="n">
        <v>105897609</v>
      </c>
      <c r="M1871" s="48" t="n">
        <v>1149518545695</v>
      </c>
      <c r="N1871" s="48" t="n">
        <v>2520</v>
      </c>
      <c r="O1871" s="48" t="n">
        <v>45492973</v>
      </c>
      <c r="P1871" s="48" t="n">
        <v>57456504</v>
      </c>
      <c r="Q1871" s="48" t="n">
        <v>1098</v>
      </c>
      <c r="R1871" s="48" t="n">
        <v>861</v>
      </c>
      <c r="S1871" s="48" t="n">
        <v>60404636</v>
      </c>
      <c r="T1871" s="48" t="n">
        <v>48441105</v>
      </c>
      <c r="U1871" s="46" t="n">
        <f aca="false">IF($A1871=$A1870,$U1870+1,1)</f>
        <v>47</v>
      </c>
      <c r="V1871" s="48" t="n">
        <f aca="false">IF($U1871&gt;=MA_SHORT,AVERAGE(INDEX($I$1471:$I1871,402-MA_SHORT):$I1871),"")</f>
        <v>11839.7</v>
      </c>
      <c r="W1871" s="48" t="str">
        <f aca="false">IF($U1871&gt;=MA_MED,AVERAGE(INDEX($I$1471:$I1871,402-MA_MED):$I1871),"")</f>
        <v/>
      </c>
      <c r="X1871" s="48" t="str">
        <f aca="false">IF($U1871&gt;=MA_LONG1,AVERAGE(INDEX($I$1471:$I1871,402-MA_LONG1):$I1871),"")</f>
        <v/>
      </c>
      <c r="Y1871" s="48" t="str">
        <f aca="false">IF($U1871&gt;=MA_LONG2,AVERAGE(INDEX($I$1471:$I1871,402-MA_LONG2):$I1871),"")</f>
        <v/>
      </c>
      <c r="Z1871" s="48" t="n">
        <f aca="false">IF($U1871&gt;=MA_SHORT,AVERAGE(INDEX($L$1751:$L1871,122-MA_SHORT):$L1871),"")</f>
        <v>101578800.75</v>
      </c>
      <c r="AA1871" s="48" t="n">
        <f aca="false">IF($U1871=1,$G1871-$H1871,MAX($G1871-$H1871,ABS($G1871-$I1870),ABS($H1871-$I1870)))</f>
        <v>475</v>
      </c>
      <c r="AB1871" s="48" t="n">
        <f aca="false">IF($U1871&gt;=ATR_PER,AVERAGE(INDEX($AA$1751:$AA1871,122-ATR_PER):$AA1871),"")</f>
        <v>380.857142857143</v>
      </c>
      <c r="AC1871" s="48" t="n">
        <f aca="false">$O1871-$P1871</f>
        <v>-11963531</v>
      </c>
      <c r="AD1871" s="48" t="n">
        <f aca="false">$AC1871*$I1871</f>
        <v>-129864129005</v>
      </c>
      <c r="AE1871" s="49" t="n">
        <f aca="false">IF($Q1871&gt;0,$O1871*$I1871/$Q1871/1000000,"")</f>
        <v>449.750657481785</v>
      </c>
      <c r="AF1871" s="49" t="n">
        <f aca="false">IF($R1871&gt;0,$P1871*$I1871/$R1871/1000000,"")</f>
        <v>724.379037073171</v>
      </c>
      <c r="AG1871" s="50" t="n">
        <f aca="false">IF(AND(ISNUMBER($AE1871),ISNUMBER($AF1871),$AF1871&gt;0),$AE1871/$AF1871,"")</f>
        <v>0.620877516415974</v>
      </c>
      <c r="AH1871" s="48" t="n">
        <f aca="false">IF($U1871&gt;=5,SUM(INDEX($AD$1841:$AD1871,32-5):$AD1871),"")</f>
        <v>21910491834</v>
      </c>
      <c r="AI1871" s="48" t="n">
        <f aca="false">IF($U1871&gt;=STRUCT_S,MAX(INDEX($G$1721:$G1871,152-STRUCT_S):$G1871),"")</f>
        <v>12489</v>
      </c>
      <c r="AJ1871" s="48" t="n">
        <f aca="false">IF($U1871&gt;=STRUCT_S,MIN(INDEX($H$1721:$H1871,152-STRUCT_S):$H1871),"")</f>
        <v>10654</v>
      </c>
      <c r="AK1871" s="48" t="str">
        <f aca="false">IF($U1871&gt;=STRUCT_L,MAX(INDEX($G$1621:$G1871,252-STRUCT_L):$G1871),"")</f>
        <v/>
      </c>
      <c r="AL1871" s="48" t="str">
        <f aca="false">IF($U1871&gt;=STRUCT_L,MIN(INDEX($H$1621:$H1871,252-STRUCT_L):$H1871),"")</f>
        <v/>
      </c>
      <c r="AM1871" s="46" t="n">
        <f aca="false">IF($A1871&lt;&gt;$A1872,1,0)</f>
        <v>0</v>
      </c>
      <c r="AN1871" s="47" t="str">
        <f aca="false">IF($AM1871=1,$A1871,"")</f>
        <v/>
      </c>
    </row>
    <row r="1872" customFormat="false" ht="15" hidden="false" customHeight="false" outlineLevel="0" collapsed="false">
      <c r="A1872" s="43" t="s">
        <v>167</v>
      </c>
      <c r="B1872" s="44" t="s">
        <v>169</v>
      </c>
      <c r="C1872" s="45" t="n">
        <v>45971</v>
      </c>
      <c r="D1872" s="46" t="n">
        <v>20251110</v>
      </c>
      <c r="E1872" s="47" t="s">
        <v>335</v>
      </c>
      <c r="F1872" s="48" t="n">
        <v>11061</v>
      </c>
      <c r="G1872" s="48" t="n">
        <v>11065</v>
      </c>
      <c r="H1872" s="48" t="n">
        <v>10728</v>
      </c>
      <c r="I1872" s="48" t="n">
        <v>10937</v>
      </c>
      <c r="J1872" s="48" t="n">
        <v>10757</v>
      </c>
      <c r="K1872" s="48" t="n">
        <v>10855</v>
      </c>
      <c r="L1872" s="48" t="n">
        <v>83144468</v>
      </c>
      <c r="M1872" s="48" t="n">
        <v>909351046516</v>
      </c>
      <c r="N1872" s="48" t="n">
        <v>2199</v>
      </c>
      <c r="O1872" s="48" t="n">
        <v>49525095</v>
      </c>
      <c r="P1872" s="48" t="n">
        <v>37158639</v>
      </c>
      <c r="Q1872" s="48" t="n">
        <v>600</v>
      </c>
      <c r="R1872" s="48" t="n">
        <v>1244</v>
      </c>
      <c r="S1872" s="48" t="n">
        <v>33619373</v>
      </c>
      <c r="T1872" s="48" t="n">
        <v>45985829</v>
      </c>
      <c r="U1872" s="46" t="n">
        <f aca="false">IF($A1872=$A1871,$U1871+1,1)</f>
        <v>48</v>
      </c>
      <c r="V1872" s="48" t="n">
        <f aca="false">IF($U1872&gt;=MA_SHORT,AVERAGE(INDEX($I$1472:$I1872,402-MA_SHORT):$I1872),"")</f>
        <v>11785.05</v>
      </c>
      <c r="W1872" s="48" t="str">
        <f aca="false">IF($U1872&gt;=MA_MED,AVERAGE(INDEX($I$1472:$I1872,402-MA_MED):$I1872),"")</f>
        <v/>
      </c>
      <c r="X1872" s="48" t="str">
        <f aca="false">IF($U1872&gt;=MA_LONG1,AVERAGE(INDEX($I$1472:$I1872,402-MA_LONG1):$I1872),"")</f>
        <v/>
      </c>
      <c r="Y1872" s="48" t="str">
        <f aca="false">IF($U1872&gt;=MA_LONG2,AVERAGE(INDEX($I$1472:$I1872,402-MA_LONG2):$I1872),"")</f>
        <v/>
      </c>
      <c r="Z1872" s="48" t="n">
        <f aca="false">IF($U1872&gt;=MA_SHORT,AVERAGE(INDEX($L$1752:$L1872,122-MA_SHORT):$L1872),"")</f>
        <v>101083933.2</v>
      </c>
      <c r="AA1872" s="48" t="n">
        <f aca="false">IF($U1872=1,$G1872-$H1872,MAX($G1872-$H1872,ABS($G1872-$I1871),ABS($H1872-$I1871)))</f>
        <v>337</v>
      </c>
      <c r="AB1872" s="48" t="n">
        <f aca="false">IF($U1872&gt;=ATR_PER,AVERAGE(INDEX($AA$1752:$AA1872,122-ATR_PER):$AA1872),"")</f>
        <v>380.428571428571</v>
      </c>
      <c r="AC1872" s="48" t="n">
        <f aca="false">$O1872-$P1872</f>
        <v>12366456</v>
      </c>
      <c r="AD1872" s="48" t="n">
        <f aca="false">$AC1872*$I1872</f>
        <v>135251929272</v>
      </c>
      <c r="AE1872" s="49" t="n">
        <f aca="false">IF($Q1872&gt;0,$O1872*$I1872/$Q1872/1000000,"")</f>
        <v>902.759940025</v>
      </c>
      <c r="AF1872" s="49" t="n">
        <f aca="false">IF($R1872&gt;0,$P1872*$I1872/$R1872/1000000,"")</f>
        <v>326.691346256431</v>
      </c>
      <c r="AG1872" s="50" t="n">
        <f aca="false">IF(AND(ISNUMBER($AE1872),ISNUMBER($AF1872),$AF1872&gt;0),$AE1872/$AF1872,"")</f>
        <v>2.7633420669686</v>
      </c>
      <c r="AH1872" s="48" t="n">
        <f aca="false">IF($U1872&gt;=5,SUM(INDEX($AD$1842:$AD1872,32-5):$AD1872),"")</f>
        <v>-386750475641</v>
      </c>
      <c r="AI1872" s="48" t="n">
        <f aca="false">IF($U1872&gt;=STRUCT_S,MAX(INDEX($G$1722:$G1872,152-STRUCT_S):$G1872),"")</f>
        <v>12489</v>
      </c>
      <c r="AJ1872" s="48" t="n">
        <f aca="false">IF($U1872&gt;=STRUCT_S,MIN(INDEX($H$1722:$H1872,152-STRUCT_S):$H1872),"")</f>
        <v>10654</v>
      </c>
      <c r="AK1872" s="48" t="str">
        <f aca="false">IF($U1872&gt;=STRUCT_L,MAX(INDEX($G$1622:$G1872,252-STRUCT_L):$G1872),"")</f>
        <v/>
      </c>
      <c r="AL1872" s="48" t="str">
        <f aca="false">IF($U1872&gt;=STRUCT_L,MIN(INDEX($H$1622:$H1872,252-STRUCT_L):$H1872),"")</f>
        <v/>
      </c>
      <c r="AM1872" s="46" t="n">
        <f aca="false">IF($A1872&lt;&gt;$A1873,1,0)</f>
        <v>0</v>
      </c>
      <c r="AN1872" s="47" t="str">
        <f aca="false">IF($AM1872=1,$A1872,"")</f>
        <v/>
      </c>
    </row>
    <row r="1873" customFormat="false" ht="15" hidden="false" customHeight="false" outlineLevel="0" collapsed="false">
      <c r="A1873" s="43" t="s">
        <v>167</v>
      </c>
      <c r="B1873" s="44" t="s">
        <v>169</v>
      </c>
      <c r="C1873" s="45" t="n">
        <v>45972</v>
      </c>
      <c r="D1873" s="46" t="n">
        <v>20251111</v>
      </c>
      <c r="E1873" s="47" t="s">
        <v>336</v>
      </c>
      <c r="F1873" s="48" t="n">
        <v>11023</v>
      </c>
      <c r="G1873" s="48" t="n">
        <v>11295</v>
      </c>
      <c r="H1873" s="48" t="n">
        <v>10760</v>
      </c>
      <c r="I1873" s="48" t="n">
        <v>11115</v>
      </c>
      <c r="J1873" s="48" t="n">
        <v>11126</v>
      </c>
      <c r="K1873" s="48" t="n">
        <v>10937</v>
      </c>
      <c r="L1873" s="48" t="n">
        <v>106602226</v>
      </c>
      <c r="M1873" s="48" t="n">
        <v>1184883741990</v>
      </c>
      <c r="N1873" s="48" t="n">
        <v>2698</v>
      </c>
      <c r="O1873" s="48" t="n">
        <v>69934436</v>
      </c>
      <c r="P1873" s="48" t="n">
        <v>35747531</v>
      </c>
      <c r="Q1873" s="48" t="n">
        <v>739</v>
      </c>
      <c r="R1873" s="48" t="n">
        <v>1969</v>
      </c>
      <c r="S1873" s="48" t="n">
        <v>36667790</v>
      </c>
      <c r="T1873" s="48" t="n">
        <v>70854695</v>
      </c>
      <c r="U1873" s="46" t="n">
        <f aca="false">IF($A1873=$A1872,$U1872+1,1)</f>
        <v>49</v>
      </c>
      <c r="V1873" s="48" t="n">
        <f aca="false">IF($U1873&gt;=MA_SHORT,AVERAGE(INDEX($I$1473:$I1873,402-MA_SHORT):$I1873),"")</f>
        <v>11737.35</v>
      </c>
      <c r="W1873" s="48" t="str">
        <f aca="false">IF($U1873&gt;=MA_MED,AVERAGE(INDEX($I$1473:$I1873,402-MA_MED):$I1873),"")</f>
        <v/>
      </c>
      <c r="X1873" s="48" t="str">
        <f aca="false">IF($U1873&gt;=MA_LONG1,AVERAGE(INDEX($I$1473:$I1873,402-MA_LONG1):$I1873),"")</f>
        <v/>
      </c>
      <c r="Y1873" s="48" t="str">
        <f aca="false">IF($U1873&gt;=MA_LONG2,AVERAGE(INDEX($I$1473:$I1873,402-MA_LONG2):$I1873),"")</f>
        <v/>
      </c>
      <c r="Z1873" s="48" t="n">
        <f aca="false">IF($U1873&gt;=MA_SHORT,AVERAGE(INDEX($L$1753:$L1873,122-MA_SHORT):$L1873),"")</f>
        <v>102359718.65</v>
      </c>
      <c r="AA1873" s="48" t="n">
        <f aca="false">IF($U1873=1,$G1873-$H1873,MAX($G1873-$H1873,ABS($G1873-$I1872),ABS($H1873-$I1872)))</f>
        <v>535</v>
      </c>
      <c r="AB1873" s="48" t="n">
        <f aca="false">IF($U1873&gt;=ATR_PER,AVERAGE(INDEX($AA$1753:$AA1873,122-ATR_PER):$AA1873),"")</f>
        <v>391.714285714286</v>
      </c>
      <c r="AC1873" s="48" t="n">
        <f aca="false">$O1873-$P1873</f>
        <v>34186905</v>
      </c>
      <c r="AD1873" s="48" t="n">
        <f aca="false">$AC1873*$I1873</f>
        <v>379987449075</v>
      </c>
      <c r="AE1873" s="49" t="n">
        <f aca="false">IF($Q1873&gt;0,$O1873*$I1873/$Q1873/1000000,"")</f>
        <v>1051.85555634641</v>
      </c>
      <c r="AF1873" s="49" t="n">
        <f aca="false">IF($R1873&gt;0,$P1873*$I1873/$R1873/1000000,"")</f>
        <v>201.794721719147</v>
      </c>
      <c r="AG1873" s="50" t="n">
        <f aca="false">IF(AND(ISNUMBER($AE1873),ISNUMBER($AF1873),$AF1873&gt;0),$AE1873/$AF1873,"")</f>
        <v>5.21250282160681</v>
      </c>
      <c r="AH1873" s="48" t="n">
        <f aca="false">IF($U1873&gt;=5,SUM(INDEX($AD$1843:$AD1873,32-5):$AD1873),"")</f>
        <v>83006549004</v>
      </c>
      <c r="AI1873" s="48" t="n">
        <f aca="false">IF($U1873&gt;=STRUCT_S,MAX(INDEX($G$1723:$G1873,152-STRUCT_S):$G1873),"")</f>
        <v>12489</v>
      </c>
      <c r="AJ1873" s="48" t="n">
        <f aca="false">IF($U1873&gt;=STRUCT_S,MIN(INDEX($H$1723:$H1873,152-STRUCT_S):$H1873),"")</f>
        <v>10654</v>
      </c>
      <c r="AK1873" s="48" t="str">
        <f aca="false">IF($U1873&gt;=STRUCT_L,MAX(INDEX($G$1623:$G1873,252-STRUCT_L):$G1873),"")</f>
        <v/>
      </c>
      <c r="AL1873" s="48" t="str">
        <f aca="false">IF($U1873&gt;=STRUCT_L,MIN(INDEX($H$1623:$H1873,252-STRUCT_L):$H1873),"")</f>
        <v/>
      </c>
      <c r="AM1873" s="46" t="n">
        <f aca="false">IF($A1873&lt;&gt;$A1874,1,0)</f>
        <v>0</v>
      </c>
      <c r="AN1873" s="47" t="str">
        <f aca="false">IF($AM1873=1,$A1873,"")</f>
        <v/>
      </c>
    </row>
    <row r="1874" customFormat="false" ht="15" hidden="false" customHeight="false" outlineLevel="0" collapsed="false">
      <c r="A1874" s="43" t="s">
        <v>167</v>
      </c>
      <c r="B1874" s="44" t="s">
        <v>169</v>
      </c>
      <c r="C1874" s="45" t="n">
        <v>45973</v>
      </c>
      <c r="D1874" s="46" t="n">
        <v>20251112</v>
      </c>
      <c r="E1874" s="47" t="s">
        <v>337</v>
      </c>
      <c r="F1874" s="48" t="n">
        <v>11080</v>
      </c>
      <c r="G1874" s="48" t="n">
        <v>11512</v>
      </c>
      <c r="H1874" s="48" t="n">
        <v>11013</v>
      </c>
      <c r="I1874" s="48" t="n">
        <v>11408</v>
      </c>
      <c r="J1874" s="48" t="n">
        <v>11329</v>
      </c>
      <c r="K1874" s="48" t="n">
        <v>11115</v>
      </c>
      <c r="L1874" s="48" t="n">
        <v>99972976</v>
      </c>
      <c r="M1874" s="48" t="n">
        <v>1140491710208</v>
      </c>
      <c r="N1874" s="48" t="n">
        <v>2603</v>
      </c>
      <c r="O1874" s="48" t="n">
        <v>70715333</v>
      </c>
      <c r="P1874" s="48" t="n">
        <v>26969415</v>
      </c>
      <c r="Q1874" s="48" t="n">
        <v>537</v>
      </c>
      <c r="R1874" s="48" t="n">
        <v>2110</v>
      </c>
      <c r="S1874" s="48" t="n">
        <v>29257643</v>
      </c>
      <c r="T1874" s="48" t="n">
        <v>73003561</v>
      </c>
      <c r="U1874" s="46" t="n">
        <f aca="false">IF($A1874=$A1873,$U1873+1,1)</f>
        <v>50</v>
      </c>
      <c r="V1874" s="48" t="n">
        <f aca="false">IF($U1874&gt;=MA_SHORT,AVERAGE(INDEX($I$1474:$I1874,402-MA_SHORT):$I1874),"")</f>
        <v>11697.3</v>
      </c>
      <c r="W1874" s="48" t="n">
        <f aca="false">IF($U1874&gt;=MA_MED,AVERAGE(INDEX($I$1474:$I1874,402-MA_MED):$I1874),"")</f>
        <v>11807.86</v>
      </c>
      <c r="X1874" s="48" t="str">
        <f aca="false">IF($U1874&gt;=MA_LONG1,AVERAGE(INDEX($I$1474:$I1874,402-MA_LONG1):$I1874),"")</f>
        <v/>
      </c>
      <c r="Y1874" s="48" t="str">
        <f aca="false">IF($U1874&gt;=MA_LONG2,AVERAGE(INDEX($I$1474:$I1874,402-MA_LONG2):$I1874),"")</f>
        <v/>
      </c>
      <c r="Z1874" s="48" t="n">
        <f aca="false">IF($U1874&gt;=MA_SHORT,AVERAGE(INDEX($L$1754:$L1874,122-MA_SHORT):$L1874),"")</f>
        <v>102810245.55</v>
      </c>
      <c r="AA1874" s="48" t="n">
        <f aca="false">IF($U1874=1,$G1874-$H1874,MAX($G1874-$H1874,ABS($G1874-$I1873),ABS($H1874-$I1873)))</f>
        <v>499</v>
      </c>
      <c r="AB1874" s="48" t="n">
        <f aca="false">IF($U1874&gt;=ATR_PER,AVERAGE(INDEX($AA$1754:$AA1874,122-ATR_PER):$AA1874),"")</f>
        <v>394.785714285714</v>
      </c>
      <c r="AC1874" s="48" t="n">
        <f aca="false">$O1874-$P1874</f>
        <v>43745918</v>
      </c>
      <c r="AD1874" s="48" t="n">
        <f aca="false">$AC1874*$I1874</f>
        <v>499053432544</v>
      </c>
      <c r="AE1874" s="49" t="n">
        <f aca="false">IF($Q1874&gt;0,$O1874*$I1874/$Q1874/1000000,"")</f>
        <v>1502.27284704656</v>
      </c>
      <c r="AF1874" s="49" t="n">
        <f aca="false">IF($R1874&gt;0,$P1874*$I1874/$R1874/1000000,"")</f>
        <v>145.813784985782</v>
      </c>
      <c r="AG1874" s="50" t="n">
        <f aca="false">IF(AND(ISNUMBER($AE1874),ISNUMBER($AF1874),$AF1874&gt;0),$AE1874/$AF1874,"")</f>
        <v>10.3026805537833</v>
      </c>
      <c r="AH1874" s="48" t="n">
        <f aca="false">IF($U1874&gt;=5,SUM(INDEX($AD$1844:$AD1874,32-5):$AD1874),"")</f>
        <v>840832388607</v>
      </c>
      <c r="AI1874" s="48" t="n">
        <f aca="false">IF($U1874&gt;=STRUCT_S,MAX(INDEX($G$1724:$G1874,152-STRUCT_S):$G1874),"")</f>
        <v>12489</v>
      </c>
      <c r="AJ1874" s="48" t="n">
        <f aca="false">IF($U1874&gt;=STRUCT_S,MIN(INDEX($H$1724:$H1874,152-STRUCT_S):$H1874),"")</f>
        <v>10654</v>
      </c>
      <c r="AK1874" s="48" t="str">
        <f aca="false">IF($U1874&gt;=STRUCT_L,MAX(INDEX($G$1624:$G1874,252-STRUCT_L):$G1874),"")</f>
        <v/>
      </c>
      <c r="AL1874" s="48" t="str">
        <f aca="false">IF($U1874&gt;=STRUCT_L,MIN(INDEX($H$1624:$H1874,252-STRUCT_L):$H1874),"")</f>
        <v/>
      </c>
      <c r="AM1874" s="46" t="n">
        <f aca="false">IF($A1874&lt;&gt;$A1875,1,0)</f>
        <v>0</v>
      </c>
      <c r="AN1874" s="47" t="str">
        <f aca="false">IF($AM1874=1,$A1874,"")</f>
        <v/>
      </c>
    </row>
    <row r="1875" customFormat="false" ht="15" hidden="false" customHeight="false" outlineLevel="0" collapsed="false">
      <c r="A1875" s="43" t="s">
        <v>167</v>
      </c>
      <c r="B1875" s="44" t="s">
        <v>169</v>
      </c>
      <c r="C1875" s="45" t="n">
        <v>45976</v>
      </c>
      <c r="D1875" s="46" t="n">
        <v>20251115</v>
      </c>
      <c r="E1875" s="47" t="s">
        <v>338</v>
      </c>
      <c r="F1875" s="48" t="n">
        <v>11504</v>
      </c>
      <c r="G1875" s="48" t="n">
        <v>11584</v>
      </c>
      <c r="H1875" s="48" t="n">
        <v>11348</v>
      </c>
      <c r="I1875" s="48" t="n">
        <v>11524</v>
      </c>
      <c r="J1875" s="48" t="n">
        <v>11434</v>
      </c>
      <c r="K1875" s="48" t="n">
        <v>11408</v>
      </c>
      <c r="L1875" s="48" t="n">
        <v>84392049</v>
      </c>
      <c r="M1875" s="48" t="n">
        <v>972533972676</v>
      </c>
      <c r="N1875" s="48" t="n">
        <v>6972</v>
      </c>
      <c r="O1875" s="48" t="n">
        <v>51284406</v>
      </c>
      <c r="P1875" s="48" t="n">
        <v>35158066</v>
      </c>
      <c r="Q1875" s="48" t="n">
        <v>1635</v>
      </c>
      <c r="R1875" s="48" t="n">
        <v>4982</v>
      </c>
      <c r="S1875" s="48" t="n">
        <v>33107643</v>
      </c>
      <c r="T1875" s="48" t="n">
        <v>49233983</v>
      </c>
      <c r="U1875" s="46" t="n">
        <f aca="false">IF($A1875=$A1874,$U1874+1,1)</f>
        <v>51</v>
      </c>
      <c r="V1875" s="48" t="n">
        <f aca="false">IF($U1875&gt;=MA_SHORT,AVERAGE(INDEX($I$1475:$I1875,402-MA_SHORT):$I1875),"")</f>
        <v>11671.9</v>
      </c>
      <c r="W1875" s="48" t="n">
        <f aca="false">IF($U1875&gt;=MA_MED,AVERAGE(INDEX($I$1475:$I1875,402-MA_MED):$I1875),"")</f>
        <v>11814.38</v>
      </c>
      <c r="X1875" s="48" t="str">
        <f aca="false">IF($U1875&gt;=MA_LONG1,AVERAGE(INDEX($I$1475:$I1875,402-MA_LONG1):$I1875),"")</f>
        <v/>
      </c>
      <c r="Y1875" s="48" t="str">
        <f aca="false">IF($U1875&gt;=MA_LONG2,AVERAGE(INDEX($I$1475:$I1875,402-MA_LONG2):$I1875),"")</f>
        <v/>
      </c>
      <c r="Z1875" s="48" t="n">
        <f aca="false">IF($U1875&gt;=MA_SHORT,AVERAGE(INDEX($L$1755:$L1875,122-MA_SHORT):$L1875),"")</f>
        <v>102570730.55</v>
      </c>
      <c r="AA1875" s="48" t="n">
        <f aca="false">IF($U1875=1,$G1875-$H1875,MAX($G1875-$H1875,ABS($G1875-$I1874),ABS($H1875-$I1874)))</f>
        <v>236</v>
      </c>
      <c r="AB1875" s="48" t="n">
        <f aca="false">IF($U1875&gt;=ATR_PER,AVERAGE(INDEX($AA$1755:$AA1875,122-ATR_PER):$AA1875),"")</f>
        <v>382</v>
      </c>
      <c r="AC1875" s="48" t="n">
        <f aca="false">$O1875-$P1875</f>
        <v>16126340</v>
      </c>
      <c r="AD1875" s="48" t="n">
        <f aca="false">$AC1875*$I1875</f>
        <v>185839942160</v>
      </c>
      <c r="AE1875" s="49" t="n">
        <f aca="false">IF($Q1875&gt;0,$O1875*$I1875/$Q1875/1000000,"")</f>
        <v>361.468804124771</v>
      </c>
      <c r="AF1875" s="49" t="n">
        <f aca="false">IF($R1875&gt;0,$P1875*$I1875/$R1875/1000000,"")</f>
        <v>81.3250808077077</v>
      </c>
      <c r="AG1875" s="50" t="n">
        <f aca="false">IF(AND(ISNUMBER($AE1875),ISNUMBER($AF1875),$AF1875&gt;0),$AE1875/$AF1875,"")</f>
        <v>4.44473956293336</v>
      </c>
      <c r="AH1875" s="48" t="n">
        <f aca="false">IF($U1875&gt;=5,SUM(INDEX($AD$1845:$AD1875,32-5):$AD1875),"")</f>
        <v>1070268624046</v>
      </c>
      <c r="AI1875" s="48" t="n">
        <f aca="false">IF($U1875&gt;=STRUCT_S,MAX(INDEX($G$1725:$G1875,152-STRUCT_S):$G1875),"")</f>
        <v>12489</v>
      </c>
      <c r="AJ1875" s="48" t="n">
        <f aca="false">IF($U1875&gt;=STRUCT_S,MIN(INDEX($H$1725:$H1875,152-STRUCT_S):$H1875),"")</f>
        <v>10654</v>
      </c>
      <c r="AK1875" s="48" t="str">
        <f aca="false">IF($U1875&gt;=STRUCT_L,MAX(INDEX($G$1625:$G1875,252-STRUCT_L):$G1875),"")</f>
        <v/>
      </c>
      <c r="AL1875" s="48" t="str">
        <f aca="false">IF($U1875&gt;=STRUCT_L,MIN(INDEX($H$1625:$H1875,252-STRUCT_L):$H1875),"")</f>
        <v/>
      </c>
      <c r="AM1875" s="46" t="n">
        <f aca="false">IF($A1875&lt;&gt;$A1876,1,0)</f>
        <v>0</v>
      </c>
      <c r="AN1875" s="47" t="str">
        <f aca="false">IF($AM1875=1,$A1875,"")</f>
        <v/>
      </c>
    </row>
    <row r="1876" customFormat="false" ht="15" hidden="false" customHeight="false" outlineLevel="0" collapsed="false">
      <c r="A1876" s="43" t="s">
        <v>167</v>
      </c>
      <c r="B1876" s="44" t="s">
        <v>169</v>
      </c>
      <c r="C1876" s="45" t="n">
        <v>45977</v>
      </c>
      <c r="D1876" s="46" t="n">
        <v>20251116</v>
      </c>
      <c r="E1876" s="47" t="s">
        <v>339</v>
      </c>
      <c r="F1876" s="48" t="n">
        <v>11628</v>
      </c>
      <c r="G1876" s="48" t="n">
        <v>11686</v>
      </c>
      <c r="H1876" s="48" t="n">
        <v>11379</v>
      </c>
      <c r="I1876" s="48" t="n">
        <v>11540</v>
      </c>
      <c r="J1876" s="48" t="n">
        <v>11392</v>
      </c>
      <c r="K1876" s="48" t="n">
        <v>11524</v>
      </c>
      <c r="L1876" s="48" t="n">
        <v>80201965</v>
      </c>
      <c r="M1876" s="48" t="n">
        <v>925530676100</v>
      </c>
      <c r="N1876" s="48" t="n">
        <v>2016</v>
      </c>
      <c r="O1876" s="48" t="n">
        <v>48884177</v>
      </c>
      <c r="P1876" s="48" t="n">
        <v>32000392</v>
      </c>
      <c r="Q1876" s="48" t="n">
        <v>707</v>
      </c>
      <c r="R1876" s="48" t="n">
        <v>1129</v>
      </c>
      <c r="S1876" s="48" t="n">
        <v>31317788</v>
      </c>
      <c r="T1876" s="48" t="n">
        <v>48201573</v>
      </c>
      <c r="U1876" s="46" t="n">
        <f aca="false">IF($A1876=$A1875,$U1875+1,1)</f>
        <v>52</v>
      </c>
      <c r="V1876" s="48" t="n">
        <f aca="false">IF($U1876&gt;=MA_SHORT,AVERAGE(INDEX($I$1476:$I1876,402-MA_SHORT):$I1876),"")</f>
        <v>11634.6</v>
      </c>
      <c r="W1876" s="48" t="n">
        <f aca="false">IF($U1876&gt;=MA_MED,AVERAGE(INDEX($I$1476:$I1876,402-MA_MED):$I1876),"")</f>
        <v>11815.02</v>
      </c>
      <c r="X1876" s="48" t="str">
        <f aca="false">IF($U1876&gt;=MA_LONG1,AVERAGE(INDEX($I$1476:$I1876,402-MA_LONG1):$I1876),"")</f>
        <v/>
      </c>
      <c r="Y1876" s="48" t="str">
        <f aca="false">IF($U1876&gt;=MA_LONG2,AVERAGE(INDEX($I$1476:$I1876,402-MA_LONG2):$I1876),"")</f>
        <v/>
      </c>
      <c r="Z1876" s="48" t="n">
        <f aca="false">IF($U1876&gt;=MA_SHORT,AVERAGE(INDEX($L$1756:$L1876,122-MA_SHORT):$L1876),"")</f>
        <v>97489876.75</v>
      </c>
      <c r="AA1876" s="48" t="n">
        <f aca="false">IF($U1876=1,$G1876-$H1876,MAX($G1876-$H1876,ABS($G1876-$I1875),ABS($H1876-$I1875)))</f>
        <v>307</v>
      </c>
      <c r="AB1876" s="48" t="n">
        <f aca="false">IF($U1876&gt;=ATR_PER,AVERAGE(INDEX($AA$1756:$AA1876,122-ATR_PER):$AA1876),"")</f>
        <v>397.357142857143</v>
      </c>
      <c r="AC1876" s="48" t="n">
        <f aca="false">$O1876-$P1876</f>
        <v>16883785</v>
      </c>
      <c r="AD1876" s="48" t="n">
        <f aca="false">$AC1876*$I1876</f>
        <v>194838878900</v>
      </c>
      <c r="AE1876" s="49" t="n">
        <f aca="false">IF($Q1876&gt;0,$O1876*$I1876/$Q1876/1000000,"")</f>
        <v>797.911460509194</v>
      </c>
      <c r="AF1876" s="49" t="n">
        <f aca="false">IF($R1876&gt;0,$P1876*$I1876/$R1876/1000000,"")</f>
        <v>327.089923542958</v>
      </c>
      <c r="AG1876" s="50" t="n">
        <f aca="false">IF(AND(ISNUMBER($AE1876),ISNUMBER($AF1876),$AF1876&gt;0),$AE1876/$AF1876,"")</f>
        <v>2.43942537839873</v>
      </c>
      <c r="AH1876" s="48" t="n">
        <f aca="false">IF($U1876&gt;=5,SUM(INDEX($AD$1846:$AD1876,32-5):$AD1876),"")</f>
        <v>1394971631951</v>
      </c>
      <c r="AI1876" s="48" t="n">
        <f aca="false">IF($U1876&gt;=STRUCT_S,MAX(INDEX($G$1726:$G1876,152-STRUCT_S):$G1876),"")</f>
        <v>12368</v>
      </c>
      <c r="AJ1876" s="48" t="n">
        <f aca="false">IF($U1876&gt;=STRUCT_S,MIN(INDEX($H$1726:$H1876,152-STRUCT_S):$H1876),"")</f>
        <v>10654</v>
      </c>
      <c r="AK1876" s="48" t="str">
        <f aca="false">IF($U1876&gt;=STRUCT_L,MAX(INDEX($G$1626:$G1876,252-STRUCT_L):$G1876),"")</f>
        <v/>
      </c>
      <c r="AL1876" s="48" t="str">
        <f aca="false">IF($U1876&gt;=STRUCT_L,MIN(INDEX($H$1626:$H1876,252-STRUCT_L):$H1876),"")</f>
        <v/>
      </c>
      <c r="AM1876" s="46" t="n">
        <f aca="false">IF($A1876&lt;&gt;$A1877,1,0)</f>
        <v>0</v>
      </c>
      <c r="AN1876" s="47" t="str">
        <f aca="false">IF($AM1876=1,$A1876,"")</f>
        <v/>
      </c>
    </row>
    <row r="1877" customFormat="false" ht="15" hidden="false" customHeight="false" outlineLevel="0" collapsed="false">
      <c r="A1877" s="43" t="s">
        <v>167</v>
      </c>
      <c r="B1877" s="44" t="s">
        <v>169</v>
      </c>
      <c r="C1877" s="45" t="n">
        <v>45978</v>
      </c>
      <c r="D1877" s="46" t="n">
        <v>20251117</v>
      </c>
      <c r="E1877" s="47" t="s">
        <v>340</v>
      </c>
      <c r="F1877" s="48" t="n">
        <v>11459</v>
      </c>
      <c r="G1877" s="48" t="n">
        <v>11782</v>
      </c>
      <c r="H1877" s="48" t="n">
        <v>11395</v>
      </c>
      <c r="I1877" s="48" t="n">
        <v>11635</v>
      </c>
      <c r="J1877" s="48" t="n">
        <v>11657</v>
      </c>
      <c r="K1877" s="48" t="n">
        <v>11540</v>
      </c>
      <c r="L1877" s="48" t="n">
        <v>83468088</v>
      </c>
      <c r="M1877" s="48" t="n">
        <v>971151203880</v>
      </c>
      <c r="N1877" s="48" t="n">
        <v>2246</v>
      </c>
      <c r="O1877" s="48" t="n">
        <v>53080137</v>
      </c>
      <c r="P1877" s="48" t="n">
        <v>28609855</v>
      </c>
      <c r="Q1877" s="48" t="n">
        <v>502</v>
      </c>
      <c r="R1877" s="48" t="n">
        <v>1590</v>
      </c>
      <c r="S1877" s="48" t="n">
        <v>30387951</v>
      </c>
      <c r="T1877" s="48" t="n">
        <v>54858233</v>
      </c>
      <c r="U1877" s="46" t="n">
        <f aca="false">IF($A1877=$A1876,$U1876+1,1)</f>
        <v>53</v>
      </c>
      <c r="V1877" s="48" t="n">
        <f aca="false">IF($U1877&gt;=MA_SHORT,AVERAGE(INDEX($I$1477:$I1877,402-MA_SHORT):$I1877),"")</f>
        <v>11609.1</v>
      </c>
      <c r="W1877" s="48" t="n">
        <f aca="false">IF($U1877&gt;=MA_MED,AVERAGE(INDEX($I$1477:$I1877,402-MA_MED):$I1877),"")</f>
        <v>11816.58</v>
      </c>
      <c r="X1877" s="48" t="str">
        <f aca="false">IF($U1877&gt;=MA_LONG1,AVERAGE(INDEX($I$1477:$I1877,402-MA_LONG1):$I1877),"")</f>
        <v/>
      </c>
      <c r="Y1877" s="48" t="str">
        <f aca="false">IF($U1877&gt;=MA_LONG2,AVERAGE(INDEX($I$1477:$I1877,402-MA_LONG2):$I1877),"")</f>
        <v/>
      </c>
      <c r="Z1877" s="48" t="n">
        <f aca="false">IF($U1877&gt;=MA_SHORT,AVERAGE(INDEX($L$1757:$L1877,122-MA_SHORT):$L1877),"")</f>
        <v>96865852.4</v>
      </c>
      <c r="AA1877" s="48" t="n">
        <f aca="false">IF($U1877=1,$G1877-$H1877,MAX($G1877-$H1877,ABS($G1877-$I1876),ABS($H1877-$I1876)))</f>
        <v>387</v>
      </c>
      <c r="AB1877" s="48" t="n">
        <f aca="false">IF($U1877&gt;=ATR_PER,AVERAGE(INDEX($AA$1757:$AA1877,122-ATR_PER):$AA1877),"")</f>
        <v>395.142857142857</v>
      </c>
      <c r="AC1877" s="48" t="n">
        <f aca="false">$O1877-$P1877</f>
        <v>24470282</v>
      </c>
      <c r="AD1877" s="48" t="n">
        <f aca="false">$AC1877*$I1877</f>
        <v>284711731070</v>
      </c>
      <c r="AE1877" s="49" t="n">
        <f aca="false">IF($Q1877&gt;0,$O1877*$I1877/$Q1877/1000000,"")</f>
        <v>1230.25377289841</v>
      </c>
      <c r="AF1877" s="49" t="n">
        <f aca="false">IF($R1877&gt;0,$P1877*$I1877/$R1877/1000000,"")</f>
        <v>209.355762845912</v>
      </c>
      <c r="AG1877" s="50" t="n">
        <f aca="false">IF(AND(ISNUMBER($AE1877),ISNUMBER($AF1877),$AF1877&gt;0),$AE1877/$AF1877,"")</f>
        <v>5.87637883082247</v>
      </c>
      <c r="AH1877" s="48" t="n">
        <f aca="false">IF($U1877&gt;=5,SUM(INDEX($AD$1847:$AD1877,32-5):$AD1877),"")</f>
        <v>1544431433749</v>
      </c>
      <c r="AI1877" s="48" t="n">
        <f aca="false">IF($U1877&gt;=STRUCT_S,MAX(INDEX($G$1727:$G1877,152-STRUCT_S):$G1877),"")</f>
        <v>12312</v>
      </c>
      <c r="AJ1877" s="48" t="n">
        <f aca="false">IF($U1877&gt;=STRUCT_S,MIN(INDEX($H$1727:$H1877,152-STRUCT_S):$H1877),"")</f>
        <v>10654</v>
      </c>
      <c r="AK1877" s="48" t="str">
        <f aca="false">IF($U1877&gt;=STRUCT_L,MAX(INDEX($G$1627:$G1877,252-STRUCT_L):$G1877),"")</f>
        <v/>
      </c>
      <c r="AL1877" s="48" t="str">
        <f aca="false">IF($U1877&gt;=STRUCT_L,MIN(INDEX($H$1627:$H1877,252-STRUCT_L):$H1877),"")</f>
        <v/>
      </c>
      <c r="AM1877" s="46" t="n">
        <f aca="false">IF($A1877&lt;&gt;$A1878,1,0)</f>
        <v>0</v>
      </c>
      <c r="AN1877" s="47" t="str">
        <f aca="false">IF($AM1877=1,$A1877,"")</f>
        <v/>
      </c>
    </row>
    <row r="1878" customFormat="false" ht="15" hidden="false" customHeight="false" outlineLevel="0" collapsed="false">
      <c r="A1878" s="43" t="s">
        <v>167</v>
      </c>
      <c r="B1878" s="44" t="s">
        <v>169</v>
      </c>
      <c r="C1878" s="45" t="n">
        <v>45979</v>
      </c>
      <c r="D1878" s="46" t="n">
        <v>20251118</v>
      </c>
      <c r="E1878" s="47" t="s">
        <v>341</v>
      </c>
      <c r="F1878" s="48" t="n">
        <v>11491</v>
      </c>
      <c r="G1878" s="48" t="n">
        <v>12161</v>
      </c>
      <c r="H1878" s="48" t="n">
        <v>11373</v>
      </c>
      <c r="I1878" s="48" t="n">
        <v>11893</v>
      </c>
      <c r="J1878" s="48" t="n">
        <v>11495</v>
      </c>
      <c r="K1878" s="48" t="n">
        <v>11635</v>
      </c>
      <c r="L1878" s="48" t="n">
        <v>108460802</v>
      </c>
      <c r="M1878" s="48" t="n">
        <v>1289924318186</v>
      </c>
      <c r="N1878" s="48" t="n">
        <v>2422</v>
      </c>
      <c r="O1878" s="48" t="n">
        <v>73219772</v>
      </c>
      <c r="P1878" s="48" t="n">
        <v>32780089</v>
      </c>
      <c r="Q1878" s="48" t="n">
        <v>615</v>
      </c>
      <c r="R1878" s="48" t="n">
        <v>1934</v>
      </c>
      <c r="S1878" s="48" t="n">
        <v>35241030</v>
      </c>
      <c r="T1878" s="48" t="n">
        <v>75680713</v>
      </c>
      <c r="U1878" s="46" t="n">
        <f aca="false">IF($A1878=$A1877,$U1877+1,1)</f>
        <v>54</v>
      </c>
      <c r="V1878" s="48" t="n">
        <f aca="false">IF($U1878&gt;=MA_SHORT,AVERAGE(INDEX($I$1478:$I1878,402-MA_SHORT):$I1878),"")</f>
        <v>11597</v>
      </c>
      <c r="W1878" s="48" t="n">
        <f aca="false">IF($U1878&gt;=MA_MED,AVERAGE(INDEX($I$1478:$I1878,402-MA_MED):$I1878),"")</f>
        <v>11819.56</v>
      </c>
      <c r="X1878" s="48" t="str">
        <f aca="false">IF($U1878&gt;=MA_LONG1,AVERAGE(INDEX($I$1478:$I1878,402-MA_LONG1):$I1878),"")</f>
        <v/>
      </c>
      <c r="Y1878" s="48" t="str">
        <f aca="false">IF($U1878&gt;=MA_LONG2,AVERAGE(INDEX($I$1478:$I1878,402-MA_LONG2):$I1878),"")</f>
        <v/>
      </c>
      <c r="Z1878" s="48" t="n">
        <f aca="false">IF($U1878&gt;=MA_SHORT,AVERAGE(INDEX($L$1758:$L1878,122-MA_SHORT):$L1878),"")</f>
        <v>98292276.7</v>
      </c>
      <c r="AA1878" s="48" t="n">
        <f aca="false">IF($U1878=1,$G1878-$H1878,MAX($G1878-$H1878,ABS($G1878-$I1877),ABS($H1878-$I1877)))</f>
        <v>788</v>
      </c>
      <c r="AB1878" s="48" t="n">
        <f aca="false">IF($U1878&gt;=ATR_PER,AVERAGE(INDEX($AA$1758:$AA1878,122-ATR_PER):$AA1878),"")</f>
        <v>423.571428571429</v>
      </c>
      <c r="AC1878" s="48" t="n">
        <f aca="false">$O1878-$P1878</f>
        <v>40439683</v>
      </c>
      <c r="AD1878" s="48" t="n">
        <f aca="false">$AC1878*$I1878</f>
        <v>480949149919</v>
      </c>
      <c r="AE1878" s="49" t="n">
        <f aca="false">IF($Q1878&gt;0,$O1878*$I1878/$Q1878/1000000,"")</f>
        <v>1415.93942828618</v>
      </c>
      <c r="AF1878" s="49" t="n">
        <f aca="false">IF($R1878&gt;0,$P1878*$I1878/$R1878/1000000,"")</f>
        <v>201.57890303878</v>
      </c>
      <c r="AG1878" s="50" t="n">
        <f aca="false">IF(AND(ISNUMBER($AE1878),ISNUMBER($AF1878),$AF1878&gt;0),$AE1878/$AF1878,"")</f>
        <v>7.02424413934716</v>
      </c>
      <c r="AH1878" s="48" t="n">
        <f aca="false">IF($U1878&gt;=5,SUM(INDEX($AD$1848:$AD1878,32-5):$AD1878),"")</f>
        <v>1645393134593</v>
      </c>
      <c r="AI1878" s="48" t="n">
        <f aca="false">IF($U1878&gt;=STRUCT_S,MAX(INDEX($G$1728:$G1878,152-STRUCT_S):$G1878),"")</f>
        <v>12292</v>
      </c>
      <c r="AJ1878" s="48" t="n">
        <f aca="false">IF($U1878&gt;=STRUCT_S,MIN(INDEX($H$1728:$H1878,152-STRUCT_S):$H1878),"")</f>
        <v>10654</v>
      </c>
      <c r="AK1878" s="48" t="str">
        <f aca="false">IF($U1878&gt;=STRUCT_L,MAX(INDEX($G$1628:$G1878,252-STRUCT_L):$G1878),"")</f>
        <v/>
      </c>
      <c r="AL1878" s="48" t="str">
        <f aca="false">IF($U1878&gt;=STRUCT_L,MIN(INDEX($H$1628:$H1878,252-STRUCT_L):$H1878),"")</f>
        <v/>
      </c>
      <c r="AM1878" s="46" t="n">
        <f aca="false">IF($A1878&lt;&gt;$A1879,1,0)</f>
        <v>0</v>
      </c>
      <c r="AN1878" s="47" t="str">
        <f aca="false">IF($AM1878=1,$A1878,"")</f>
        <v/>
      </c>
    </row>
    <row r="1879" customFormat="false" ht="15" hidden="false" customHeight="false" outlineLevel="0" collapsed="false">
      <c r="A1879" s="43" t="s">
        <v>167</v>
      </c>
      <c r="B1879" s="44" t="s">
        <v>169</v>
      </c>
      <c r="C1879" s="45" t="n">
        <v>45980</v>
      </c>
      <c r="D1879" s="46" t="n">
        <v>20251119</v>
      </c>
      <c r="E1879" s="47" t="s">
        <v>342</v>
      </c>
      <c r="F1879" s="48" t="n">
        <v>12017</v>
      </c>
      <c r="G1879" s="48" t="n">
        <v>12142</v>
      </c>
      <c r="H1879" s="48" t="n">
        <v>11839</v>
      </c>
      <c r="I1879" s="48" t="n">
        <v>12087</v>
      </c>
      <c r="J1879" s="48" t="n">
        <v>11961</v>
      </c>
      <c r="K1879" s="48" t="n">
        <v>11893</v>
      </c>
      <c r="L1879" s="48" t="n">
        <v>100732607</v>
      </c>
      <c r="M1879" s="48" t="n">
        <v>1217555020809</v>
      </c>
      <c r="N1879" s="48" t="n">
        <v>4643</v>
      </c>
      <c r="O1879" s="48" t="n">
        <v>75064629</v>
      </c>
      <c r="P1879" s="48" t="n">
        <v>23611012</v>
      </c>
      <c r="Q1879" s="48" t="n">
        <v>1114</v>
      </c>
      <c r="R1879" s="48" t="n">
        <v>2921</v>
      </c>
      <c r="S1879" s="48" t="n">
        <v>25667978</v>
      </c>
      <c r="T1879" s="48" t="n">
        <v>77121595</v>
      </c>
      <c r="U1879" s="46" t="n">
        <f aca="false">IF($A1879=$A1878,$U1878+1,1)</f>
        <v>55</v>
      </c>
      <c r="V1879" s="48" t="n">
        <f aca="false">IF($U1879&gt;=MA_SHORT,AVERAGE(INDEX($I$1479:$I1879,402-MA_SHORT):$I1879),"")</f>
        <v>11599.7</v>
      </c>
      <c r="W1879" s="48" t="n">
        <f aca="false">IF($U1879&gt;=MA_MED,AVERAGE(INDEX($I$1479:$I1879,402-MA_MED):$I1879),"")</f>
        <v>11828.28</v>
      </c>
      <c r="X1879" s="48" t="str">
        <f aca="false">IF($U1879&gt;=MA_LONG1,AVERAGE(INDEX($I$1479:$I1879,402-MA_LONG1):$I1879),"")</f>
        <v/>
      </c>
      <c r="Y1879" s="48" t="str">
        <f aca="false">IF($U1879&gt;=MA_LONG2,AVERAGE(INDEX($I$1479:$I1879,402-MA_LONG2):$I1879),"")</f>
        <v/>
      </c>
      <c r="Z1879" s="48" t="n">
        <f aca="false">IF($U1879&gt;=MA_SHORT,AVERAGE(INDEX($L$1759:$L1879,122-MA_SHORT):$L1879),"")</f>
        <v>95878939.75</v>
      </c>
      <c r="AA1879" s="48" t="n">
        <f aca="false">IF($U1879=1,$G1879-$H1879,MAX($G1879-$H1879,ABS($G1879-$I1878),ABS($H1879-$I1878)))</f>
        <v>303</v>
      </c>
      <c r="AB1879" s="48" t="n">
        <f aca="false">IF($U1879&gt;=ATR_PER,AVERAGE(INDEX($AA$1759:$AA1879,122-ATR_PER):$AA1879),"")</f>
        <v>430.571428571429</v>
      </c>
      <c r="AC1879" s="48" t="n">
        <f aca="false">$O1879-$P1879</f>
        <v>51453617</v>
      </c>
      <c r="AD1879" s="48" t="n">
        <f aca="false">$AC1879*$I1879</f>
        <v>621919868679</v>
      </c>
      <c r="AE1879" s="49" t="n">
        <f aca="false">IF($Q1879&gt;0,$O1879*$I1879/$Q1879/1000000,"")</f>
        <v>814.457962947038</v>
      </c>
      <c r="AF1879" s="49" t="n">
        <f aca="false">IF($R1879&gt;0,$P1879*$I1879/$R1879/1000000,"")</f>
        <v>97.70157550291</v>
      </c>
      <c r="AG1879" s="50" t="n">
        <f aca="false">IF(AND(ISNUMBER($AE1879),ISNUMBER($AF1879),$AF1879&gt;0),$AE1879/$AF1879,"")</f>
        <v>8.33618044289142</v>
      </c>
      <c r="AH1879" s="48" t="n">
        <f aca="false">IF($U1879&gt;=5,SUM(INDEX($AD$1849:$AD1879,32-5):$AD1879),"")</f>
        <v>1768259570728</v>
      </c>
      <c r="AI1879" s="48" t="n">
        <f aca="false">IF($U1879&gt;=STRUCT_S,MAX(INDEX($G$1729:$G1879,152-STRUCT_S):$G1879),"")</f>
        <v>12292</v>
      </c>
      <c r="AJ1879" s="48" t="n">
        <f aca="false">IF($U1879&gt;=STRUCT_S,MIN(INDEX($H$1729:$H1879,152-STRUCT_S):$H1879),"")</f>
        <v>10654</v>
      </c>
      <c r="AK1879" s="48" t="str">
        <f aca="false">IF($U1879&gt;=STRUCT_L,MAX(INDEX($G$1629:$G1879,252-STRUCT_L):$G1879),"")</f>
        <v/>
      </c>
      <c r="AL1879" s="48" t="str">
        <f aca="false">IF($U1879&gt;=STRUCT_L,MIN(INDEX($H$1629:$H1879,252-STRUCT_L):$H1879),"")</f>
        <v/>
      </c>
      <c r="AM1879" s="46" t="n">
        <f aca="false">IF($A1879&lt;&gt;$A1880,1,0)</f>
        <v>0</v>
      </c>
      <c r="AN1879" s="47" t="str">
        <f aca="false">IF($AM1879=1,$A1879,"")</f>
        <v/>
      </c>
    </row>
    <row r="1880" customFormat="false" ht="15" hidden="false" customHeight="false" outlineLevel="0" collapsed="false">
      <c r="A1880" s="43" t="s">
        <v>167</v>
      </c>
      <c r="B1880" s="44" t="s">
        <v>169</v>
      </c>
      <c r="C1880" s="45" t="n">
        <v>45983</v>
      </c>
      <c r="D1880" s="46" t="n">
        <v>20251122</v>
      </c>
      <c r="E1880" s="47" t="s">
        <v>343</v>
      </c>
      <c r="F1880" s="48" t="n">
        <v>11897</v>
      </c>
      <c r="G1880" s="48" t="n">
        <v>12122</v>
      </c>
      <c r="H1880" s="48" t="n">
        <v>11833</v>
      </c>
      <c r="I1880" s="48" t="n">
        <v>11867</v>
      </c>
      <c r="J1880" s="48" t="n">
        <v>12001</v>
      </c>
      <c r="K1880" s="48" t="n">
        <v>12087</v>
      </c>
      <c r="L1880" s="48" t="n">
        <v>122191220</v>
      </c>
      <c r="M1880" s="48" t="n">
        <v>1450043207740</v>
      </c>
      <c r="N1880" s="48" t="n">
        <v>3495</v>
      </c>
      <c r="O1880" s="48" t="n">
        <v>68766769</v>
      </c>
      <c r="P1880" s="48" t="n">
        <v>50223489</v>
      </c>
      <c r="Q1880" s="48" t="n">
        <v>1794</v>
      </c>
      <c r="R1880" s="48" t="n">
        <v>861</v>
      </c>
      <c r="S1880" s="48" t="n">
        <v>53424451</v>
      </c>
      <c r="T1880" s="48" t="n">
        <v>71967731</v>
      </c>
      <c r="U1880" s="46" t="n">
        <f aca="false">IF($A1880=$A1879,$U1879+1,1)</f>
        <v>56</v>
      </c>
      <c r="V1880" s="48" t="n">
        <f aca="false">IF($U1880&gt;=MA_SHORT,AVERAGE(INDEX($I$1480:$I1880,402-MA_SHORT):$I1880),"")</f>
        <v>11599.45</v>
      </c>
      <c r="W1880" s="48" t="n">
        <f aca="false">IF($U1880&gt;=MA_MED,AVERAGE(INDEX($I$1480:$I1880,402-MA_MED):$I1880),"")</f>
        <v>11832.32</v>
      </c>
      <c r="X1880" s="48" t="str">
        <f aca="false">IF($U1880&gt;=MA_LONG1,AVERAGE(INDEX($I$1480:$I1880,402-MA_LONG1):$I1880),"")</f>
        <v/>
      </c>
      <c r="Y1880" s="48" t="str">
        <f aca="false">IF($U1880&gt;=MA_LONG2,AVERAGE(INDEX($I$1480:$I1880,402-MA_LONG2):$I1880),"")</f>
        <v/>
      </c>
      <c r="Z1880" s="48" t="n">
        <f aca="false">IF($U1880&gt;=MA_SHORT,AVERAGE(INDEX($L$1760:$L1880,122-MA_SHORT):$L1880),"")</f>
        <v>97692264.45</v>
      </c>
      <c r="AA1880" s="48" t="n">
        <f aca="false">IF($U1880=1,$G1880-$H1880,MAX($G1880-$H1880,ABS($G1880-$I1879),ABS($H1880-$I1879)))</f>
        <v>289</v>
      </c>
      <c r="AB1880" s="48" t="n">
        <f aca="false">IF($U1880&gt;=ATR_PER,AVERAGE(INDEX($AA$1760:$AA1880,122-ATR_PER):$AA1880),"")</f>
        <v>418.357142857143</v>
      </c>
      <c r="AC1880" s="48" t="n">
        <f aca="false">$O1880-$P1880</f>
        <v>18543280</v>
      </c>
      <c r="AD1880" s="48" t="n">
        <f aca="false">$AC1880*$I1880</f>
        <v>220053103760</v>
      </c>
      <c r="AE1880" s="49" t="n">
        <f aca="false">IF($Q1880&gt;0,$O1880*$I1880/$Q1880/1000000,"")</f>
        <v>454.880294159978</v>
      </c>
      <c r="AF1880" s="49" t="n">
        <f aca="false">IF($R1880&gt;0,$P1880*$I1880/$R1880/1000000,"")</f>
        <v>692.220840839721</v>
      </c>
      <c r="AG1880" s="50" t="n">
        <f aca="false">IF(AND(ISNUMBER($AE1880),ISNUMBER($AF1880),$AF1880&gt;0),$AE1880/$AF1880,"")</f>
        <v>0.657131752358352</v>
      </c>
      <c r="AH1880" s="48" t="n">
        <f aca="false">IF($U1880&gt;=5,SUM(INDEX($AD$1850:$AD1880,32-5):$AD1880),"")</f>
        <v>1802472732328</v>
      </c>
      <c r="AI1880" s="48" t="n">
        <f aca="false">IF($U1880&gt;=STRUCT_S,MAX(INDEX($G$1730:$G1880,152-STRUCT_S):$G1880),"")</f>
        <v>12292</v>
      </c>
      <c r="AJ1880" s="48" t="n">
        <f aca="false">IF($U1880&gt;=STRUCT_S,MIN(INDEX($H$1730:$H1880,152-STRUCT_S):$H1880),"")</f>
        <v>10654</v>
      </c>
      <c r="AK1880" s="48" t="str">
        <f aca="false">IF($U1880&gt;=STRUCT_L,MAX(INDEX($G$1630:$G1880,252-STRUCT_L):$G1880),"")</f>
        <v/>
      </c>
      <c r="AL1880" s="48" t="str">
        <f aca="false">IF($U1880&gt;=STRUCT_L,MIN(INDEX($H$1630:$H1880,252-STRUCT_L):$H1880),"")</f>
        <v/>
      </c>
      <c r="AM1880" s="46" t="n">
        <f aca="false">IF($A1880&lt;&gt;$A1881,1,0)</f>
        <v>0</v>
      </c>
      <c r="AN1880" s="47" t="str">
        <f aca="false">IF($AM1880=1,$A1880,"")</f>
        <v/>
      </c>
    </row>
    <row r="1881" customFormat="false" ht="15" hidden="false" customHeight="false" outlineLevel="0" collapsed="false">
      <c r="A1881" s="43" t="s">
        <v>167</v>
      </c>
      <c r="B1881" s="44" t="s">
        <v>169</v>
      </c>
      <c r="C1881" s="45" t="n">
        <v>45984</v>
      </c>
      <c r="D1881" s="46" t="n">
        <v>20251123</v>
      </c>
      <c r="E1881" s="47" t="s">
        <v>344</v>
      </c>
      <c r="F1881" s="48" t="n">
        <v>12153</v>
      </c>
      <c r="G1881" s="48" t="n">
        <v>12236</v>
      </c>
      <c r="H1881" s="48" t="n">
        <v>11703</v>
      </c>
      <c r="I1881" s="48" t="n">
        <v>12069</v>
      </c>
      <c r="J1881" s="48" t="n">
        <v>11943</v>
      </c>
      <c r="K1881" s="48" t="n">
        <v>11867</v>
      </c>
      <c r="L1881" s="48" t="n">
        <v>87662879</v>
      </c>
      <c r="M1881" s="48" t="n">
        <v>1058003286651</v>
      </c>
      <c r="N1881" s="48" t="n">
        <v>2094</v>
      </c>
      <c r="O1881" s="48" t="n">
        <v>56096644</v>
      </c>
      <c r="P1881" s="48" t="n">
        <v>33614044</v>
      </c>
      <c r="Q1881" s="48" t="n">
        <v>624</v>
      </c>
      <c r="R1881" s="48" t="n">
        <v>1116</v>
      </c>
      <c r="S1881" s="48" t="n">
        <v>31566235</v>
      </c>
      <c r="T1881" s="48" t="n">
        <v>54048835</v>
      </c>
      <c r="U1881" s="46" t="n">
        <f aca="false">IF($A1881=$A1880,$U1880+1,1)</f>
        <v>57</v>
      </c>
      <c r="V1881" s="48" t="n">
        <f aca="false">IF($U1881&gt;=MA_SHORT,AVERAGE(INDEX($I$1481:$I1881,402-MA_SHORT):$I1881),"")</f>
        <v>11595.1</v>
      </c>
      <c r="W1881" s="48" t="n">
        <f aca="false">IF($U1881&gt;=MA_MED,AVERAGE(INDEX($I$1481:$I1881,402-MA_MED):$I1881),"")</f>
        <v>11839.74</v>
      </c>
      <c r="X1881" s="48" t="str">
        <f aca="false">IF($U1881&gt;=MA_LONG1,AVERAGE(INDEX($I$1481:$I1881,402-MA_LONG1):$I1881),"")</f>
        <v/>
      </c>
      <c r="Y1881" s="48" t="str">
        <f aca="false">IF($U1881&gt;=MA_LONG2,AVERAGE(INDEX($I$1481:$I1881,402-MA_LONG2):$I1881),"")</f>
        <v/>
      </c>
      <c r="Z1881" s="48" t="n">
        <f aca="false">IF($U1881&gt;=MA_SHORT,AVERAGE(INDEX($L$1761:$L1881,122-MA_SHORT):$L1881),"")</f>
        <v>97527621.8</v>
      </c>
      <c r="AA1881" s="48" t="n">
        <f aca="false">IF($U1881=1,$G1881-$H1881,MAX($G1881-$H1881,ABS($G1881-$I1880),ABS($H1881-$I1880)))</f>
        <v>533</v>
      </c>
      <c r="AB1881" s="48" t="n">
        <f aca="false">IF($U1881&gt;=ATR_PER,AVERAGE(INDEX($AA$1761:$AA1881,122-ATR_PER):$AA1881),"")</f>
        <v>426.785714285714</v>
      </c>
      <c r="AC1881" s="48" t="n">
        <f aca="false">$O1881-$P1881</f>
        <v>22482600</v>
      </c>
      <c r="AD1881" s="48" t="n">
        <f aca="false">$AC1881*$I1881</f>
        <v>271342499400</v>
      </c>
      <c r="AE1881" s="49" t="n">
        <f aca="false">IF($Q1881&gt;0,$O1881*$I1881/$Q1881/1000000,"")</f>
        <v>1084.98460967308</v>
      </c>
      <c r="AF1881" s="49" t="n">
        <f aca="false">IF($R1881&gt;0,$P1881*$I1881/$R1881/1000000,"")</f>
        <v>363.519621</v>
      </c>
      <c r="AG1881" s="50" t="n">
        <f aca="false">IF(AND(ISNUMBER($AE1881),ISNUMBER($AF1881),$AF1881&gt;0),$AE1881/$AF1881,"")</f>
        <v>2.98466588045072</v>
      </c>
      <c r="AH1881" s="48" t="n">
        <f aca="false">IF($U1881&gt;=5,SUM(INDEX($AD$1851:$AD1881,32-5):$AD1881),"")</f>
        <v>1878976352828</v>
      </c>
      <c r="AI1881" s="48" t="n">
        <f aca="false">IF($U1881&gt;=STRUCT_S,MAX(INDEX($G$1731:$G1881,152-STRUCT_S):$G1881),"")</f>
        <v>12292</v>
      </c>
      <c r="AJ1881" s="48" t="n">
        <f aca="false">IF($U1881&gt;=STRUCT_S,MIN(INDEX($H$1731:$H1881,152-STRUCT_S):$H1881),"")</f>
        <v>10654</v>
      </c>
      <c r="AK1881" s="48" t="str">
        <f aca="false">IF($U1881&gt;=STRUCT_L,MAX(INDEX($G$1631:$G1881,252-STRUCT_L):$G1881),"")</f>
        <v/>
      </c>
      <c r="AL1881" s="48" t="str">
        <f aca="false">IF($U1881&gt;=STRUCT_L,MIN(INDEX($H$1631:$H1881,252-STRUCT_L):$H1881),"")</f>
        <v/>
      </c>
      <c r="AM1881" s="46" t="n">
        <f aca="false">IF($A1881&lt;&gt;$A1882,1,0)</f>
        <v>0</v>
      </c>
      <c r="AN1881" s="47" t="str">
        <f aca="false">IF($AM1881=1,$A1881,"")</f>
        <v/>
      </c>
    </row>
    <row r="1882" customFormat="false" ht="15" hidden="false" customHeight="false" outlineLevel="0" collapsed="false">
      <c r="A1882" s="43" t="s">
        <v>167</v>
      </c>
      <c r="B1882" s="44" t="s">
        <v>169</v>
      </c>
      <c r="C1882" s="45" t="n">
        <v>45985</v>
      </c>
      <c r="D1882" s="46" t="n">
        <v>20251124</v>
      </c>
      <c r="E1882" s="47" t="s">
        <v>345</v>
      </c>
      <c r="F1882" s="48" t="n">
        <v>11913</v>
      </c>
      <c r="G1882" s="48" t="n">
        <v>12278</v>
      </c>
      <c r="H1882" s="48" t="n">
        <v>11783</v>
      </c>
      <c r="I1882" s="48" t="n">
        <v>11990</v>
      </c>
      <c r="J1882" s="48" t="n">
        <v>11918</v>
      </c>
      <c r="K1882" s="48" t="n">
        <v>12069</v>
      </c>
      <c r="L1882" s="48" t="n">
        <v>82663210</v>
      </c>
      <c r="M1882" s="48" t="n">
        <v>991131887900</v>
      </c>
      <c r="N1882" s="48" t="n">
        <v>1995</v>
      </c>
      <c r="O1882" s="48" t="n">
        <v>52334700</v>
      </c>
      <c r="P1882" s="48" t="n">
        <v>35334540</v>
      </c>
      <c r="Q1882" s="48" t="n">
        <v>1362</v>
      </c>
      <c r="R1882" s="48" t="n">
        <v>531</v>
      </c>
      <c r="S1882" s="48" t="n">
        <v>30328510</v>
      </c>
      <c r="T1882" s="48" t="n">
        <v>47328670</v>
      </c>
      <c r="U1882" s="46" t="n">
        <f aca="false">IF($A1882=$A1881,$U1881+1,1)</f>
        <v>58</v>
      </c>
      <c r="V1882" s="48" t="n">
        <f aca="false">IF($U1882&gt;=MA_SHORT,AVERAGE(INDEX($I$1482:$I1882,402-MA_SHORT):$I1882),"")</f>
        <v>11587.6</v>
      </c>
      <c r="W1882" s="48" t="n">
        <f aca="false">IF($U1882&gt;=MA_MED,AVERAGE(INDEX($I$1482:$I1882,402-MA_MED):$I1882),"")</f>
        <v>11844.78</v>
      </c>
      <c r="X1882" s="48" t="str">
        <f aca="false">IF($U1882&gt;=MA_LONG1,AVERAGE(INDEX($I$1482:$I1882,402-MA_LONG1):$I1882),"")</f>
        <v/>
      </c>
      <c r="Y1882" s="48" t="str">
        <f aca="false">IF($U1882&gt;=MA_LONG2,AVERAGE(INDEX($I$1482:$I1882,402-MA_LONG2):$I1882),"")</f>
        <v/>
      </c>
      <c r="Z1882" s="48" t="n">
        <f aca="false">IF($U1882&gt;=MA_SHORT,AVERAGE(INDEX($L$1762:$L1882,122-MA_SHORT):$L1882),"")</f>
        <v>97652406.5</v>
      </c>
      <c r="AA1882" s="48" t="n">
        <f aca="false">IF($U1882=1,$G1882-$H1882,MAX($G1882-$H1882,ABS($G1882-$I1881),ABS($H1882-$I1881)))</f>
        <v>495</v>
      </c>
      <c r="AB1882" s="48" t="n">
        <f aca="false">IF($U1882&gt;=ATR_PER,AVERAGE(INDEX($AA$1762:$AA1882,122-ATR_PER):$AA1882),"")</f>
        <v>432.571428571429</v>
      </c>
      <c r="AC1882" s="48" t="n">
        <f aca="false">$O1882-$P1882</f>
        <v>17000160</v>
      </c>
      <c r="AD1882" s="48" t="n">
        <f aca="false">$AC1882*$I1882</f>
        <v>203831918400</v>
      </c>
      <c r="AE1882" s="49" t="n">
        <f aca="false">IF($Q1882&gt;0,$O1882*$I1882/$Q1882/1000000,"")</f>
        <v>460.714429515419</v>
      </c>
      <c r="AF1882" s="49" t="n">
        <f aca="false">IF($R1882&gt;0,$P1882*$I1882/$R1882/1000000,"")</f>
        <v>797.855244067797</v>
      </c>
      <c r="AG1882" s="50" t="n">
        <f aca="false">IF(AND(ISNUMBER($AE1882),ISNUMBER($AF1882),$AF1882&gt;0),$AE1882/$AF1882,"")</f>
        <v>0.577441124741508</v>
      </c>
      <c r="AH1882" s="48" t="n">
        <f aca="false">IF($U1882&gt;=5,SUM(INDEX($AD$1852:$AD1882,32-5):$AD1882),"")</f>
        <v>1798096540158</v>
      </c>
      <c r="AI1882" s="48" t="n">
        <f aca="false">IF($U1882&gt;=STRUCT_S,MAX(INDEX($G$1732:$G1882,152-STRUCT_S):$G1882),"")</f>
        <v>12292</v>
      </c>
      <c r="AJ1882" s="48" t="n">
        <f aca="false">IF($U1882&gt;=STRUCT_S,MIN(INDEX($H$1732:$H1882,152-STRUCT_S):$H1882),"")</f>
        <v>10654</v>
      </c>
      <c r="AK1882" s="48" t="str">
        <f aca="false">IF($U1882&gt;=STRUCT_L,MAX(INDEX($G$1632:$G1882,252-STRUCT_L):$G1882),"")</f>
        <v/>
      </c>
      <c r="AL1882" s="48" t="str">
        <f aca="false">IF($U1882&gt;=STRUCT_L,MIN(INDEX($H$1632:$H1882,252-STRUCT_L):$H1882),"")</f>
        <v/>
      </c>
      <c r="AM1882" s="46" t="n">
        <f aca="false">IF($A1882&lt;&gt;$A1883,1,0)</f>
        <v>0</v>
      </c>
      <c r="AN1882" s="47" t="str">
        <f aca="false">IF($AM1882=1,$A1882,"")</f>
        <v/>
      </c>
    </row>
    <row r="1883" customFormat="false" ht="15" hidden="false" customHeight="false" outlineLevel="0" collapsed="false">
      <c r="A1883" s="43" t="s">
        <v>167</v>
      </c>
      <c r="B1883" s="44" t="s">
        <v>169</v>
      </c>
      <c r="C1883" s="45" t="n">
        <v>45986</v>
      </c>
      <c r="D1883" s="46" t="n">
        <v>20251125</v>
      </c>
      <c r="E1883" s="47" t="s">
        <v>346</v>
      </c>
      <c r="F1883" s="48" t="n">
        <v>12076</v>
      </c>
      <c r="G1883" s="48" t="n">
        <v>12105</v>
      </c>
      <c r="H1883" s="48" t="n">
        <v>11947</v>
      </c>
      <c r="I1883" s="48" t="n">
        <v>12062</v>
      </c>
      <c r="J1883" s="48" t="n">
        <v>12015</v>
      </c>
      <c r="K1883" s="48" t="n">
        <v>11990</v>
      </c>
      <c r="L1883" s="48" t="n">
        <v>82405173</v>
      </c>
      <c r="M1883" s="48" t="n">
        <v>993971196726</v>
      </c>
      <c r="N1883" s="48" t="n">
        <v>5018</v>
      </c>
      <c r="O1883" s="48" t="n">
        <v>46325717</v>
      </c>
      <c r="P1883" s="48" t="n">
        <v>40444064</v>
      </c>
      <c r="Q1883" s="48" t="n">
        <v>1630</v>
      </c>
      <c r="R1883" s="48" t="n">
        <v>2524</v>
      </c>
      <c r="S1883" s="48" t="n">
        <v>36079456</v>
      </c>
      <c r="T1883" s="48" t="n">
        <v>41961109</v>
      </c>
      <c r="U1883" s="46" t="n">
        <f aca="false">IF($A1883=$A1882,$U1882+1,1)</f>
        <v>59</v>
      </c>
      <c r="V1883" s="48" t="n">
        <f aca="false">IF($U1883&gt;=MA_SHORT,AVERAGE(INDEX($I$1483:$I1883,402-MA_SHORT):$I1883),"")</f>
        <v>11589.45</v>
      </c>
      <c r="W1883" s="48" t="n">
        <f aca="false">IF($U1883&gt;=MA_MED,AVERAGE(INDEX($I$1483:$I1883,402-MA_MED):$I1883),"")</f>
        <v>11850.1</v>
      </c>
      <c r="X1883" s="48" t="str">
        <f aca="false">IF($U1883&gt;=MA_LONG1,AVERAGE(INDEX($I$1483:$I1883,402-MA_LONG1):$I1883),"")</f>
        <v/>
      </c>
      <c r="Y1883" s="48" t="str">
        <f aca="false">IF($U1883&gt;=MA_LONG2,AVERAGE(INDEX($I$1483:$I1883,402-MA_LONG2):$I1883),"")</f>
        <v/>
      </c>
      <c r="Z1883" s="48" t="n">
        <f aca="false">IF($U1883&gt;=MA_SHORT,AVERAGE(INDEX($L$1763:$L1883,122-MA_SHORT):$L1883),"")</f>
        <v>97569658.25</v>
      </c>
      <c r="AA1883" s="48" t="n">
        <f aca="false">IF($U1883=1,$G1883-$H1883,MAX($G1883-$H1883,ABS($G1883-$I1882),ABS($H1883-$I1882)))</f>
        <v>158</v>
      </c>
      <c r="AB1883" s="48" t="n">
        <f aca="false">IF($U1883&gt;=ATR_PER,AVERAGE(INDEX($AA$1763:$AA1883,122-ATR_PER):$AA1883),"")</f>
        <v>414.714285714286</v>
      </c>
      <c r="AC1883" s="48" t="n">
        <f aca="false">$O1883-$P1883</f>
        <v>5881653</v>
      </c>
      <c r="AD1883" s="48" t="n">
        <f aca="false">$AC1883*$I1883</f>
        <v>70944498486</v>
      </c>
      <c r="AE1883" s="49" t="n">
        <f aca="false">IF($Q1883&gt;0,$O1883*$I1883/$Q1883/1000000,"")</f>
        <v>342.8103058</v>
      </c>
      <c r="AF1883" s="49" t="n">
        <f aca="false">IF($R1883&gt;0,$P1883*$I1883/$R1883/1000000,"")</f>
        <v>193.279041191759</v>
      </c>
      <c r="AG1883" s="50" t="n">
        <f aca="false">IF(AND(ISNUMBER($AE1883),ISNUMBER($AF1883),$AF1883&gt;0),$AE1883/$AF1883,"")</f>
        <v>1.77365483441055</v>
      </c>
      <c r="AH1883" s="48" t="n">
        <f aca="false">IF($U1883&gt;=5,SUM(INDEX($AD$1853:$AD1883,32-5):$AD1883),"")</f>
        <v>1388091888725</v>
      </c>
      <c r="AI1883" s="48" t="n">
        <f aca="false">IF($U1883&gt;=STRUCT_S,MAX(INDEX($G$1733:$G1883,152-STRUCT_S):$G1883),"")</f>
        <v>12278</v>
      </c>
      <c r="AJ1883" s="48" t="n">
        <f aca="false">IF($U1883&gt;=STRUCT_S,MIN(INDEX($H$1733:$H1883,152-STRUCT_S):$H1883),"")</f>
        <v>10654</v>
      </c>
      <c r="AK1883" s="48" t="str">
        <f aca="false">IF($U1883&gt;=STRUCT_L,MAX(INDEX($G$1633:$G1883,252-STRUCT_L):$G1883),"")</f>
        <v/>
      </c>
      <c r="AL1883" s="48" t="str">
        <f aca="false">IF($U1883&gt;=STRUCT_L,MIN(INDEX($H$1633:$H1883,252-STRUCT_L):$H1883),"")</f>
        <v/>
      </c>
      <c r="AM1883" s="46" t="n">
        <f aca="false">IF($A1883&lt;&gt;$A1884,1,0)</f>
        <v>0</v>
      </c>
      <c r="AN1883" s="47" t="str">
        <f aca="false">IF($AM1883=1,$A1883,"")</f>
        <v/>
      </c>
    </row>
    <row r="1884" customFormat="false" ht="15" hidden="false" customHeight="false" outlineLevel="0" collapsed="false">
      <c r="A1884" s="43" t="s">
        <v>167</v>
      </c>
      <c r="B1884" s="44" t="s">
        <v>169</v>
      </c>
      <c r="C1884" s="45" t="n">
        <v>45987</v>
      </c>
      <c r="D1884" s="46" t="n">
        <v>20251126</v>
      </c>
      <c r="E1884" s="47" t="s">
        <v>347</v>
      </c>
      <c r="F1884" s="48" t="n">
        <v>11970</v>
      </c>
      <c r="G1884" s="48" t="n">
        <v>12097</v>
      </c>
      <c r="H1884" s="48" t="n">
        <v>11914</v>
      </c>
      <c r="I1884" s="48" t="n">
        <v>11949</v>
      </c>
      <c r="J1884" s="48" t="n">
        <v>12010</v>
      </c>
      <c r="K1884" s="48" t="n">
        <v>12062</v>
      </c>
      <c r="L1884" s="48" t="n">
        <v>227761749</v>
      </c>
      <c r="M1884" s="48" t="n">
        <v>2721525138801</v>
      </c>
      <c r="N1884" s="48" t="n">
        <v>5611</v>
      </c>
      <c r="O1884" s="48" t="n">
        <v>125137356</v>
      </c>
      <c r="P1884" s="48" t="n">
        <v>96820219</v>
      </c>
      <c r="Q1884" s="48" t="n">
        <v>2903</v>
      </c>
      <c r="R1884" s="48" t="n">
        <v>1914</v>
      </c>
      <c r="S1884" s="48" t="n">
        <v>102624393</v>
      </c>
      <c r="T1884" s="48" t="n">
        <v>130941530</v>
      </c>
      <c r="U1884" s="46" t="n">
        <f aca="false">IF($A1884=$A1883,$U1883+1,1)</f>
        <v>60</v>
      </c>
      <c r="V1884" s="48" t="n">
        <f aca="false">IF($U1884&gt;=MA_SHORT,AVERAGE(INDEX($I$1484:$I1884,402-MA_SHORT):$I1884),"")</f>
        <v>11592.25</v>
      </c>
      <c r="W1884" s="48" t="n">
        <f aca="false">IF($U1884&gt;=MA_MED,AVERAGE(INDEX($I$1484:$I1884,402-MA_MED):$I1884),"")</f>
        <v>11846.44</v>
      </c>
      <c r="X1884" s="48" t="str">
        <f aca="false">IF($U1884&gt;=MA_LONG1,AVERAGE(INDEX($I$1484:$I1884,402-MA_LONG1):$I1884),"")</f>
        <v/>
      </c>
      <c r="Y1884" s="48" t="str">
        <f aca="false">IF($U1884&gt;=MA_LONG2,AVERAGE(INDEX($I$1484:$I1884,402-MA_LONG2):$I1884),"")</f>
        <v/>
      </c>
      <c r="Z1884" s="48" t="n">
        <f aca="false">IF($U1884&gt;=MA_SHORT,AVERAGE(INDEX($L$1764:$L1884,122-MA_SHORT):$L1884),"")</f>
        <v>104718843.15</v>
      </c>
      <c r="AA1884" s="48" t="n">
        <f aca="false">IF($U1884=1,$G1884-$H1884,MAX($G1884-$H1884,ABS($G1884-$I1883),ABS($H1884-$I1883)))</f>
        <v>183</v>
      </c>
      <c r="AB1884" s="48" t="n">
        <f aca="false">IF($U1884&gt;=ATR_PER,AVERAGE(INDEX($AA$1764:$AA1884,122-ATR_PER):$AA1884),"")</f>
        <v>394.642857142857</v>
      </c>
      <c r="AC1884" s="48" t="n">
        <f aca="false">$O1884-$P1884</f>
        <v>28317137</v>
      </c>
      <c r="AD1884" s="48" t="n">
        <f aca="false">$AC1884*$I1884</f>
        <v>338361470013</v>
      </c>
      <c r="AE1884" s="49" t="n">
        <f aca="false">IF($Q1884&gt;0,$O1884*$I1884/$Q1884/1000000,"")</f>
        <v>515.076220063383</v>
      </c>
      <c r="AF1884" s="49" t="n">
        <f aca="false">IF($R1884&gt;0,$P1884*$I1884/$R1884/1000000,"")</f>
        <v>604.443467518809</v>
      </c>
      <c r="AG1884" s="50" t="n">
        <f aca="false">IF(AND(ISNUMBER($AE1884),ISNUMBER($AF1884),$AF1884&gt;0),$AE1884/$AF1884,"")</f>
        <v>0.852149535468931</v>
      </c>
      <c r="AH1884" s="48" t="n">
        <f aca="false">IF($U1884&gt;=5,SUM(INDEX($AD$1854:$AD1884,32-5):$AD1884),"")</f>
        <v>1104533490059</v>
      </c>
      <c r="AI1884" s="48" t="n">
        <f aca="false">IF($U1884&gt;=STRUCT_S,MAX(INDEX($G$1734:$G1884,152-STRUCT_S):$G1884),"")</f>
        <v>12278</v>
      </c>
      <c r="AJ1884" s="48" t="n">
        <f aca="false">IF($U1884&gt;=STRUCT_S,MIN(INDEX($H$1734:$H1884,152-STRUCT_S):$H1884),"")</f>
        <v>10654</v>
      </c>
      <c r="AK1884" s="48" t="n">
        <f aca="false">IF($U1884&gt;=STRUCT_L,MAX(INDEX($G$1634:$G1884,252-STRUCT_L):$G1884),"")</f>
        <v>12647</v>
      </c>
      <c r="AL1884" s="48" t="n">
        <f aca="false">IF($U1884&gt;=STRUCT_L,MIN(INDEX($H$1634:$H1884,252-STRUCT_L):$H1884),"")</f>
        <v>10654</v>
      </c>
      <c r="AM1884" s="46" t="n">
        <f aca="false">IF($A1884&lt;&gt;$A1885,1,0)</f>
        <v>0</v>
      </c>
      <c r="AN1884" s="47" t="str">
        <f aca="false">IF($AM1884=1,$A1884,"")</f>
        <v/>
      </c>
    </row>
    <row r="1885" customFormat="false" ht="15" hidden="false" customHeight="false" outlineLevel="0" collapsed="false">
      <c r="A1885" s="43" t="s">
        <v>167</v>
      </c>
      <c r="B1885" s="44" t="s">
        <v>169</v>
      </c>
      <c r="C1885" s="45" t="n">
        <v>45990</v>
      </c>
      <c r="D1885" s="46" t="n">
        <v>20251129</v>
      </c>
      <c r="E1885" s="47" t="s">
        <v>348</v>
      </c>
      <c r="F1885" s="48" t="n">
        <v>11948</v>
      </c>
      <c r="G1885" s="48" t="n">
        <v>12078</v>
      </c>
      <c r="H1885" s="48" t="n">
        <v>11642</v>
      </c>
      <c r="I1885" s="48" t="n">
        <v>11769</v>
      </c>
      <c r="J1885" s="48" t="n">
        <v>11927</v>
      </c>
      <c r="K1885" s="48" t="n">
        <v>11949</v>
      </c>
      <c r="L1885" s="48" t="n">
        <v>86728464</v>
      </c>
      <c r="M1885" s="48" t="n">
        <v>1020707292816</v>
      </c>
      <c r="N1885" s="48" t="n">
        <v>4517</v>
      </c>
      <c r="O1885" s="48" t="n">
        <v>46900828</v>
      </c>
      <c r="P1885" s="48" t="n">
        <v>40928925</v>
      </c>
      <c r="Q1885" s="48" t="n">
        <v>1865</v>
      </c>
      <c r="R1885" s="48" t="n">
        <v>1232</v>
      </c>
      <c r="S1885" s="48" t="n">
        <v>39827636</v>
      </c>
      <c r="T1885" s="48" t="n">
        <v>45799539</v>
      </c>
      <c r="U1885" s="46" t="n">
        <f aca="false">IF($A1885=$A1884,$U1884+1,1)</f>
        <v>61</v>
      </c>
      <c r="V1885" s="48" t="n">
        <f aca="false">IF($U1885&gt;=MA_SHORT,AVERAGE(INDEX($I$1485:$I1885,402-MA_SHORT):$I1885),"")</f>
        <v>11584.2</v>
      </c>
      <c r="W1885" s="48" t="n">
        <f aca="false">IF($U1885&gt;=MA_MED,AVERAGE(INDEX($I$1485:$I1885,402-MA_MED):$I1885),"")</f>
        <v>11846.46</v>
      </c>
      <c r="X1885" s="48" t="str">
        <f aca="false">IF($U1885&gt;=MA_LONG1,AVERAGE(INDEX($I$1485:$I1885,402-MA_LONG1):$I1885),"")</f>
        <v/>
      </c>
      <c r="Y1885" s="48" t="str">
        <f aca="false">IF($U1885&gt;=MA_LONG2,AVERAGE(INDEX($I$1485:$I1885,402-MA_LONG2):$I1885),"")</f>
        <v/>
      </c>
      <c r="Z1885" s="48" t="n">
        <f aca="false">IF($U1885&gt;=MA_SHORT,AVERAGE(INDEX($L$1765:$L1885,122-MA_SHORT):$L1885),"")</f>
        <v>104981358.85</v>
      </c>
      <c r="AA1885" s="48" t="n">
        <f aca="false">IF($U1885=1,$G1885-$H1885,MAX($G1885-$H1885,ABS($G1885-$I1884),ABS($H1885-$I1884)))</f>
        <v>436</v>
      </c>
      <c r="AB1885" s="48" t="n">
        <f aca="false">IF($U1885&gt;=ATR_PER,AVERAGE(INDEX($AA$1765:$AA1885,122-ATR_PER):$AA1885),"")</f>
        <v>391.857142857143</v>
      </c>
      <c r="AC1885" s="48" t="n">
        <f aca="false">$O1885-$P1885</f>
        <v>5971903</v>
      </c>
      <c r="AD1885" s="48" t="n">
        <f aca="false">$AC1885*$I1885</f>
        <v>70283326407</v>
      </c>
      <c r="AE1885" s="49" t="n">
        <f aca="false">IF($Q1885&gt;0,$O1885*$I1885/$Q1885/1000000,"")</f>
        <v>295.965600392493</v>
      </c>
      <c r="AF1885" s="49" t="n">
        <f aca="false">IF($R1885&gt;0,$P1885*$I1885/$R1885/1000000,"")</f>
        <v>390.98418695211</v>
      </c>
      <c r="AG1885" s="50" t="n">
        <f aca="false">IF(AND(ISNUMBER($AE1885),ISNUMBER($AF1885),$AF1885&gt;0),$AE1885/$AF1885,"")</f>
        <v>0.756975883602026</v>
      </c>
      <c r="AH1885" s="48" t="n">
        <f aca="false">IF($U1885&gt;=5,SUM(INDEX($AD$1855:$AD1885,32-5):$AD1885),"")</f>
        <v>954763712706</v>
      </c>
      <c r="AI1885" s="48" t="n">
        <f aca="false">IF($U1885&gt;=STRUCT_S,MAX(INDEX($G$1735:$G1885,152-STRUCT_S):$G1885),"")</f>
        <v>12278</v>
      </c>
      <c r="AJ1885" s="48" t="n">
        <f aca="false">IF($U1885&gt;=STRUCT_S,MIN(INDEX($H$1735:$H1885,152-STRUCT_S):$H1885),"")</f>
        <v>10654</v>
      </c>
      <c r="AK1885" s="48" t="n">
        <f aca="false">IF($U1885&gt;=STRUCT_L,MAX(INDEX($G$1635:$G1885,252-STRUCT_L):$G1885),"")</f>
        <v>12647</v>
      </c>
      <c r="AL1885" s="48" t="n">
        <f aca="false">IF($U1885&gt;=STRUCT_L,MIN(INDEX($H$1635:$H1885,252-STRUCT_L):$H1885),"")</f>
        <v>10654</v>
      </c>
      <c r="AM1885" s="46" t="n">
        <f aca="false">IF($A1885&lt;&gt;$A1886,1,0)</f>
        <v>0</v>
      </c>
      <c r="AN1885" s="47" t="str">
        <f aca="false">IF($AM1885=1,$A1885,"")</f>
        <v/>
      </c>
    </row>
    <row r="1886" customFormat="false" ht="15" hidden="false" customHeight="false" outlineLevel="0" collapsed="false">
      <c r="A1886" s="43" t="s">
        <v>167</v>
      </c>
      <c r="B1886" s="44" t="s">
        <v>169</v>
      </c>
      <c r="C1886" s="45" t="n">
        <v>45991</v>
      </c>
      <c r="D1886" s="46" t="n">
        <v>20251130</v>
      </c>
      <c r="E1886" s="47" t="s">
        <v>349</v>
      </c>
      <c r="F1886" s="48" t="n">
        <v>11803</v>
      </c>
      <c r="G1886" s="48" t="n">
        <v>11956</v>
      </c>
      <c r="H1886" s="48" t="n">
        <v>11663</v>
      </c>
      <c r="I1886" s="48" t="n">
        <v>11850</v>
      </c>
      <c r="J1886" s="48" t="n">
        <v>11678</v>
      </c>
      <c r="K1886" s="48" t="n">
        <v>11769</v>
      </c>
      <c r="L1886" s="48" t="n">
        <v>116507095</v>
      </c>
      <c r="M1886" s="48" t="n">
        <v>1380609075750</v>
      </c>
      <c r="N1886" s="48" t="n">
        <v>3485</v>
      </c>
      <c r="O1886" s="48" t="n">
        <v>66626004</v>
      </c>
      <c r="P1886" s="48" t="n">
        <v>49427594</v>
      </c>
      <c r="Q1886" s="48" t="n">
        <v>857</v>
      </c>
      <c r="R1886" s="48" t="n">
        <v>2491</v>
      </c>
      <c r="S1886" s="48" t="n">
        <v>49881091</v>
      </c>
      <c r="T1886" s="48" t="n">
        <v>67079501</v>
      </c>
      <c r="U1886" s="46" t="n">
        <f aca="false">IF($A1886=$A1885,$U1885+1,1)</f>
        <v>62</v>
      </c>
      <c r="V1886" s="48" t="n">
        <f aca="false">IF($U1886&gt;=MA_SHORT,AVERAGE(INDEX($I$1486:$I1886,402-MA_SHORT):$I1886),"")</f>
        <v>11594.6</v>
      </c>
      <c r="W1886" s="48" t="n">
        <f aca="false">IF($U1886&gt;=MA_MED,AVERAGE(INDEX($I$1486:$I1886,402-MA_MED):$I1886),"")</f>
        <v>11850.74</v>
      </c>
      <c r="X1886" s="48" t="str">
        <f aca="false">IF($U1886&gt;=MA_LONG1,AVERAGE(INDEX($I$1486:$I1886,402-MA_LONG1):$I1886),"")</f>
        <v/>
      </c>
      <c r="Y1886" s="48" t="str">
        <f aca="false">IF($U1886&gt;=MA_LONG2,AVERAGE(INDEX($I$1486:$I1886,402-MA_LONG2):$I1886),"")</f>
        <v/>
      </c>
      <c r="Z1886" s="48" t="n">
        <f aca="false">IF($U1886&gt;=MA_SHORT,AVERAGE(INDEX($L$1766:$L1886,122-MA_SHORT):$L1886),"")</f>
        <v>106253701.55</v>
      </c>
      <c r="AA1886" s="48" t="n">
        <f aca="false">IF($U1886=1,$G1886-$H1886,MAX($G1886-$H1886,ABS($G1886-$I1885),ABS($H1886-$I1885)))</f>
        <v>293</v>
      </c>
      <c r="AB1886" s="48" t="n">
        <f aca="false">IF($U1886&gt;=ATR_PER,AVERAGE(INDEX($AA$1766:$AA1886,122-ATR_PER):$AA1886),"")</f>
        <v>388.714285714286</v>
      </c>
      <c r="AC1886" s="48" t="n">
        <f aca="false">$O1886-$P1886</f>
        <v>17198410</v>
      </c>
      <c r="AD1886" s="48" t="n">
        <f aca="false">$AC1886*$I1886</f>
        <v>203801158500</v>
      </c>
      <c r="AE1886" s="49" t="n">
        <f aca="false">IF($Q1886&gt;0,$O1886*$I1886/$Q1886/1000000,"")</f>
        <v>921.258048308051</v>
      </c>
      <c r="AF1886" s="49" t="n">
        <f aca="false">IF($R1886&gt;0,$P1886*$I1886/$R1886/1000000,"")</f>
        <v>235.133275351265</v>
      </c>
      <c r="AG1886" s="50" t="n">
        <f aca="false">IF(AND(ISNUMBER($AE1886),ISNUMBER($AF1886),$AF1886&gt;0),$AE1886/$AF1886,"")</f>
        <v>3.91802498787884</v>
      </c>
      <c r="AH1886" s="48" t="n">
        <f aca="false">IF($U1886&gt;=5,SUM(INDEX($AD$1856:$AD1886,32-5):$AD1886),"")</f>
        <v>887222371806</v>
      </c>
      <c r="AI1886" s="48" t="n">
        <f aca="false">IF($U1886&gt;=STRUCT_S,MAX(INDEX($G$1736:$G1886,152-STRUCT_S):$G1886),"")</f>
        <v>12278</v>
      </c>
      <c r="AJ1886" s="48" t="n">
        <f aca="false">IF($U1886&gt;=STRUCT_S,MIN(INDEX($H$1736:$H1886,152-STRUCT_S):$H1886),"")</f>
        <v>10654</v>
      </c>
      <c r="AK1886" s="48" t="n">
        <f aca="false">IF($U1886&gt;=STRUCT_L,MAX(INDEX($G$1636:$G1886,252-STRUCT_L):$G1886),"")</f>
        <v>12647</v>
      </c>
      <c r="AL1886" s="48" t="n">
        <f aca="false">IF($U1886&gt;=STRUCT_L,MIN(INDEX($H$1636:$H1886,252-STRUCT_L):$H1886),"")</f>
        <v>10654</v>
      </c>
      <c r="AM1886" s="46" t="n">
        <f aca="false">IF($A1886&lt;&gt;$A1887,1,0)</f>
        <v>0</v>
      </c>
      <c r="AN1886" s="47" t="str">
        <f aca="false">IF($AM1886=1,$A1886,"")</f>
        <v/>
      </c>
    </row>
    <row r="1887" customFormat="false" ht="15" hidden="false" customHeight="false" outlineLevel="0" collapsed="false">
      <c r="A1887" s="43" t="s">
        <v>167</v>
      </c>
      <c r="B1887" s="44" t="s">
        <v>169</v>
      </c>
      <c r="C1887" s="45" t="n">
        <v>45992</v>
      </c>
      <c r="D1887" s="46" t="n">
        <v>20251201</v>
      </c>
      <c r="E1887" s="47" t="s">
        <v>350</v>
      </c>
      <c r="F1887" s="48" t="n">
        <v>12095</v>
      </c>
      <c r="G1887" s="48" t="n">
        <v>12099</v>
      </c>
      <c r="H1887" s="48" t="n">
        <v>11680</v>
      </c>
      <c r="I1887" s="48" t="n">
        <v>11928</v>
      </c>
      <c r="J1887" s="48" t="n">
        <v>11852</v>
      </c>
      <c r="K1887" s="48" t="n">
        <v>11850</v>
      </c>
      <c r="L1887" s="48" t="n">
        <v>82680669</v>
      </c>
      <c r="M1887" s="48" t="n">
        <v>986215019832</v>
      </c>
      <c r="N1887" s="48" t="n">
        <v>1906</v>
      </c>
      <c r="O1887" s="48" t="n">
        <v>53690964</v>
      </c>
      <c r="P1887" s="48" t="n">
        <v>30648479</v>
      </c>
      <c r="Q1887" s="48" t="n">
        <v>505</v>
      </c>
      <c r="R1887" s="48" t="n">
        <v>1222</v>
      </c>
      <c r="S1887" s="48" t="n">
        <v>28989705</v>
      </c>
      <c r="T1887" s="48" t="n">
        <v>52032190</v>
      </c>
      <c r="U1887" s="46" t="n">
        <f aca="false">IF($A1887=$A1886,$U1886+1,1)</f>
        <v>63</v>
      </c>
      <c r="V1887" s="48" t="n">
        <f aca="false">IF($U1887&gt;=MA_SHORT,AVERAGE(INDEX($I$1487:$I1887,402-MA_SHORT):$I1887),"")</f>
        <v>11604.15</v>
      </c>
      <c r="W1887" s="48" t="n">
        <f aca="false">IF($U1887&gt;=MA_MED,AVERAGE(INDEX($I$1487:$I1887,402-MA_MED):$I1887),"")</f>
        <v>11857.74</v>
      </c>
      <c r="X1887" s="48" t="str">
        <f aca="false">IF($U1887&gt;=MA_LONG1,AVERAGE(INDEX($I$1487:$I1887,402-MA_LONG1):$I1887),"")</f>
        <v/>
      </c>
      <c r="Y1887" s="48" t="str">
        <f aca="false">IF($U1887&gt;=MA_LONG2,AVERAGE(INDEX($I$1487:$I1887,402-MA_LONG2):$I1887),"")</f>
        <v/>
      </c>
      <c r="Z1887" s="48" t="n">
        <f aca="false">IF($U1887&gt;=MA_SHORT,AVERAGE(INDEX($L$1767:$L1887,122-MA_SHORT):$L1887),"")</f>
        <v>105161213</v>
      </c>
      <c r="AA1887" s="48" t="n">
        <f aca="false">IF($U1887=1,$G1887-$H1887,MAX($G1887-$H1887,ABS($G1887-$I1886),ABS($H1887-$I1886)))</f>
        <v>419</v>
      </c>
      <c r="AB1887" s="48" t="n">
        <f aca="false">IF($U1887&gt;=ATR_PER,AVERAGE(INDEX($AA$1767:$AA1887,122-ATR_PER):$AA1887),"")</f>
        <v>380.428571428571</v>
      </c>
      <c r="AC1887" s="48" t="n">
        <f aca="false">$O1887-$P1887</f>
        <v>23042485</v>
      </c>
      <c r="AD1887" s="48" t="n">
        <f aca="false">$AC1887*$I1887</f>
        <v>274850761080</v>
      </c>
      <c r="AE1887" s="49" t="n">
        <f aca="false">IF($Q1887&gt;0,$O1887*$I1887/$Q1887/1000000,"")</f>
        <v>1268.16993780594</v>
      </c>
      <c r="AF1887" s="49" t="n">
        <f aca="false">IF($R1887&gt;0,$P1887*$I1887/$R1887/1000000,"")</f>
        <v>299.161258193126</v>
      </c>
      <c r="AG1887" s="50" t="n">
        <f aca="false">IF(AND(ISNUMBER($AE1887),ISNUMBER($AF1887),$AF1887&gt;0),$AE1887/$AF1887,"")</f>
        <v>4.23908478479277</v>
      </c>
      <c r="AH1887" s="48" t="n">
        <f aca="false">IF($U1887&gt;=5,SUM(INDEX($AD$1857:$AD1887,32-5):$AD1887),"")</f>
        <v>958241214486</v>
      </c>
      <c r="AI1887" s="48" t="n">
        <f aca="false">IF($U1887&gt;=STRUCT_S,MAX(INDEX($G$1737:$G1887,152-STRUCT_S):$G1887),"")</f>
        <v>12278</v>
      </c>
      <c r="AJ1887" s="48" t="n">
        <f aca="false">IF($U1887&gt;=STRUCT_S,MIN(INDEX($H$1737:$H1887,152-STRUCT_S):$H1887),"")</f>
        <v>10654</v>
      </c>
      <c r="AK1887" s="48" t="n">
        <f aca="false">IF($U1887&gt;=STRUCT_L,MAX(INDEX($G$1637:$G1887,252-STRUCT_L):$G1887),"")</f>
        <v>12647</v>
      </c>
      <c r="AL1887" s="48" t="n">
        <f aca="false">IF($U1887&gt;=STRUCT_L,MIN(INDEX($H$1637:$H1887,252-STRUCT_L):$H1887),"")</f>
        <v>10654</v>
      </c>
      <c r="AM1887" s="46" t="n">
        <f aca="false">IF($A1887&lt;&gt;$A1888,1,0)</f>
        <v>0</v>
      </c>
      <c r="AN1887" s="47" t="str">
        <f aca="false">IF($AM1887=1,$A1887,"")</f>
        <v/>
      </c>
    </row>
    <row r="1888" customFormat="false" ht="15" hidden="false" customHeight="false" outlineLevel="0" collapsed="false">
      <c r="A1888" s="43" t="s">
        <v>167</v>
      </c>
      <c r="B1888" s="44" t="s">
        <v>169</v>
      </c>
      <c r="C1888" s="45" t="n">
        <v>45993</v>
      </c>
      <c r="D1888" s="46" t="n">
        <v>20251202</v>
      </c>
      <c r="E1888" s="47" t="s">
        <v>351</v>
      </c>
      <c r="F1888" s="48" t="n">
        <v>11871</v>
      </c>
      <c r="G1888" s="48" t="n">
        <v>12047</v>
      </c>
      <c r="H1888" s="48" t="n">
        <v>11773</v>
      </c>
      <c r="I1888" s="48" t="n">
        <v>11892</v>
      </c>
      <c r="J1888" s="48" t="n">
        <v>11981</v>
      </c>
      <c r="K1888" s="48" t="n">
        <v>11928</v>
      </c>
      <c r="L1888" s="48" t="n">
        <v>93752382</v>
      </c>
      <c r="M1888" s="48" t="n">
        <v>1114903326744</v>
      </c>
      <c r="N1888" s="48" t="n">
        <v>4418</v>
      </c>
      <c r="O1888" s="48" t="n">
        <v>49558511</v>
      </c>
      <c r="P1888" s="48" t="n">
        <v>50800042</v>
      </c>
      <c r="Q1888" s="48" t="n">
        <v>2506</v>
      </c>
      <c r="R1888" s="48" t="n">
        <v>1763</v>
      </c>
      <c r="S1888" s="48" t="n">
        <v>44193871</v>
      </c>
      <c r="T1888" s="48" t="n">
        <v>42952340</v>
      </c>
      <c r="U1888" s="46" t="n">
        <f aca="false">IF($A1888=$A1887,$U1887+1,1)</f>
        <v>64</v>
      </c>
      <c r="V1888" s="48" t="n">
        <f aca="false">IF($U1888&gt;=MA_SHORT,AVERAGE(INDEX($I$1488:$I1888,402-MA_SHORT):$I1888),"")</f>
        <v>11627</v>
      </c>
      <c r="W1888" s="48" t="n">
        <f aca="false">IF($U1888&gt;=MA_MED,AVERAGE(INDEX($I$1488:$I1888,402-MA_MED):$I1888),"")</f>
        <v>11857.7</v>
      </c>
      <c r="X1888" s="48" t="str">
        <f aca="false">IF($U1888&gt;=MA_LONG1,AVERAGE(INDEX($I$1488:$I1888,402-MA_LONG1):$I1888),"")</f>
        <v/>
      </c>
      <c r="Y1888" s="48" t="str">
        <f aca="false">IF($U1888&gt;=MA_LONG2,AVERAGE(INDEX($I$1488:$I1888,402-MA_LONG2):$I1888),"")</f>
        <v/>
      </c>
      <c r="Z1888" s="48" t="n">
        <f aca="false">IF($U1888&gt;=MA_SHORT,AVERAGE(INDEX($L$1768:$L1888,122-MA_SHORT):$L1888),"")</f>
        <v>101697928.4</v>
      </c>
      <c r="AA1888" s="48" t="n">
        <f aca="false">IF($U1888=1,$G1888-$H1888,MAX($G1888-$H1888,ABS($G1888-$I1887),ABS($H1888-$I1887)))</f>
        <v>274</v>
      </c>
      <c r="AB1888" s="48" t="n">
        <f aca="false">IF($U1888&gt;=ATR_PER,AVERAGE(INDEX($AA$1768:$AA1888,122-ATR_PER):$AA1888),"")</f>
        <v>364.357142857143</v>
      </c>
      <c r="AC1888" s="48" t="n">
        <f aca="false">$O1888-$P1888</f>
        <v>-1241531</v>
      </c>
      <c r="AD1888" s="48" t="n">
        <f aca="false">$AC1888*$I1888</f>
        <v>-14764286652</v>
      </c>
      <c r="AE1888" s="49" t="n">
        <f aca="false">IF($Q1888&gt;0,$O1888*$I1888/$Q1888/1000000,"")</f>
        <v>235.175503915403</v>
      </c>
      <c r="AF1888" s="49" t="n">
        <f aca="false">IF($R1888&gt;0,$P1888*$I1888/$R1888/1000000,"")</f>
        <v>342.662563507657</v>
      </c>
      <c r="AG1888" s="50" t="n">
        <f aca="false">IF(AND(ISNUMBER($AE1888),ISNUMBER($AF1888),$AF1888&gt;0),$AE1888/$AF1888,"")</f>
        <v>0.686318054438263</v>
      </c>
      <c r="AH1888" s="48" t="n">
        <f aca="false">IF($U1888&gt;=5,SUM(INDEX($AD$1858:$AD1888,32-5):$AD1888),"")</f>
        <v>872532429348</v>
      </c>
      <c r="AI1888" s="48" t="n">
        <f aca="false">IF($U1888&gt;=STRUCT_S,MAX(INDEX($G$1738:$G1888,152-STRUCT_S):$G1888),"")</f>
        <v>12278</v>
      </c>
      <c r="AJ1888" s="48" t="n">
        <f aca="false">IF($U1888&gt;=STRUCT_S,MIN(INDEX($H$1738:$H1888,152-STRUCT_S):$H1888),"")</f>
        <v>10654</v>
      </c>
      <c r="AK1888" s="48" t="n">
        <f aca="false">IF($U1888&gt;=STRUCT_L,MAX(INDEX($G$1638:$G1888,252-STRUCT_L):$G1888),"")</f>
        <v>12647</v>
      </c>
      <c r="AL1888" s="48" t="n">
        <f aca="false">IF($U1888&gt;=STRUCT_L,MIN(INDEX($H$1638:$H1888,252-STRUCT_L):$H1888),"")</f>
        <v>10654</v>
      </c>
      <c r="AM1888" s="46" t="n">
        <f aca="false">IF($A1888&lt;&gt;$A1889,1,0)</f>
        <v>0</v>
      </c>
      <c r="AN1888" s="47" t="str">
        <f aca="false">IF($AM1888=1,$A1888,"")</f>
        <v/>
      </c>
    </row>
    <row r="1889" customFormat="false" ht="15" hidden="false" customHeight="false" outlineLevel="0" collapsed="false">
      <c r="A1889" s="43" t="s">
        <v>167</v>
      </c>
      <c r="B1889" s="44" t="s">
        <v>169</v>
      </c>
      <c r="C1889" s="45" t="n">
        <v>45994</v>
      </c>
      <c r="D1889" s="46" t="n">
        <v>20251203</v>
      </c>
      <c r="E1889" s="47" t="s">
        <v>352</v>
      </c>
      <c r="F1889" s="48" t="n">
        <v>11751</v>
      </c>
      <c r="G1889" s="48" t="n">
        <v>12279</v>
      </c>
      <c r="H1889" s="48" t="n">
        <v>11704</v>
      </c>
      <c r="I1889" s="48" t="n">
        <v>12088</v>
      </c>
      <c r="J1889" s="48" t="n">
        <v>11972</v>
      </c>
      <c r="K1889" s="48" t="n">
        <v>11892</v>
      </c>
      <c r="L1889" s="48" t="n">
        <v>132924047</v>
      </c>
      <c r="M1889" s="48" t="n">
        <v>1606785880136</v>
      </c>
      <c r="N1889" s="48" t="n">
        <v>4617</v>
      </c>
      <c r="O1889" s="48" t="n">
        <v>85442893</v>
      </c>
      <c r="P1889" s="48" t="n">
        <v>52041242</v>
      </c>
      <c r="Q1889" s="48" t="n">
        <v>1144</v>
      </c>
      <c r="R1889" s="48" t="n">
        <v>3350</v>
      </c>
      <c r="S1889" s="48" t="n">
        <v>47481154</v>
      </c>
      <c r="T1889" s="48" t="n">
        <v>80882805</v>
      </c>
      <c r="U1889" s="46" t="n">
        <f aca="false">IF($A1889=$A1888,$U1888+1,1)</f>
        <v>65</v>
      </c>
      <c r="V1889" s="48" t="n">
        <f aca="false">IF($U1889&gt;=MA_SHORT,AVERAGE(INDEX($I$1489:$I1889,402-MA_SHORT):$I1889),"")</f>
        <v>11669.25</v>
      </c>
      <c r="W1889" s="48" t="n">
        <f aca="false">IF($U1889&gt;=MA_MED,AVERAGE(INDEX($I$1489:$I1889,402-MA_MED):$I1889),"")</f>
        <v>11860.92</v>
      </c>
      <c r="X1889" s="48" t="str">
        <f aca="false">IF($U1889&gt;=MA_LONG1,AVERAGE(INDEX($I$1489:$I1889,402-MA_LONG1):$I1889),"")</f>
        <v/>
      </c>
      <c r="Y1889" s="48" t="str">
        <f aca="false">IF($U1889&gt;=MA_LONG2,AVERAGE(INDEX($I$1489:$I1889,402-MA_LONG2):$I1889),"")</f>
        <v/>
      </c>
      <c r="Z1889" s="48" t="n">
        <f aca="false">IF($U1889&gt;=MA_SHORT,AVERAGE(INDEX($L$1769:$L1889,122-MA_SHORT):$L1889),"")</f>
        <v>103055121.3</v>
      </c>
      <c r="AA1889" s="48" t="n">
        <f aca="false">IF($U1889=1,$G1889-$H1889,MAX($G1889-$H1889,ABS($G1889-$I1888),ABS($H1889-$I1888)))</f>
        <v>575</v>
      </c>
      <c r="AB1889" s="48" t="n">
        <f aca="false">IF($U1889&gt;=ATR_PER,AVERAGE(INDEX($AA$1769:$AA1889,122-ATR_PER):$AA1889),"")</f>
        <v>388.571428571429</v>
      </c>
      <c r="AC1889" s="48" t="n">
        <f aca="false">$O1889-$P1889</f>
        <v>33401651</v>
      </c>
      <c r="AD1889" s="48" t="n">
        <f aca="false">$AC1889*$I1889</f>
        <v>403759157288</v>
      </c>
      <c r="AE1889" s="49" t="n">
        <f aca="false">IF($Q1889&gt;0,$O1889*$I1889/$Q1889/1000000,"")</f>
        <v>902.826652608392</v>
      </c>
      <c r="AF1889" s="49" t="n">
        <f aca="false">IF($R1889&gt;0,$P1889*$I1889/$R1889/1000000,"")</f>
        <v>187.783442774925</v>
      </c>
      <c r="AG1889" s="50" t="n">
        <f aca="false">IF(AND(ISNUMBER($AE1889),ISNUMBER($AF1889),$AF1889&gt;0),$AE1889/$AF1889,"")</f>
        <v>4.80780754291797</v>
      </c>
      <c r="AH1889" s="48" t="n">
        <f aca="false">IF($U1889&gt;=5,SUM(INDEX($AD$1859:$AD1889,32-5):$AD1889),"")</f>
        <v>937930116623</v>
      </c>
      <c r="AI1889" s="48" t="n">
        <f aca="false">IF($U1889&gt;=STRUCT_S,MAX(INDEX($G$1739:$G1889,152-STRUCT_S):$G1889),"")</f>
        <v>12279</v>
      </c>
      <c r="AJ1889" s="48" t="n">
        <f aca="false">IF($U1889&gt;=STRUCT_S,MIN(INDEX($H$1739:$H1889,152-STRUCT_S):$H1889),"")</f>
        <v>10654</v>
      </c>
      <c r="AK1889" s="48" t="n">
        <f aca="false">IF($U1889&gt;=STRUCT_L,MAX(INDEX($G$1639:$G1889,252-STRUCT_L):$G1889),"")</f>
        <v>12647</v>
      </c>
      <c r="AL1889" s="48" t="n">
        <f aca="false">IF($U1889&gt;=STRUCT_L,MIN(INDEX($H$1639:$H1889,252-STRUCT_L):$H1889),"")</f>
        <v>10654</v>
      </c>
      <c r="AM1889" s="46" t="n">
        <f aca="false">IF($A1889&lt;&gt;$A1890,1,0)</f>
        <v>0</v>
      </c>
      <c r="AN1889" s="47" t="str">
        <f aca="false">IF($AM1889=1,$A1889,"")</f>
        <v/>
      </c>
    </row>
    <row r="1890" customFormat="false" ht="15" hidden="false" customHeight="false" outlineLevel="0" collapsed="false">
      <c r="A1890" s="43" t="s">
        <v>167</v>
      </c>
      <c r="B1890" s="44" t="s">
        <v>169</v>
      </c>
      <c r="C1890" s="45" t="n">
        <v>45997</v>
      </c>
      <c r="D1890" s="46" t="n">
        <v>20251206</v>
      </c>
      <c r="E1890" s="47" t="s">
        <v>353</v>
      </c>
      <c r="F1890" s="48" t="n">
        <v>12405</v>
      </c>
      <c r="G1890" s="48" t="n">
        <v>12522</v>
      </c>
      <c r="H1890" s="48" t="n">
        <v>12019</v>
      </c>
      <c r="I1890" s="48" t="n">
        <v>12451</v>
      </c>
      <c r="J1890" s="48" t="n">
        <v>12390</v>
      </c>
      <c r="K1890" s="48" t="n">
        <v>12088</v>
      </c>
      <c r="L1890" s="48" t="n">
        <v>93870666</v>
      </c>
      <c r="M1890" s="48" t="n">
        <v>1168783662366</v>
      </c>
      <c r="N1890" s="48" t="n">
        <v>2106</v>
      </c>
      <c r="O1890" s="48" t="n">
        <v>65609473</v>
      </c>
      <c r="P1890" s="48" t="n">
        <v>28810678</v>
      </c>
      <c r="Q1890" s="48" t="n">
        <v>445</v>
      </c>
      <c r="R1890" s="48" t="n">
        <v>1310</v>
      </c>
      <c r="S1890" s="48" t="n">
        <v>28261193</v>
      </c>
      <c r="T1890" s="48" t="n">
        <v>65059988</v>
      </c>
      <c r="U1890" s="46" t="n">
        <f aca="false">IF($A1890=$A1889,$U1889+1,1)</f>
        <v>66</v>
      </c>
      <c r="V1890" s="48" t="n">
        <f aca="false">IF($U1890&gt;=MA_SHORT,AVERAGE(INDEX($I$1490:$I1890,402-MA_SHORT):$I1890),"")</f>
        <v>11745.45</v>
      </c>
      <c r="W1890" s="48" t="n">
        <f aca="false">IF($U1890&gt;=MA_MED,AVERAGE(INDEX($I$1490:$I1890,402-MA_MED):$I1890),"")</f>
        <v>11876.76</v>
      </c>
      <c r="X1890" s="48" t="str">
        <f aca="false">IF($U1890&gt;=MA_LONG1,AVERAGE(INDEX($I$1490:$I1890,402-MA_LONG1):$I1890),"")</f>
        <v/>
      </c>
      <c r="Y1890" s="48" t="str">
        <f aca="false">IF($U1890&gt;=MA_LONG2,AVERAGE(INDEX($I$1490:$I1890,402-MA_LONG2):$I1890),"")</f>
        <v/>
      </c>
      <c r="Z1890" s="48" t="n">
        <f aca="false">IF($U1890&gt;=MA_SHORT,AVERAGE(INDEX($L$1770:$L1890,122-MA_SHORT):$L1890),"")</f>
        <v>103101017.2</v>
      </c>
      <c r="AA1890" s="48" t="n">
        <f aca="false">IF($U1890=1,$G1890-$H1890,MAX($G1890-$H1890,ABS($G1890-$I1889),ABS($H1890-$I1889)))</f>
        <v>503</v>
      </c>
      <c r="AB1890" s="48" t="n">
        <f aca="false">IF($U1890&gt;=ATR_PER,AVERAGE(INDEX($AA$1770:$AA1890,122-ATR_PER):$AA1890),"")</f>
        <v>402.571428571429</v>
      </c>
      <c r="AC1890" s="48" t="n">
        <f aca="false">$O1890-$P1890</f>
        <v>36798795</v>
      </c>
      <c r="AD1890" s="48" t="n">
        <f aca="false">$AC1890*$I1890</f>
        <v>458181796545</v>
      </c>
      <c r="AE1890" s="49" t="n">
        <f aca="false">IF($Q1890&gt;0,$O1890*$I1890/$Q1890/1000000,"")</f>
        <v>1835.7383108382</v>
      </c>
      <c r="AF1890" s="49" t="n">
        <f aca="false">IF($R1890&gt;0,$P1890*$I1890/$R1890/1000000,"")</f>
        <v>273.833398303817</v>
      </c>
      <c r="AG1890" s="50" t="n">
        <f aca="false">IF(AND(ISNUMBER($AE1890),ISNUMBER($AF1890),$AF1890&gt;0),$AE1890/$AF1890,"")</f>
        <v>6.70385103573619</v>
      </c>
      <c r="AH1890" s="48" t="n">
        <f aca="false">IF($U1890&gt;=5,SUM(INDEX($AD$1860:$AD1890,32-5):$AD1890),"")</f>
        <v>1325828586761</v>
      </c>
      <c r="AI1890" s="48" t="n">
        <f aca="false">IF($U1890&gt;=STRUCT_S,MAX(INDEX($G$1740:$G1890,152-STRUCT_S):$G1890),"")</f>
        <v>12522</v>
      </c>
      <c r="AJ1890" s="48" t="n">
        <f aca="false">IF($U1890&gt;=STRUCT_S,MIN(INDEX($H$1740:$H1890,152-STRUCT_S):$H1890),"")</f>
        <v>10654</v>
      </c>
      <c r="AK1890" s="48" t="n">
        <f aca="false">IF($U1890&gt;=STRUCT_L,MAX(INDEX($G$1640:$G1890,252-STRUCT_L):$G1890),"")</f>
        <v>12647</v>
      </c>
      <c r="AL1890" s="48" t="n">
        <f aca="false">IF($U1890&gt;=STRUCT_L,MIN(INDEX($H$1640:$H1890,252-STRUCT_L):$H1890),"")</f>
        <v>10654</v>
      </c>
      <c r="AM1890" s="46" t="n">
        <f aca="false">IF($A1890&lt;&gt;$A1891,1,0)</f>
        <v>0</v>
      </c>
      <c r="AN1890" s="47" t="str">
        <f aca="false">IF($AM1890=1,$A1890,"")</f>
        <v/>
      </c>
    </row>
    <row r="1891" customFormat="false" ht="15" hidden="false" customHeight="false" outlineLevel="0" collapsed="false">
      <c r="A1891" s="43" t="s">
        <v>167</v>
      </c>
      <c r="B1891" s="44" t="s">
        <v>169</v>
      </c>
      <c r="C1891" s="45" t="n">
        <v>45998</v>
      </c>
      <c r="D1891" s="46" t="n">
        <v>20251207</v>
      </c>
      <c r="E1891" s="47" t="s">
        <v>354</v>
      </c>
      <c r="F1891" s="48" t="n">
        <v>12486</v>
      </c>
      <c r="G1891" s="48" t="n">
        <v>12521</v>
      </c>
      <c r="H1891" s="48" t="n">
        <v>12384</v>
      </c>
      <c r="I1891" s="48" t="n">
        <v>12454</v>
      </c>
      <c r="J1891" s="48" t="n">
        <v>12412</v>
      </c>
      <c r="K1891" s="48" t="n">
        <v>12451</v>
      </c>
      <c r="L1891" s="48" t="n">
        <v>79654355</v>
      </c>
      <c r="M1891" s="48" t="n">
        <v>992015337170</v>
      </c>
      <c r="N1891" s="48" t="n">
        <v>2286</v>
      </c>
      <c r="O1891" s="48" t="n">
        <v>43360823</v>
      </c>
      <c r="P1891" s="48" t="n">
        <v>34822314</v>
      </c>
      <c r="Q1891" s="48" t="n">
        <v>829</v>
      </c>
      <c r="R1891" s="48" t="n">
        <v>1414</v>
      </c>
      <c r="S1891" s="48" t="n">
        <v>36293532</v>
      </c>
      <c r="T1891" s="48" t="n">
        <v>44832041</v>
      </c>
      <c r="U1891" s="46" t="n">
        <f aca="false">IF($A1891=$A1890,$U1890+1,1)</f>
        <v>67</v>
      </c>
      <c r="V1891" s="48" t="n">
        <f aca="false">IF($U1891&gt;=MA_SHORT,AVERAGE(INDEX($I$1491:$I1891,402-MA_SHORT):$I1891),"")</f>
        <v>11825.4</v>
      </c>
      <c r="W1891" s="48" t="n">
        <f aca="false">IF($U1891&gt;=MA_MED,AVERAGE(INDEX($I$1491:$I1891,402-MA_MED):$I1891),"")</f>
        <v>11887.38</v>
      </c>
      <c r="X1891" s="48" t="str">
        <f aca="false">IF($U1891&gt;=MA_LONG1,AVERAGE(INDEX($I$1491:$I1891,402-MA_LONG1):$I1891),"")</f>
        <v/>
      </c>
      <c r="Y1891" s="48" t="str">
        <f aca="false">IF($U1891&gt;=MA_LONG2,AVERAGE(INDEX($I$1491:$I1891,402-MA_LONG2):$I1891),"")</f>
        <v/>
      </c>
      <c r="Z1891" s="48" t="n">
        <f aca="false">IF($U1891&gt;=MA_SHORT,AVERAGE(INDEX($L$1771:$L1891,122-MA_SHORT):$L1891),"")</f>
        <v>101788854.5</v>
      </c>
      <c r="AA1891" s="48" t="n">
        <f aca="false">IF($U1891=1,$G1891-$H1891,MAX($G1891-$H1891,ABS($G1891-$I1890),ABS($H1891-$I1890)))</f>
        <v>137</v>
      </c>
      <c r="AB1891" s="48" t="n">
        <f aca="false">IF($U1891&gt;=ATR_PER,AVERAGE(INDEX($AA$1771:$AA1891,122-ATR_PER):$AA1891),"")</f>
        <v>384.714285714286</v>
      </c>
      <c r="AC1891" s="48" t="n">
        <f aca="false">$O1891-$P1891</f>
        <v>8538509</v>
      </c>
      <c r="AD1891" s="48" t="n">
        <f aca="false">$AC1891*$I1891</f>
        <v>106338591086</v>
      </c>
      <c r="AE1891" s="49" t="n">
        <f aca="false">IF($Q1891&gt;0,$O1891*$I1891/$Q1891/1000000,"")</f>
        <v>651.406139495778</v>
      </c>
      <c r="AF1891" s="49" t="n">
        <f aca="false">IF($R1891&gt;0,$P1891*$I1891/$R1891/1000000,"")</f>
        <v>306.702332783593</v>
      </c>
      <c r="AG1891" s="50" t="n">
        <f aca="false">IF(AND(ISNUMBER($AE1891),ISNUMBER($AF1891),$AF1891&gt;0),$AE1891/$AF1891,"")</f>
        <v>2.12390343948054</v>
      </c>
      <c r="AH1891" s="48" t="n">
        <f aca="false">IF($U1891&gt;=5,SUM(INDEX($AD$1861:$AD1891,32-5):$AD1891),"")</f>
        <v>1228366019347</v>
      </c>
      <c r="AI1891" s="48" t="n">
        <f aca="false">IF($U1891&gt;=STRUCT_S,MAX(INDEX($G$1741:$G1891,152-STRUCT_S):$G1891),"")</f>
        <v>12522</v>
      </c>
      <c r="AJ1891" s="48" t="n">
        <f aca="false">IF($U1891&gt;=STRUCT_S,MIN(INDEX($H$1741:$H1891,152-STRUCT_S):$H1891),"")</f>
        <v>10728</v>
      </c>
      <c r="AK1891" s="48" t="n">
        <f aca="false">IF($U1891&gt;=STRUCT_L,MAX(INDEX($G$1641:$G1891,252-STRUCT_L):$G1891),"")</f>
        <v>12647</v>
      </c>
      <c r="AL1891" s="48" t="n">
        <f aca="false">IF($U1891&gt;=STRUCT_L,MIN(INDEX($H$1641:$H1891,252-STRUCT_L):$H1891),"")</f>
        <v>10654</v>
      </c>
      <c r="AM1891" s="46" t="n">
        <f aca="false">IF($A1891&lt;&gt;$A1892,1,0)</f>
        <v>0</v>
      </c>
      <c r="AN1891" s="47" t="str">
        <f aca="false">IF($AM1891=1,$A1891,"")</f>
        <v/>
      </c>
    </row>
    <row r="1892" customFormat="false" ht="15" hidden="false" customHeight="false" outlineLevel="0" collapsed="false">
      <c r="A1892" s="43" t="s">
        <v>167</v>
      </c>
      <c r="B1892" s="44" t="s">
        <v>169</v>
      </c>
      <c r="C1892" s="45" t="n">
        <v>45999</v>
      </c>
      <c r="D1892" s="46" t="n">
        <v>20251208</v>
      </c>
      <c r="E1892" s="47" t="s">
        <v>355</v>
      </c>
      <c r="F1892" s="48" t="n">
        <v>12307</v>
      </c>
      <c r="G1892" s="48" t="n">
        <v>12635</v>
      </c>
      <c r="H1892" s="48" t="n">
        <v>12297</v>
      </c>
      <c r="I1892" s="48" t="n">
        <v>12477</v>
      </c>
      <c r="J1892" s="48" t="n">
        <v>12552</v>
      </c>
      <c r="K1892" s="48" t="n">
        <v>12454</v>
      </c>
      <c r="L1892" s="48" t="n">
        <v>80420725</v>
      </c>
      <c r="M1892" s="48" t="n">
        <v>1003409385825</v>
      </c>
      <c r="N1892" s="48" t="n">
        <v>2303</v>
      </c>
      <c r="O1892" s="48" t="n">
        <v>50283698</v>
      </c>
      <c r="P1892" s="48" t="n">
        <v>27676401</v>
      </c>
      <c r="Q1892" s="48" t="n">
        <v>569</v>
      </c>
      <c r="R1892" s="48" t="n">
        <v>1119</v>
      </c>
      <c r="S1892" s="48" t="n">
        <v>30137027</v>
      </c>
      <c r="T1892" s="48" t="n">
        <v>52744324</v>
      </c>
      <c r="U1892" s="46" t="n">
        <f aca="false">IF($A1892=$A1891,$U1891+1,1)</f>
        <v>68</v>
      </c>
      <c r="V1892" s="48" t="n">
        <f aca="false">IF($U1892&gt;=MA_SHORT,AVERAGE(INDEX($I$1492:$I1892,402-MA_SHORT):$I1892),"")</f>
        <v>11902.4</v>
      </c>
      <c r="W1892" s="48" t="n">
        <f aca="false">IF($U1892&gt;=MA_MED,AVERAGE(INDEX($I$1492:$I1892,402-MA_MED):$I1892),"")</f>
        <v>11898.64</v>
      </c>
      <c r="X1892" s="48" t="str">
        <f aca="false">IF($U1892&gt;=MA_LONG1,AVERAGE(INDEX($I$1492:$I1892,402-MA_LONG1):$I1892),"")</f>
        <v/>
      </c>
      <c r="Y1892" s="48" t="str">
        <f aca="false">IF($U1892&gt;=MA_LONG2,AVERAGE(INDEX($I$1492:$I1892,402-MA_LONG2):$I1892),"")</f>
        <v/>
      </c>
      <c r="Z1892" s="48" t="n">
        <f aca="false">IF($U1892&gt;=MA_SHORT,AVERAGE(INDEX($L$1772:$L1892,122-MA_SHORT):$L1892),"")</f>
        <v>101652667.35</v>
      </c>
      <c r="AA1892" s="48" t="n">
        <f aca="false">IF($U1892=1,$G1892-$H1892,MAX($G1892-$H1892,ABS($G1892-$I1891),ABS($H1892-$I1891)))</f>
        <v>338</v>
      </c>
      <c r="AB1892" s="48" t="n">
        <f aca="false">IF($U1892&gt;=ATR_PER,AVERAGE(INDEX($AA$1772:$AA1892,122-ATR_PER):$AA1892),"")</f>
        <v>352.571428571429</v>
      </c>
      <c r="AC1892" s="48" t="n">
        <f aca="false">$O1892-$P1892</f>
        <v>22607297</v>
      </c>
      <c r="AD1892" s="48" t="n">
        <f aca="false">$AC1892*$I1892</f>
        <v>282071244669</v>
      </c>
      <c r="AE1892" s="49" t="n">
        <f aca="false">IF($Q1892&gt;0,$O1892*$I1892/$Q1892/1000000,"")</f>
        <v>1102.61810183831</v>
      </c>
      <c r="AF1892" s="49" t="n">
        <f aca="false">IF($R1892&gt;0,$P1892*$I1892/$R1892/1000000,"")</f>
        <v>308.595581123324</v>
      </c>
      <c r="AG1892" s="50" t="n">
        <f aca="false">IF(AND(ISNUMBER($AE1892),ISNUMBER($AF1892),$AF1892&gt;0),$AE1892/$AF1892,"")</f>
        <v>3.57301973613703</v>
      </c>
      <c r="AH1892" s="48" t="n">
        <f aca="false">IF($U1892&gt;=5,SUM(INDEX($AD$1862:$AD1892,32-5):$AD1892),"")</f>
        <v>1235586502936</v>
      </c>
      <c r="AI1892" s="48" t="n">
        <f aca="false">IF($U1892&gt;=STRUCT_S,MAX(INDEX($G$1742:$G1892,152-STRUCT_S):$G1892),"")</f>
        <v>12635</v>
      </c>
      <c r="AJ1892" s="48" t="n">
        <f aca="false">IF($U1892&gt;=STRUCT_S,MIN(INDEX($H$1742:$H1892,152-STRUCT_S):$H1892),"")</f>
        <v>10760</v>
      </c>
      <c r="AK1892" s="48" t="n">
        <f aca="false">IF($U1892&gt;=STRUCT_L,MAX(INDEX($G$1642:$G1892,252-STRUCT_L):$G1892),"")</f>
        <v>12647</v>
      </c>
      <c r="AL1892" s="48" t="n">
        <f aca="false">IF($U1892&gt;=STRUCT_L,MIN(INDEX($H$1642:$H1892,252-STRUCT_L):$H1892),"")</f>
        <v>10654</v>
      </c>
      <c r="AM1892" s="46" t="n">
        <f aca="false">IF($A1892&lt;&gt;$A1893,1,0)</f>
        <v>0</v>
      </c>
      <c r="AN1892" s="47" t="str">
        <f aca="false">IF($AM1892=1,$A1892,"")</f>
        <v/>
      </c>
    </row>
    <row r="1893" customFormat="false" ht="15" hidden="false" customHeight="false" outlineLevel="0" collapsed="false">
      <c r="A1893" s="43" t="s">
        <v>167</v>
      </c>
      <c r="B1893" s="44" t="s">
        <v>169</v>
      </c>
      <c r="C1893" s="45" t="n">
        <v>46000</v>
      </c>
      <c r="D1893" s="46" t="n">
        <v>20251209</v>
      </c>
      <c r="E1893" s="47" t="s">
        <v>356</v>
      </c>
      <c r="F1893" s="48" t="n">
        <v>12573</v>
      </c>
      <c r="G1893" s="48" t="n">
        <v>12634</v>
      </c>
      <c r="H1893" s="48" t="n">
        <v>12165</v>
      </c>
      <c r="I1893" s="48" t="n">
        <v>12320</v>
      </c>
      <c r="J1893" s="48" t="n">
        <v>12291</v>
      </c>
      <c r="K1893" s="48" t="n">
        <v>12477</v>
      </c>
      <c r="L1893" s="48" t="n">
        <v>97444877</v>
      </c>
      <c r="M1893" s="48" t="n">
        <v>1200520884640</v>
      </c>
      <c r="N1893" s="48" t="n">
        <v>3702</v>
      </c>
      <c r="O1893" s="48" t="n">
        <v>52342658</v>
      </c>
      <c r="P1893" s="48" t="n">
        <v>34143762</v>
      </c>
      <c r="Q1893" s="48" t="n">
        <v>1785</v>
      </c>
      <c r="R1893" s="48" t="n">
        <v>1450</v>
      </c>
      <c r="S1893" s="48" t="n">
        <v>45102219</v>
      </c>
      <c r="T1893" s="48" t="n">
        <v>63301115</v>
      </c>
      <c r="U1893" s="46" t="n">
        <f aca="false">IF($A1893=$A1892,$U1892+1,1)</f>
        <v>69</v>
      </c>
      <c r="V1893" s="48" t="n">
        <f aca="false">IF($U1893&gt;=MA_SHORT,AVERAGE(INDEX($I$1493:$I1893,402-MA_SHORT):$I1893),"")</f>
        <v>11962.65</v>
      </c>
      <c r="W1893" s="48" t="n">
        <f aca="false">IF($U1893&gt;=MA_MED,AVERAGE(INDEX($I$1493:$I1893,402-MA_MED):$I1893),"")</f>
        <v>11908.66</v>
      </c>
      <c r="X1893" s="48" t="str">
        <f aca="false">IF($U1893&gt;=MA_LONG1,AVERAGE(INDEX($I$1493:$I1893,402-MA_LONG1):$I1893),"")</f>
        <v/>
      </c>
      <c r="Y1893" s="48" t="str">
        <f aca="false">IF($U1893&gt;=MA_LONG2,AVERAGE(INDEX($I$1493:$I1893,402-MA_LONG2):$I1893),"")</f>
        <v/>
      </c>
      <c r="Z1893" s="48" t="n">
        <f aca="false">IF($U1893&gt;=MA_SHORT,AVERAGE(INDEX($L$1773:$L1893,122-MA_SHORT):$L1893),"")</f>
        <v>101194799.9</v>
      </c>
      <c r="AA1893" s="48" t="n">
        <f aca="false">IF($U1893=1,$G1893-$H1893,MAX($G1893-$H1893,ABS($G1893-$I1892),ABS($H1893-$I1892)))</f>
        <v>469</v>
      </c>
      <c r="AB1893" s="48" t="n">
        <f aca="false">IF($U1893&gt;=ATR_PER,AVERAGE(INDEX($AA$1773:$AA1893,122-ATR_PER):$AA1893),"")</f>
        <v>364.428571428571</v>
      </c>
      <c r="AC1893" s="48" t="n">
        <f aca="false">$O1893-$P1893</f>
        <v>18198896</v>
      </c>
      <c r="AD1893" s="48" t="n">
        <f aca="false">$AC1893*$I1893</f>
        <v>224210398720</v>
      </c>
      <c r="AE1893" s="49" t="n">
        <f aca="false">IF($Q1893&gt;0,$O1893*$I1893/$Q1893/1000000,"")</f>
        <v>361.266972862745</v>
      </c>
      <c r="AF1893" s="49" t="n">
        <f aca="false">IF($R1893&gt;0,$P1893*$I1893/$R1893/1000000,"")</f>
        <v>290.104239889655</v>
      </c>
      <c r="AG1893" s="50" t="n">
        <f aca="false">IF(AND(ISNUMBER($AE1893),ISNUMBER($AF1893),$AF1893&gt;0),$AE1893/$AF1893,"")</f>
        <v>1.24530056161936</v>
      </c>
      <c r="AH1893" s="48" t="n">
        <f aca="false">IF($U1893&gt;=5,SUM(INDEX($AD$1863:$AD1893,32-5):$AD1893),"")</f>
        <v>1474561188308</v>
      </c>
      <c r="AI1893" s="48" t="n">
        <f aca="false">IF($U1893&gt;=STRUCT_S,MAX(INDEX($G$1743:$G1893,152-STRUCT_S):$G1893),"")</f>
        <v>12635</v>
      </c>
      <c r="AJ1893" s="48" t="n">
        <f aca="false">IF($U1893&gt;=STRUCT_S,MIN(INDEX($H$1743:$H1893,152-STRUCT_S):$H1893),"")</f>
        <v>11013</v>
      </c>
      <c r="AK1893" s="48" t="n">
        <f aca="false">IF($U1893&gt;=STRUCT_L,MAX(INDEX($G$1643:$G1893,252-STRUCT_L):$G1893),"")</f>
        <v>12647</v>
      </c>
      <c r="AL1893" s="48" t="n">
        <f aca="false">IF($U1893&gt;=STRUCT_L,MIN(INDEX($H$1643:$H1893,252-STRUCT_L):$H1893),"")</f>
        <v>10654</v>
      </c>
      <c r="AM1893" s="46" t="n">
        <f aca="false">IF($A1893&lt;&gt;$A1894,1,0)</f>
        <v>0</v>
      </c>
      <c r="AN1893" s="47" t="str">
        <f aca="false">IF($AM1893=1,$A1893,"")</f>
        <v/>
      </c>
    </row>
    <row r="1894" customFormat="false" ht="15" hidden="false" customHeight="false" outlineLevel="0" collapsed="false">
      <c r="A1894" s="43" t="s">
        <v>167</v>
      </c>
      <c r="B1894" s="44" t="s">
        <v>169</v>
      </c>
      <c r="C1894" s="45" t="n">
        <v>46001</v>
      </c>
      <c r="D1894" s="46" t="n">
        <v>20251210</v>
      </c>
      <c r="E1894" s="47" t="s">
        <v>357</v>
      </c>
      <c r="F1894" s="48" t="n">
        <v>12236</v>
      </c>
      <c r="G1894" s="48" t="n">
        <v>12814</v>
      </c>
      <c r="H1894" s="48" t="n">
        <v>11975</v>
      </c>
      <c r="I1894" s="48" t="n">
        <v>12465</v>
      </c>
      <c r="J1894" s="48" t="n">
        <v>12094</v>
      </c>
      <c r="K1894" s="48" t="n">
        <v>12320</v>
      </c>
      <c r="L1894" s="48" t="n">
        <v>100658107</v>
      </c>
      <c r="M1894" s="48" t="n">
        <v>1254703303755</v>
      </c>
      <c r="N1894" s="48" t="n">
        <v>8644</v>
      </c>
      <c r="O1894" s="48" t="n">
        <v>59462331</v>
      </c>
      <c r="P1894" s="48" t="n">
        <v>45263174</v>
      </c>
      <c r="Q1894" s="48" t="n">
        <v>1853</v>
      </c>
      <c r="R1894" s="48" t="n">
        <v>5221</v>
      </c>
      <c r="S1894" s="48" t="n">
        <v>41195776</v>
      </c>
      <c r="T1894" s="48" t="n">
        <v>55394933</v>
      </c>
      <c r="U1894" s="46" t="n">
        <f aca="false">IF($A1894=$A1893,$U1893+1,1)</f>
        <v>70</v>
      </c>
      <c r="V1894" s="48" t="n">
        <f aca="false">IF($U1894&gt;=MA_SHORT,AVERAGE(INDEX($I$1494:$I1894,402-MA_SHORT):$I1894),"")</f>
        <v>12015.5</v>
      </c>
      <c r="W1894" s="48" t="n">
        <f aca="false">IF($U1894&gt;=MA_MED,AVERAGE(INDEX($I$1494:$I1894,402-MA_MED):$I1894),"")</f>
        <v>11916.5</v>
      </c>
      <c r="X1894" s="48" t="str">
        <f aca="false">IF($U1894&gt;=MA_LONG1,AVERAGE(INDEX($I$1494:$I1894,402-MA_LONG1):$I1894),"")</f>
        <v/>
      </c>
      <c r="Y1894" s="48" t="str">
        <f aca="false">IF($U1894&gt;=MA_LONG2,AVERAGE(INDEX($I$1494:$I1894,402-MA_LONG2):$I1894),"")</f>
        <v/>
      </c>
      <c r="Z1894" s="48" t="n">
        <f aca="false">IF($U1894&gt;=MA_SHORT,AVERAGE(INDEX($L$1774:$L1894,122-MA_SHORT):$L1894),"")</f>
        <v>101229056.45</v>
      </c>
      <c r="AA1894" s="48" t="n">
        <f aca="false">IF($U1894=1,$G1894-$H1894,MAX($G1894-$H1894,ABS($G1894-$I1893),ABS($H1894-$I1893)))</f>
        <v>839</v>
      </c>
      <c r="AB1894" s="48" t="n">
        <f aca="false">IF($U1894&gt;=ATR_PER,AVERAGE(INDEX($AA$1774:$AA1894,122-ATR_PER):$AA1894),"")</f>
        <v>403.714285714286</v>
      </c>
      <c r="AC1894" s="48" t="n">
        <f aca="false">$O1894-$P1894</f>
        <v>14199157</v>
      </c>
      <c r="AD1894" s="48" t="n">
        <f aca="false">$AC1894*$I1894</f>
        <v>176992492005</v>
      </c>
      <c r="AE1894" s="49" t="n">
        <f aca="false">IF($Q1894&gt;0,$O1894*$I1894/$Q1894/1000000,"")</f>
        <v>399.998896878036</v>
      </c>
      <c r="AF1894" s="49" t="n">
        <f aca="false">IF($R1894&gt;0,$P1894*$I1894/$R1894/1000000,"")</f>
        <v>108.064635876269</v>
      </c>
      <c r="AG1894" s="50" t="n">
        <f aca="false">IF(AND(ISNUMBER($AE1894),ISNUMBER($AF1894),$AF1894&gt;0),$AE1894/$AF1894,"")</f>
        <v>3.7014782276787</v>
      </c>
      <c r="AH1894" s="48" t="n">
        <f aca="false">IF($U1894&gt;=5,SUM(INDEX($AD$1864:$AD1894,32-5):$AD1894),"")</f>
        <v>1247794523025</v>
      </c>
      <c r="AI1894" s="48" t="n">
        <f aca="false">IF($U1894&gt;=STRUCT_S,MAX(INDEX($G$1744:$G1894,152-STRUCT_S):$G1894),"")</f>
        <v>12814</v>
      </c>
      <c r="AJ1894" s="48" t="n">
        <f aca="false">IF($U1894&gt;=STRUCT_S,MIN(INDEX($H$1744:$H1894,152-STRUCT_S):$H1894),"")</f>
        <v>11348</v>
      </c>
      <c r="AK1894" s="48" t="n">
        <f aca="false">IF($U1894&gt;=STRUCT_L,MAX(INDEX($G$1644:$G1894,252-STRUCT_L):$G1894),"")</f>
        <v>12814</v>
      </c>
      <c r="AL1894" s="48" t="n">
        <f aca="false">IF($U1894&gt;=STRUCT_L,MIN(INDEX($H$1644:$H1894,252-STRUCT_L):$H1894),"")</f>
        <v>10654</v>
      </c>
      <c r="AM1894" s="46" t="n">
        <f aca="false">IF($A1894&lt;&gt;$A1895,1,0)</f>
        <v>0</v>
      </c>
      <c r="AN1894" s="47" t="str">
        <f aca="false">IF($AM1894=1,$A1894,"")</f>
        <v/>
      </c>
    </row>
    <row r="1895" customFormat="false" ht="15" hidden="false" customHeight="false" outlineLevel="0" collapsed="false">
      <c r="A1895" s="43" t="s">
        <v>167</v>
      </c>
      <c r="B1895" s="44" t="s">
        <v>169</v>
      </c>
      <c r="C1895" s="45" t="n">
        <v>46004</v>
      </c>
      <c r="D1895" s="46" t="n">
        <v>20251213</v>
      </c>
      <c r="E1895" s="47" t="s">
        <v>358</v>
      </c>
      <c r="F1895" s="48" t="n">
        <v>12622</v>
      </c>
      <c r="G1895" s="48" t="n">
        <v>12630</v>
      </c>
      <c r="H1895" s="48" t="n">
        <v>12175</v>
      </c>
      <c r="I1895" s="48" t="n">
        <v>12338</v>
      </c>
      <c r="J1895" s="48" t="n">
        <v>12436</v>
      </c>
      <c r="K1895" s="48" t="n">
        <v>12465</v>
      </c>
      <c r="L1895" s="48" t="n">
        <v>124179394</v>
      </c>
      <c r="M1895" s="48" t="n">
        <v>1532125363172</v>
      </c>
      <c r="N1895" s="48" t="n">
        <v>7397</v>
      </c>
      <c r="O1895" s="48" t="n">
        <v>79359508</v>
      </c>
      <c r="P1895" s="48" t="n">
        <v>47684110</v>
      </c>
      <c r="Q1895" s="48" t="n">
        <v>4576</v>
      </c>
      <c r="R1895" s="48" t="n">
        <v>1763</v>
      </c>
      <c r="S1895" s="48" t="n">
        <v>44819886</v>
      </c>
      <c r="T1895" s="48" t="n">
        <v>76495284</v>
      </c>
      <c r="U1895" s="46" t="n">
        <f aca="false">IF($A1895=$A1894,$U1894+1,1)</f>
        <v>71</v>
      </c>
      <c r="V1895" s="48" t="n">
        <f aca="false">IF($U1895&gt;=MA_SHORT,AVERAGE(INDEX($I$1495:$I1895,402-MA_SHORT):$I1895),"")</f>
        <v>12056.2</v>
      </c>
      <c r="W1895" s="48" t="n">
        <f aca="false">IF($U1895&gt;=MA_MED,AVERAGE(INDEX($I$1495:$I1895,402-MA_MED):$I1895),"")</f>
        <v>11916.92</v>
      </c>
      <c r="X1895" s="48" t="str">
        <f aca="false">IF($U1895&gt;=MA_LONG1,AVERAGE(INDEX($I$1495:$I1895,402-MA_LONG1):$I1895),"")</f>
        <v/>
      </c>
      <c r="Y1895" s="48" t="str">
        <f aca="false">IF($U1895&gt;=MA_LONG2,AVERAGE(INDEX($I$1495:$I1895,402-MA_LONG2):$I1895),"")</f>
        <v/>
      </c>
      <c r="Z1895" s="48" t="n">
        <f aca="false">IF($U1895&gt;=MA_SHORT,AVERAGE(INDEX($L$1775:$L1895,122-MA_SHORT):$L1895),"")</f>
        <v>103218423.7</v>
      </c>
      <c r="AA1895" s="48" t="n">
        <f aca="false">IF($U1895=1,$G1895-$H1895,MAX($G1895-$H1895,ABS($G1895-$I1894),ABS($H1895-$I1894)))</f>
        <v>455</v>
      </c>
      <c r="AB1895" s="48" t="n">
        <f aca="false">IF($U1895&gt;=ATR_PER,AVERAGE(INDEX($AA$1775:$AA1895,122-ATR_PER):$AA1895),"")</f>
        <v>398.142857142857</v>
      </c>
      <c r="AC1895" s="48" t="n">
        <f aca="false">$O1895-$P1895</f>
        <v>31675398</v>
      </c>
      <c r="AD1895" s="48" t="n">
        <f aca="false">$AC1895*$I1895</f>
        <v>390811060524</v>
      </c>
      <c r="AE1895" s="49" t="n">
        <f aca="false">IF($Q1895&gt;0,$O1895*$I1895/$Q1895/1000000,"")</f>
        <v>213.972379743007</v>
      </c>
      <c r="AF1895" s="49" t="n">
        <f aca="false">IF($R1895&gt;0,$P1895*$I1895/$R1895/1000000,"")</f>
        <v>333.70762857629</v>
      </c>
      <c r="AG1895" s="50" t="n">
        <f aca="false">IF(AND(ISNUMBER($AE1895),ISNUMBER($AF1895),$AF1895&gt;0),$AE1895/$AF1895,"")</f>
        <v>0.641197148102024</v>
      </c>
      <c r="AH1895" s="48" t="n">
        <f aca="false">IF($U1895&gt;=5,SUM(INDEX($AD$1865:$AD1895,32-5):$AD1895),"")</f>
        <v>1180423787004</v>
      </c>
      <c r="AI1895" s="48" t="n">
        <f aca="false">IF($U1895&gt;=STRUCT_S,MAX(INDEX($G$1745:$G1895,152-STRUCT_S):$G1895),"")</f>
        <v>12814</v>
      </c>
      <c r="AJ1895" s="48" t="n">
        <f aca="false">IF($U1895&gt;=STRUCT_S,MIN(INDEX($H$1745:$H1895,152-STRUCT_S):$H1895),"")</f>
        <v>11373</v>
      </c>
      <c r="AK1895" s="48" t="n">
        <f aca="false">IF($U1895&gt;=STRUCT_L,MAX(INDEX($G$1645:$G1895,252-STRUCT_L):$G1895),"")</f>
        <v>12814</v>
      </c>
      <c r="AL1895" s="48" t="n">
        <f aca="false">IF($U1895&gt;=STRUCT_L,MIN(INDEX($H$1645:$H1895,252-STRUCT_L):$H1895),"")</f>
        <v>10654</v>
      </c>
      <c r="AM1895" s="46" t="n">
        <f aca="false">IF($A1895&lt;&gt;$A1896,1,0)</f>
        <v>0</v>
      </c>
      <c r="AN1895" s="47" t="str">
        <f aca="false">IF($AM1895=1,$A1895,"")</f>
        <v/>
      </c>
    </row>
    <row r="1896" customFormat="false" ht="15" hidden="false" customHeight="false" outlineLevel="0" collapsed="false">
      <c r="A1896" s="43" t="s">
        <v>167</v>
      </c>
      <c r="B1896" s="44" t="s">
        <v>169</v>
      </c>
      <c r="C1896" s="45" t="n">
        <v>46005</v>
      </c>
      <c r="D1896" s="46" t="n">
        <v>20251214</v>
      </c>
      <c r="E1896" s="47" t="s">
        <v>359</v>
      </c>
      <c r="F1896" s="48" t="n">
        <v>12337</v>
      </c>
      <c r="G1896" s="48" t="n">
        <v>12435</v>
      </c>
      <c r="H1896" s="48" t="n">
        <v>12266</v>
      </c>
      <c r="I1896" s="48" t="n">
        <v>12363</v>
      </c>
      <c r="J1896" s="48" t="n">
        <v>12268</v>
      </c>
      <c r="K1896" s="48" t="n">
        <v>12338</v>
      </c>
      <c r="L1896" s="48" t="n">
        <v>80506372</v>
      </c>
      <c r="M1896" s="48" t="n">
        <v>995300277036</v>
      </c>
      <c r="N1896" s="48" t="n">
        <v>2495</v>
      </c>
      <c r="O1896" s="48" t="n">
        <v>42052039</v>
      </c>
      <c r="P1896" s="48" t="n">
        <v>40396221</v>
      </c>
      <c r="Q1896" s="48" t="n">
        <v>618</v>
      </c>
      <c r="R1896" s="48" t="n">
        <v>1914</v>
      </c>
      <c r="S1896" s="48" t="n">
        <v>38454333</v>
      </c>
      <c r="T1896" s="48" t="n">
        <v>40110151</v>
      </c>
      <c r="U1896" s="46" t="n">
        <f aca="false">IF($A1896=$A1895,$U1895+1,1)</f>
        <v>72</v>
      </c>
      <c r="V1896" s="48" t="n">
        <f aca="false">IF($U1896&gt;=MA_SHORT,AVERAGE(INDEX($I$1496:$I1896,402-MA_SHORT):$I1896),"")</f>
        <v>12097.35</v>
      </c>
      <c r="W1896" s="48" t="n">
        <f aca="false">IF($U1896&gt;=MA_MED,AVERAGE(INDEX($I$1496:$I1896,402-MA_MED):$I1896),"")</f>
        <v>11915.88</v>
      </c>
      <c r="X1896" s="48" t="str">
        <f aca="false">IF($U1896&gt;=MA_LONG1,AVERAGE(INDEX($I$1496:$I1896,402-MA_LONG1):$I1896),"")</f>
        <v/>
      </c>
      <c r="Y1896" s="48" t="str">
        <f aca="false">IF($U1896&gt;=MA_LONG2,AVERAGE(INDEX($I$1496:$I1896,402-MA_LONG2):$I1896),"")</f>
        <v/>
      </c>
      <c r="Z1896" s="48" t="n">
        <f aca="false">IF($U1896&gt;=MA_SHORT,AVERAGE(INDEX($L$1776:$L1896,122-MA_SHORT):$L1896),"")</f>
        <v>103233644.05</v>
      </c>
      <c r="AA1896" s="48" t="n">
        <f aca="false">IF($U1896=1,$G1896-$H1896,MAX($G1896-$H1896,ABS($G1896-$I1895),ABS($H1896-$I1895)))</f>
        <v>169</v>
      </c>
      <c r="AB1896" s="48" t="n">
        <f aca="false">IF($U1896&gt;=ATR_PER,AVERAGE(INDEX($AA$1776:$AA1896,122-ATR_PER):$AA1896),"")</f>
        <v>374.857142857143</v>
      </c>
      <c r="AC1896" s="48" t="n">
        <f aca="false">$O1896-$P1896</f>
        <v>1655818</v>
      </c>
      <c r="AD1896" s="48" t="n">
        <f aca="false">$AC1896*$I1896</f>
        <v>20470877934</v>
      </c>
      <c r="AE1896" s="49" t="n">
        <f aca="false">IF($Q1896&gt;0,$O1896*$I1896/$Q1896/1000000,"")</f>
        <v>841.244916111651</v>
      </c>
      <c r="AF1896" s="49" t="n">
        <f aca="false">IF($R1896&gt;0,$P1896*$I1896/$R1896/1000000,"")</f>
        <v>260.929195518809</v>
      </c>
      <c r="AG1896" s="50" t="n">
        <f aca="false">IF(AND(ISNUMBER($AE1896),ISNUMBER($AF1896),$AF1896&gt;0),$AE1896/$AF1896,"")</f>
        <v>3.224035219359</v>
      </c>
      <c r="AH1896" s="48" t="n">
        <f aca="false">IF($U1896&gt;=5,SUM(INDEX($AD$1866:$AD1896,32-5):$AD1896),"")</f>
        <v>1094556073852</v>
      </c>
      <c r="AI1896" s="48" t="n">
        <f aca="false">IF($U1896&gt;=STRUCT_S,MAX(INDEX($G$1746:$G1896,152-STRUCT_S):$G1896),"")</f>
        <v>12814</v>
      </c>
      <c r="AJ1896" s="48" t="n">
        <f aca="false">IF($U1896&gt;=STRUCT_S,MIN(INDEX($H$1746:$H1896,152-STRUCT_S):$H1896),"")</f>
        <v>11373</v>
      </c>
      <c r="AK1896" s="48" t="n">
        <f aca="false">IF($U1896&gt;=STRUCT_L,MAX(INDEX($G$1646:$G1896,252-STRUCT_L):$G1896),"")</f>
        <v>12814</v>
      </c>
      <c r="AL1896" s="48" t="n">
        <f aca="false">IF($U1896&gt;=STRUCT_L,MIN(INDEX($H$1646:$H1896,252-STRUCT_L):$H1896),"")</f>
        <v>10654</v>
      </c>
      <c r="AM1896" s="46" t="n">
        <f aca="false">IF($A1896&lt;&gt;$A1897,1,0)</f>
        <v>0</v>
      </c>
      <c r="AN1896" s="47" t="str">
        <f aca="false">IF($AM1896=1,$A1896,"")</f>
        <v/>
      </c>
    </row>
    <row r="1897" customFormat="false" ht="15" hidden="false" customHeight="false" outlineLevel="0" collapsed="false">
      <c r="A1897" s="43" t="s">
        <v>167</v>
      </c>
      <c r="B1897" s="44" t="s">
        <v>169</v>
      </c>
      <c r="C1897" s="45" t="n">
        <v>46006</v>
      </c>
      <c r="D1897" s="46" t="n">
        <v>20251215</v>
      </c>
      <c r="E1897" s="47" t="s">
        <v>360</v>
      </c>
      <c r="F1897" s="48" t="n">
        <v>12371</v>
      </c>
      <c r="G1897" s="48" t="n">
        <v>12404</v>
      </c>
      <c r="H1897" s="48" t="n">
        <v>12294</v>
      </c>
      <c r="I1897" s="48" t="n">
        <v>12335</v>
      </c>
      <c r="J1897" s="48" t="n">
        <v>12373</v>
      </c>
      <c r="K1897" s="48" t="n">
        <v>12363</v>
      </c>
      <c r="L1897" s="48" t="n">
        <v>246301353</v>
      </c>
      <c r="M1897" s="48" t="n">
        <v>3038127189255</v>
      </c>
      <c r="N1897" s="48" t="n">
        <v>6567</v>
      </c>
      <c r="O1897" s="48" t="n">
        <v>143500846</v>
      </c>
      <c r="P1897" s="48" t="n">
        <v>116805968</v>
      </c>
      <c r="Q1897" s="48" t="n">
        <v>2992</v>
      </c>
      <c r="R1897" s="48" t="n">
        <v>1747</v>
      </c>
      <c r="S1897" s="48" t="n">
        <v>102800507</v>
      </c>
      <c r="T1897" s="48" t="n">
        <v>129495385</v>
      </c>
      <c r="U1897" s="46" t="n">
        <f aca="false">IF($A1897=$A1896,$U1896+1,1)</f>
        <v>73</v>
      </c>
      <c r="V1897" s="48" t="n">
        <f aca="false">IF($U1897&gt;=MA_SHORT,AVERAGE(INDEX($I$1497:$I1897,402-MA_SHORT):$I1897),"")</f>
        <v>12132.35</v>
      </c>
      <c r="W1897" s="48" t="n">
        <f aca="false">IF($U1897&gt;=MA_MED,AVERAGE(INDEX($I$1497:$I1897,402-MA_MED):$I1897),"")</f>
        <v>11914.16</v>
      </c>
      <c r="X1897" s="48" t="str">
        <f aca="false">IF($U1897&gt;=MA_LONG1,AVERAGE(INDEX($I$1497:$I1897,402-MA_LONG1):$I1897),"")</f>
        <v/>
      </c>
      <c r="Y1897" s="48" t="str">
        <f aca="false">IF($U1897&gt;=MA_LONG2,AVERAGE(INDEX($I$1497:$I1897,402-MA_LONG2):$I1897),"")</f>
        <v/>
      </c>
      <c r="Z1897" s="48" t="n">
        <f aca="false">IF($U1897&gt;=MA_SHORT,AVERAGE(INDEX($L$1777:$L1897,122-MA_SHORT):$L1897),"")</f>
        <v>111375307.3</v>
      </c>
      <c r="AA1897" s="48" t="n">
        <f aca="false">IF($U1897=1,$G1897-$H1897,MAX($G1897-$H1897,ABS($G1897-$I1896),ABS($H1897-$I1896)))</f>
        <v>110</v>
      </c>
      <c r="AB1897" s="48" t="n">
        <f aca="false">IF($U1897&gt;=ATR_PER,AVERAGE(INDEX($AA$1777:$AA1897,122-ATR_PER):$AA1897),"")</f>
        <v>371.428571428571</v>
      </c>
      <c r="AC1897" s="48" t="n">
        <f aca="false">$O1897-$P1897</f>
        <v>26694878</v>
      </c>
      <c r="AD1897" s="48" t="n">
        <f aca="false">$AC1897*$I1897</f>
        <v>329281320130</v>
      </c>
      <c r="AE1897" s="49" t="n">
        <f aca="false">IF($Q1897&gt;0,$O1897*$I1897/$Q1897/1000000,"")</f>
        <v>591.605259161096</v>
      </c>
      <c r="AF1897" s="49" t="n">
        <f aca="false">IF($R1897&gt;0,$P1897*$I1897/$R1897/1000000,"")</f>
        <v>824.729029925587</v>
      </c>
      <c r="AG1897" s="50" t="n">
        <f aca="false">IF(AND(ISNUMBER($AE1897),ISNUMBER($AF1897),$AF1897&gt;0),$AE1897/$AF1897,"")</f>
        <v>0.717332890797448</v>
      </c>
      <c r="AH1897" s="48" t="n">
        <f aca="false">IF($U1897&gt;=5,SUM(INDEX($AD$1867:$AD1897,32-5):$AD1897),"")</f>
        <v>1141766149313</v>
      </c>
      <c r="AI1897" s="48" t="n">
        <f aca="false">IF($U1897&gt;=STRUCT_S,MAX(INDEX($G$1747:$G1897,152-STRUCT_S):$G1897),"")</f>
        <v>12814</v>
      </c>
      <c r="AJ1897" s="48" t="n">
        <f aca="false">IF($U1897&gt;=STRUCT_S,MIN(INDEX($H$1747:$H1897,152-STRUCT_S):$H1897),"")</f>
        <v>11373</v>
      </c>
      <c r="AK1897" s="48" t="n">
        <f aca="false">IF($U1897&gt;=STRUCT_L,MAX(INDEX($G$1647:$G1897,252-STRUCT_L):$G1897),"")</f>
        <v>12814</v>
      </c>
      <c r="AL1897" s="48" t="n">
        <f aca="false">IF($U1897&gt;=STRUCT_L,MIN(INDEX($H$1647:$H1897,252-STRUCT_L):$H1897),"")</f>
        <v>10654</v>
      </c>
      <c r="AM1897" s="46" t="n">
        <f aca="false">IF($A1897&lt;&gt;$A1898,1,0)</f>
        <v>0</v>
      </c>
      <c r="AN1897" s="47" t="str">
        <f aca="false">IF($AM1897=1,$A1897,"")</f>
        <v/>
      </c>
    </row>
    <row r="1898" customFormat="false" ht="15" hidden="false" customHeight="false" outlineLevel="0" collapsed="false">
      <c r="A1898" s="43" t="s">
        <v>167</v>
      </c>
      <c r="B1898" s="44" t="s">
        <v>169</v>
      </c>
      <c r="C1898" s="45" t="n">
        <v>46007</v>
      </c>
      <c r="D1898" s="46" t="n">
        <v>20251216</v>
      </c>
      <c r="E1898" s="47" t="s">
        <v>361</v>
      </c>
      <c r="F1898" s="48" t="n">
        <v>12212</v>
      </c>
      <c r="G1898" s="48" t="n">
        <v>12535</v>
      </c>
      <c r="H1898" s="48" t="n">
        <v>12187</v>
      </c>
      <c r="I1898" s="48" t="n">
        <v>12386</v>
      </c>
      <c r="J1898" s="48" t="n">
        <v>12337</v>
      </c>
      <c r="K1898" s="48" t="n">
        <v>12335</v>
      </c>
      <c r="L1898" s="48" t="n">
        <v>81512537</v>
      </c>
      <c r="M1898" s="48" t="n">
        <v>1009614283282</v>
      </c>
      <c r="N1898" s="48" t="n">
        <v>5322</v>
      </c>
      <c r="O1898" s="48" t="n">
        <v>49681643</v>
      </c>
      <c r="P1898" s="48" t="n">
        <v>28561413</v>
      </c>
      <c r="Q1898" s="48" t="n">
        <v>1685</v>
      </c>
      <c r="R1898" s="48" t="n">
        <v>3088</v>
      </c>
      <c r="S1898" s="48" t="n">
        <v>31830894</v>
      </c>
      <c r="T1898" s="48" t="n">
        <v>52951124</v>
      </c>
      <c r="U1898" s="46" t="n">
        <f aca="false">IF($A1898=$A1897,$U1897+1,1)</f>
        <v>74</v>
      </c>
      <c r="V1898" s="48" t="n">
        <f aca="false">IF($U1898&gt;=MA_SHORT,AVERAGE(INDEX($I$1498:$I1898,402-MA_SHORT):$I1898),"")</f>
        <v>12157</v>
      </c>
      <c r="W1898" s="48" t="n">
        <f aca="false">IF($U1898&gt;=MA_MED,AVERAGE(INDEX($I$1498:$I1898,402-MA_MED):$I1898),"")</f>
        <v>11914.26</v>
      </c>
      <c r="X1898" s="48" t="str">
        <f aca="false">IF($U1898&gt;=MA_LONG1,AVERAGE(INDEX($I$1498:$I1898,402-MA_LONG1):$I1898),"")</f>
        <v/>
      </c>
      <c r="Y1898" s="48" t="str">
        <f aca="false">IF($U1898&gt;=MA_LONG2,AVERAGE(INDEX($I$1498:$I1898,402-MA_LONG2):$I1898),"")</f>
        <v/>
      </c>
      <c r="Z1898" s="48" t="n">
        <f aca="false">IF($U1898&gt;=MA_SHORT,AVERAGE(INDEX($L$1778:$L1898,122-MA_SHORT):$L1898),"")</f>
        <v>110027894.05</v>
      </c>
      <c r="AA1898" s="48" t="n">
        <f aca="false">IF($U1898=1,$G1898-$H1898,MAX($G1898-$H1898,ABS($G1898-$I1897),ABS($H1898-$I1897)))</f>
        <v>348</v>
      </c>
      <c r="AB1898" s="48" t="n">
        <f aca="false">IF($U1898&gt;=ATR_PER,AVERAGE(INDEX($AA$1778:$AA1898,122-ATR_PER):$AA1898),"")</f>
        <v>383.214285714286</v>
      </c>
      <c r="AC1898" s="48" t="n">
        <f aca="false">$O1898-$P1898</f>
        <v>21120230</v>
      </c>
      <c r="AD1898" s="48" t="n">
        <f aca="false">$AC1898*$I1898</f>
        <v>261595168780</v>
      </c>
      <c r="AE1898" s="49" t="n">
        <f aca="false">IF($Q1898&gt;0,$O1898*$I1898/$Q1898/1000000,"")</f>
        <v>365.196931868249</v>
      </c>
      <c r="AF1898" s="49" t="n">
        <f aca="false">IF($R1898&gt;0,$P1898*$I1898/$R1898/1000000,"")</f>
        <v>114.560123516192</v>
      </c>
      <c r="AG1898" s="50" t="n">
        <f aca="false">IF(AND(ISNUMBER($AE1898),ISNUMBER($AF1898),$AF1898&gt;0),$AE1898/$AF1898,"")</f>
        <v>3.18781894309526</v>
      </c>
      <c r="AH1898" s="48" t="n">
        <f aca="false">IF($U1898&gt;=5,SUM(INDEX($AD$1868:$AD1898,32-5):$AD1898),"")</f>
        <v>1179150919373</v>
      </c>
      <c r="AI1898" s="48" t="n">
        <f aca="false">IF($U1898&gt;=STRUCT_S,MAX(INDEX($G$1748:$G1898,152-STRUCT_S):$G1898),"")</f>
        <v>12814</v>
      </c>
      <c r="AJ1898" s="48" t="n">
        <f aca="false">IF($U1898&gt;=STRUCT_S,MIN(INDEX($H$1748:$H1898,152-STRUCT_S):$H1898),"")</f>
        <v>11642</v>
      </c>
      <c r="AK1898" s="48" t="n">
        <f aca="false">IF($U1898&gt;=STRUCT_L,MAX(INDEX($G$1648:$G1898,252-STRUCT_L):$G1898),"")</f>
        <v>12814</v>
      </c>
      <c r="AL1898" s="48" t="n">
        <f aca="false">IF($U1898&gt;=STRUCT_L,MIN(INDEX($H$1648:$H1898,252-STRUCT_L):$H1898),"")</f>
        <v>10654</v>
      </c>
      <c r="AM1898" s="46" t="n">
        <f aca="false">IF($A1898&lt;&gt;$A1899,1,0)</f>
        <v>0</v>
      </c>
      <c r="AN1898" s="47" t="str">
        <f aca="false">IF($AM1898=1,$A1898,"")</f>
        <v/>
      </c>
    </row>
    <row r="1899" customFormat="false" ht="15" hidden="false" customHeight="false" outlineLevel="0" collapsed="false">
      <c r="A1899" s="43" t="s">
        <v>167</v>
      </c>
      <c r="B1899" s="44" t="s">
        <v>169</v>
      </c>
      <c r="C1899" s="45" t="n">
        <v>46008</v>
      </c>
      <c r="D1899" s="46" t="n">
        <v>20251217</v>
      </c>
      <c r="E1899" s="47" t="s">
        <v>362</v>
      </c>
      <c r="F1899" s="48" t="n">
        <v>12442</v>
      </c>
      <c r="G1899" s="48" t="n">
        <v>12496</v>
      </c>
      <c r="H1899" s="48" t="n">
        <v>12205</v>
      </c>
      <c r="I1899" s="48" t="n">
        <v>12315</v>
      </c>
      <c r="J1899" s="48" t="n">
        <v>12346</v>
      </c>
      <c r="K1899" s="48" t="n">
        <v>12386</v>
      </c>
      <c r="L1899" s="48" t="n">
        <v>82275018</v>
      </c>
      <c r="M1899" s="48" t="n">
        <v>1013216846670</v>
      </c>
      <c r="N1899" s="48" t="n">
        <v>3255</v>
      </c>
      <c r="O1899" s="48" t="n">
        <v>46378123</v>
      </c>
      <c r="P1899" s="48" t="n">
        <v>35307813</v>
      </c>
      <c r="Q1899" s="48" t="n">
        <v>2113</v>
      </c>
      <c r="R1899" s="48" t="n">
        <v>1053</v>
      </c>
      <c r="S1899" s="48" t="n">
        <v>35896895</v>
      </c>
      <c r="T1899" s="48" t="n">
        <v>46967205</v>
      </c>
      <c r="U1899" s="46" t="n">
        <f aca="false">IF($A1899=$A1898,$U1898+1,1)</f>
        <v>75</v>
      </c>
      <c r="V1899" s="48" t="n">
        <f aca="false">IF($U1899&gt;=MA_SHORT,AVERAGE(INDEX($I$1499:$I1899,402-MA_SHORT):$I1899),"")</f>
        <v>12168.4</v>
      </c>
      <c r="W1899" s="48" t="n">
        <f aca="false">IF($U1899&gt;=MA_MED,AVERAGE(INDEX($I$1499:$I1899,402-MA_MED):$I1899),"")</f>
        <v>11921.72</v>
      </c>
      <c r="X1899" s="48" t="str">
        <f aca="false">IF($U1899&gt;=MA_LONG1,AVERAGE(INDEX($I$1499:$I1899,402-MA_LONG1):$I1899),"")</f>
        <v/>
      </c>
      <c r="Y1899" s="48" t="str">
        <f aca="false">IF($U1899&gt;=MA_LONG2,AVERAGE(INDEX($I$1499:$I1899,402-MA_LONG2):$I1899),"")</f>
        <v/>
      </c>
      <c r="Z1899" s="48" t="n">
        <f aca="false">IF($U1899&gt;=MA_SHORT,AVERAGE(INDEX($L$1779:$L1899,122-MA_SHORT):$L1899),"")</f>
        <v>109105014.6</v>
      </c>
      <c r="AA1899" s="48" t="n">
        <f aca="false">IF($U1899=1,$G1899-$H1899,MAX($G1899-$H1899,ABS($G1899-$I1898),ABS($H1899-$I1898)))</f>
        <v>291</v>
      </c>
      <c r="AB1899" s="48" t="n">
        <f aca="false">IF($U1899&gt;=ATR_PER,AVERAGE(INDEX($AA$1779:$AA1899,122-ATR_PER):$AA1899),"")</f>
        <v>372.857142857143</v>
      </c>
      <c r="AC1899" s="48" t="n">
        <f aca="false">$O1899-$P1899</f>
        <v>11070310</v>
      </c>
      <c r="AD1899" s="48" t="n">
        <f aca="false">$AC1899*$I1899</f>
        <v>136330867650</v>
      </c>
      <c r="AE1899" s="49" t="n">
        <f aca="false">IF($Q1899&gt;0,$O1899*$I1899/$Q1899/1000000,"")</f>
        <v>270.301270584477</v>
      </c>
      <c r="AF1899" s="49" t="n">
        <f aca="false">IF($R1899&gt;0,$P1899*$I1899/$R1899/1000000,"")</f>
        <v>412.930405598291</v>
      </c>
      <c r="AG1899" s="50" t="n">
        <f aca="false">IF(AND(ISNUMBER($AE1899),ISNUMBER($AF1899),$AF1899&gt;0),$AE1899/$AF1899,"")</f>
        <v>0.654592800432897</v>
      </c>
      <c r="AH1899" s="48" t="n">
        <f aca="false">IF($U1899&gt;=5,SUM(INDEX($AD$1869:$AD1899,32-5):$AD1899),"")</f>
        <v>1138489295018</v>
      </c>
      <c r="AI1899" s="48" t="n">
        <f aca="false">IF($U1899&gt;=STRUCT_S,MAX(INDEX($G$1749:$G1899,152-STRUCT_S):$G1899),"")</f>
        <v>12814</v>
      </c>
      <c r="AJ1899" s="48" t="n">
        <f aca="false">IF($U1899&gt;=STRUCT_S,MIN(INDEX($H$1749:$H1899,152-STRUCT_S):$H1899),"")</f>
        <v>11642</v>
      </c>
      <c r="AK1899" s="48" t="n">
        <f aca="false">IF($U1899&gt;=STRUCT_L,MAX(INDEX($G$1649:$G1899,252-STRUCT_L):$G1899),"")</f>
        <v>12814</v>
      </c>
      <c r="AL1899" s="48" t="n">
        <f aca="false">IF($U1899&gt;=STRUCT_L,MIN(INDEX($H$1649:$H1899,252-STRUCT_L):$H1899),"")</f>
        <v>10654</v>
      </c>
      <c r="AM1899" s="46" t="n">
        <f aca="false">IF($A1899&lt;&gt;$A1900,1,0)</f>
        <v>0</v>
      </c>
      <c r="AN1899" s="47" t="str">
        <f aca="false">IF($AM1899=1,$A1899,"")</f>
        <v/>
      </c>
    </row>
    <row r="1900" customFormat="false" ht="15" hidden="false" customHeight="false" outlineLevel="0" collapsed="false">
      <c r="A1900" s="43" t="s">
        <v>167</v>
      </c>
      <c r="B1900" s="44" t="s">
        <v>169</v>
      </c>
      <c r="C1900" s="45" t="n">
        <v>46011</v>
      </c>
      <c r="D1900" s="46" t="n">
        <v>20251220</v>
      </c>
      <c r="E1900" s="47" t="s">
        <v>363</v>
      </c>
      <c r="F1900" s="48" t="n">
        <v>12222</v>
      </c>
      <c r="G1900" s="48" t="n">
        <v>12353</v>
      </c>
      <c r="H1900" s="48" t="n">
        <v>12133</v>
      </c>
      <c r="I1900" s="48" t="n">
        <v>12171</v>
      </c>
      <c r="J1900" s="48" t="n">
        <v>12274</v>
      </c>
      <c r="K1900" s="48" t="n">
        <v>12315</v>
      </c>
      <c r="L1900" s="48" t="n">
        <v>85119717</v>
      </c>
      <c r="M1900" s="48" t="n">
        <v>1035992075607</v>
      </c>
      <c r="N1900" s="48" t="n">
        <v>2557</v>
      </c>
      <c r="O1900" s="48" t="n">
        <v>50647606</v>
      </c>
      <c r="P1900" s="48" t="n">
        <v>33564430</v>
      </c>
      <c r="Q1900" s="48" t="n">
        <v>1529</v>
      </c>
      <c r="R1900" s="48" t="n">
        <v>967</v>
      </c>
      <c r="S1900" s="48" t="n">
        <v>34472111</v>
      </c>
      <c r="T1900" s="48" t="n">
        <v>51555287</v>
      </c>
      <c r="U1900" s="46" t="n">
        <f aca="false">IF($A1900=$A1899,$U1899+1,1)</f>
        <v>76</v>
      </c>
      <c r="V1900" s="48" t="n">
        <f aca="false">IF($U1900&gt;=MA_SHORT,AVERAGE(INDEX($I$1500:$I1900,402-MA_SHORT):$I1900),"")</f>
        <v>12183.6</v>
      </c>
      <c r="W1900" s="48" t="n">
        <f aca="false">IF($U1900&gt;=MA_MED,AVERAGE(INDEX($I$1500:$I1900,402-MA_MED):$I1900),"")</f>
        <v>11923.42</v>
      </c>
      <c r="X1900" s="48" t="str">
        <f aca="false">IF($U1900&gt;=MA_LONG1,AVERAGE(INDEX($I$1500:$I1900,402-MA_LONG1):$I1900),"")</f>
        <v/>
      </c>
      <c r="Y1900" s="48" t="str">
        <f aca="false">IF($U1900&gt;=MA_LONG2,AVERAGE(INDEX($I$1500:$I1900,402-MA_LONG2):$I1900),"")</f>
        <v/>
      </c>
      <c r="Z1900" s="48" t="n">
        <f aca="false">IF($U1900&gt;=MA_SHORT,AVERAGE(INDEX($L$1780:$L1900,122-MA_SHORT):$L1900),"")</f>
        <v>107251439.45</v>
      </c>
      <c r="AA1900" s="48" t="n">
        <f aca="false">IF($U1900=1,$G1900-$H1900,MAX($G1900-$H1900,ABS($G1900-$I1899),ABS($H1900-$I1899)))</f>
        <v>220</v>
      </c>
      <c r="AB1900" s="48" t="n">
        <f aca="false">IF($U1900&gt;=ATR_PER,AVERAGE(INDEX($AA$1780:$AA1900,122-ATR_PER):$AA1900),"")</f>
        <v>367.642857142857</v>
      </c>
      <c r="AC1900" s="48" t="n">
        <f aca="false">$O1900-$P1900</f>
        <v>17083176</v>
      </c>
      <c r="AD1900" s="48" t="n">
        <f aca="false">$AC1900*$I1900</f>
        <v>207919335096</v>
      </c>
      <c r="AE1900" s="49" t="n">
        <f aca="false">IF($Q1900&gt;0,$O1900*$I1900/$Q1900/1000000,"")</f>
        <v>403.16024370569</v>
      </c>
      <c r="AF1900" s="49" t="n">
        <f aca="false">IF($R1900&gt;0,$P1900*$I1900/$R1900/1000000,"")</f>
        <v>422.453647911065</v>
      </c>
      <c r="AG1900" s="50" t="n">
        <f aca="false">IF(AND(ISNUMBER($AE1900),ISNUMBER($AF1900),$AF1900&gt;0),$AE1900/$AF1900,"")</f>
        <v>0.954330127575471</v>
      </c>
      <c r="AH1900" s="48" t="n">
        <f aca="false">IF($U1900&gt;=5,SUM(INDEX($AD$1870:$AD1900,32-5):$AD1900),"")</f>
        <v>955597569590</v>
      </c>
      <c r="AI1900" s="48" t="n">
        <f aca="false">IF($U1900&gt;=STRUCT_S,MAX(INDEX($G$1750:$G1900,152-STRUCT_S):$G1900),"")</f>
        <v>12814</v>
      </c>
      <c r="AJ1900" s="48" t="n">
        <f aca="false">IF($U1900&gt;=STRUCT_S,MIN(INDEX($H$1750:$H1900,152-STRUCT_S):$H1900),"")</f>
        <v>11642</v>
      </c>
      <c r="AK1900" s="48" t="n">
        <f aca="false">IF($U1900&gt;=STRUCT_L,MAX(INDEX($G$1650:$G1900,252-STRUCT_L):$G1900),"")</f>
        <v>12814</v>
      </c>
      <c r="AL1900" s="48" t="n">
        <f aca="false">IF($U1900&gt;=STRUCT_L,MIN(INDEX($H$1650:$H1900,252-STRUCT_L):$H1900),"")</f>
        <v>10654</v>
      </c>
      <c r="AM1900" s="46" t="n">
        <f aca="false">IF($A1900&lt;&gt;$A1901,1,0)</f>
        <v>0</v>
      </c>
      <c r="AN1900" s="47" t="str">
        <f aca="false">IF($AM1900=1,$A1900,"")</f>
        <v/>
      </c>
    </row>
    <row r="1901" customFormat="false" ht="15" hidden="false" customHeight="false" outlineLevel="0" collapsed="false">
      <c r="A1901" s="43" t="s">
        <v>167</v>
      </c>
      <c r="B1901" s="44" t="s">
        <v>169</v>
      </c>
      <c r="C1901" s="45" t="n">
        <v>46012</v>
      </c>
      <c r="D1901" s="46" t="n">
        <v>20251221</v>
      </c>
      <c r="E1901" s="47" t="s">
        <v>364</v>
      </c>
      <c r="F1901" s="48" t="n">
        <v>12093</v>
      </c>
      <c r="G1901" s="48" t="n">
        <v>12323</v>
      </c>
      <c r="H1901" s="48" t="n">
        <v>12042</v>
      </c>
      <c r="I1901" s="48" t="n">
        <v>12194</v>
      </c>
      <c r="J1901" s="48" t="n">
        <v>12278</v>
      </c>
      <c r="K1901" s="48" t="n">
        <v>12171</v>
      </c>
      <c r="L1901" s="48" t="n">
        <v>80441218</v>
      </c>
      <c r="M1901" s="48" t="n">
        <v>980900212292</v>
      </c>
      <c r="N1901" s="48" t="n">
        <v>1811</v>
      </c>
      <c r="O1901" s="48" t="n">
        <v>55668382</v>
      </c>
      <c r="P1901" s="48" t="n">
        <v>30096826</v>
      </c>
      <c r="Q1901" s="48" t="n">
        <v>375</v>
      </c>
      <c r="R1901" s="48" t="n">
        <v>1115</v>
      </c>
      <c r="S1901" s="48" t="n">
        <v>24772836</v>
      </c>
      <c r="T1901" s="48" t="n">
        <v>50344392</v>
      </c>
      <c r="U1901" s="46" t="n">
        <f aca="false">IF($A1901=$A1900,$U1900+1,1)</f>
        <v>77</v>
      </c>
      <c r="V1901" s="48" t="n">
        <f aca="false">IF($U1901&gt;=MA_SHORT,AVERAGE(INDEX($I$1501:$I1901,402-MA_SHORT):$I1901),"")</f>
        <v>12189.85</v>
      </c>
      <c r="W1901" s="48" t="n">
        <f aca="false">IF($U1901&gt;=MA_MED,AVERAGE(INDEX($I$1501:$I1901,402-MA_MED):$I1901),"")</f>
        <v>11933.32</v>
      </c>
      <c r="X1901" s="48" t="str">
        <f aca="false">IF($U1901&gt;=MA_LONG1,AVERAGE(INDEX($I$1501:$I1901,402-MA_LONG1):$I1901),"")</f>
        <v/>
      </c>
      <c r="Y1901" s="48" t="str">
        <f aca="false">IF($U1901&gt;=MA_LONG2,AVERAGE(INDEX($I$1501:$I1901,402-MA_LONG2):$I1901),"")</f>
        <v/>
      </c>
      <c r="Z1901" s="48" t="n">
        <f aca="false">IF($U1901&gt;=MA_SHORT,AVERAGE(INDEX($L$1781:$L1901,122-MA_SHORT):$L1901),"")</f>
        <v>106890356.4</v>
      </c>
      <c r="AA1901" s="48" t="n">
        <f aca="false">IF($U1901=1,$G1901-$H1901,MAX($G1901-$H1901,ABS($G1901-$I1900),ABS($H1901-$I1900)))</f>
        <v>281</v>
      </c>
      <c r="AB1901" s="48" t="n">
        <f aca="false">IF($U1901&gt;=ATR_PER,AVERAGE(INDEX($AA$1781:$AA1901,122-ATR_PER):$AA1901),"")</f>
        <v>357.785714285714</v>
      </c>
      <c r="AC1901" s="48" t="n">
        <f aca="false">$O1901-$P1901</f>
        <v>25571556</v>
      </c>
      <c r="AD1901" s="48" t="n">
        <f aca="false">$AC1901*$I1901</f>
        <v>311819553864</v>
      </c>
      <c r="AE1901" s="49" t="n">
        <f aca="false">IF($Q1901&gt;0,$O1901*$I1901/$Q1901/1000000,"")</f>
        <v>1810.18733362133</v>
      </c>
      <c r="AF1901" s="49" t="n">
        <f aca="false">IF($R1901&gt;0,$P1901*$I1901/$R1901/1000000,"")</f>
        <v>329.148606496861</v>
      </c>
      <c r="AG1901" s="50" t="n">
        <f aca="false">IF(AND(ISNUMBER($AE1901),ISNUMBER($AF1901),$AF1901&gt;0),$AE1901/$AF1901,"")</f>
        <v>5.49960503520648</v>
      </c>
      <c r="AH1901" s="48" t="n">
        <f aca="false">IF($U1901&gt;=5,SUM(INDEX($AD$1871:$AD1901,32-5):$AD1901),"")</f>
        <v>1246946245520</v>
      </c>
      <c r="AI1901" s="48" t="n">
        <f aca="false">IF($U1901&gt;=STRUCT_S,MAX(INDEX($G$1751:$G1901,152-STRUCT_S):$G1901),"")</f>
        <v>12814</v>
      </c>
      <c r="AJ1901" s="48" t="n">
        <f aca="false">IF($U1901&gt;=STRUCT_S,MIN(INDEX($H$1751:$H1901,152-STRUCT_S):$H1901),"")</f>
        <v>11642</v>
      </c>
      <c r="AK1901" s="48" t="n">
        <f aca="false">IF($U1901&gt;=STRUCT_L,MAX(INDEX($G$1651:$G1901,252-STRUCT_L):$G1901),"")</f>
        <v>12814</v>
      </c>
      <c r="AL1901" s="48" t="n">
        <f aca="false">IF($U1901&gt;=STRUCT_L,MIN(INDEX($H$1651:$H1901,252-STRUCT_L):$H1901),"")</f>
        <v>10654</v>
      </c>
      <c r="AM1901" s="46" t="n">
        <f aca="false">IF($A1901&lt;&gt;$A1902,1,0)</f>
        <v>0</v>
      </c>
      <c r="AN1901" s="47" t="str">
        <f aca="false">IF($AM1901=1,$A1901,"")</f>
        <v/>
      </c>
    </row>
    <row r="1902" customFormat="false" ht="15" hidden="false" customHeight="false" outlineLevel="0" collapsed="false">
      <c r="A1902" s="43" t="s">
        <v>167</v>
      </c>
      <c r="B1902" s="44" t="s">
        <v>169</v>
      </c>
      <c r="C1902" s="45" t="n">
        <v>46013</v>
      </c>
      <c r="D1902" s="46" t="n">
        <v>20251222</v>
      </c>
      <c r="E1902" s="47" t="s">
        <v>365</v>
      </c>
      <c r="F1902" s="48" t="n">
        <v>12330</v>
      </c>
      <c r="G1902" s="48" t="n">
        <v>12343</v>
      </c>
      <c r="H1902" s="48" t="n">
        <v>12107</v>
      </c>
      <c r="I1902" s="48" t="n">
        <v>12256</v>
      </c>
      <c r="J1902" s="48" t="n">
        <v>12318</v>
      </c>
      <c r="K1902" s="48" t="n">
        <v>12194</v>
      </c>
      <c r="L1902" s="48" t="n">
        <v>81965859</v>
      </c>
      <c r="M1902" s="48" t="n">
        <v>1004573567904</v>
      </c>
      <c r="N1902" s="48" t="n">
        <v>3184</v>
      </c>
      <c r="O1902" s="48" t="n">
        <v>48727545</v>
      </c>
      <c r="P1902" s="48" t="n">
        <v>30420742</v>
      </c>
      <c r="Q1902" s="48" t="n">
        <v>820</v>
      </c>
      <c r="R1902" s="48" t="n">
        <v>1797</v>
      </c>
      <c r="S1902" s="48" t="n">
        <v>33238314</v>
      </c>
      <c r="T1902" s="48" t="n">
        <v>51545117</v>
      </c>
      <c r="U1902" s="46" t="n">
        <f aca="false">IF($A1902=$A1901,$U1901+1,1)</f>
        <v>78</v>
      </c>
      <c r="V1902" s="48" t="n">
        <f aca="false">IF($U1902&gt;=MA_SHORT,AVERAGE(INDEX($I$1502:$I1902,402-MA_SHORT):$I1902),"")</f>
        <v>12203.15</v>
      </c>
      <c r="W1902" s="48" t="n">
        <f aca="false">IF($U1902&gt;=MA_MED,AVERAGE(INDEX($I$1502:$I1902,402-MA_MED):$I1902),"")</f>
        <v>11937.84</v>
      </c>
      <c r="X1902" s="48" t="str">
        <f aca="false">IF($U1902&gt;=MA_LONG1,AVERAGE(INDEX($I$1502:$I1902,402-MA_LONG1):$I1902),"")</f>
        <v/>
      </c>
      <c r="Y1902" s="48" t="str">
        <f aca="false">IF($U1902&gt;=MA_LONG2,AVERAGE(INDEX($I$1502:$I1902,402-MA_LONG2):$I1902),"")</f>
        <v/>
      </c>
      <c r="Z1902" s="48" t="n">
        <f aca="false">IF($U1902&gt;=MA_SHORT,AVERAGE(INDEX($L$1782:$L1902,122-MA_SHORT):$L1902),"")</f>
        <v>106855488.85</v>
      </c>
      <c r="AA1902" s="48" t="n">
        <f aca="false">IF($U1902=1,$G1902-$H1902,MAX($G1902-$H1902,ABS($G1902-$I1901),ABS($H1902-$I1901)))</f>
        <v>236</v>
      </c>
      <c r="AB1902" s="48" t="n">
        <f aca="false">IF($U1902&gt;=ATR_PER,AVERAGE(INDEX($AA$1782:$AA1902,122-ATR_PER):$AA1902),"")</f>
        <v>355.071428571429</v>
      </c>
      <c r="AC1902" s="48" t="n">
        <f aca="false">$O1902-$P1902</f>
        <v>18306803</v>
      </c>
      <c r="AD1902" s="48" t="n">
        <f aca="false">$AC1902*$I1902</f>
        <v>224368177568</v>
      </c>
      <c r="AE1902" s="49" t="n">
        <f aca="false">IF($Q1902&gt;0,$O1902*$I1902/$Q1902/1000000,"")</f>
        <v>728.298526243902</v>
      </c>
      <c r="AF1902" s="49" t="n">
        <f aca="false">IF($R1902&gt;0,$P1902*$I1902/$R1902/1000000,"")</f>
        <v>207.477247608236</v>
      </c>
      <c r="AG1902" s="50" t="n">
        <f aca="false">IF(AND(ISNUMBER($AE1902),ISNUMBER($AF1902),$AF1902&gt;0),$AE1902/$AF1902,"")</f>
        <v>3.51025731563152</v>
      </c>
      <c r="AH1902" s="48" t="n">
        <f aca="false">IF($U1902&gt;=5,SUM(INDEX($AD$1872:$AD1902,32-5):$AD1902),"")</f>
        <v>1142033102958</v>
      </c>
      <c r="AI1902" s="48" t="n">
        <f aca="false">IF($U1902&gt;=STRUCT_S,MAX(INDEX($G$1752:$G1902,152-STRUCT_S):$G1902),"")</f>
        <v>12814</v>
      </c>
      <c r="AJ1902" s="48" t="n">
        <f aca="false">IF($U1902&gt;=STRUCT_S,MIN(INDEX($H$1752:$H1902,152-STRUCT_S):$H1902),"")</f>
        <v>11642</v>
      </c>
      <c r="AK1902" s="48" t="n">
        <f aca="false">IF($U1902&gt;=STRUCT_L,MAX(INDEX($G$1652:$G1902,252-STRUCT_L):$G1902),"")</f>
        <v>12814</v>
      </c>
      <c r="AL1902" s="48" t="n">
        <f aca="false">IF($U1902&gt;=STRUCT_L,MIN(INDEX($H$1652:$H1902,252-STRUCT_L):$H1902),"")</f>
        <v>10654</v>
      </c>
      <c r="AM1902" s="46" t="n">
        <f aca="false">IF($A1902&lt;&gt;$A1903,1,0)</f>
        <v>0</v>
      </c>
      <c r="AN1902" s="47" t="str">
        <f aca="false">IF($AM1902=1,$A1902,"")</f>
        <v/>
      </c>
    </row>
    <row r="1903" customFormat="false" ht="15" hidden="false" customHeight="false" outlineLevel="0" collapsed="false">
      <c r="A1903" s="43" t="s">
        <v>167</v>
      </c>
      <c r="B1903" s="44" t="s">
        <v>169</v>
      </c>
      <c r="C1903" s="45" t="n">
        <v>46014</v>
      </c>
      <c r="D1903" s="46" t="n">
        <v>20251223</v>
      </c>
      <c r="E1903" s="47" t="s">
        <v>366</v>
      </c>
      <c r="F1903" s="48" t="n">
        <v>12253</v>
      </c>
      <c r="G1903" s="48" t="n">
        <v>12467</v>
      </c>
      <c r="H1903" s="48" t="n">
        <v>11911</v>
      </c>
      <c r="I1903" s="48" t="n">
        <v>12120</v>
      </c>
      <c r="J1903" s="48" t="n">
        <v>12465</v>
      </c>
      <c r="K1903" s="48" t="n">
        <v>12256</v>
      </c>
      <c r="L1903" s="48" t="n">
        <v>204444929</v>
      </c>
      <c r="M1903" s="48" t="n">
        <v>2477872539480</v>
      </c>
      <c r="N1903" s="48" t="n">
        <v>6417</v>
      </c>
      <c r="O1903" s="48" t="n">
        <v>106536305</v>
      </c>
      <c r="P1903" s="48" t="n">
        <v>105066843</v>
      </c>
      <c r="Q1903" s="48" t="n">
        <v>3823</v>
      </c>
      <c r="R1903" s="48" t="n">
        <v>2061</v>
      </c>
      <c r="S1903" s="48" t="n">
        <v>97908624</v>
      </c>
      <c r="T1903" s="48" t="n">
        <v>99378086</v>
      </c>
      <c r="U1903" s="46" t="n">
        <f aca="false">IF($A1903=$A1902,$U1902+1,1)</f>
        <v>79</v>
      </c>
      <c r="V1903" s="48" t="n">
        <f aca="false">IF($U1903&gt;=MA_SHORT,AVERAGE(INDEX($I$1503:$I1903,402-MA_SHORT):$I1903),"")</f>
        <v>12206.05</v>
      </c>
      <c r="W1903" s="48" t="n">
        <f aca="false">IF($U1903&gt;=MA_MED,AVERAGE(INDEX($I$1503:$I1903,402-MA_MED):$I1903),"")</f>
        <v>11938.86</v>
      </c>
      <c r="X1903" s="48" t="str">
        <f aca="false">IF($U1903&gt;=MA_LONG1,AVERAGE(INDEX($I$1503:$I1903,402-MA_LONG1):$I1903),"")</f>
        <v/>
      </c>
      <c r="Y1903" s="48" t="str">
        <f aca="false">IF($U1903&gt;=MA_LONG2,AVERAGE(INDEX($I$1503:$I1903,402-MA_LONG2):$I1903),"")</f>
        <v/>
      </c>
      <c r="Z1903" s="48" t="n">
        <f aca="false">IF($U1903&gt;=MA_SHORT,AVERAGE(INDEX($L$1783:$L1903,122-MA_SHORT):$L1903),"")</f>
        <v>112957476.65</v>
      </c>
      <c r="AA1903" s="48" t="n">
        <f aca="false">IF($U1903=1,$G1903-$H1903,MAX($G1903-$H1903,ABS($G1903-$I1902),ABS($H1903-$I1902)))</f>
        <v>556</v>
      </c>
      <c r="AB1903" s="48" t="n">
        <f aca="false">IF($U1903&gt;=ATR_PER,AVERAGE(INDEX($AA$1783:$AA1903,122-ATR_PER):$AA1903),"")</f>
        <v>353.714285714286</v>
      </c>
      <c r="AC1903" s="48" t="n">
        <f aca="false">$O1903-$P1903</f>
        <v>1469462</v>
      </c>
      <c r="AD1903" s="48" t="n">
        <f aca="false">$AC1903*$I1903</f>
        <v>17809879440</v>
      </c>
      <c r="AE1903" s="49" t="n">
        <f aca="false">IF($Q1903&gt;0,$O1903*$I1903/$Q1903/1000000,"")</f>
        <v>337.750462097829</v>
      </c>
      <c r="AF1903" s="49" t="n">
        <f aca="false">IF($R1903&gt;0,$P1903*$I1903/$R1903/1000000,"")</f>
        <v>617.860328558952</v>
      </c>
      <c r="AG1903" s="50" t="n">
        <f aca="false">IF(AND(ISNUMBER($AE1903),ISNUMBER($AF1903),$AF1903&gt;0),$AE1903/$AF1903,"")</f>
        <v>0.54664532821774</v>
      </c>
      <c r="AH1903" s="48" t="n">
        <f aca="false">IF($U1903&gt;=5,SUM(INDEX($AD$1873:$AD1903,32-5):$AD1903),"")</f>
        <v>898247813618</v>
      </c>
      <c r="AI1903" s="48" t="n">
        <f aca="false">IF($U1903&gt;=STRUCT_S,MAX(INDEX($G$1753:$G1903,152-STRUCT_S):$G1903),"")</f>
        <v>12814</v>
      </c>
      <c r="AJ1903" s="48" t="n">
        <f aca="false">IF($U1903&gt;=STRUCT_S,MIN(INDEX($H$1753:$H1903,152-STRUCT_S):$H1903),"")</f>
        <v>11642</v>
      </c>
      <c r="AK1903" s="48" t="n">
        <f aca="false">IF($U1903&gt;=STRUCT_L,MAX(INDEX($G$1653:$G1903,252-STRUCT_L):$G1903),"")</f>
        <v>12814</v>
      </c>
      <c r="AL1903" s="48" t="n">
        <f aca="false">IF($U1903&gt;=STRUCT_L,MIN(INDEX($H$1653:$H1903,252-STRUCT_L):$H1903),"")</f>
        <v>10654</v>
      </c>
      <c r="AM1903" s="46" t="n">
        <f aca="false">IF($A1903&lt;&gt;$A1904,1,0)</f>
        <v>0</v>
      </c>
      <c r="AN1903" s="47" t="str">
        <f aca="false">IF($AM1903=1,$A1903,"")</f>
        <v/>
      </c>
    </row>
    <row r="1904" customFormat="false" ht="15" hidden="false" customHeight="false" outlineLevel="0" collapsed="false">
      <c r="A1904" s="43" t="s">
        <v>167</v>
      </c>
      <c r="B1904" s="44" t="s">
        <v>169</v>
      </c>
      <c r="C1904" s="45" t="n">
        <v>46015</v>
      </c>
      <c r="D1904" s="46" t="n">
        <v>20251224</v>
      </c>
      <c r="E1904" s="47" t="s">
        <v>367</v>
      </c>
      <c r="F1904" s="48" t="n">
        <v>12101</v>
      </c>
      <c r="G1904" s="48" t="n">
        <v>12222</v>
      </c>
      <c r="H1904" s="48" t="n">
        <v>12032</v>
      </c>
      <c r="I1904" s="48" t="n">
        <v>12134</v>
      </c>
      <c r="J1904" s="48" t="n">
        <v>12084</v>
      </c>
      <c r="K1904" s="48" t="n">
        <v>12120</v>
      </c>
      <c r="L1904" s="48" t="n">
        <v>122341544</v>
      </c>
      <c r="M1904" s="48" t="n">
        <v>1484492294896</v>
      </c>
      <c r="N1904" s="48" t="n">
        <v>4707</v>
      </c>
      <c r="O1904" s="48" t="n">
        <v>77527033</v>
      </c>
      <c r="P1904" s="48" t="n">
        <v>47151456</v>
      </c>
      <c r="Q1904" s="48" t="n">
        <v>1703</v>
      </c>
      <c r="R1904" s="48" t="n">
        <v>2905</v>
      </c>
      <c r="S1904" s="48" t="n">
        <v>44814511</v>
      </c>
      <c r="T1904" s="48" t="n">
        <v>75190088</v>
      </c>
      <c r="U1904" s="46" t="n">
        <f aca="false">IF($A1904=$A1903,$U1903+1,1)</f>
        <v>80</v>
      </c>
      <c r="V1904" s="48" t="n">
        <f aca="false">IF($U1904&gt;=MA_SHORT,AVERAGE(INDEX($I$1504:$I1904,402-MA_SHORT):$I1904),"")</f>
        <v>12215.3</v>
      </c>
      <c r="W1904" s="48" t="n">
        <f aca="false">IF($U1904&gt;=MA_MED,AVERAGE(INDEX($I$1504:$I1904,402-MA_MED):$I1904),"")</f>
        <v>11937.36</v>
      </c>
      <c r="X1904" s="48" t="str">
        <f aca="false">IF($U1904&gt;=MA_LONG1,AVERAGE(INDEX($I$1504:$I1904,402-MA_LONG1):$I1904),"")</f>
        <v/>
      </c>
      <c r="Y1904" s="48" t="str">
        <f aca="false">IF($U1904&gt;=MA_LONG2,AVERAGE(INDEX($I$1504:$I1904,402-MA_LONG2):$I1904),"")</f>
        <v/>
      </c>
      <c r="Z1904" s="48" t="n">
        <f aca="false">IF($U1904&gt;=MA_SHORT,AVERAGE(INDEX($L$1784:$L1904,122-MA_SHORT):$L1904),"")</f>
        <v>107686466.4</v>
      </c>
      <c r="AA1904" s="48" t="n">
        <f aca="false">IF($U1904=1,$G1904-$H1904,MAX($G1904-$H1904,ABS($G1904-$I1903),ABS($H1904-$I1903)))</f>
        <v>190</v>
      </c>
      <c r="AB1904" s="48" t="n">
        <f aca="false">IF($U1904&gt;=ATR_PER,AVERAGE(INDEX($AA$1784:$AA1904,122-ATR_PER):$AA1904),"")</f>
        <v>331.357142857143</v>
      </c>
      <c r="AC1904" s="48" t="n">
        <f aca="false">$O1904-$P1904</f>
        <v>30375577</v>
      </c>
      <c r="AD1904" s="48" t="n">
        <f aca="false">$AC1904*$I1904</f>
        <v>368577251318</v>
      </c>
      <c r="AE1904" s="49" t="n">
        <f aca="false">IF($Q1904&gt;0,$O1904*$I1904/$Q1904/1000000,"")</f>
        <v>552.385800600118</v>
      </c>
      <c r="AF1904" s="49" t="n">
        <f aca="false">IF($R1904&gt;0,$P1904*$I1904/$R1904/1000000,"")</f>
        <v>196.948628951463</v>
      </c>
      <c r="AG1904" s="50" t="n">
        <f aca="false">IF(AND(ISNUMBER($AE1904),ISNUMBER($AF1904),$AF1904&gt;0),$AE1904/$AF1904,"")</f>
        <v>2.804720213291</v>
      </c>
      <c r="AH1904" s="48" t="n">
        <f aca="false">IF($U1904&gt;=5,SUM(INDEX($AD$1874:$AD1904,32-5):$AD1904),"")</f>
        <v>1130494197286</v>
      </c>
      <c r="AI1904" s="48" t="n">
        <f aca="false">IF($U1904&gt;=STRUCT_S,MAX(INDEX($G$1754:$G1904,152-STRUCT_S):$G1904),"")</f>
        <v>12814</v>
      </c>
      <c r="AJ1904" s="48" t="n">
        <f aca="false">IF($U1904&gt;=STRUCT_S,MIN(INDEX($H$1754:$H1904,152-STRUCT_S):$H1904),"")</f>
        <v>11642</v>
      </c>
      <c r="AK1904" s="48" t="n">
        <f aca="false">IF($U1904&gt;=STRUCT_L,MAX(INDEX($G$1654:$G1904,252-STRUCT_L):$G1904),"")</f>
        <v>12814</v>
      </c>
      <c r="AL1904" s="48" t="n">
        <f aca="false">IF($U1904&gt;=STRUCT_L,MIN(INDEX($H$1654:$H1904,252-STRUCT_L):$H1904),"")</f>
        <v>10654</v>
      </c>
      <c r="AM1904" s="46" t="n">
        <f aca="false">IF($A1904&lt;&gt;$A1905,1,0)</f>
        <v>0</v>
      </c>
      <c r="AN1904" s="47" t="str">
        <f aca="false">IF($AM1904=1,$A1904,"")</f>
        <v/>
      </c>
    </row>
    <row r="1905" customFormat="false" ht="15" hidden="false" customHeight="false" outlineLevel="0" collapsed="false">
      <c r="A1905" s="43" t="s">
        <v>167</v>
      </c>
      <c r="B1905" s="44" t="s">
        <v>169</v>
      </c>
      <c r="C1905" s="45" t="n">
        <v>46018</v>
      </c>
      <c r="D1905" s="46" t="n">
        <v>20251227</v>
      </c>
      <c r="E1905" s="47" t="s">
        <v>368</v>
      </c>
      <c r="F1905" s="48" t="n">
        <v>12131</v>
      </c>
      <c r="G1905" s="48" t="n">
        <v>12221</v>
      </c>
      <c r="H1905" s="48" t="n">
        <v>12076</v>
      </c>
      <c r="I1905" s="48" t="n">
        <v>12163</v>
      </c>
      <c r="J1905" s="48" t="n">
        <v>12118</v>
      </c>
      <c r="K1905" s="48" t="n">
        <v>12134</v>
      </c>
      <c r="L1905" s="48" t="n">
        <v>82508936</v>
      </c>
      <c r="M1905" s="48" t="n">
        <v>1003556188568</v>
      </c>
      <c r="N1905" s="48" t="n">
        <v>6909</v>
      </c>
      <c r="O1905" s="48" t="n">
        <v>48146853</v>
      </c>
      <c r="P1905" s="48" t="n">
        <v>33711367</v>
      </c>
      <c r="Q1905" s="48" t="n">
        <v>1390</v>
      </c>
      <c r="R1905" s="48" t="n">
        <v>4181</v>
      </c>
      <c r="S1905" s="48" t="n">
        <v>34362083</v>
      </c>
      <c r="T1905" s="48" t="n">
        <v>48797569</v>
      </c>
      <c r="U1905" s="46" t="n">
        <f aca="false">IF($A1905=$A1904,$U1904+1,1)</f>
        <v>81</v>
      </c>
      <c r="V1905" s="48" t="n">
        <f aca="false">IF($U1905&gt;=MA_SHORT,AVERAGE(INDEX($I$1505:$I1905,402-MA_SHORT):$I1905),"")</f>
        <v>12235</v>
      </c>
      <c r="W1905" s="48" t="n">
        <f aca="false">IF($U1905&gt;=MA_MED,AVERAGE(INDEX($I$1505:$I1905,402-MA_MED):$I1905),"")</f>
        <v>11939.98</v>
      </c>
      <c r="X1905" s="48" t="str">
        <f aca="false">IF($U1905&gt;=MA_LONG1,AVERAGE(INDEX($I$1505:$I1905,402-MA_LONG1):$I1905),"")</f>
        <v/>
      </c>
      <c r="Y1905" s="48" t="str">
        <f aca="false">IF($U1905&gt;=MA_LONG2,AVERAGE(INDEX($I$1505:$I1905,402-MA_LONG2):$I1905),"")</f>
        <v/>
      </c>
      <c r="Z1905" s="48" t="n">
        <f aca="false">IF($U1905&gt;=MA_SHORT,AVERAGE(INDEX($L$1785:$L1905,122-MA_SHORT):$L1905),"")</f>
        <v>107475490</v>
      </c>
      <c r="AA1905" s="48" t="n">
        <f aca="false">IF($U1905=1,$G1905-$H1905,MAX($G1905-$H1905,ABS($G1905-$I1904),ABS($H1905-$I1904)))</f>
        <v>145</v>
      </c>
      <c r="AB1905" s="48" t="n">
        <f aca="false">IF($U1905&gt;=ATR_PER,AVERAGE(INDEX($AA$1785:$AA1905,122-ATR_PER):$AA1905),"")</f>
        <v>331.928571428571</v>
      </c>
      <c r="AC1905" s="48" t="n">
        <f aca="false">$O1905-$P1905</f>
        <v>14435486</v>
      </c>
      <c r="AD1905" s="48" t="n">
        <f aca="false">$AC1905*$I1905</f>
        <v>175578816218</v>
      </c>
      <c r="AE1905" s="49" t="n">
        <f aca="false">IF($Q1905&gt;0,$O1905*$I1905/$Q1905/1000000,"")</f>
        <v>421.302282761871</v>
      </c>
      <c r="AF1905" s="49" t="n">
        <f aca="false">IF($R1905&gt;0,$P1905*$I1905/$R1905/1000000,"")</f>
        <v>98.0701642719445</v>
      </c>
      <c r="AG1905" s="50" t="n">
        <f aca="false">IF(AND(ISNUMBER($AE1905),ISNUMBER($AF1905),$AF1905&gt;0),$AE1905/$AF1905,"")</f>
        <v>4.29592716489815</v>
      </c>
      <c r="AH1905" s="48" t="n">
        <f aca="false">IF($U1905&gt;=5,SUM(INDEX($AD$1875:$AD1905,32-5):$AD1905),"")</f>
        <v>1098153678408</v>
      </c>
      <c r="AI1905" s="48" t="n">
        <f aca="false">IF($U1905&gt;=STRUCT_S,MAX(INDEX($G$1755:$G1905,152-STRUCT_S):$G1905),"")</f>
        <v>12814</v>
      </c>
      <c r="AJ1905" s="48" t="n">
        <f aca="false">IF($U1905&gt;=STRUCT_S,MIN(INDEX($H$1755:$H1905,152-STRUCT_S):$H1905),"")</f>
        <v>11663</v>
      </c>
      <c r="AK1905" s="48" t="n">
        <f aca="false">IF($U1905&gt;=STRUCT_L,MAX(INDEX($G$1655:$G1905,252-STRUCT_L):$G1905),"")</f>
        <v>12814</v>
      </c>
      <c r="AL1905" s="48" t="n">
        <f aca="false">IF($U1905&gt;=STRUCT_L,MIN(INDEX($H$1655:$H1905,252-STRUCT_L):$H1905),"")</f>
        <v>10654</v>
      </c>
      <c r="AM1905" s="46" t="n">
        <f aca="false">IF($A1905&lt;&gt;$A1906,1,0)</f>
        <v>0</v>
      </c>
      <c r="AN1905" s="47" t="str">
        <f aca="false">IF($AM1905=1,$A1905,"")</f>
        <v/>
      </c>
    </row>
    <row r="1906" customFormat="false" ht="15" hidden="false" customHeight="false" outlineLevel="0" collapsed="false">
      <c r="A1906" s="43" t="s">
        <v>167</v>
      </c>
      <c r="B1906" s="44" t="s">
        <v>169</v>
      </c>
      <c r="C1906" s="45" t="n">
        <v>46019</v>
      </c>
      <c r="D1906" s="46" t="n">
        <v>20251228</v>
      </c>
      <c r="E1906" s="47" t="s">
        <v>369</v>
      </c>
      <c r="F1906" s="48" t="n">
        <v>12290</v>
      </c>
      <c r="G1906" s="48" t="n">
        <v>12559</v>
      </c>
      <c r="H1906" s="48" t="n">
        <v>12082</v>
      </c>
      <c r="I1906" s="48" t="n">
        <v>12476</v>
      </c>
      <c r="J1906" s="48" t="n">
        <v>12270</v>
      </c>
      <c r="K1906" s="48" t="n">
        <v>12163</v>
      </c>
      <c r="L1906" s="48" t="n">
        <v>108333160</v>
      </c>
      <c r="M1906" s="48" t="n">
        <v>1351564504160</v>
      </c>
      <c r="N1906" s="48" t="n">
        <v>2956</v>
      </c>
      <c r="O1906" s="48" t="n">
        <v>82590918</v>
      </c>
      <c r="P1906" s="48" t="n">
        <v>21666632</v>
      </c>
      <c r="Q1906" s="48" t="n">
        <v>735</v>
      </c>
      <c r="R1906" s="48" t="n">
        <v>1395</v>
      </c>
      <c r="S1906" s="48" t="n">
        <v>25742242</v>
      </c>
      <c r="T1906" s="48" t="n">
        <v>86666528</v>
      </c>
      <c r="U1906" s="46" t="n">
        <f aca="false">IF($A1906=$A1905,$U1905+1,1)</f>
        <v>82</v>
      </c>
      <c r="V1906" s="48" t="n">
        <f aca="false">IF($U1906&gt;=MA_SHORT,AVERAGE(INDEX($I$1506:$I1906,402-MA_SHORT):$I1906),"")</f>
        <v>12266.3</v>
      </c>
      <c r="W1906" s="48" t="n">
        <f aca="false">IF($U1906&gt;=MA_MED,AVERAGE(INDEX($I$1506:$I1906,402-MA_MED):$I1906),"")</f>
        <v>11943.78</v>
      </c>
      <c r="X1906" s="48" t="str">
        <f aca="false">IF($U1906&gt;=MA_LONG1,AVERAGE(INDEX($I$1506:$I1906,402-MA_LONG1):$I1906),"")</f>
        <v/>
      </c>
      <c r="Y1906" s="48" t="str">
        <f aca="false">IF($U1906&gt;=MA_LONG2,AVERAGE(INDEX($I$1506:$I1906,402-MA_LONG2):$I1906),"")</f>
        <v/>
      </c>
      <c r="Z1906" s="48" t="n">
        <f aca="false">IF($U1906&gt;=MA_SHORT,AVERAGE(INDEX($L$1786:$L1906,122-MA_SHORT):$L1906),"")</f>
        <v>107066793.25</v>
      </c>
      <c r="AA1906" s="48" t="n">
        <f aca="false">IF($U1906=1,$G1906-$H1906,MAX($G1906-$H1906,ABS($G1906-$I1905),ABS($H1906-$I1905)))</f>
        <v>477</v>
      </c>
      <c r="AB1906" s="48" t="n">
        <f aca="false">IF($U1906&gt;=ATR_PER,AVERAGE(INDEX($AA$1786:$AA1906,122-ATR_PER):$AA1906),"")</f>
        <v>341.857142857143</v>
      </c>
      <c r="AC1906" s="48" t="n">
        <f aca="false">$O1906-$P1906</f>
        <v>60924286</v>
      </c>
      <c r="AD1906" s="48" t="n">
        <f aca="false">$AC1906*$I1906</f>
        <v>760091392136</v>
      </c>
      <c r="AE1906" s="49" t="n">
        <f aca="false">IF($Q1906&gt;0,$O1906*$I1906/$Q1906/1000000,"")</f>
        <v>1401.91060267755</v>
      </c>
      <c r="AF1906" s="49" t="n">
        <f aca="false">IF($R1906&gt;0,$P1906*$I1906/$R1906/1000000,"")</f>
        <v>193.772688768459</v>
      </c>
      <c r="AG1906" s="50" t="n">
        <f aca="false">IF(AND(ISNUMBER($AE1906),ISNUMBER($AF1906),$AF1906&gt;0),$AE1906/$AF1906,"")</f>
        <v>7.23482040522599</v>
      </c>
      <c r="AH1906" s="48" t="n">
        <f aca="false">IF($U1906&gt;=5,SUM(INDEX($AD$1876:$AD1906,32-5):$AD1906),"")</f>
        <v>1546425516680</v>
      </c>
      <c r="AI1906" s="48" t="n">
        <f aca="false">IF($U1906&gt;=STRUCT_S,MAX(INDEX($G$1756:$G1906,152-STRUCT_S):$G1906),"")</f>
        <v>12814</v>
      </c>
      <c r="AJ1906" s="48" t="n">
        <f aca="false">IF($U1906&gt;=STRUCT_S,MIN(INDEX($H$1756:$H1906,152-STRUCT_S):$H1906),"")</f>
        <v>11680</v>
      </c>
      <c r="AK1906" s="48" t="n">
        <f aca="false">IF($U1906&gt;=STRUCT_L,MAX(INDEX($G$1656:$G1906,252-STRUCT_L):$G1906),"")</f>
        <v>12814</v>
      </c>
      <c r="AL1906" s="48" t="n">
        <f aca="false">IF($U1906&gt;=STRUCT_L,MIN(INDEX($H$1656:$H1906,252-STRUCT_L):$H1906),"")</f>
        <v>10654</v>
      </c>
      <c r="AM1906" s="46" t="n">
        <f aca="false">IF($A1906&lt;&gt;$A1907,1,0)</f>
        <v>0</v>
      </c>
      <c r="AN1906" s="47" t="str">
        <f aca="false">IF($AM1906=1,$A1906,"")</f>
        <v/>
      </c>
    </row>
    <row r="1907" customFormat="false" ht="15" hidden="false" customHeight="false" outlineLevel="0" collapsed="false">
      <c r="A1907" s="43" t="s">
        <v>167</v>
      </c>
      <c r="B1907" s="44" t="s">
        <v>169</v>
      </c>
      <c r="C1907" s="45" t="n">
        <v>46020</v>
      </c>
      <c r="D1907" s="46" t="n">
        <v>20251229</v>
      </c>
      <c r="E1907" s="47" t="s">
        <v>370</v>
      </c>
      <c r="F1907" s="48" t="n">
        <v>12591</v>
      </c>
      <c r="G1907" s="48" t="n">
        <v>12629</v>
      </c>
      <c r="H1907" s="48" t="n">
        <v>12436</v>
      </c>
      <c r="I1907" s="48" t="n">
        <v>12588</v>
      </c>
      <c r="J1907" s="48" t="n">
        <v>12624</v>
      </c>
      <c r="K1907" s="48" t="n">
        <v>12476</v>
      </c>
      <c r="L1907" s="48" t="n">
        <v>83823629</v>
      </c>
      <c r="M1907" s="48" t="n">
        <v>1055171841852</v>
      </c>
      <c r="N1907" s="48" t="n">
        <v>5054</v>
      </c>
      <c r="O1907" s="48" t="n">
        <v>48872073</v>
      </c>
      <c r="P1907" s="48" t="n">
        <v>40059481</v>
      </c>
      <c r="Q1907" s="48" t="n">
        <v>1337</v>
      </c>
      <c r="R1907" s="48" t="n">
        <v>3343</v>
      </c>
      <c r="S1907" s="48" t="n">
        <v>34951556</v>
      </c>
      <c r="T1907" s="48" t="n">
        <v>43764148</v>
      </c>
      <c r="U1907" s="46" t="n">
        <f aca="false">IF($A1907=$A1906,$U1906+1,1)</f>
        <v>83</v>
      </c>
      <c r="V1907" s="48" t="n">
        <f aca="false">IF($U1907&gt;=MA_SHORT,AVERAGE(INDEX($I$1507:$I1907,402-MA_SHORT):$I1907),"")</f>
        <v>12299.3</v>
      </c>
      <c r="W1907" s="48" t="n">
        <f aca="false">IF($U1907&gt;=MA_MED,AVERAGE(INDEX($I$1507:$I1907,402-MA_MED):$I1907),"")</f>
        <v>11952.64</v>
      </c>
      <c r="X1907" s="48" t="str">
        <f aca="false">IF($U1907&gt;=MA_LONG1,AVERAGE(INDEX($I$1507:$I1907,402-MA_LONG1):$I1907),"")</f>
        <v/>
      </c>
      <c r="Y1907" s="48" t="str">
        <f aca="false">IF($U1907&gt;=MA_LONG2,AVERAGE(INDEX($I$1507:$I1907,402-MA_LONG2):$I1907),"")</f>
        <v/>
      </c>
      <c r="Z1907" s="48" t="n">
        <f aca="false">IF($U1907&gt;=MA_SHORT,AVERAGE(INDEX($L$1787:$L1907,122-MA_SHORT):$L1907),"")</f>
        <v>107123941.25</v>
      </c>
      <c r="AA1907" s="48" t="n">
        <f aca="false">IF($U1907=1,$G1907-$H1907,MAX($G1907-$H1907,ABS($G1907-$I1906),ABS($H1907-$I1906)))</f>
        <v>193</v>
      </c>
      <c r="AB1907" s="48" t="n">
        <f aca="false">IF($U1907&gt;=ATR_PER,AVERAGE(INDEX($AA$1787:$AA1907,122-ATR_PER):$AA1907),"")</f>
        <v>322.142857142857</v>
      </c>
      <c r="AC1907" s="48" t="n">
        <f aca="false">$O1907-$P1907</f>
        <v>8812592</v>
      </c>
      <c r="AD1907" s="48" t="n">
        <f aca="false">$AC1907*$I1907</f>
        <v>110932908096</v>
      </c>
      <c r="AE1907" s="49" t="n">
        <f aca="false">IF($Q1907&gt;0,$O1907*$I1907/$Q1907/1000000,"")</f>
        <v>460.135867557218</v>
      </c>
      <c r="AF1907" s="49" t="n">
        <f aca="false">IF($R1907&gt;0,$P1907*$I1907/$R1907/1000000,"")</f>
        <v>150.843178829794</v>
      </c>
      <c r="AG1907" s="50" t="n">
        <f aca="false">IF(AND(ISNUMBER($AE1907),ISNUMBER($AF1907),$AF1907&gt;0),$AE1907/$AF1907,"")</f>
        <v>3.05042542279237</v>
      </c>
      <c r="AH1907" s="48" t="n">
        <f aca="false">IF($U1907&gt;=5,SUM(INDEX($AD$1877:$AD1907,32-5):$AD1907),"")</f>
        <v>1432990247208</v>
      </c>
      <c r="AI1907" s="48" t="n">
        <f aca="false">IF($U1907&gt;=STRUCT_S,MAX(INDEX($G$1757:$G1907,152-STRUCT_S):$G1907),"")</f>
        <v>12814</v>
      </c>
      <c r="AJ1907" s="48" t="n">
        <f aca="false">IF($U1907&gt;=STRUCT_S,MIN(INDEX($H$1757:$H1907,152-STRUCT_S):$H1907),"")</f>
        <v>11704</v>
      </c>
      <c r="AK1907" s="48" t="n">
        <f aca="false">IF($U1907&gt;=STRUCT_L,MAX(INDEX($G$1657:$G1907,252-STRUCT_L):$G1907),"")</f>
        <v>12814</v>
      </c>
      <c r="AL1907" s="48" t="n">
        <f aca="false">IF($U1907&gt;=STRUCT_L,MIN(INDEX($H$1657:$H1907,252-STRUCT_L):$H1907),"")</f>
        <v>10654</v>
      </c>
      <c r="AM1907" s="46" t="n">
        <f aca="false">IF($A1907&lt;&gt;$A1908,1,0)</f>
        <v>0</v>
      </c>
      <c r="AN1907" s="47" t="str">
        <f aca="false">IF($AM1907=1,$A1907,"")</f>
        <v/>
      </c>
    </row>
    <row r="1908" customFormat="false" ht="15" hidden="false" customHeight="false" outlineLevel="0" collapsed="false">
      <c r="A1908" s="43" t="s">
        <v>167</v>
      </c>
      <c r="B1908" s="44" t="s">
        <v>169</v>
      </c>
      <c r="C1908" s="45" t="n">
        <v>46021</v>
      </c>
      <c r="D1908" s="46" t="n">
        <v>20251230</v>
      </c>
      <c r="E1908" s="47" t="s">
        <v>371</v>
      </c>
      <c r="F1908" s="48" t="n">
        <v>12612</v>
      </c>
      <c r="G1908" s="48" t="n">
        <v>12705</v>
      </c>
      <c r="H1908" s="48" t="n">
        <v>12495</v>
      </c>
      <c r="I1908" s="48" t="n">
        <v>12611</v>
      </c>
      <c r="J1908" s="48" t="n">
        <v>12605</v>
      </c>
      <c r="K1908" s="48" t="n">
        <v>12588</v>
      </c>
      <c r="L1908" s="48" t="n">
        <v>97243258</v>
      </c>
      <c r="M1908" s="48" t="n">
        <v>1226334726638</v>
      </c>
      <c r="N1908" s="48" t="n">
        <v>2299</v>
      </c>
      <c r="O1908" s="48" t="n">
        <v>61479937</v>
      </c>
      <c r="P1908" s="48" t="n">
        <v>34163836</v>
      </c>
      <c r="Q1908" s="48" t="n">
        <v>810</v>
      </c>
      <c r="R1908" s="48" t="n">
        <v>1093</v>
      </c>
      <c r="S1908" s="48" t="n">
        <v>35763321</v>
      </c>
      <c r="T1908" s="48" t="n">
        <v>63079422</v>
      </c>
      <c r="U1908" s="46" t="n">
        <f aca="false">IF($A1908=$A1907,$U1907+1,1)</f>
        <v>84</v>
      </c>
      <c r="V1908" s="48" t="n">
        <f aca="false">IF($U1908&gt;=MA_SHORT,AVERAGE(INDEX($I$1508:$I1908,402-MA_SHORT):$I1908),"")</f>
        <v>12335.25</v>
      </c>
      <c r="W1908" s="48" t="n">
        <f aca="false">IF($U1908&gt;=MA_MED,AVERAGE(INDEX($I$1508:$I1908,402-MA_MED):$I1908),"")</f>
        <v>11962.16</v>
      </c>
      <c r="X1908" s="48" t="str">
        <f aca="false">IF($U1908&gt;=MA_LONG1,AVERAGE(INDEX($I$1508:$I1908,402-MA_LONG1):$I1908),"")</f>
        <v/>
      </c>
      <c r="Y1908" s="48" t="str">
        <f aca="false">IF($U1908&gt;=MA_LONG2,AVERAGE(INDEX($I$1508:$I1908,402-MA_LONG2):$I1908),"")</f>
        <v/>
      </c>
      <c r="Z1908" s="48" t="n">
        <f aca="false">IF($U1908&gt;=MA_SHORT,AVERAGE(INDEX($L$1788:$L1908,122-MA_SHORT):$L1908),"")</f>
        <v>107298485.05</v>
      </c>
      <c r="AA1908" s="48" t="n">
        <f aca="false">IF($U1908=1,$G1908-$H1908,MAX($G1908-$H1908,ABS($G1908-$I1907),ABS($H1908-$I1907)))</f>
        <v>210</v>
      </c>
      <c r="AB1908" s="48" t="n">
        <f aca="false">IF($U1908&gt;=ATR_PER,AVERAGE(INDEX($AA$1788:$AA1908,122-ATR_PER):$AA1908),"")</f>
        <v>277.214285714286</v>
      </c>
      <c r="AC1908" s="48" t="n">
        <f aca="false">$O1908-$P1908</f>
        <v>27316101</v>
      </c>
      <c r="AD1908" s="48" t="n">
        <f aca="false">$AC1908*$I1908</f>
        <v>344483349711</v>
      </c>
      <c r="AE1908" s="49" t="n">
        <f aca="false">IF($Q1908&gt;0,$O1908*$I1908/$Q1908/1000000,"")</f>
        <v>957.189488280247</v>
      </c>
      <c r="AF1908" s="49" t="n">
        <f aca="false">IF($R1908&gt;0,$P1908*$I1908/$R1908/1000000,"")</f>
        <v>394.181277032022</v>
      </c>
      <c r="AG1908" s="50" t="n">
        <f aca="false">IF(AND(ISNUMBER($AE1908),ISNUMBER($AF1908),$AF1908&gt;0),$AE1908/$AF1908,"")</f>
        <v>2.4282976996964</v>
      </c>
      <c r="AH1908" s="48" t="n">
        <f aca="false">IF($U1908&gt;=5,SUM(INDEX($AD$1878:$AD1908,32-5):$AD1908),"")</f>
        <v>1759663717479</v>
      </c>
      <c r="AI1908" s="48" t="n">
        <f aca="false">IF($U1908&gt;=STRUCT_S,MAX(INDEX($G$1758:$G1908,152-STRUCT_S):$G1908),"")</f>
        <v>12814</v>
      </c>
      <c r="AJ1908" s="48" t="n">
        <f aca="false">IF($U1908&gt;=STRUCT_S,MIN(INDEX($H$1758:$H1908,152-STRUCT_S):$H1908),"")</f>
        <v>11704</v>
      </c>
      <c r="AK1908" s="48" t="n">
        <f aca="false">IF($U1908&gt;=STRUCT_L,MAX(INDEX($G$1658:$G1908,252-STRUCT_L):$G1908),"")</f>
        <v>12814</v>
      </c>
      <c r="AL1908" s="48" t="n">
        <f aca="false">IF($U1908&gt;=STRUCT_L,MIN(INDEX($H$1658:$H1908,252-STRUCT_L):$H1908),"")</f>
        <v>10654</v>
      </c>
      <c r="AM1908" s="46" t="n">
        <f aca="false">IF($A1908&lt;&gt;$A1909,1,0)</f>
        <v>0</v>
      </c>
      <c r="AN1908" s="47" t="str">
        <f aca="false">IF($AM1908=1,$A1908,"")</f>
        <v/>
      </c>
    </row>
    <row r="1909" customFormat="false" ht="15" hidden="false" customHeight="false" outlineLevel="0" collapsed="false">
      <c r="A1909" s="43" t="s">
        <v>167</v>
      </c>
      <c r="B1909" s="44" t="s">
        <v>169</v>
      </c>
      <c r="C1909" s="45" t="n">
        <v>46022</v>
      </c>
      <c r="D1909" s="46" t="n">
        <v>20251231</v>
      </c>
      <c r="E1909" s="47" t="s">
        <v>372</v>
      </c>
      <c r="F1909" s="48" t="n">
        <v>12706</v>
      </c>
      <c r="G1909" s="48" t="n">
        <v>12818</v>
      </c>
      <c r="H1909" s="48" t="n">
        <v>12498</v>
      </c>
      <c r="I1909" s="48" t="n">
        <v>12704</v>
      </c>
      <c r="J1909" s="48" t="n">
        <v>12564</v>
      </c>
      <c r="K1909" s="48" t="n">
        <v>12611</v>
      </c>
      <c r="L1909" s="48" t="n">
        <v>83058752</v>
      </c>
      <c r="M1909" s="48" t="n">
        <v>1055178385408</v>
      </c>
      <c r="N1909" s="48" t="n">
        <v>6730</v>
      </c>
      <c r="O1909" s="48" t="n">
        <v>57443842</v>
      </c>
      <c r="P1909" s="48" t="n">
        <v>24592362</v>
      </c>
      <c r="Q1909" s="48" t="n">
        <v>1994</v>
      </c>
      <c r="R1909" s="48" t="n">
        <v>5315</v>
      </c>
      <c r="S1909" s="48" t="n">
        <v>25614910</v>
      </c>
      <c r="T1909" s="48" t="n">
        <v>58466390</v>
      </c>
      <c r="U1909" s="46" t="n">
        <f aca="false">IF($A1909=$A1908,$U1908+1,1)</f>
        <v>85</v>
      </c>
      <c r="V1909" s="48" t="n">
        <f aca="false">IF($U1909&gt;=MA_SHORT,AVERAGE(INDEX($I$1509:$I1909,402-MA_SHORT):$I1909),"")</f>
        <v>12366.05</v>
      </c>
      <c r="W1909" s="48" t="n">
        <f aca="false">IF($U1909&gt;=MA_MED,AVERAGE(INDEX($I$1509:$I1909,402-MA_MED):$I1909),"")</f>
        <v>11975.58</v>
      </c>
      <c r="X1909" s="48" t="str">
        <f aca="false">IF($U1909&gt;=MA_LONG1,AVERAGE(INDEX($I$1509:$I1909,402-MA_LONG1):$I1909),"")</f>
        <v/>
      </c>
      <c r="Y1909" s="48" t="str">
        <f aca="false">IF($U1909&gt;=MA_LONG2,AVERAGE(INDEX($I$1509:$I1909,402-MA_LONG2):$I1909),"")</f>
        <v/>
      </c>
      <c r="Z1909" s="48" t="n">
        <f aca="false">IF($U1909&gt;=MA_SHORT,AVERAGE(INDEX($L$1789:$L1909,122-MA_SHORT):$L1909),"")</f>
        <v>104805220.3</v>
      </c>
      <c r="AA1909" s="48" t="n">
        <f aca="false">IF($U1909=1,$G1909-$H1909,MAX($G1909-$H1909,ABS($G1909-$I1908),ABS($H1909-$I1908)))</f>
        <v>320</v>
      </c>
      <c r="AB1909" s="48" t="n">
        <f aca="false">IF($U1909&gt;=ATR_PER,AVERAGE(INDEX($AA$1789:$AA1909,122-ATR_PER):$AA1909),"")</f>
        <v>267.571428571429</v>
      </c>
      <c r="AC1909" s="48" t="n">
        <f aca="false">$O1909-$P1909</f>
        <v>32851480</v>
      </c>
      <c r="AD1909" s="48" t="n">
        <f aca="false">$AC1909*$I1909</f>
        <v>417345201920</v>
      </c>
      <c r="AE1909" s="49" t="n">
        <f aca="false">IF($Q1909&gt;0,$O1909*$I1909/$Q1909/1000000,"")</f>
        <v>365.981228068205</v>
      </c>
      <c r="AF1909" s="49" t="n">
        <f aca="false">IF($R1909&gt;0,$P1909*$I1909/$R1909/1000000,"")</f>
        <v>58.7810661990593</v>
      </c>
      <c r="AG1909" s="50" t="n">
        <f aca="false">IF(AND(ISNUMBER($AE1909),ISNUMBER($AF1909),$AF1909&gt;0),$AE1909/$AF1909,"")</f>
        <v>6.22617539513194</v>
      </c>
      <c r="AH1909" s="48" t="n">
        <f aca="false">IF($U1909&gt;=5,SUM(INDEX($AD$1879:$AD1909,32-5):$AD1909),"")</f>
        <v>1808431668081</v>
      </c>
      <c r="AI1909" s="48" t="n">
        <f aca="false">IF($U1909&gt;=STRUCT_S,MAX(INDEX($G$1759:$G1909,152-STRUCT_S):$G1909),"")</f>
        <v>12818</v>
      </c>
      <c r="AJ1909" s="48" t="n">
        <f aca="false">IF($U1909&gt;=STRUCT_S,MIN(INDEX($H$1759:$H1909,152-STRUCT_S):$H1909),"")</f>
        <v>11911</v>
      </c>
      <c r="AK1909" s="48" t="n">
        <f aca="false">IF($U1909&gt;=STRUCT_L,MAX(INDEX($G$1659:$G1909,252-STRUCT_L):$G1909),"")</f>
        <v>12818</v>
      </c>
      <c r="AL1909" s="48" t="n">
        <f aca="false">IF($U1909&gt;=STRUCT_L,MIN(INDEX($H$1659:$H1909,252-STRUCT_L):$H1909),"")</f>
        <v>10654</v>
      </c>
      <c r="AM1909" s="46" t="n">
        <f aca="false">IF($A1909&lt;&gt;$A1910,1,0)</f>
        <v>0</v>
      </c>
      <c r="AN1909" s="47" t="str">
        <f aca="false">IF($AM1909=1,$A1909,"")</f>
        <v/>
      </c>
    </row>
    <row r="1910" customFormat="false" ht="15" hidden="false" customHeight="false" outlineLevel="0" collapsed="false">
      <c r="A1910" s="43" t="s">
        <v>167</v>
      </c>
      <c r="B1910" s="44" t="s">
        <v>169</v>
      </c>
      <c r="C1910" s="45" t="n">
        <v>46025</v>
      </c>
      <c r="D1910" s="46" t="n">
        <v>20260103</v>
      </c>
      <c r="E1910" s="47" t="s">
        <v>373</v>
      </c>
      <c r="F1910" s="48" t="n">
        <v>12820</v>
      </c>
      <c r="G1910" s="48" t="n">
        <v>12932</v>
      </c>
      <c r="H1910" s="48" t="n">
        <v>12580</v>
      </c>
      <c r="I1910" s="48" t="n">
        <v>12807</v>
      </c>
      <c r="J1910" s="48" t="n">
        <v>12910</v>
      </c>
      <c r="K1910" s="48" t="n">
        <v>12704</v>
      </c>
      <c r="L1910" s="48" t="n">
        <v>92917516</v>
      </c>
      <c r="M1910" s="48" t="n">
        <v>1189994627412</v>
      </c>
      <c r="N1910" s="48" t="n">
        <v>2875</v>
      </c>
      <c r="O1910" s="48" t="n">
        <v>62728840</v>
      </c>
      <c r="P1910" s="48" t="n">
        <v>28795340</v>
      </c>
      <c r="Q1910" s="48" t="n">
        <v>642</v>
      </c>
      <c r="R1910" s="48" t="n">
        <v>1314</v>
      </c>
      <c r="S1910" s="48" t="n">
        <v>30188676</v>
      </c>
      <c r="T1910" s="48" t="n">
        <v>64122176</v>
      </c>
      <c r="U1910" s="46" t="n">
        <f aca="false">IF($A1910=$A1909,$U1909+1,1)</f>
        <v>86</v>
      </c>
      <c r="V1910" s="48" t="n">
        <f aca="false">IF($U1910&gt;=MA_SHORT,AVERAGE(INDEX($I$1510:$I1910,402-MA_SHORT):$I1910),"")</f>
        <v>12383.85</v>
      </c>
      <c r="W1910" s="48" t="n">
        <f aca="false">IF($U1910&gt;=MA_MED,AVERAGE(INDEX($I$1510:$I1910,402-MA_MED):$I1910),"")</f>
        <v>11994.28</v>
      </c>
      <c r="X1910" s="48" t="str">
        <f aca="false">IF($U1910&gt;=MA_LONG1,AVERAGE(INDEX($I$1510:$I1910,402-MA_LONG1):$I1910),"")</f>
        <v/>
      </c>
      <c r="Y1910" s="48" t="str">
        <f aca="false">IF($U1910&gt;=MA_LONG2,AVERAGE(INDEX($I$1510:$I1910,402-MA_LONG2):$I1910),"")</f>
        <v/>
      </c>
      <c r="Z1910" s="48" t="n">
        <f aca="false">IF($U1910&gt;=MA_SHORT,AVERAGE(INDEX($L$1790:$L1910,122-MA_SHORT):$L1910),"")</f>
        <v>104757562.8</v>
      </c>
      <c r="AA1910" s="48" t="n">
        <f aca="false">IF($U1910=1,$G1910-$H1910,MAX($G1910-$H1910,ABS($G1910-$I1909),ABS($H1910-$I1909)))</f>
        <v>352</v>
      </c>
      <c r="AB1910" s="48" t="n">
        <f aca="false">IF($U1910&gt;=ATR_PER,AVERAGE(INDEX($AA$1790:$AA1910,122-ATR_PER):$AA1910),"")</f>
        <v>280.642857142857</v>
      </c>
      <c r="AC1910" s="48" t="n">
        <f aca="false">$O1910-$P1910</f>
        <v>33933500</v>
      </c>
      <c r="AD1910" s="48" t="n">
        <f aca="false">$AC1910*$I1910</f>
        <v>434586334500</v>
      </c>
      <c r="AE1910" s="49" t="n">
        <f aca="false">IF($Q1910&gt;0,$O1910*$I1910/$Q1910/1000000,"")</f>
        <v>1251.35242037383</v>
      </c>
      <c r="AF1910" s="49" t="n">
        <f aca="false">IF($R1910&gt;0,$P1910*$I1910/$R1910/1000000,"")</f>
        <v>280.655950821918</v>
      </c>
      <c r="AG1910" s="50" t="n">
        <f aca="false">IF(AND(ISNUMBER($AE1910),ISNUMBER($AF1910),$AF1910&gt;0),$AE1910/$AF1910,"")</f>
        <v>4.45867054202546</v>
      </c>
      <c r="AH1910" s="48" t="n">
        <f aca="false">IF($U1910&gt;=5,SUM(INDEX($AD$1880:$AD1910,32-5):$AD1910),"")</f>
        <v>2067439186363</v>
      </c>
      <c r="AI1910" s="48" t="n">
        <f aca="false">IF($U1910&gt;=STRUCT_S,MAX(INDEX($G$1760:$G1910,152-STRUCT_S):$G1910),"")</f>
        <v>12932</v>
      </c>
      <c r="AJ1910" s="48" t="n">
        <f aca="false">IF($U1910&gt;=STRUCT_S,MIN(INDEX($H$1760:$H1910,152-STRUCT_S):$H1910),"")</f>
        <v>11911</v>
      </c>
      <c r="AK1910" s="48" t="n">
        <f aca="false">IF($U1910&gt;=STRUCT_L,MAX(INDEX($G$1660:$G1910,252-STRUCT_L):$G1910),"")</f>
        <v>12932</v>
      </c>
      <c r="AL1910" s="48" t="n">
        <f aca="false">IF($U1910&gt;=STRUCT_L,MIN(INDEX($H$1660:$H1910,252-STRUCT_L):$H1910),"")</f>
        <v>10654</v>
      </c>
      <c r="AM1910" s="46" t="n">
        <f aca="false">IF($A1910&lt;&gt;$A1911,1,0)</f>
        <v>0</v>
      </c>
      <c r="AN1910" s="47" t="str">
        <f aca="false">IF($AM1910=1,$A1910,"")</f>
        <v/>
      </c>
    </row>
    <row r="1911" customFormat="false" ht="15" hidden="false" customHeight="false" outlineLevel="0" collapsed="false">
      <c r="A1911" s="43" t="s">
        <v>167</v>
      </c>
      <c r="B1911" s="44" t="s">
        <v>169</v>
      </c>
      <c r="C1911" s="45" t="n">
        <v>46026</v>
      </c>
      <c r="D1911" s="46" t="n">
        <v>20260104</v>
      </c>
      <c r="E1911" s="47" t="s">
        <v>374</v>
      </c>
      <c r="F1911" s="48" t="n">
        <v>12841</v>
      </c>
      <c r="G1911" s="48" t="n">
        <v>13045</v>
      </c>
      <c r="H1911" s="48" t="n">
        <v>12524</v>
      </c>
      <c r="I1911" s="48" t="n">
        <v>12761</v>
      </c>
      <c r="J1911" s="48" t="n">
        <v>12595</v>
      </c>
      <c r="K1911" s="48" t="n">
        <v>12807</v>
      </c>
      <c r="L1911" s="48" t="n">
        <v>107331913</v>
      </c>
      <c r="M1911" s="48" t="n">
        <v>1369662541793</v>
      </c>
      <c r="N1911" s="48" t="n">
        <v>4915</v>
      </c>
      <c r="O1911" s="48" t="n">
        <v>64396324</v>
      </c>
      <c r="P1911" s="48" t="n">
        <v>45999777</v>
      </c>
      <c r="Q1911" s="48" t="n">
        <v>2596</v>
      </c>
      <c r="R1911" s="48" t="n">
        <v>1204</v>
      </c>
      <c r="S1911" s="48" t="n">
        <v>42935589</v>
      </c>
      <c r="T1911" s="48" t="n">
        <v>61332136</v>
      </c>
      <c r="U1911" s="46" t="n">
        <f aca="false">IF($A1911=$A1910,$U1910+1,1)</f>
        <v>87</v>
      </c>
      <c r="V1911" s="48" t="n">
        <f aca="false">IF($U1911&gt;=MA_SHORT,AVERAGE(INDEX($I$1511:$I1911,402-MA_SHORT):$I1911),"")</f>
        <v>12399.2</v>
      </c>
      <c r="W1911" s="48" t="n">
        <f aca="false">IF($U1911&gt;=MA_MED,AVERAGE(INDEX($I$1511:$I1911,402-MA_MED):$I1911),"")</f>
        <v>12006.38</v>
      </c>
      <c r="X1911" s="48" t="str">
        <f aca="false">IF($U1911&gt;=MA_LONG1,AVERAGE(INDEX($I$1511:$I1911,402-MA_LONG1):$I1911),"")</f>
        <v/>
      </c>
      <c r="Y1911" s="48" t="str">
        <f aca="false">IF($U1911&gt;=MA_LONG2,AVERAGE(INDEX($I$1511:$I1911,402-MA_LONG2):$I1911),"")</f>
        <v/>
      </c>
      <c r="Z1911" s="48" t="n">
        <f aca="false">IF($U1911&gt;=MA_SHORT,AVERAGE(INDEX($L$1791:$L1911,122-MA_SHORT):$L1911),"")</f>
        <v>106141440.7</v>
      </c>
      <c r="AA1911" s="48" t="n">
        <f aca="false">IF($U1911=1,$G1911-$H1911,MAX($G1911-$H1911,ABS($G1911-$I1910),ABS($H1911-$I1910)))</f>
        <v>521</v>
      </c>
      <c r="AB1911" s="48" t="n">
        <f aca="false">IF($U1911&gt;=ATR_PER,AVERAGE(INDEX($AA$1791:$AA1911,122-ATR_PER):$AA1911),"")</f>
        <v>310</v>
      </c>
      <c r="AC1911" s="48" t="n">
        <f aca="false">$O1911-$P1911</f>
        <v>18396547</v>
      </c>
      <c r="AD1911" s="48" t="n">
        <f aca="false">$AC1911*$I1911</f>
        <v>234758336267</v>
      </c>
      <c r="AE1911" s="49" t="n">
        <f aca="false">IF($Q1911&gt;0,$O1911*$I1911/$Q1911/1000000,"")</f>
        <v>316.549110386749</v>
      </c>
      <c r="AF1911" s="49" t="n">
        <f aca="false">IF($R1911&gt;0,$P1911*$I1911/$R1911/1000000,"")</f>
        <v>487.544148087209</v>
      </c>
      <c r="AG1911" s="50" t="n">
        <f aca="false">IF(AND(ISNUMBER($AE1911),ISNUMBER($AF1911),$AF1911&gt;0),$AE1911/$AF1911,"")</f>
        <v>0.649272710232851</v>
      </c>
      <c r="AH1911" s="48" t="n">
        <f aca="false">IF($U1911&gt;=5,SUM(INDEX($AD$1881:$AD1911,32-5):$AD1911),"")</f>
        <v>1542106130494</v>
      </c>
      <c r="AI1911" s="48" t="n">
        <f aca="false">IF($U1911&gt;=STRUCT_S,MAX(INDEX($G$1761:$G1911,152-STRUCT_S):$G1911),"")</f>
        <v>13045</v>
      </c>
      <c r="AJ1911" s="48" t="n">
        <f aca="false">IF($U1911&gt;=STRUCT_S,MIN(INDEX($H$1761:$H1911,152-STRUCT_S):$H1911),"")</f>
        <v>11911</v>
      </c>
      <c r="AK1911" s="48" t="n">
        <f aca="false">IF($U1911&gt;=STRUCT_L,MAX(INDEX($G$1661:$G1911,252-STRUCT_L):$G1911),"")</f>
        <v>13045</v>
      </c>
      <c r="AL1911" s="48" t="n">
        <f aca="false">IF($U1911&gt;=STRUCT_L,MIN(INDEX($H$1661:$H1911,252-STRUCT_L):$H1911),"")</f>
        <v>10654</v>
      </c>
      <c r="AM1911" s="46" t="n">
        <f aca="false">IF($A1911&lt;&gt;$A1912,1,0)</f>
        <v>0</v>
      </c>
      <c r="AN1911" s="47" t="str">
        <f aca="false">IF($AM1911=1,$A1911,"")</f>
        <v/>
      </c>
    </row>
    <row r="1912" customFormat="false" ht="15" hidden="false" customHeight="false" outlineLevel="0" collapsed="false">
      <c r="A1912" s="43" t="s">
        <v>167</v>
      </c>
      <c r="B1912" s="44" t="s">
        <v>169</v>
      </c>
      <c r="C1912" s="45" t="n">
        <v>46027</v>
      </c>
      <c r="D1912" s="46" t="n">
        <v>20260105</v>
      </c>
      <c r="E1912" s="47" t="s">
        <v>375</v>
      </c>
      <c r="F1912" s="48" t="n">
        <v>12684</v>
      </c>
      <c r="G1912" s="48" t="n">
        <v>12794</v>
      </c>
      <c r="H1912" s="48" t="n">
        <v>12675</v>
      </c>
      <c r="I1912" s="48" t="n">
        <v>12708</v>
      </c>
      <c r="J1912" s="48" t="n">
        <v>12782</v>
      </c>
      <c r="K1912" s="48" t="n">
        <v>12761</v>
      </c>
      <c r="L1912" s="48" t="n">
        <v>81521463</v>
      </c>
      <c r="M1912" s="48" t="n">
        <v>1035974751804</v>
      </c>
      <c r="N1912" s="48" t="n">
        <v>2143</v>
      </c>
      <c r="O1912" s="48" t="n">
        <v>45511139</v>
      </c>
      <c r="P1912" s="48" t="n">
        <v>31686286</v>
      </c>
      <c r="Q1912" s="48" t="n">
        <v>1379</v>
      </c>
      <c r="R1912" s="48" t="n">
        <v>493</v>
      </c>
      <c r="S1912" s="48" t="n">
        <v>36010324</v>
      </c>
      <c r="T1912" s="48" t="n">
        <v>49835177</v>
      </c>
      <c r="U1912" s="46" t="n">
        <f aca="false">IF($A1912=$A1911,$U1911+1,1)</f>
        <v>88</v>
      </c>
      <c r="V1912" s="48" t="n">
        <f aca="false">IF($U1912&gt;=MA_SHORT,AVERAGE(INDEX($I$1512:$I1912,402-MA_SHORT):$I1912),"")</f>
        <v>12410.75</v>
      </c>
      <c r="W1912" s="48" t="n">
        <f aca="false">IF($U1912&gt;=MA_MED,AVERAGE(INDEX($I$1512:$I1912,402-MA_MED):$I1912),"")</f>
        <v>12017.74</v>
      </c>
      <c r="X1912" s="48" t="str">
        <f aca="false">IF($U1912&gt;=MA_LONG1,AVERAGE(INDEX($I$1512:$I1912,402-MA_LONG1):$I1912),"")</f>
        <v/>
      </c>
      <c r="Y1912" s="48" t="str">
        <f aca="false">IF($U1912&gt;=MA_LONG2,AVERAGE(INDEX($I$1512:$I1912,402-MA_LONG2):$I1912),"")</f>
        <v/>
      </c>
      <c r="Z1912" s="48" t="n">
        <f aca="false">IF($U1912&gt;=MA_SHORT,AVERAGE(INDEX($L$1792:$L1912,122-MA_SHORT):$L1912),"")</f>
        <v>106196477.6</v>
      </c>
      <c r="AA1912" s="48" t="n">
        <f aca="false">IF($U1912=1,$G1912-$H1912,MAX($G1912-$H1912,ABS($G1912-$I1911),ABS($H1912-$I1911)))</f>
        <v>119</v>
      </c>
      <c r="AB1912" s="48" t="n">
        <f aca="false">IF($U1912&gt;=ATR_PER,AVERAGE(INDEX($AA$1792:$AA1912,122-ATR_PER):$AA1912),"")</f>
        <v>293.642857142857</v>
      </c>
      <c r="AC1912" s="48" t="n">
        <f aca="false">$O1912-$P1912</f>
        <v>13824853</v>
      </c>
      <c r="AD1912" s="48" t="n">
        <f aca="false">$AC1912*$I1912</f>
        <v>175686231924</v>
      </c>
      <c r="AE1912" s="49" t="n">
        <f aca="false">IF($Q1912&gt;0,$O1912*$I1912/$Q1912/1000000,"")</f>
        <v>419.402142430747</v>
      </c>
      <c r="AF1912" s="49" t="n">
        <f aca="false">IF($R1912&gt;0,$P1912*$I1912/$R1912/1000000,"")</f>
        <v>816.773473606491</v>
      </c>
      <c r="AG1912" s="50" t="n">
        <f aca="false">IF(AND(ISNUMBER($AE1912),ISNUMBER($AF1912),$AF1912&gt;0),$AE1912/$AF1912,"")</f>
        <v>0.513486487971827</v>
      </c>
      <c r="AH1912" s="48" t="n">
        <f aca="false">IF($U1912&gt;=5,SUM(INDEX($AD$1882:$AD1912,32-5):$AD1912),"")</f>
        <v>1606859454322</v>
      </c>
      <c r="AI1912" s="48" t="n">
        <f aca="false">IF($U1912&gt;=STRUCT_S,MAX(INDEX($G$1762:$G1912,152-STRUCT_S):$G1912),"")</f>
        <v>13045</v>
      </c>
      <c r="AJ1912" s="48" t="n">
        <f aca="false">IF($U1912&gt;=STRUCT_S,MIN(INDEX($H$1762:$H1912,152-STRUCT_S):$H1912),"")</f>
        <v>11911</v>
      </c>
      <c r="AK1912" s="48" t="n">
        <f aca="false">IF($U1912&gt;=STRUCT_L,MAX(INDEX($G$1662:$G1912,252-STRUCT_L):$G1912),"")</f>
        <v>13045</v>
      </c>
      <c r="AL1912" s="48" t="n">
        <f aca="false">IF($U1912&gt;=STRUCT_L,MIN(INDEX($H$1662:$H1912,252-STRUCT_L):$H1912),"")</f>
        <v>10654</v>
      </c>
      <c r="AM1912" s="46" t="n">
        <f aca="false">IF($A1912&lt;&gt;$A1913,1,0)</f>
        <v>0</v>
      </c>
      <c r="AN1912" s="47" t="str">
        <f aca="false">IF($AM1912=1,$A1912,"")</f>
        <v/>
      </c>
    </row>
    <row r="1913" customFormat="false" ht="15" hidden="false" customHeight="false" outlineLevel="0" collapsed="false">
      <c r="A1913" s="43" t="s">
        <v>167</v>
      </c>
      <c r="B1913" s="44" t="s">
        <v>169</v>
      </c>
      <c r="C1913" s="45" t="n">
        <v>46028</v>
      </c>
      <c r="D1913" s="46" t="n">
        <v>20260106</v>
      </c>
      <c r="E1913" s="47" t="s">
        <v>376</v>
      </c>
      <c r="F1913" s="48" t="n">
        <v>13015</v>
      </c>
      <c r="G1913" s="48" t="n">
        <v>13024</v>
      </c>
      <c r="H1913" s="48" t="n">
        <v>12580</v>
      </c>
      <c r="I1913" s="48" t="n">
        <v>12895</v>
      </c>
      <c r="J1913" s="48" t="n">
        <v>12937</v>
      </c>
      <c r="K1913" s="48" t="n">
        <v>12708</v>
      </c>
      <c r="L1913" s="48" t="n">
        <v>86561965</v>
      </c>
      <c r="M1913" s="48" t="n">
        <v>1116216538675</v>
      </c>
      <c r="N1913" s="48" t="n">
        <v>3993</v>
      </c>
      <c r="O1913" s="48" t="n">
        <v>51745809</v>
      </c>
      <c r="P1913" s="48" t="n">
        <v>38184531</v>
      </c>
      <c r="Q1913" s="48" t="n">
        <v>1117</v>
      </c>
      <c r="R1913" s="48" t="n">
        <v>2526</v>
      </c>
      <c r="S1913" s="48" t="n">
        <v>34816156</v>
      </c>
      <c r="T1913" s="48" t="n">
        <v>48377434</v>
      </c>
      <c r="U1913" s="46" t="n">
        <f aca="false">IF($A1913=$A1912,$U1912+1,1)</f>
        <v>89</v>
      </c>
      <c r="V1913" s="48" t="n">
        <f aca="false">IF($U1913&gt;=MA_SHORT,AVERAGE(INDEX($I$1513:$I1913,402-MA_SHORT):$I1913),"")</f>
        <v>12439.5</v>
      </c>
      <c r="W1913" s="48" t="n">
        <f aca="false">IF($U1913&gt;=MA_MED,AVERAGE(INDEX($I$1513:$I1913,402-MA_MED):$I1913),"")</f>
        <v>12035.14</v>
      </c>
      <c r="X1913" s="48" t="str">
        <f aca="false">IF($U1913&gt;=MA_LONG1,AVERAGE(INDEX($I$1513:$I1913,402-MA_LONG1):$I1913),"")</f>
        <v/>
      </c>
      <c r="Y1913" s="48" t="str">
        <f aca="false">IF($U1913&gt;=MA_LONG2,AVERAGE(INDEX($I$1513:$I1913,402-MA_LONG2):$I1913),"")</f>
        <v/>
      </c>
      <c r="Z1913" s="48" t="n">
        <f aca="false">IF($U1913&gt;=MA_SHORT,AVERAGE(INDEX($L$1793:$L1913,122-MA_SHORT):$L1913),"")</f>
        <v>105652332</v>
      </c>
      <c r="AA1913" s="48" t="n">
        <f aca="false">IF($U1913=1,$G1913-$H1913,MAX($G1913-$H1913,ABS($G1913-$I1912),ABS($H1913-$I1912)))</f>
        <v>444</v>
      </c>
      <c r="AB1913" s="48" t="n">
        <f aca="false">IF($U1913&gt;=ATR_PER,AVERAGE(INDEX($AA$1793:$AA1913,122-ATR_PER):$AA1913),"")</f>
        <v>304.571428571429</v>
      </c>
      <c r="AC1913" s="48" t="n">
        <f aca="false">$O1913-$P1913</f>
        <v>13561278</v>
      </c>
      <c r="AD1913" s="48" t="n">
        <f aca="false">$AC1913*$I1913</f>
        <v>174872679810</v>
      </c>
      <c r="AE1913" s="49" t="n">
        <f aca="false">IF($Q1913&gt;0,$O1913*$I1913/$Q1913/1000000,"")</f>
        <v>597.369925743062</v>
      </c>
      <c r="AF1913" s="49" t="n">
        <f aca="false">IF($R1913&gt;0,$P1913*$I1913/$R1913/1000000,"")</f>
        <v>194.928553937055</v>
      </c>
      <c r="AG1913" s="50" t="n">
        <f aca="false">IF(AND(ISNUMBER($AE1913),ISNUMBER($AF1913),$AF1913&gt;0),$AE1913/$AF1913,"")</f>
        <v>3.06455834036486</v>
      </c>
      <c r="AH1913" s="48" t="n">
        <f aca="false">IF($U1913&gt;=5,SUM(INDEX($AD$1883:$AD1913,32-5):$AD1913),"")</f>
        <v>1437248784421</v>
      </c>
      <c r="AI1913" s="48" t="n">
        <f aca="false">IF($U1913&gt;=STRUCT_S,MAX(INDEX($G$1763:$G1913,152-STRUCT_S):$G1913),"")</f>
        <v>13045</v>
      </c>
      <c r="AJ1913" s="48" t="n">
        <f aca="false">IF($U1913&gt;=STRUCT_S,MIN(INDEX($H$1763:$H1913,152-STRUCT_S):$H1913),"")</f>
        <v>11911</v>
      </c>
      <c r="AK1913" s="48" t="n">
        <f aca="false">IF($U1913&gt;=STRUCT_L,MAX(INDEX($G$1663:$G1913,252-STRUCT_L):$G1913),"")</f>
        <v>13045</v>
      </c>
      <c r="AL1913" s="48" t="n">
        <f aca="false">IF($U1913&gt;=STRUCT_L,MIN(INDEX($H$1663:$H1913,252-STRUCT_L):$H1913),"")</f>
        <v>10654</v>
      </c>
      <c r="AM1913" s="46" t="n">
        <f aca="false">IF($A1913&lt;&gt;$A1914,1,0)</f>
        <v>0</v>
      </c>
      <c r="AN1913" s="47" t="str">
        <f aca="false">IF($AM1913=1,$A1913,"")</f>
        <v/>
      </c>
    </row>
    <row r="1914" customFormat="false" ht="15" hidden="false" customHeight="false" outlineLevel="0" collapsed="false">
      <c r="A1914" s="43" t="s">
        <v>167</v>
      </c>
      <c r="B1914" s="44" t="s">
        <v>169</v>
      </c>
      <c r="C1914" s="45" t="n">
        <v>46029</v>
      </c>
      <c r="D1914" s="46" t="n">
        <v>20260107</v>
      </c>
      <c r="E1914" s="47" t="s">
        <v>377</v>
      </c>
      <c r="F1914" s="48" t="n">
        <v>12689</v>
      </c>
      <c r="G1914" s="48" t="n">
        <v>13151</v>
      </c>
      <c r="H1914" s="48" t="n">
        <v>12598</v>
      </c>
      <c r="I1914" s="48" t="n">
        <v>12853</v>
      </c>
      <c r="J1914" s="48" t="n">
        <v>12874</v>
      </c>
      <c r="K1914" s="48" t="n">
        <v>12895</v>
      </c>
      <c r="L1914" s="48" t="n">
        <v>92216732</v>
      </c>
      <c r="M1914" s="48" t="n">
        <v>1185261656396</v>
      </c>
      <c r="N1914" s="48" t="n">
        <v>6322</v>
      </c>
      <c r="O1914" s="48" t="n">
        <v>45220799</v>
      </c>
      <c r="P1914" s="48" t="n">
        <v>48521227</v>
      </c>
      <c r="Q1914" s="48" t="n">
        <v>4625</v>
      </c>
      <c r="R1914" s="48" t="n">
        <v>1679</v>
      </c>
      <c r="S1914" s="48" t="n">
        <v>46995933</v>
      </c>
      <c r="T1914" s="48" t="n">
        <v>43695505</v>
      </c>
      <c r="U1914" s="46" t="n">
        <f aca="false">IF($A1914=$A1913,$U1913+1,1)</f>
        <v>90</v>
      </c>
      <c r="V1914" s="48" t="n">
        <f aca="false">IF($U1914&gt;=MA_SHORT,AVERAGE(INDEX($I$1514:$I1914,402-MA_SHORT):$I1914),"")</f>
        <v>12458.9</v>
      </c>
      <c r="W1914" s="48" t="n">
        <f aca="false">IF($U1914&gt;=MA_MED,AVERAGE(INDEX($I$1514:$I1914,402-MA_MED):$I1914),"")</f>
        <v>12054.34</v>
      </c>
      <c r="X1914" s="48" t="str">
        <f aca="false">IF($U1914&gt;=MA_LONG1,AVERAGE(INDEX($I$1514:$I1914,402-MA_LONG1):$I1914),"")</f>
        <v/>
      </c>
      <c r="Y1914" s="48" t="str">
        <f aca="false">IF($U1914&gt;=MA_LONG2,AVERAGE(INDEX($I$1514:$I1914,402-MA_LONG2):$I1914),"")</f>
        <v/>
      </c>
      <c r="Z1914" s="48" t="n">
        <f aca="false">IF($U1914&gt;=MA_SHORT,AVERAGE(INDEX($L$1794:$L1914,122-MA_SHORT):$L1914),"")</f>
        <v>105230263.25</v>
      </c>
      <c r="AA1914" s="48" t="n">
        <f aca="false">IF($U1914=1,$G1914-$H1914,MAX($G1914-$H1914,ABS($G1914-$I1913),ABS($H1914-$I1913)))</f>
        <v>553</v>
      </c>
      <c r="AB1914" s="48" t="n">
        <f aca="false">IF($U1914&gt;=ATR_PER,AVERAGE(INDEX($AA$1794:$AA1914,122-ATR_PER):$AA1914),"")</f>
        <v>328.357142857143</v>
      </c>
      <c r="AC1914" s="48" t="n">
        <f aca="false">$O1914-$P1914</f>
        <v>-3300428</v>
      </c>
      <c r="AD1914" s="48" t="n">
        <f aca="false">$AC1914*$I1914</f>
        <v>-42420401084</v>
      </c>
      <c r="AE1914" s="49" t="n">
        <f aca="false">IF($Q1914&gt;0,$O1914*$I1914/$Q1914/1000000,"")</f>
        <v>125.669822604757</v>
      </c>
      <c r="AF1914" s="49" t="n">
        <f aca="false">IF($R1914&gt;0,$P1914*$I1914/$R1914/1000000,"")</f>
        <v>371.437361900536</v>
      </c>
      <c r="AG1914" s="50" t="n">
        <f aca="false">IF(AND(ISNUMBER($AE1914),ISNUMBER($AF1914),$AF1914&gt;0),$AE1914/$AF1914,"")</f>
        <v>0.338333822859771</v>
      </c>
      <c r="AH1914" s="48" t="n">
        <f aca="false">IF($U1914&gt;=5,SUM(INDEX($AD$1884:$AD1914,32-5):$AD1914),"")</f>
        <v>977483181417</v>
      </c>
      <c r="AI1914" s="48" t="n">
        <f aca="false">IF($U1914&gt;=STRUCT_S,MAX(INDEX($G$1764:$G1914,152-STRUCT_S):$G1914),"")</f>
        <v>13151</v>
      </c>
      <c r="AJ1914" s="48" t="n">
        <f aca="false">IF($U1914&gt;=STRUCT_S,MIN(INDEX($H$1764:$H1914,152-STRUCT_S):$H1914),"")</f>
        <v>11911</v>
      </c>
      <c r="AK1914" s="48" t="n">
        <f aca="false">IF($U1914&gt;=STRUCT_L,MAX(INDEX($G$1664:$G1914,252-STRUCT_L):$G1914),"")</f>
        <v>13151</v>
      </c>
      <c r="AL1914" s="48" t="n">
        <f aca="false">IF($U1914&gt;=STRUCT_L,MIN(INDEX($H$1664:$H1914,252-STRUCT_L):$H1914),"")</f>
        <v>10654</v>
      </c>
      <c r="AM1914" s="46" t="n">
        <f aca="false">IF($A1914&lt;&gt;$A1915,1,0)</f>
        <v>0</v>
      </c>
      <c r="AN1914" s="47" t="str">
        <f aca="false">IF($AM1914=1,$A1914,"")</f>
        <v/>
      </c>
    </row>
    <row r="1915" customFormat="false" ht="15" hidden="false" customHeight="false" outlineLevel="0" collapsed="false">
      <c r="A1915" s="43" t="s">
        <v>167</v>
      </c>
      <c r="B1915" s="44" t="s">
        <v>169</v>
      </c>
      <c r="C1915" s="45" t="n">
        <v>46032</v>
      </c>
      <c r="D1915" s="46" t="n">
        <v>20260110</v>
      </c>
      <c r="E1915" s="47" t="s">
        <v>378</v>
      </c>
      <c r="F1915" s="48" t="n">
        <v>12592</v>
      </c>
      <c r="G1915" s="48" t="n">
        <v>13085</v>
      </c>
      <c r="H1915" s="48" t="n">
        <v>12520</v>
      </c>
      <c r="I1915" s="48" t="n">
        <v>12750</v>
      </c>
      <c r="J1915" s="48" t="n">
        <v>12849</v>
      </c>
      <c r="K1915" s="48" t="n">
        <v>12853</v>
      </c>
      <c r="L1915" s="48" t="n">
        <v>121521735</v>
      </c>
      <c r="M1915" s="48" t="n">
        <v>1549402121250</v>
      </c>
      <c r="N1915" s="48" t="n">
        <v>3377</v>
      </c>
      <c r="O1915" s="48" t="n">
        <v>64203295</v>
      </c>
      <c r="P1915" s="48" t="n">
        <v>57872748</v>
      </c>
      <c r="Q1915" s="48" t="n">
        <v>1799</v>
      </c>
      <c r="R1915" s="48" t="n">
        <v>1254</v>
      </c>
      <c r="S1915" s="48" t="n">
        <v>57318440</v>
      </c>
      <c r="T1915" s="48" t="n">
        <v>63648987</v>
      </c>
      <c r="U1915" s="46" t="n">
        <f aca="false">IF($A1915=$A1914,$U1914+1,1)</f>
        <v>91</v>
      </c>
      <c r="V1915" s="48" t="n">
        <f aca="false">IF($U1915&gt;=MA_SHORT,AVERAGE(INDEX($I$1515:$I1915,402-MA_SHORT):$I1915),"")</f>
        <v>12479.5</v>
      </c>
      <c r="W1915" s="48" t="n">
        <f aca="false">IF($U1915&gt;=MA_MED,AVERAGE(INDEX($I$1515:$I1915,402-MA_MED):$I1915),"")</f>
        <v>12070.74</v>
      </c>
      <c r="X1915" s="48" t="str">
        <f aca="false">IF($U1915&gt;=MA_LONG1,AVERAGE(INDEX($I$1515:$I1915,402-MA_LONG1):$I1915),"")</f>
        <v/>
      </c>
      <c r="Y1915" s="48" t="str">
        <f aca="false">IF($U1915&gt;=MA_LONG2,AVERAGE(INDEX($I$1515:$I1915,402-MA_LONG2):$I1915),"")</f>
        <v/>
      </c>
      <c r="Z1915" s="48" t="n">
        <f aca="false">IF($U1915&gt;=MA_SHORT,AVERAGE(INDEX($L$1795:$L1915,122-MA_SHORT):$L1915),"")</f>
        <v>105097380.3</v>
      </c>
      <c r="AA1915" s="48" t="n">
        <f aca="false">IF($U1915=1,$G1915-$H1915,MAX($G1915-$H1915,ABS($G1915-$I1914),ABS($H1915-$I1914)))</f>
        <v>565</v>
      </c>
      <c r="AB1915" s="48" t="n">
        <f aca="false">IF($U1915&gt;=ATR_PER,AVERAGE(INDEX($AA$1795:$AA1915,122-ATR_PER):$AA1915),"")</f>
        <v>348.642857142857</v>
      </c>
      <c r="AC1915" s="48" t="n">
        <f aca="false">$O1915-$P1915</f>
        <v>6330547</v>
      </c>
      <c r="AD1915" s="48" t="n">
        <f aca="false">$AC1915*$I1915</f>
        <v>80714474250</v>
      </c>
      <c r="AE1915" s="49" t="n">
        <f aca="false">IF($Q1915&gt;0,$O1915*$I1915/$Q1915/1000000,"")</f>
        <v>455.026131878822</v>
      </c>
      <c r="AF1915" s="49" t="n">
        <f aca="false">IF($R1915&gt;0,$P1915*$I1915/$R1915/1000000,"")</f>
        <v>588.419088516747</v>
      </c>
      <c r="AG1915" s="50" t="n">
        <f aca="false">IF(AND(ISNUMBER($AE1915),ISNUMBER($AF1915),$AF1915&gt;0),$AE1915/$AF1915,"")</f>
        <v>0.77330280536246</v>
      </c>
      <c r="AH1915" s="48" t="n">
        <f aca="false">IF($U1915&gt;=5,SUM(INDEX($AD$1885:$AD1915,32-5):$AD1915),"")</f>
        <v>623611321167</v>
      </c>
      <c r="AI1915" s="48" t="n">
        <f aca="false">IF($U1915&gt;=STRUCT_S,MAX(INDEX($G$1765:$G1915,152-STRUCT_S):$G1915),"")</f>
        <v>13151</v>
      </c>
      <c r="AJ1915" s="48" t="n">
        <f aca="false">IF($U1915&gt;=STRUCT_S,MIN(INDEX($H$1765:$H1915,152-STRUCT_S):$H1915),"")</f>
        <v>11911</v>
      </c>
      <c r="AK1915" s="48" t="n">
        <f aca="false">IF($U1915&gt;=STRUCT_L,MAX(INDEX($G$1665:$G1915,252-STRUCT_L):$G1915),"")</f>
        <v>13151</v>
      </c>
      <c r="AL1915" s="48" t="n">
        <f aca="false">IF($U1915&gt;=STRUCT_L,MIN(INDEX($H$1665:$H1915,252-STRUCT_L):$H1915),"")</f>
        <v>10654</v>
      </c>
      <c r="AM1915" s="46" t="n">
        <f aca="false">IF($A1915&lt;&gt;$A1916,1,0)</f>
        <v>0</v>
      </c>
      <c r="AN1915" s="47" t="str">
        <f aca="false">IF($AM1915=1,$A1915,"")</f>
        <v/>
      </c>
    </row>
    <row r="1916" customFormat="false" ht="15" hidden="false" customHeight="false" outlineLevel="0" collapsed="false">
      <c r="A1916" s="43" t="s">
        <v>167</v>
      </c>
      <c r="B1916" s="44" t="s">
        <v>169</v>
      </c>
      <c r="C1916" s="45" t="n">
        <v>46033</v>
      </c>
      <c r="D1916" s="46" t="n">
        <v>20260111</v>
      </c>
      <c r="E1916" s="47" t="s">
        <v>379</v>
      </c>
      <c r="F1916" s="48" t="n">
        <v>12743</v>
      </c>
      <c r="G1916" s="48" t="n">
        <v>13064</v>
      </c>
      <c r="H1916" s="48" t="n">
        <v>12596</v>
      </c>
      <c r="I1916" s="48" t="n">
        <v>12908</v>
      </c>
      <c r="J1916" s="48" t="n">
        <v>12766</v>
      </c>
      <c r="K1916" s="48" t="n">
        <v>12750</v>
      </c>
      <c r="L1916" s="48" t="n">
        <v>85453353</v>
      </c>
      <c r="M1916" s="48" t="n">
        <v>1103031880524</v>
      </c>
      <c r="N1916" s="48" t="n">
        <v>2477</v>
      </c>
      <c r="O1916" s="48" t="n">
        <v>62327268</v>
      </c>
      <c r="P1916" s="48" t="n">
        <v>24420628</v>
      </c>
      <c r="Q1916" s="48" t="n">
        <v>798</v>
      </c>
      <c r="R1916" s="48" t="n">
        <v>1749</v>
      </c>
      <c r="S1916" s="48" t="n">
        <v>23126085</v>
      </c>
      <c r="T1916" s="48" t="n">
        <v>61032725</v>
      </c>
      <c r="U1916" s="46" t="n">
        <f aca="false">IF($A1916=$A1915,$U1915+1,1)</f>
        <v>92</v>
      </c>
      <c r="V1916" s="48" t="n">
        <f aca="false">IF($U1916&gt;=MA_SHORT,AVERAGE(INDEX($I$1516:$I1916,402-MA_SHORT):$I1916),"")</f>
        <v>12506.75</v>
      </c>
      <c r="W1916" s="48" t="n">
        <f aca="false">IF($U1916&gt;=MA_MED,AVERAGE(INDEX($I$1516:$I1916,402-MA_MED):$I1916),"")</f>
        <v>12096.06</v>
      </c>
      <c r="X1916" s="48" t="str">
        <f aca="false">IF($U1916&gt;=MA_LONG1,AVERAGE(INDEX($I$1516:$I1916,402-MA_LONG1):$I1916),"")</f>
        <v/>
      </c>
      <c r="Y1916" s="48" t="str">
        <f aca="false">IF($U1916&gt;=MA_LONG2,AVERAGE(INDEX($I$1516:$I1916,402-MA_LONG2):$I1916),"")</f>
        <v/>
      </c>
      <c r="Z1916" s="48" t="n">
        <f aca="false">IF($U1916&gt;=MA_SHORT,AVERAGE(INDEX($L$1796:$L1916,122-MA_SHORT):$L1916),"")</f>
        <v>105344729.35</v>
      </c>
      <c r="AA1916" s="48" t="n">
        <f aca="false">IF($U1916=1,$G1916-$H1916,MAX($G1916-$H1916,ABS($G1916-$I1915),ABS($H1916-$I1915)))</f>
        <v>468</v>
      </c>
      <c r="AB1916" s="48" t="n">
        <f aca="false">IF($U1916&gt;=ATR_PER,AVERAGE(INDEX($AA$1796:$AA1916,122-ATR_PER):$AA1916),"")</f>
        <v>365.214285714286</v>
      </c>
      <c r="AC1916" s="48" t="n">
        <f aca="false">$O1916-$P1916</f>
        <v>37906640</v>
      </c>
      <c r="AD1916" s="48" t="n">
        <f aca="false">$AC1916*$I1916</f>
        <v>489298909120</v>
      </c>
      <c r="AE1916" s="49" t="n">
        <f aca="false">IF($Q1916&gt;0,$O1916*$I1916/$Q1916/1000000,"")</f>
        <v>1008.17089642105</v>
      </c>
      <c r="AF1916" s="49" t="n">
        <f aca="false">IF($R1916&gt;0,$P1916*$I1916/$R1916/1000000,"")</f>
        <v>180.229540436821</v>
      </c>
      <c r="AG1916" s="50" t="n">
        <f aca="false">IF(AND(ISNUMBER($AE1916),ISNUMBER($AF1916),$AF1916&gt;0),$AE1916/$AF1916,"")</f>
        <v>5.59381605244932</v>
      </c>
      <c r="AH1916" s="48" t="n">
        <f aca="false">IF($U1916&gt;=5,SUM(INDEX($AD$1886:$AD1916,32-5):$AD1916),"")</f>
        <v>878151894020</v>
      </c>
      <c r="AI1916" s="48" t="n">
        <f aca="false">IF($U1916&gt;=STRUCT_S,MAX(INDEX($G$1766:$G1916,152-STRUCT_S):$G1916),"")</f>
        <v>13151</v>
      </c>
      <c r="AJ1916" s="48" t="n">
        <f aca="false">IF($U1916&gt;=STRUCT_S,MIN(INDEX($H$1766:$H1916,152-STRUCT_S):$H1916),"")</f>
        <v>11911</v>
      </c>
      <c r="AK1916" s="48" t="n">
        <f aca="false">IF($U1916&gt;=STRUCT_L,MAX(INDEX($G$1666:$G1916,252-STRUCT_L):$G1916),"")</f>
        <v>13151</v>
      </c>
      <c r="AL1916" s="48" t="n">
        <f aca="false">IF($U1916&gt;=STRUCT_L,MIN(INDEX($H$1666:$H1916,252-STRUCT_L):$H1916),"")</f>
        <v>10654</v>
      </c>
      <c r="AM1916" s="46" t="n">
        <f aca="false">IF($A1916&lt;&gt;$A1917,1,0)</f>
        <v>0</v>
      </c>
      <c r="AN1916" s="47" t="str">
        <f aca="false">IF($AM1916=1,$A1916,"")</f>
        <v/>
      </c>
    </row>
    <row r="1917" customFormat="false" ht="15" hidden="false" customHeight="false" outlineLevel="0" collapsed="false">
      <c r="A1917" s="43" t="s">
        <v>167</v>
      </c>
      <c r="B1917" s="44" t="s">
        <v>169</v>
      </c>
      <c r="C1917" s="45" t="n">
        <v>46034</v>
      </c>
      <c r="D1917" s="46" t="n">
        <v>20260112</v>
      </c>
      <c r="E1917" s="47" t="s">
        <v>380</v>
      </c>
      <c r="F1917" s="48" t="n">
        <v>13201</v>
      </c>
      <c r="G1917" s="48" t="n">
        <v>13370</v>
      </c>
      <c r="H1917" s="48" t="n">
        <v>12750</v>
      </c>
      <c r="I1917" s="48" t="n">
        <v>13208</v>
      </c>
      <c r="J1917" s="48" t="n">
        <v>12873</v>
      </c>
      <c r="K1917" s="48" t="n">
        <v>12908</v>
      </c>
      <c r="L1917" s="48" t="n">
        <v>129912880</v>
      </c>
      <c r="M1917" s="48" t="n">
        <v>1715889319040</v>
      </c>
      <c r="N1917" s="48" t="n">
        <v>3065</v>
      </c>
      <c r="O1917" s="48" t="n">
        <v>88500986</v>
      </c>
      <c r="P1917" s="48" t="n">
        <v>42411587</v>
      </c>
      <c r="Q1917" s="48" t="n">
        <v>903</v>
      </c>
      <c r="R1917" s="48" t="n">
        <v>1727</v>
      </c>
      <c r="S1917" s="48" t="n">
        <v>41411894</v>
      </c>
      <c r="T1917" s="48" t="n">
        <v>87501293</v>
      </c>
      <c r="U1917" s="46" t="n">
        <f aca="false">IF($A1917=$A1916,$U1916+1,1)</f>
        <v>93</v>
      </c>
      <c r="V1917" s="48" t="n">
        <f aca="false">IF($U1917&gt;=MA_SHORT,AVERAGE(INDEX($I$1517:$I1917,402-MA_SHORT):$I1917),"")</f>
        <v>12550.4</v>
      </c>
      <c r="W1917" s="48" t="n">
        <f aca="false">IF($U1917&gt;=MA_MED,AVERAGE(INDEX($I$1517:$I1917,402-MA_MED):$I1917),"")</f>
        <v>12125.48</v>
      </c>
      <c r="X1917" s="48" t="str">
        <f aca="false">IF($U1917&gt;=MA_LONG1,AVERAGE(INDEX($I$1517:$I1917,402-MA_LONG1):$I1917),"")</f>
        <v/>
      </c>
      <c r="Y1917" s="48" t="str">
        <f aca="false">IF($U1917&gt;=MA_LONG2,AVERAGE(INDEX($I$1517:$I1917,402-MA_LONG2):$I1917),"")</f>
        <v/>
      </c>
      <c r="Z1917" s="48" t="n">
        <f aca="false">IF($U1917&gt;=MA_SHORT,AVERAGE(INDEX($L$1797:$L1917,122-MA_SHORT):$L1917),"")</f>
        <v>99525305.7</v>
      </c>
      <c r="AA1917" s="48" t="n">
        <f aca="false">IF($U1917=1,$G1917-$H1917,MAX($G1917-$H1917,ABS($G1917-$I1916),ABS($H1917-$I1916)))</f>
        <v>620</v>
      </c>
      <c r="AB1917" s="48" t="n">
        <f aca="false">IF($U1917&gt;=ATR_PER,AVERAGE(INDEX($AA$1797:$AA1917,122-ATR_PER):$AA1917),"")</f>
        <v>369.785714285714</v>
      </c>
      <c r="AC1917" s="48" t="n">
        <f aca="false">$O1917-$P1917</f>
        <v>46089399</v>
      </c>
      <c r="AD1917" s="48" t="n">
        <f aca="false">$AC1917*$I1917</f>
        <v>608748781992</v>
      </c>
      <c r="AE1917" s="49" t="n">
        <f aca="false">IF($Q1917&gt;0,$O1917*$I1917/$Q1917/1000000,"")</f>
        <v>1294.48618282171</v>
      </c>
      <c r="AF1917" s="49" t="n">
        <f aca="false">IF($R1917&gt;0,$P1917*$I1917/$R1917/1000000,"")</f>
        <v>324.361459812391</v>
      </c>
      <c r="AG1917" s="50" t="n">
        <f aca="false">IF(AND(ISNUMBER($AE1917),ISNUMBER($AF1917),$AF1917&gt;0),$AE1917/$AF1917,"")</f>
        <v>3.99087543745311</v>
      </c>
      <c r="AH1917" s="48" t="n">
        <f aca="false">IF($U1917&gt;=5,SUM(INDEX($AD$1887:$AD1917,32-5):$AD1917),"")</f>
        <v>1311214444088</v>
      </c>
      <c r="AI1917" s="48" t="n">
        <f aca="false">IF($U1917&gt;=STRUCT_S,MAX(INDEX($G$1767:$G1917,152-STRUCT_S):$G1917),"")</f>
        <v>13370</v>
      </c>
      <c r="AJ1917" s="48" t="n">
        <f aca="false">IF($U1917&gt;=STRUCT_S,MIN(INDEX($H$1767:$H1917,152-STRUCT_S):$H1917),"")</f>
        <v>11911</v>
      </c>
      <c r="AK1917" s="48" t="n">
        <f aca="false">IF($U1917&gt;=STRUCT_L,MAX(INDEX($G$1667:$G1917,252-STRUCT_L):$G1917),"")</f>
        <v>13370</v>
      </c>
      <c r="AL1917" s="48" t="n">
        <f aca="false">IF($U1917&gt;=STRUCT_L,MIN(INDEX($H$1667:$H1917,252-STRUCT_L):$H1917),"")</f>
        <v>10654</v>
      </c>
      <c r="AM1917" s="46" t="n">
        <f aca="false">IF($A1917&lt;&gt;$A1918,1,0)</f>
        <v>0</v>
      </c>
      <c r="AN1917" s="47" t="str">
        <f aca="false">IF($AM1917=1,$A1917,"")</f>
        <v/>
      </c>
    </row>
    <row r="1918" customFormat="false" ht="15" hidden="false" customHeight="false" outlineLevel="0" collapsed="false">
      <c r="A1918" s="43" t="s">
        <v>167</v>
      </c>
      <c r="B1918" s="44" t="s">
        <v>169</v>
      </c>
      <c r="C1918" s="45" t="n">
        <v>46035</v>
      </c>
      <c r="D1918" s="46" t="n">
        <v>20260113</v>
      </c>
      <c r="E1918" s="47" t="s">
        <v>381</v>
      </c>
      <c r="F1918" s="48" t="n">
        <v>13301</v>
      </c>
      <c r="G1918" s="48" t="n">
        <v>13409</v>
      </c>
      <c r="H1918" s="48" t="n">
        <v>13019</v>
      </c>
      <c r="I1918" s="48" t="n">
        <v>13220</v>
      </c>
      <c r="J1918" s="48" t="n">
        <v>13160</v>
      </c>
      <c r="K1918" s="48" t="n">
        <v>13208</v>
      </c>
      <c r="L1918" s="48" t="n">
        <v>94974111</v>
      </c>
      <c r="M1918" s="48" t="n">
        <v>1255557747420</v>
      </c>
      <c r="N1918" s="48" t="n">
        <v>4307</v>
      </c>
      <c r="O1918" s="48" t="n">
        <v>60560655</v>
      </c>
      <c r="P1918" s="48" t="n">
        <v>35825234</v>
      </c>
      <c r="Q1918" s="48" t="n">
        <v>943</v>
      </c>
      <c r="R1918" s="48" t="n">
        <v>2146</v>
      </c>
      <c r="S1918" s="48" t="n">
        <v>34413456</v>
      </c>
      <c r="T1918" s="48" t="n">
        <v>59148877</v>
      </c>
      <c r="U1918" s="46" t="n">
        <f aca="false">IF($A1918=$A1917,$U1917+1,1)</f>
        <v>94</v>
      </c>
      <c r="V1918" s="48" t="n">
        <f aca="false">IF($U1918&gt;=MA_SHORT,AVERAGE(INDEX($I$1518:$I1918,402-MA_SHORT):$I1918),"")</f>
        <v>12592.1</v>
      </c>
      <c r="W1918" s="48" t="n">
        <f aca="false">IF($U1918&gt;=MA_MED,AVERAGE(INDEX($I$1518:$I1918,402-MA_MED):$I1918),"")</f>
        <v>12161.18</v>
      </c>
      <c r="X1918" s="48" t="str">
        <f aca="false">IF($U1918&gt;=MA_LONG1,AVERAGE(INDEX($I$1518:$I1918,402-MA_LONG1):$I1918),"")</f>
        <v/>
      </c>
      <c r="Y1918" s="48" t="str">
        <f aca="false">IF($U1918&gt;=MA_LONG2,AVERAGE(INDEX($I$1518:$I1918,402-MA_LONG2):$I1918),"")</f>
        <v/>
      </c>
      <c r="Z1918" s="48" t="n">
        <f aca="false">IF($U1918&gt;=MA_SHORT,AVERAGE(INDEX($L$1798:$L1918,122-MA_SHORT):$L1918),"")</f>
        <v>100198384.4</v>
      </c>
      <c r="AA1918" s="48" t="n">
        <f aca="false">IF($U1918=1,$G1918-$H1918,MAX($G1918-$H1918,ABS($G1918-$I1917),ABS($H1918-$I1917)))</f>
        <v>390</v>
      </c>
      <c r="AB1918" s="48" t="n">
        <f aca="false">IF($U1918&gt;=ATR_PER,AVERAGE(INDEX($AA$1798:$AA1918,122-ATR_PER):$AA1918),"")</f>
        <v>384.071428571429</v>
      </c>
      <c r="AC1918" s="48" t="n">
        <f aca="false">$O1918-$P1918</f>
        <v>24735421</v>
      </c>
      <c r="AD1918" s="48" t="n">
        <f aca="false">$AC1918*$I1918</f>
        <v>327002265620</v>
      </c>
      <c r="AE1918" s="49" t="n">
        <f aca="false">IF($Q1918&gt;0,$O1918*$I1918/$Q1918/1000000,"")</f>
        <v>849.00515281018</v>
      </c>
      <c r="AF1918" s="49" t="n">
        <f aca="false">IF($R1918&gt;0,$P1918*$I1918/$R1918/1000000,"")</f>
        <v>220.694125573159</v>
      </c>
      <c r="AG1918" s="50" t="n">
        <f aca="false">IF(AND(ISNUMBER($AE1918),ISNUMBER($AF1918),$AF1918&gt;0),$AE1918/$AF1918,"")</f>
        <v>3.84697667237517</v>
      </c>
      <c r="AH1918" s="48" t="n">
        <f aca="false">IF($U1918&gt;=5,SUM(INDEX($AD$1888:$AD1918,32-5):$AD1918),"")</f>
        <v>1463344029898</v>
      </c>
      <c r="AI1918" s="48" t="n">
        <f aca="false">IF($U1918&gt;=STRUCT_S,MAX(INDEX($G$1768:$G1918,152-STRUCT_S):$G1918),"")</f>
        <v>13409</v>
      </c>
      <c r="AJ1918" s="48" t="n">
        <f aca="false">IF($U1918&gt;=STRUCT_S,MIN(INDEX($H$1768:$H1918,152-STRUCT_S):$H1918),"")</f>
        <v>11911</v>
      </c>
      <c r="AK1918" s="48" t="n">
        <f aca="false">IF($U1918&gt;=STRUCT_L,MAX(INDEX($G$1668:$G1918,252-STRUCT_L):$G1918),"")</f>
        <v>13409</v>
      </c>
      <c r="AL1918" s="48" t="n">
        <f aca="false">IF($U1918&gt;=STRUCT_L,MIN(INDEX($H$1668:$H1918,252-STRUCT_L):$H1918),"")</f>
        <v>10654</v>
      </c>
      <c r="AM1918" s="46" t="n">
        <f aca="false">IF($A1918&lt;&gt;$A1919,1,0)</f>
        <v>0</v>
      </c>
      <c r="AN1918" s="47" t="str">
        <f aca="false">IF($AM1918=1,$A1918,"")</f>
        <v/>
      </c>
    </row>
    <row r="1919" customFormat="false" ht="15" hidden="false" customHeight="false" outlineLevel="0" collapsed="false">
      <c r="A1919" s="43" t="s">
        <v>167</v>
      </c>
      <c r="B1919" s="44" t="s">
        <v>169</v>
      </c>
      <c r="C1919" s="45" t="n">
        <v>46036</v>
      </c>
      <c r="D1919" s="46" t="n">
        <v>20260114</v>
      </c>
      <c r="E1919" s="47" t="s">
        <v>382</v>
      </c>
      <c r="F1919" s="48" t="n">
        <v>13104</v>
      </c>
      <c r="G1919" s="48" t="n">
        <v>13360</v>
      </c>
      <c r="H1919" s="48" t="n">
        <v>12966</v>
      </c>
      <c r="I1919" s="48" t="n">
        <v>13104</v>
      </c>
      <c r="J1919" s="48" t="n">
        <v>13028</v>
      </c>
      <c r="K1919" s="48" t="n">
        <v>13220</v>
      </c>
      <c r="L1919" s="48" t="n">
        <v>83726916</v>
      </c>
      <c r="M1919" s="48" t="n">
        <v>1097157507264</v>
      </c>
      <c r="N1919" s="48" t="n">
        <v>3854</v>
      </c>
      <c r="O1919" s="48" t="n">
        <v>41528582</v>
      </c>
      <c r="P1919" s="48" t="n">
        <v>43254507</v>
      </c>
      <c r="Q1919" s="48" t="n">
        <v>1584</v>
      </c>
      <c r="R1919" s="48" t="n">
        <v>1305</v>
      </c>
      <c r="S1919" s="48" t="n">
        <v>42198334</v>
      </c>
      <c r="T1919" s="48" t="n">
        <v>40472409</v>
      </c>
      <c r="U1919" s="46" t="n">
        <f aca="false">IF($A1919=$A1918,$U1918+1,1)</f>
        <v>95</v>
      </c>
      <c r="V1919" s="48" t="n">
        <f aca="false">IF($U1919&gt;=MA_SHORT,AVERAGE(INDEX($I$1519:$I1919,402-MA_SHORT):$I1919),"")</f>
        <v>12631.55</v>
      </c>
      <c r="W1919" s="48" t="n">
        <f aca="false">IF($U1919&gt;=MA_MED,AVERAGE(INDEX($I$1519:$I1919,402-MA_MED):$I1919),"")</f>
        <v>12198.4</v>
      </c>
      <c r="X1919" s="48" t="str">
        <f aca="false">IF($U1919&gt;=MA_LONG1,AVERAGE(INDEX($I$1519:$I1919,402-MA_LONG1):$I1919),"")</f>
        <v/>
      </c>
      <c r="Y1919" s="48" t="str">
        <f aca="false">IF($U1919&gt;=MA_LONG2,AVERAGE(INDEX($I$1519:$I1919,402-MA_LONG2):$I1919),"")</f>
        <v/>
      </c>
      <c r="Z1919" s="48" t="n">
        <f aca="false">IF($U1919&gt;=MA_SHORT,AVERAGE(INDEX($L$1799:$L1919,122-MA_SHORT):$L1919),"")</f>
        <v>100270979.3</v>
      </c>
      <c r="AA1919" s="48" t="n">
        <f aca="false">IF($U1919=1,$G1919-$H1919,MAX($G1919-$H1919,ABS($G1919-$I1918),ABS($H1919-$I1918)))</f>
        <v>394</v>
      </c>
      <c r="AB1919" s="48" t="n">
        <f aca="false">IF($U1919&gt;=ATR_PER,AVERAGE(INDEX($AA$1799:$AA1919,122-ATR_PER):$AA1919),"")</f>
        <v>401.857142857143</v>
      </c>
      <c r="AC1919" s="48" t="n">
        <f aca="false">$O1919-$P1919</f>
        <v>-1725925</v>
      </c>
      <c r="AD1919" s="48" t="n">
        <f aca="false">$AC1919*$I1919</f>
        <v>-22616521200</v>
      </c>
      <c r="AE1919" s="49" t="n">
        <f aca="false">IF($Q1919&gt;0,$O1919*$I1919/$Q1919/1000000,"")</f>
        <v>343.554632909091</v>
      </c>
      <c r="AF1919" s="49" t="n">
        <f aca="false">IF($R1919&gt;0,$P1919*$I1919/$R1919/1000000,"")</f>
        <v>434.334911668966</v>
      </c>
      <c r="AG1919" s="50" t="n">
        <f aca="false">IF(AND(ISNUMBER($AE1919),ISNUMBER($AF1919),$AF1919&gt;0),$AE1919/$AF1919,"")</f>
        <v>0.790990140739448</v>
      </c>
      <c r="AH1919" s="48" t="n">
        <f aca="false">IF($U1919&gt;=5,SUM(INDEX($AD$1889:$AD1919,32-5):$AD1919),"")</f>
        <v>1483147909782</v>
      </c>
      <c r="AI1919" s="48" t="n">
        <f aca="false">IF($U1919&gt;=STRUCT_S,MAX(INDEX($G$1769:$G1919,152-STRUCT_S):$G1919),"")</f>
        <v>13409</v>
      </c>
      <c r="AJ1919" s="48" t="n">
        <f aca="false">IF($U1919&gt;=STRUCT_S,MIN(INDEX($H$1769:$H1919,152-STRUCT_S):$H1919),"")</f>
        <v>11911</v>
      </c>
      <c r="AK1919" s="48" t="n">
        <f aca="false">IF($U1919&gt;=STRUCT_L,MAX(INDEX($G$1669:$G1919,252-STRUCT_L):$G1919),"")</f>
        <v>13409</v>
      </c>
      <c r="AL1919" s="48" t="n">
        <f aca="false">IF($U1919&gt;=STRUCT_L,MIN(INDEX($H$1669:$H1919,252-STRUCT_L):$H1919),"")</f>
        <v>10654</v>
      </c>
      <c r="AM1919" s="46" t="n">
        <f aca="false">IF($A1919&lt;&gt;$A1920,1,0)</f>
        <v>0</v>
      </c>
      <c r="AN1919" s="47" t="str">
        <f aca="false">IF($AM1919=1,$A1919,"")</f>
        <v/>
      </c>
    </row>
    <row r="1920" customFormat="false" ht="15" hidden="false" customHeight="false" outlineLevel="0" collapsed="false">
      <c r="A1920" s="43" t="s">
        <v>167</v>
      </c>
      <c r="B1920" s="44" t="s">
        <v>169</v>
      </c>
      <c r="C1920" s="45" t="n">
        <v>46039</v>
      </c>
      <c r="D1920" s="46" t="n">
        <v>20260117</v>
      </c>
      <c r="E1920" s="47" t="s">
        <v>383</v>
      </c>
      <c r="F1920" s="48" t="n">
        <v>12886</v>
      </c>
      <c r="G1920" s="48" t="n">
        <v>13426</v>
      </c>
      <c r="H1920" s="48" t="n">
        <v>12846</v>
      </c>
      <c r="I1920" s="48" t="n">
        <v>13167</v>
      </c>
      <c r="J1920" s="48" t="n">
        <v>12846</v>
      </c>
      <c r="K1920" s="48" t="n">
        <v>13104</v>
      </c>
      <c r="L1920" s="48" t="n">
        <v>81833772</v>
      </c>
      <c r="M1920" s="48" t="n">
        <v>1077505275924</v>
      </c>
      <c r="N1920" s="48" t="n">
        <v>6461</v>
      </c>
      <c r="O1920" s="48" t="n">
        <v>48342394</v>
      </c>
      <c r="P1920" s="48" t="n">
        <v>35574679</v>
      </c>
      <c r="Q1920" s="48" t="n">
        <v>1572</v>
      </c>
      <c r="R1920" s="48" t="n">
        <v>3720</v>
      </c>
      <c r="S1920" s="48" t="n">
        <v>33491378</v>
      </c>
      <c r="T1920" s="48" t="n">
        <v>46259093</v>
      </c>
      <c r="U1920" s="46" t="n">
        <f aca="false">IF($A1920=$A1919,$U1919+1,1)</f>
        <v>96</v>
      </c>
      <c r="V1920" s="48" t="n">
        <f aca="false">IF($U1920&gt;=MA_SHORT,AVERAGE(INDEX($I$1520:$I1920,402-MA_SHORT):$I1920),"")</f>
        <v>12681.35</v>
      </c>
      <c r="W1920" s="48" t="n">
        <f aca="false">IF($U1920&gt;=MA_MED,AVERAGE(INDEX($I$1520:$I1920,402-MA_MED):$I1920),"")</f>
        <v>12243.2</v>
      </c>
      <c r="X1920" s="48" t="str">
        <f aca="false">IF($U1920&gt;=MA_LONG1,AVERAGE(INDEX($I$1520:$I1920,402-MA_LONG1):$I1920),"")</f>
        <v/>
      </c>
      <c r="Y1920" s="48" t="str">
        <f aca="false">IF($U1920&gt;=MA_LONG2,AVERAGE(INDEX($I$1520:$I1920,402-MA_LONG2):$I1920),"")</f>
        <v/>
      </c>
      <c r="Z1920" s="48" t="n">
        <f aca="false">IF($U1920&gt;=MA_SHORT,AVERAGE(INDEX($L$1800:$L1920,122-MA_SHORT):$L1920),"")</f>
        <v>100106682.05</v>
      </c>
      <c r="AA1920" s="48" t="n">
        <f aca="false">IF($U1920=1,$G1920-$H1920,MAX($G1920-$H1920,ABS($G1920-$I1919),ABS($H1920-$I1919)))</f>
        <v>580</v>
      </c>
      <c r="AB1920" s="48" t="n">
        <f aca="false">IF($U1920&gt;=ATR_PER,AVERAGE(INDEX($AA$1800:$AA1920,122-ATR_PER):$AA1920),"")</f>
        <v>409.214285714286</v>
      </c>
      <c r="AC1920" s="48" t="n">
        <f aca="false">$O1920-$P1920</f>
        <v>12767715</v>
      </c>
      <c r="AD1920" s="48" t="n">
        <f aca="false">$AC1920*$I1920</f>
        <v>168112503405</v>
      </c>
      <c r="AE1920" s="49" t="n">
        <f aca="false">IF($Q1920&gt;0,$O1920*$I1920/$Q1920/1000000,"")</f>
        <v>404.91367798855</v>
      </c>
      <c r="AF1920" s="49" t="n">
        <f aca="false">IF($R1920&gt;0,$P1920*$I1920/$R1920/1000000,"")</f>
        <v>125.917150105645</v>
      </c>
      <c r="AG1920" s="50" t="n">
        <f aca="false">IF(AND(ISNUMBER($AE1920),ISNUMBER($AF1920),$AF1920&gt;0),$AE1920/$AF1920,"")</f>
        <v>3.21571507653107</v>
      </c>
      <c r="AH1920" s="48" t="n">
        <f aca="false">IF($U1920&gt;=5,SUM(INDEX($AD$1890:$AD1920,32-5):$AD1920),"")</f>
        <v>1570545938937</v>
      </c>
      <c r="AI1920" s="48" t="n">
        <f aca="false">IF($U1920&gt;=STRUCT_S,MAX(INDEX($G$1770:$G1920,152-STRUCT_S):$G1920),"")</f>
        <v>13426</v>
      </c>
      <c r="AJ1920" s="48" t="n">
        <f aca="false">IF($U1920&gt;=STRUCT_S,MIN(INDEX($H$1770:$H1920,152-STRUCT_S):$H1920),"")</f>
        <v>11911</v>
      </c>
      <c r="AK1920" s="48" t="n">
        <f aca="false">IF($U1920&gt;=STRUCT_L,MAX(INDEX($G$1670:$G1920,252-STRUCT_L):$G1920),"")</f>
        <v>13426</v>
      </c>
      <c r="AL1920" s="48" t="n">
        <f aca="false">IF($U1920&gt;=STRUCT_L,MIN(INDEX($H$1670:$H1920,252-STRUCT_L):$H1920),"")</f>
        <v>10654</v>
      </c>
      <c r="AM1920" s="46" t="n">
        <f aca="false">IF($A1920&lt;&gt;$A1921,1,0)</f>
        <v>0</v>
      </c>
      <c r="AN1920" s="47" t="str">
        <f aca="false">IF($AM1920=1,$A1920,"")</f>
        <v/>
      </c>
    </row>
    <row r="1921" customFormat="false" ht="15" hidden="false" customHeight="false" outlineLevel="0" collapsed="false">
      <c r="A1921" s="43" t="s">
        <v>167</v>
      </c>
      <c r="B1921" s="44" t="s">
        <v>169</v>
      </c>
      <c r="C1921" s="45" t="n">
        <v>46040</v>
      </c>
      <c r="D1921" s="46" t="n">
        <v>20260118</v>
      </c>
      <c r="E1921" s="47" t="s">
        <v>384</v>
      </c>
      <c r="F1921" s="48" t="n">
        <v>13414</v>
      </c>
      <c r="G1921" s="48" t="n">
        <v>13492</v>
      </c>
      <c r="H1921" s="48" t="n">
        <v>13022</v>
      </c>
      <c r="I1921" s="48" t="n">
        <v>13345</v>
      </c>
      <c r="J1921" s="48" t="n">
        <v>13321</v>
      </c>
      <c r="K1921" s="48" t="n">
        <v>13167</v>
      </c>
      <c r="L1921" s="48" t="n">
        <v>100961975</v>
      </c>
      <c r="M1921" s="48" t="n">
        <v>1347337556375</v>
      </c>
      <c r="N1921" s="48" t="n">
        <v>2301</v>
      </c>
      <c r="O1921" s="48" t="n">
        <v>59106817</v>
      </c>
      <c r="P1921" s="48" t="n">
        <v>49943478</v>
      </c>
      <c r="Q1921" s="48" t="n">
        <v>540</v>
      </c>
      <c r="R1921" s="48" t="n">
        <v>1170</v>
      </c>
      <c r="S1921" s="48" t="n">
        <v>41855158</v>
      </c>
      <c r="T1921" s="48" t="n">
        <v>51018497</v>
      </c>
      <c r="U1921" s="46" t="n">
        <f aca="false">IF($A1921=$A1920,$U1920+1,1)</f>
        <v>97</v>
      </c>
      <c r="V1921" s="48" t="n">
        <f aca="false">IF($U1921&gt;=MA_SHORT,AVERAGE(INDEX($I$1521:$I1921,402-MA_SHORT):$I1921),"")</f>
        <v>12738.9</v>
      </c>
      <c r="W1921" s="48" t="n">
        <f aca="false">IF($U1921&gt;=MA_MED,AVERAGE(INDEX($I$1521:$I1921,402-MA_MED):$I1921),"")</f>
        <v>12293</v>
      </c>
      <c r="X1921" s="48" t="str">
        <f aca="false">IF($U1921&gt;=MA_LONG1,AVERAGE(INDEX($I$1521:$I1921,402-MA_LONG1):$I1921),"")</f>
        <v/>
      </c>
      <c r="Y1921" s="48" t="str">
        <f aca="false">IF($U1921&gt;=MA_LONG2,AVERAGE(INDEX($I$1521:$I1921,402-MA_LONG2):$I1921),"")</f>
        <v/>
      </c>
      <c r="Z1921" s="48" t="n">
        <f aca="false">IF($U1921&gt;=MA_SHORT,AVERAGE(INDEX($L$1801:$L1921,122-MA_SHORT):$L1921),"")</f>
        <v>101132719.9</v>
      </c>
      <c r="AA1921" s="48" t="n">
        <f aca="false">IF($U1921=1,$G1921-$H1921,MAX($G1921-$H1921,ABS($G1921-$I1920),ABS($H1921-$I1920)))</f>
        <v>470</v>
      </c>
      <c r="AB1921" s="48" t="n">
        <f aca="false">IF($U1921&gt;=ATR_PER,AVERAGE(INDEX($AA$1801:$AA1921,122-ATR_PER):$AA1921),"")</f>
        <v>429</v>
      </c>
      <c r="AC1921" s="48" t="n">
        <f aca="false">$O1921-$P1921</f>
        <v>9163339</v>
      </c>
      <c r="AD1921" s="48" t="n">
        <f aca="false">$AC1921*$I1921</f>
        <v>122284758955</v>
      </c>
      <c r="AE1921" s="49" t="n">
        <f aca="false">IF($Q1921&gt;0,$O1921*$I1921/$Q1921/1000000,"")</f>
        <v>1460.70457937963</v>
      </c>
      <c r="AF1921" s="49" t="n">
        <f aca="false">IF($R1921&gt;0,$P1921*$I1921/$R1921/1000000,"")</f>
        <v>569.654456333333</v>
      </c>
      <c r="AG1921" s="50" t="n">
        <f aca="false">IF(AND(ISNUMBER($AE1921),ISNUMBER($AF1921),$AF1921&gt;0),$AE1921/$AF1921,"")</f>
        <v>2.56419407087882</v>
      </c>
      <c r="AH1921" s="48" t="n">
        <f aca="false">IF($U1921&gt;=5,SUM(INDEX($AD$1891:$AD1921,32-5):$AD1921),"")</f>
        <v>1203531788772</v>
      </c>
      <c r="AI1921" s="48" t="n">
        <f aca="false">IF($U1921&gt;=STRUCT_S,MAX(INDEX($G$1771:$G1921,152-STRUCT_S):$G1921),"")</f>
        <v>13492</v>
      </c>
      <c r="AJ1921" s="48" t="n">
        <f aca="false">IF($U1921&gt;=STRUCT_S,MIN(INDEX($H$1771:$H1921,152-STRUCT_S):$H1921),"")</f>
        <v>11911</v>
      </c>
      <c r="AK1921" s="48" t="n">
        <f aca="false">IF($U1921&gt;=STRUCT_L,MAX(INDEX($G$1671:$G1921,252-STRUCT_L):$G1921),"")</f>
        <v>13492</v>
      </c>
      <c r="AL1921" s="48" t="n">
        <f aca="false">IF($U1921&gt;=STRUCT_L,MIN(INDEX($H$1671:$H1921,252-STRUCT_L):$H1921),"")</f>
        <v>10654</v>
      </c>
      <c r="AM1921" s="46" t="n">
        <f aca="false">IF($A1921&lt;&gt;$A1922,1,0)</f>
        <v>0</v>
      </c>
      <c r="AN1921" s="47" t="str">
        <f aca="false">IF($AM1921=1,$A1921,"")</f>
        <v/>
      </c>
    </row>
    <row r="1922" customFormat="false" ht="15" hidden="false" customHeight="false" outlineLevel="0" collapsed="false">
      <c r="A1922" s="43" t="s">
        <v>167</v>
      </c>
      <c r="B1922" s="44" t="s">
        <v>169</v>
      </c>
      <c r="C1922" s="45" t="n">
        <v>46041</v>
      </c>
      <c r="D1922" s="46" t="n">
        <v>20260119</v>
      </c>
      <c r="E1922" s="47" t="s">
        <v>385</v>
      </c>
      <c r="F1922" s="48" t="n">
        <v>13550</v>
      </c>
      <c r="G1922" s="48" t="n">
        <v>13571</v>
      </c>
      <c r="H1922" s="48" t="n">
        <v>13268</v>
      </c>
      <c r="I1922" s="48" t="n">
        <v>13493</v>
      </c>
      <c r="J1922" s="48" t="n">
        <v>13271</v>
      </c>
      <c r="K1922" s="48" t="n">
        <v>13345</v>
      </c>
      <c r="L1922" s="48" t="n">
        <v>84832058</v>
      </c>
      <c r="M1922" s="48" t="n">
        <v>1144638958594</v>
      </c>
      <c r="N1922" s="48" t="n">
        <v>2049</v>
      </c>
      <c r="O1922" s="48" t="n">
        <v>51259840</v>
      </c>
      <c r="P1922" s="48" t="n">
        <v>29412304</v>
      </c>
      <c r="Q1922" s="48" t="n">
        <v>624</v>
      </c>
      <c r="R1922" s="48" t="n">
        <v>1149</v>
      </c>
      <c r="S1922" s="48" t="n">
        <v>33572218</v>
      </c>
      <c r="T1922" s="48" t="n">
        <v>55419754</v>
      </c>
      <c r="U1922" s="46" t="n">
        <f aca="false">IF($A1922=$A1921,$U1921+1,1)</f>
        <v>98</v>
      </c>
      <c r="V1922" s="48" t="n">
        <f aca="false">IF($U1922&gt;=MA_SHORT,AVERAGE(INDEX($I$1522:$I1922,402-MA_SHORT):$I1922),"")</f>
        <v>12800.75</v>
      </c>
      <c r="W1922" s="48" t="n">
        <f aca="false">IF($U1922&gt;=MA_MED,AVERAGE(INDEX($I$1522:$I1922,402-MA_MED):$I1922),"")</f>
        <v>12344.12</v>
      </c>
      <c r="X1922" s="48" t="str">
        <f aca="false">IF($U1922&gt;=MA_LONG1,AVERAGE(INDEX($I$1522:$I1922,402-MA_LONG1):$I1922),"")</f>
        <v/>
      </c>
      <c r="Y1922" s="48" t="str">
        <f aca="false">IF($U1922&gt;=MA_LONG2,AVERAGE(INDEX($I$1522:$I1922,402-MA_LONG2):$I1922),"")</f>
        <v/>
      </c>
      <c r="Z1922" s="48" t="n">
        <f aca="false">IF($U1922&gt;=MA_SHORT,AVERAGE(INDEX($L$1802:$L1922,122-MA_SHORT):$L1922),"")</f>
        <v>101276029.85</v>
      </c>
      <c r="AA1922" s="48" t="n">
        <f aca="false">IF($U1922=1,$G1922-$H1922,MAX($G1922-$H1922,ABS($G1922-$I1921),ABS($H1922-$I1921)))</f>
        <v>303</v>
      </c>
      <c r="AB1922" s="48" t="n">
        <f aca="false">IF($U1922&gt;=ATR_PER,AVERAGE(INDEX($AA$1802:$AA1922,122-ATR_PER):$AA1922),"")</f>
        <v>435.642857142857</v>
      </c>
      <c r="AC1922" s="48" t="n">
        <f aca="false">$O1922-$P1922</f>
        <v>21847536</v>
      </c>
      <c r="AD1922" s="48" t="n">
        <f aca="false">$AC1922*$I1922</f>
        <v>294788803248</v>
      </c>
      <c r="AE1922" s="49" t="n">
        <f aca="false">IF($Q1922&gt;0,$O1922*$I1922/$Q1922/1000000,"")</f>
        <v>1108.41189282051</v>
      </c>
      <c r="AF1922" s="49" t="n">
        <f aca="false">IF($R1922&gt;0,$P1922*$I1922/$R1922/1000000,"")</f>
        <v>345.396186137511</v>
      </c>
      <c r="AG1922" s="50" t="n">
        <f aca="false">IF(AND(ISNUMBER($AE1922),ISNUMBER($AF1922),$AF1922&gt;0),$AE1922/$AF1922,"")</f>
        <v>3.2091028717359</v>
      </c>
      <c r="AH1922" s="48" t="n">
        <f aca="false">IF($U1922&gt;=5,SUM(INDEX($AD$1892:$AD1922,32-5):$AD1922),"")</f>
        <v>889571810028</v>
      </c>
      <c r="AI1922" s="48" t="n">
        <f aca="false">IF($U1922&gt;=STRUCT_S,MAX(INDEX($G$1772:$G1922,152-STRUCT_S):$G1922),"")</f>
        <v>13571</v>
      </c>
      <c r="AJ1922" s="48" t="n">
        <f aca="false">IF($U1922&gt;=STRUCT_S,MIN(INDEX($H$1772:$H1922,152-STRUCT_S):$H1922),"")</f>
        <v>11911</v>
      </c>
      <c r="AK1922" s="48" t="n">
        <f aca="false">IF($U1922&gt;=STRUCT_L,MAX(INDEX($G$1672:$G1922,252-STRUCT_L):$G1922),"")</f>
        <v>13571</v>
      </c>
      <c r="AL1922" s="48" t="n">
        <f aca="false">IF($U1922&gt;=STRUCT_L,MIN(INDEX($H$1672:$H1922,252-STRUCT_L):$H1922),"")</f>
        <v>10654</v>
      </c>
      <c r="AM1922" s="46" t="n">
        <f aca="false">IF($A1922&lt;&gt;$A1923,1,0)</f>
        <v>0</v>
      </c>
      <c r="AN1922" s="47" t="str">
        <f aca="false">IF($AM1922=1,$A1922,"")</f>
        <v/>
      </c>
    </row>
    <row r="1923" customFormat="false" ht="15" hidden="false" customHeight="false" outlineLevel="0" collapsed="false">
      <c r="A1923" s="43" t="s">
        <v>167</v>
      </c>
      <c r="B1923" s="44" t="s">
        <v>169</v>
      </c>
      <c r="C1923" s="45" t="n">
        <v>46042</v>
      </c>
      <c r="D1923" s="46" t="n">
        <v>20260120</v>
      </c>
      <c r="E1923" s="47" t="s">
        <v>386</v>
      </c>
      <c r="F1923" s="48" t="n">
        <v>13540</v>
      </c>
      <c r="G1923" s="48" t="n">
        <v>13627</v>
      </c>
      <c r="H1923" s="48" t="n">
        <v>13434</v>
      </c>
      <c r="I1923" s="48" t="n">
        <v>13568</v>
      </c>
      <c r="J1923" s="48" t="n">
        <v>13486</v>
      </c>
      <c r="K1923" s="48" t="n">
        <v>13493</v>
      </c>
      <c r="L1923" s="48" t="n">
        <v>93516679</v>
      </c>
      <c r="M1923" s="48" t="n">
        <v>1268834300672</v>
      </c>
      <c r="N1923" s="48" t="n">
        <v>3744</v>
      </c>
      <c r="O1923" s="48" t="n">
        <v>49416987</v>
      </c>
      <c r="P1923" s="48" t="n">
        <v>43444793</v>
      </c>
      <c r="Q1923" s="48" t="n">
        <v>792</v>
      </c>
      <c r="R1923" s="48" t="n">
        <v>3059</v>
      </c>
      <c r="S1923" s="48" t="n">
        <v>44099692</v>
      </c>
      <c r="T1923" s="48" t="n">
        <v>50071886</v>
      </c>
      <c r="U1923" s="46" t="n">
        <f aca="false">IF($A1923=$A1922,$U1922+1,1)</f>
        <v>99</v>
      </c>
      <c r="V1923" s="48" t="n">
        <f aca="false">IF($U1923&gt;=MA_SHORT,AVERAGE(INDEX($I$1523:$I1923,402-MA_SHORT):$I1923),"")</f>
        <v>12873.15</v>
      </c>
      <c r="W1923" s="48" t="n">
        <f aca="false">IF($U1923&gt;=MA_MED,AVERAGE(INDEX($I$1523:$I1923,402-MA_MED):$I1923),"")</f>
        <v>12393.18</v>
      </c>
      <c r="X1923" s="48" t="str">
        <f aca="false">IF($U1923&gt;=MA_LONG1,AVERAGE(INDEX($I$1523:$I1923,402-MA_LONG1):$I1923),"")</f>
        <v/>
      </c>
      <c r="Y1923" s="48" t="str">
        <f aca="false">IF($U1923&gt;=MA_LONG2,AVERAGE(INDEX($I$1523:$I1923,402-MA_LONG2):$I1923),"")</f>
        <v/>
      </c>
      <c r="Z1923" s="48" t="n">
        <f aca="false">IF($U1923&gt;=MA_SHORT,AVERAGE(INDEX($L$1803:$L1923,122-MA_SHORT):$L1923),"")</f>
        <v>95729617.35</v>
      </c>
      <c r="AA1923" s="48" t="n">
        <f aca="false">IF($U1923=1,$G1923-$H1923,MAX($G1923-$H1923,ABS($G1923-$I1922),ABS($H1923-$I1922)))</f>
        <v>193</v>
      </c>
      <c r="AB1923" s="48" t="n">
        <f aca="false">IF($U1923&gt;=ATR_PER,AVERAGE(INDEX($AA$1803:$AA1923,122-ATR_PER):$AA1923),"")</f>
        <v>426.571428571429</v>
      </c>
      <c r="AC1923" s="48" t="n">
        <f aca="false">$O1923-$P1923</f>
        <v>5972194</v>
      </c>
      <c r="AD1923" s="48" t="n">
        <f aca="false">$AC1923*$I1923</f>
        <v>81030728192</v>
      </c>
      <c r="AE1923" s="49" t="n">
        <f aca="false">IF($Q1923&gt;0,$O1923*$I1923/$Q1923/1000000,"")</f>
        <v>846.57787830303</v>
      </c>
      <c r="AF1923" s="49" t="n">
        <f aca="false">IF($R1923&gt;0,$P1923*$I1923/$R1923/1000000,"")</f>
        <v>192.696617006865</v>
      </c>
      <c r="AG1923" s="50" t="n">
        <f aca="false">IF(AND(ISNUMBER($AE1923),ISNUMBER($AF1923),$AF1923&gt;0),$AE1923/$AF1923,"")</f>
        <v>4.39331987998975</v>
      </c>
      <c r="AH1923" s="48" t="n">
        <f aca="false">IF($U1923&gt;=5,SUM(INDEX($AD$1893:$AD1923,32-5):$AD1923),"")</f>
        <v>643600272600</v>
      </c>
      <c r="AI1923" s="48" t="n">
        <f aca="false">IF($U1923&gt;=STRUCT_S,MAX(INDEX($G$1773:$G1923,152-STRUCT_S):$G1923),"")</f>
        <v>13627</v>
      </c>
      <c r="AJ1923" s="48" t="n">
        <f aca="false">IF($U1923&gt;=STRUCT_S,MIN(INDEX($H$1773:$H1923,152-STRUCT_S):$H1923),"")</f>
        <v>12032</v>
      </c>
      <c r="AK1923" s="48" t="n">
        <f aca="false">IF($U1923&gt;=STRUCT_L,MAX(INDEX($G$1673:$G1923,252-STRUCT_L):$G1923),"")</f>
        <v>13627</v>
      </c>
      <c r="AL1923" s="48" t="n">
        <f aca="false">IF($U1923&gt;=STRUCT_L,MIN(INDEX($H$1673:$H1923,252-STRUCT_L):$H1923),"")</f>
        <v>10654</v>
      </c>
      <c r="AM1923" s="46" t="n">
        <f aca="false">IF($A1923&lt;&gt;$A1924,1,0)</f>
        <v>0</v>
      </c>
      <c r="AN1923" s="47" t="str">
        <f aca="false">IF($AM1923=1,$A1923,"")</f>
        <v/>
      </c>
    </row>
    <row r="1924" customFormat="false" ht="15" hidden="false" customHeight="false" outlineLevel="0" collapsed="false">
      <c r="A1924" s="43" t="s">
        <v>167</v>
      </c>
      <c r="B1924" s="44" t="s">
        <v>169</v>
      </c>
      <c r="C1924" s="45" t="n">
        <v>46043</v>
      </c>
      <c r="D1924" s="46" t="n">
        <v>20260121</v>
      </c>
      <c r="E1924" s="47" t="s">
        <v>387</v>
      </c>
      <c r="F1924" s="48" t="n">
        <v>13538</v>
      </c>
      <c r="G1924" s="48" t="n">
        <v>13627</v>
      </c>
      <c r="H1924" s="48" t="n">
        <v>13174</v>
      </c>
      <c r="I1924" s="48" t="n">
        <v>13231</v>
      </c>
      <c r="J1924" s="48" t="n">
        <v>13301</v>
      </c>
      <c r="K1924" s="48" t="n">
        <v>13568</v>
      </c>
      <c r="L1924" s="48" t="n">
        <v>91392890</v>
      </c>
      <c r="M1924" s="48" t="n">
        <v>1209219327590</v>
      </c>
      <c r="N1924" s="48" t="n">
        <v>2954</v>
      </c>
      <c r="O1924" s="48" t="n">
        <v>48764499</v>
      </c>
      <c r="P1924" s="48" t="n">
        <v>44070523</v>
      </c>
      <c r="Q1924" s="48" t="n">
        <v>1713</v>
      </c>
      <c r="R1924" s="48" t="n">
        <v>776</v>
      </c>
      <c r="S1924" s="48" t="n">
        <v>42628391</v>
      </c>
      <c r="T1924" s="48" t="n">
        <v>47322367</v>
      </c>
      <c r="U1924" s="46" t="n">
        <f aca="false">IF($A1924=$A1923,$U1923+1,1)</f>
        <v>100</v>
      </c>
      <c r="V1924" s="48" t="n">
        <f aca="false">IF($U1924&gt;=MA_SHORT,AVERAGE(INDEX($I$1524:$I1924,402-MA_SHORT):$I1924),"")</f>
        <v>12928</v>
      </c>
      <c r="W1924" s="48" t="n">
        <f aca="false">IF($U1924&gt;=MA_MED,AVERAGE(INDEX($I$1524:$I1924,402-MA_MED):$I1924),"")</f>
        <v>12429.64</v>
      </c>
      <c r="X1924" s="48" t="n">
        <f aca="false">IF($U1924&gt;=MA_LONG1,AVERAGE(INDEX($I$1524:$I1924,402-MA_LONG1):$I1924),"")</f>
        <v>12118.75</v>
      </c>
      <c r="Y1924" s="48" t="str">
        <f aca="false">IF($U1924&gt;=MA_LONG2,AVERAGE(INDEX($I$1524:$I1924,402-MA_LONG2):$I1924),"")</f>
        <v/>
      </c>
      <c r="Z1924" s="48" t="n">
        <f aca="false">IF($U1924&gt;=MA_SHORT,AVERAGE(INDEX($L$1804:$L1924,122-MA_SHORT):$L1924),"")</f>
        <v>94182184.65</v>
      </c>
      <c r="AA1924" s="48" t="n">
        <f aca="false">IF($U1924=1,$G1924-$H1924,MAX($G1924-$H1924,ABS($G1924-$I1923),ABS($H1924-$I1923)))</f>
        <v>453</v>
      </c>
      <c r="AB1924" s="48" t="n">
        <f aca="false">IF($U1924&gt;=ATR_PER,AVERAGE(INDEX($AA$1804:$AA1924,122-ATR_PER):$AA1924),"")</f>
        <v>433.785714285714</v>
      </c>
      <c r="AC1924" s="48" t="n">
        <f aca="false">$O1924-$P1924</f>
        <v>4693976</v>
      </c>
      <c r="AD1924" s="48" t="n">
        <f aca="false">$AC1924*$I1924</f>
        <v>62105996456</v>
      </c>
      <c r="AE1924" s="49" t="n">
        <f aca="false">IF($Q1924&gt;0,$O1924*$I1924/$Q1924/1000000,"")</f>
        <v>376.650955206655</v>
      </c>
      <c r="AF1924" s="49" t="n">
        <f aca="false">IF($R1924&gt;0,$P1924*$I1924/$R1924/1000000,"")</f>
        <v>751.413775532217</v>
      </c>
      <c r="AG1924" s="50" t="n">
        <f aca="false">IF(AND(ISNUMBER($AE1924),ISNUMBER($AF1924),$AF1924&gt;0),$AE1924/$AF1924,"")</f>
        <v>0.501256388252768</v>
      </c>
      <c r="AH1924" s="48" t="n">
        <f aca="false">IF($U1924&gt;=5,SUM(INDEX($AD$1894:$AD1924,32-5):$AD1924),"")</f>
        <v>728322790256</v>
      </c>
      <c r="AI1924" s="48" t="n">
        <f aca="false">IF($U1924&gt;=STRUCT_S,MAX(INDEX($G$1774:$G1924,152-STRUCT_S):$G1924),"")</f>
        <v>13627</v>
      </c>
      <c r="AJ1924" s="48" t="n">
        <f aca="false">IF($U1924&gt;=STRUCT_S,MIN(INDEX($H$1774:$H1924,152-STRUCT_S):$H1924),"")</f>
        <v>12076</v>
      </c>
      <c r="AK1924" s="48" t="n">
        <f aca="false">IF($U1924&gt;=STRUCT_L,MAX(INDEX($G$1674:$G1924,252-STRUCT_L):$G1924),"")</f>
        <v>13627</v>
      </c>
      <c r="AL1924" s="48" t="n">
        <f aca="false">IF($U1924&gt;=STRUCT_L,MIN(INDEX($H$1674:$H1924,252-STRUCT_L):$H1924),"")</f>
        <v>10654</v>
      </c>
      <c r="AM1924" s="46" t="n">
        <f aca="false">IF($A1924&lt;&gt;$A1925,1,0)</f>
        <v>0</v>
      </c>
      <c r="AN1924" s="47" t="str">
        <f aca="false">IF($AM1924=1,$A1924,"")</f>
        <v/>
      </c>
    </row>
    <row r="1925" customFormat="false" ht="15" hidden="false" customHeight="false" outlineLevel="0" collapsed="false">
      <c r="A1925" s="43" t="s">
        <v>167</v>
      </c>
      <c r="B1925" s="44" t="s">
        <v>169</v>
      </c>
      <c r="C1925" s="45" t="n">
        <v>46046</v>
      </c>
      <c r="D1925" s="46" t="n">
        <v>20260124</v>
      </c>
      <c r="E1925" s="47" t="s">
        <v>388</v>
      </c>
      <c r="F1925" s="48" t="n">
        <v>13131</v>
      </c>
      <c r="G1925" s="48" t="n">
        <v>13302</v>
      </c>
      <c r="H1925" s="48" t="n">
        <v>13022</v>
      </c>
      <c r="I1925" s="48" t="n">
        <v>13093</v>
      </c>
      <c r="J1925" s="48" t="n">
        <v>13030</v>
      </c>
      <c r="K1925" s="48" t="n">
        <v>13231</v>
      </c>
      <c r="L1925" s="48" t="n">
        <v>119254661</v>
      </c>
      <c r="M1925" s="48" t="n">
        <v>1561401276473</v>
      </c>
      <c r="N1925" s="48" t="n">
        <v>10203</v>
      </c>
      <c r="O1925" s="48" t="n">
        <v>72971852</v>
      </c>
      <c r="P1925" s="48" t="n">
        <v>47204822</v>
      </c>
      <c r="Q1925" s="48" t="n">
        <v>5720</v>
      </c>
      <c r="R1925" s="48" t="n">
        <v>2809</v>
      </c>
      <c r="S1925" s="48" t="n">
        <v>46282809</v>
      </c>
      <c r="T1925" s="48" t="n">
        <v>72049839</v>
      </c>
      <c r="U1925" s="46" t="n">
        <f aca="false">IF($A1925=$A1924,$U1924+1,1)</f>
        <v>101</v>
      </c>
      <c r="V1925" s="48" t="n">
        <f aca="false">IF($U1925&gt;=MA_SHORT,AVERAGE(INDEX($I$1525:$I1925,402-MA_SHORT):$I1925),"")</f>
        <v>12974.5</v>
      </c>
      <c r="W1925" s="48" t="n">
        <f aca="false">IF($U1925&gt;=MA_MED,AVERAGE(INDEX($I$1525:$I1925,402-MA_MED):$I1925),"")</f>
        <v>12461.02</v>
      </c>
      <c r="X1925" s="48" t="n">
        <f aca="false">IF($U1925&gt;=MA_LONG1,AVERAGE(INDEX($I$1525:$I1925,402-MA_LONG1):$I1925),"")</f>
        <v>12137.7</v>
      </c>
      <c r="Y1925" s="48" t="str">
        <f aca="false">IF($U1925&gt;=MA_LONG2,AVERAGE(INDEX($I$1525:$I1925,402-MA_LONG2):$I1925),"")</f>
        <v/>
      </c>
      <c r="Z1925" s="48" t="n">
        <f aca="false">IF($U1925&gt;=MA_SHORT,AVERAGE(INDEX($L$1805:$L1925,122-MA_SHORT):$L1925),"")</f>
        <v>96019470.9</v>
      </c>
      <c r="AA1925" s="48" t="n">
        <f aca="false">IF($U1925=1,$G1925-$H1925,MAX($G1925-$H1925,ABS($G1925-$I1924),ABS($H1925-$I1924)))</f>
        <v>280</v>
      </c>
      <c r="AB1925" s="48" t="n">
        <f aca="false">IF($U1925&gt;=ATR_PER,AVERAGE(INDEX($AA$1805:$AA1925,122-ATR_PER):$AA1925),"")</f>
        <v>416.571428571429</v>
      </c>
      <c r="AC1925" s="48" t="n">
        <f aca="false">$O1925-$P1925</f>
        <v>25767030</v>
      </c>
      <c r="AD1925" s="48" t="n">
        <f aca="false">$AC1925*$I1925</f>
        <v>337367723790</v>
      </c>
      <c r="AE1925" s="49" t="n">
        <f aca="false">IF($Q1925&gt;0,$O1925*$I1925/$Q1925/1000000,"")</f>
        <v>167.031548642657</v>
      </c>
      <c r="AF1925" s="49" t="n">
        <f aca="false">IF($R1925&gt;0,$P1925*$I1925/$R1925/1000000,"")</f>
        <v>220.025893359203</v>
      </c>
      <c r="AG1925" s="50" t="n">
        <f aca="false">IF(AND(ISNUMBER($AE1925),ISNUMBER($AF1925),$AF1925&gt;0),$AE1925/$AF1925,"")</f>
        <v>0.759144962861123</v>
      </c>
      <c r="AH1925" s="48" t="n">
        <f aca="false">IF($U1925&gt;=5,SUM(INDEX($AD$1895:$AD1925,32-5):$AD1925),"")</f>
        <v>897578010641</v>
      </c>
      <c r="AI1925" s="48" t="n">
        <f aca="false">IF($U1925&gt;=STRUCT_S,MAX(INDEX($G$1775:$G1925,152-STRUCT_S):$G1925),"")</f>
        <v>13627</v>
      </c>
      <c r="AJ1925" s="48" t="n">
        <f aca="false">IF($U1925&gt;=STRUCT_S,MIN(INDEX($H$1775:$H1925,152-STRUCT_S):$H1925),"")</f>
        <v>12082</v>
      </c>
      <c r="AK1925" s="48" t="n">
        <f aca="false">IF($U1925&gt;=STRUCT_L,MAX(INDEX($G$1675:$G1925,252-STRUCT_L):$G1925),"")</f>
        <v>13627</v>
      </c>
      <c r="AL1925" s="48" t="n">
        <f aca="false">IF($U1925&gt;=STRUCT_L,MIN(INDEX($H$1675:$H1925,252-STRUCT_L):$H1925),"")</f>
        <v>10654</v>
      </c>
      <c r="AM1925" s="46" t="n">
        <f aca="false">IF($A1925&lt;&gt;$A1926,1,0)</f>
        <v>0</v>
      </c>
      <c r="AN1925" s="47" t="str">
        <f aca="false">IF($AM1925=1,$A1925,"")</f>
        <v/>
      </c>
    </row>
    <row r="1926" customFormat="false" ht="15" hidden="false" customHeight="false" outlineLevel="0" collapsed="false">
      <c r="A1926" s="43" t="s">
        <v>167</v>
      </c>
      <c r="B1926" s="44" t="s">
        <v>169</v>
      </c>
      <c r="C1926" s="45" t="n">
        <v>46047</v>
      </c>
      <c r="D1926" s="46" t="n">
        <v>20260125</v>
      </c>
      <c r="E1926" s="47" t="s">
        <v>389</v>
      </c>
      <c r="F1926" s="48" t="n">
        <v>12987</v>
      </c>
      <c r="G1926" s="48" t="n">
        <v>13448</v>
      </c>
      <c r="H1926" s="48" t="n">
        <v>12964</v>
      </c>
      <c r="I1926" s="48" t="n">
        <v>13317</v>
      </c>
      <c r="J1926" s="48" t="n">
        <v>13186</v>
      </c>
      <c r="K1926" s="48" t="n">
        <v>13093</v>
      </c>
      <c r="L1926" s="48" t="n">
        <v>87704105</v>
      </c>
      <c r="M1926" s="48" t="n">
        <v>1167955566285</v>
      </c>
      <c r="N1926" s="48" t="n">
        <v>5267</v>
      </c>
      <c r="O1926" s="48" t="n">
        <v>59272418</v>
      </c>
      <c r="P1926" s="48" t="n">
        <v>22746359</v>
      </c>
      <c r="Q1926" s="48" t="n">
        <v>1423</v>
      </c>
      <c r="R1926" s="48" t="n">
        <v>4040</v>
      </c>
      <c r="S1926" s="48" t="n">
        <v>28431687</v>
      </c>
      <c r="T1926" s="48" t="n">
        <v>64957746</v>
      </c>
      <c r="U1926" s="46" t="n">
        <f aca="false">IF($A1926=$A1925,$U1925+1,1)</f>
        <v>102</v>
      </c>
      <c r="V1926" s="48" t="n">
        <f aca="false">IF($U1926&gt;=MA_SHORT,AVERAGE(INDEX($I$1526:$I1926,402-MA_SHORT):$I1926),"")</f>
        <v>13016.55</v>
      </c>
      <c r="W1926" s="48" t="n">
        <f aca="false">IF($U1926&gt;=MA_MED,AVERAGE(INDEX($I$1526:$I1926,402-MA_MED):$I1926),"")</f>
        <v>12496.56</v>
      </c>
      <c r="X1926" s="48" t="n">
        <f aca="false">IF($U1926&gt;=MA_LONG1,AVERAGE(INDEX($I$1526:$I1926,402-MA_LONG1):$I1926),"")</f>
        <v>12155.79</v>
      </c>
      <c r="Y1926" s="48" t="str">
        <f aca="false">IF($U1926&gt;=MA_LONG2,AVERAGE(INDEX($I$1526:$I1926,402-MA_LONG2):$I1926),"")</f>
        <v/>
      </c>
      <c r="Z1926" s="48" t="n">
        <f aca="false">IF($U1926&gt;=MA_SHORT,AVERAGE(INDEX($L$1806:$L1926,122-MA_SHORT):$L1926),"")</f>
        <v>94988018.15</v>
      </c>
      <c r="AA1926" s="48" t="n">
        <f aca="false">IF($U1926=1,$G1926-$H1926,MAX($G1926-$H1926,ABS($G1926-$I1925),ABS($H1926-$I1925)))</f>
        <v>484</v>
      </c>
      <c r="AB1926" s="48" t="n">
        <f aca="false">IF($U1926&gt;=ATR_PER,AVERAGE(INDEX($AA$1806:$AA1926,122-ATR_PER):$AA1926),"")</f>
        <v>442.642857142857</v>
      </c>
      <c r="AC1926" s="48" t="n">
        <f aca="false">$O1926-$P1926</f>
        <v>36526059</v>
      </c>
      <c r="AD1926" s="48" t="n">
        <f aca="false">$AC1926*$I1926</f>
        <v>486417527703</v>
      </c>
      <c r="AE1926" s="49" t="n">
        <f aca="false">IF($Q1926&gt;0,$O1926*$I1926/$Q1926/1000000,"")</f>
        <v>554.694863321152</v>
      </c>
      <c r="AF1926" s="49" t="n">
        <f aca="false">IF($R1926&gt;0,$P1926*$I1926/$R1926/1000000,"")</f>
        <v>74.9785303967822</v>
      </c>
      <c r="AG1926" s="50" t="n">
        <f aca="false">IF(AND(ISNUMBER($AE1926),ISNUMBER($AF1926),$AF1926&gt;0),$AE1926/$AF1926,"")</f>
        <v>7.39804928671899</v>
      </c>
      <c r="AH1926" s="48" t="n">
        <f aca="false">IF($U1926&gt;=5,SUM(INDEX($AD$1896:$AD1926,32-5):$AD1926),"")</f>
        <v>1261710779389</v>
      </c>
      <c r="AI1926" s="48" t="n">
        <f aca="false">IF($U1926&gt;=STRUCT_S,MAX(INDEX($G$1776:$G1926,152-STRUCT_S):$G1926),"")</f>
        <v>13627</v>
      </c>
      <c r="AJ1926" s="48" t="n">
        <f aca="false">IF($U1926&gt;=STRUCT_S,MIN(INDEX($H$1776:$H1926,152-STRUCT_S):$H1926),"")</f>
        <v>12436</v>
      </c>
      <c r="AK1926" s="48" t="n">
        <f aca="false">IF($U1926&gt;=STRUCT_L,MAX(INDEX($G$1676:$G1926,252-STRUCT_L):$G1926),"")</f>
        <v>13627</v>
      </c>
      <c r="AL1926" s="48" t="n">
        <f aca="false">IF($U1926&gt;=STRUCT_L,MIN(INDEX($H$1676:$H1926,252-STRUCT_L):$H1926),"")</f>
        <v>10654</v>
      </c>
      <c r="AM1926" s="46" t="n">
        <f aca="false">IF($A1926&lt;&gt;$A1927,1,0)</f>
        <v>0</v>
      </c>
      <c r="AN1926" s="47" t="str">
        <f aca="false">IF($AM1926=1,$A1926,"")</f>
        <v/>
      </c>
    </row>
    <row r="1927" customFormat="false" ht="15" hidden="false" customHeight="false" outlineLevel="0" collapsed="false">
      <c r="A1927" s="43" t="s">
        <v>167</v>
      </c>
      <c r="B1927" s="44" t="s">
        <v>169</v>
      </c>
      <c r="C1927" s="45" t="n">
        <v>46048</v>
      </c>
      <c r="D1927" s="46" t="n">
        <v>20260126</v>
      </c>
      <c r="E1927" s="47" t="s">
        <v>390</v>
      </c>
      <c r="F1927" s="48" t="n">
        <v>13341</v>
      </c>
      <c r="G1927" s="48" t="n">
        <v>13427</v>
      </c>
      <c r="H1927" s="48" t="n">
        <v>12870</v>
      </c>
      <c r="I1927" s="48" t="n">
        <v>12977</v>
      </c>
      <c r="J1927" s="48" t="n">
        <v>13046</v>
      </c>
      <c r="K1927" s="48" t="n">
        <v>13317</v>
      </c>
      <c r="L1927" s="48" t="n">
        <v>98487085</v>
      </c>
      <c r="M1927" s="48" t="n">
        <v>1278066902045</v>
      </c>
      <c r="N1927" s="48" t="n">
        <v>3245</v>
      </c>
      <c r="O1927" s="48" t="n">
        <v>52228816</v>
      </c>
      <c r="P1927" s="48" t="n">
        <v>51484297</v>
      </c>
      <c r="Q1927" s="48" t="n">
        <v>1545</v>
      </c>
      <c r="R1927" s="48" t="n">
        <v>731</v>
      </c>
      <c r="S1927" s="48" t="n">
        <v>46258269</v>
      </c>
      <c r="T1927" s="48" t="n">
        <v>47002788</v>
      </c>
      <c r="U1927" s="46" t="n">
        <f aca="false">IF($A1927=$A1926,$U1926+1,1)</f>
        <v>103</v>
      </c>
      <c r="V1927" s="48" t="n">
        <f aca="false">IF($U1927&gt;=MA_SHORT,AVERAGE(INDEX($I$1527:$I1927,402-MA_SHORT):$I1927),"")</f>
        <v>13036</v>
      </c>
      <c r="W1927" s="48" t="n">
        <f aca="false">IF($U1927&gt;=MA_MED,AVERAGE(INDEX($I$1527:$I1927,402-MA_MED):$I1927),"")</f>
        <v>12523.4</v>
      </c>
      <c r="X1927" s="48" t="n">
        <f aca="false">IF($U1927&gt;=MA_LONG1,AVERAGE(INDEX($I$1527:$I1927,402-MA_LONG1):$I1927),"")</f>
        <v>12169.99</v>
      </c>
      <c r="Y1927" s="48" t="str">
        <f aca="false">IF($U1927&gt;=MA_LONG2,AVERAGE(INDEX($I$1527:$I1927,402-MA_LONG2):$I1927),"")</f>
        <v/>
      </c>
      <c r="Z1927" s="48" t="n">
        <f aca="false">IF($U1927&gt;=MA_SHORT,AVERAGE(INDEX($L$1807:$L1927,122-MA_SHORT):$L1927),"")</f>
        <v>95721190.95</v>
      </c>
      <c r="AA1927" s="48" t="n">
        <f aca="false">IF($U1927=1,$G1927-$H1927,MAX($G1927-$H1927,ABS($G1927-$I1926),ABS($H1927-$I1926)))</f>
        <v>557</v>
      </c>
      <c r="AB1927" s="48" t="n">
        <f aca="false">IF($U1927&gt;=ATR_PER,AVERAGE(INDEX($AA$1807:$AA1927,122-ATR_PER):$AA1927),"")</f>
        <v>450.714285714286</v>
      </c>
      <c r="AC1927" s="48" t="n">
        <f aca="false">$O1927-$P1927</f>
        <v>744519</v>
      </c>
      <c r="AD1927" s="48" t="n">
        <f aca="false">$AC1927*$I1927</f>
        <v>9661623063</v>
      </c>
      <c r="AE1927" s="49" t="n">
        <f aca="false">IF($Q1927&gt;0,$O1927*$I1927/$Q1927/1000000,"")</f>
        <v>438.6882493411</v>
      </c>
      <c r="AF1927" s="49" t="n">
        <f aca="false">IF($R1927&gt;0,$P1927*$I1927/$R1927/1000000,"")</f>
        <v>913.969524170999</v>
      </c>
      <c r="AG1927" s="50" t="n">
        <f aca="false">IF(AND(ISNUMBER($AE1927),ISNUMBER($AF1927),$AF1927&gt;0),$AE1927/$AF1927,"")</f>
        <v>0.479981266048237</v>
      </c>
      <c r="AH1927" s="48" t="n">
        <f aca="false">IF($U1927&gt;=5,SUM(INDEX($AD$1897:$AD1927,32-5):$AD1927),"")</f>
        <v>976583599204</v>
      </c>
      <c r="AI1927" s="48" t="n">
        <f aca="false">IF($U1927&gt;=STRUCT_S,MAX(INDEX($G$1777:$G1927,152-STRUCT_S):$G1927),"")</f>
        <v>13627</v>
      </c>
      <c r="AJ1927" s="48" t="n">
        <f aca="false">IF($U1927&gt;=STRUCT_S,MIN(INDEX($H$1777:$H1927,152-STRUCT_S):$H1927),"")</f>
        <v>12495</v>
      </c>
      <c r="AK1927" s="48" t="n">
        <f aca="false">IF($U1927&gt;=STRUCT_L,MAX(INDEX($G$1677:$G1927,252-STRUCT_L):$G1927),"")</f>
        <v>13627</v>
      </c>
      <c r="AL1927" s="48" t="n">
        <f aca="false">IF($U1927&gt;=STRUCT_L,MIN(INDEX($H$1677:$H1927,252-STRUCT_L):$H1927),"")</f>
        <v>10654</v>
      </c>
      <c r="AM1927" s="46" t="n">
        <f aca="false">IF($A1927&lt;&gt;$A1928,1,0)</f>
        <v>0</v>
      </c>
      <c r="AN1927" s="47" t="str">
        <f aca="false">IF($AM1927=1,$A1927,"")</f>
        <v/>
      </c>
    </row>
    <row r="1928" customFormat="false" ht="15" hidden="false" customHeight="false" outlineLevel="0" collapsed="false">
      <c r="A1928" s="43" t="s">
        <v>167</v>
      </c>
      <c r="B1928" s="44" t="s">
        <v>169</v>
      </c>
      <c r="C1928" s="45" t="n">
        <v>46049</v>
      </c>
      <c r="D1928" s="46" t="n">
        <v>20260127</v>
      </c>
      <c r="E1928" s="47" t="s">
        <v>391</v>
      </c>
      <c r="F1928" s="48" t="n">
        <v>13026</v>
      </c>
      <c r="G1928" s="48" t="n">
        <v>13275</v>
      </c>
      <c r="H1928" s="48" t="n">
        <v>12894</v>
      </c>
      <c r="I1928" s="48" t="n">
        <v>13190</v>
      </c>
      <c r="J1928" s="48" t="n">
        <v>13020</v>
      </c>
      <c r="K1928" s="48" t="n">
        <v>12977</v>
      </c>
      <c r="L1928" s="48" t="n">
        <v>87372558</v>
      </c>
      <c r="M1928" s="48" t="n">
        <v>1152444040020</v>
      </c>
      <c r="N1928" s="48" t="n">
        <v>4257</v>
      </c>
      <c r="O1928" s="48" t="n">
        <v>56385587</v>
      </c>
      <c r="P1928" s="48" t="n">
        <v>32616031</v>
      </c>
      <c r="Q1928" s="48" t="n">
        <v>1496</v>
      </c>
      <c r="R1928" s="48" t="n">
        <v>2994</v>
      </c>
      <c r="S1928" s="48" t="n">
        <v>30986971</v>
      </c>
      <c r="T1928" s="48" t="n">
        <v>54756527</v>
      </c>
      <c r="U1928" s="46" t="n">
        <f aca="false">IF($A1928=$A1927,$U1927+1,1)</f>
        <v>104</v>
      </c>
      <c r="V1928" s="48" t="n">
        <f aca="false">IF($U1928&gt;=MA_SHORT,AVERAGE(INDEX($I$1528:$I1928,402-MA_SHORT):$I1928),"")</f>
        <v>13064.95</v>
      </c>
      <c r="W1928" s="48" t="n">
        <f aca="false">IF($U1928&gt;=MA_MED,AVERAGE(INDEX($I$1528:$I1928,402-MA_MED):$I1928),"")</f>
        <v>12549.34</v>
      </c>
      <c r="X1928" s="48" t="n">
        <f aca="false">IF($U1928&gt;=MA_LONG1,AVERAGE(INDEX($I$1528:$I1928,402-MA_LONG1):$I1928),"")</f>
        <v>12184.45</v>
      </c>
      <c r="Y1928" s="48" t="str">
        <f aca="false">IF($U1928&gt;=MA_LONG2,AVERAGE(INDEX($I$1528:$I1928,402-MA_LONG2):$I1928),"")</f>
        <v/>
      </c>
      <c r="Z1928" s="48" t="n">
        <f aca="false">IF($U1928&gt;=MA_SHORT,AVERAGE(INDEX($L$1808:$L1928,122-MA_SHORT):$L1928),"")</f>
        <v>95227655.95</v>
      </c>
      <c r="AA1928" s="48" t="n">
        <f aca="false">IF($U1928=1,$G1928-$H1928,MAX($G1928-$H1928,ABS($G1928-$I1927),ABS($H1928-$I1927)))</f>
        <v>381</v>
      </c>
      <c r="AB1928" s="48" t="n">
        <f aca="false">IF($U1928&gt;=ATR_PER,AVERAGE(INDEX($AA$1808:$AA1928,122-ATR_PER):$AA1928),"")</f>
        <v>438.428571428571</v>
      </c>
      <c r="AC1928" s="48" t="n">
        <f aca="false">$O1928-$P1928</f>
        <v>23769556</v>
      </c>
      <c r="AD1928" s="48" t="n">
        <f aca="false">$AC1928*$I1928</f>
        <v>313520443640</v>
      </c>
      <c r="AE1928" s="49" t="n">
        <f aca="false">IF($Q1928&gt;0,$O1928*$I1928/$Q1928/1000000,"")</f>
        <v>497.142976290107</v>
      </c>
      <c r="AF1928" s="49" t="n">
        <f aca="false">IF($R1928&gt;0,$P1928*$I1928/$R1928/1000000,"")</f>
        <v>143.689194686039</v>
      </c>
      <c r="AG1928" s="50" t="n">
        <f aca="false">IF(AND(ISNUMBER($AE1928),ISNUMBER($AF1928),$AF1928&gt;0),$AE1928/$AF1928,"")</f>
        <v>3.45984941579195</v>
      </c>
      <c r="AH1928" s="48" t="n">
        <f aca="false">IF($U1928&gt;=5,SUM(INDEX($AD$1898:$AD1928,32-5):$AD1928),"")</f>
        <v>1209073314652</v>
      </c>
      <c r="AI1928" s="48" t="n">
        <f aca="false">IF($U1928&gt;=STRUCT_S,MAX(INDEX($G$1778:$G1928,152-STRUCT_S):$G1928),"")</f>
        <v>13627</v>
      </c>
      <c r="AJ1928" s="48" t="n">
        <f aca="false">IF($U1928&gt;=STRUCT_S,MIN(INDEX($H$1778:$H1928,152-STRUCT_S):$H1928),"")</f>
        <v>12498</v>
      </c>
      <c r="AK1928" s="48" t="n">
        <f aca="false">IF($U1928&gt;=STRUCT_L,MAX(INDEX($G$1678:$G1928,252-STRUCT_L):$G1928),"")</f>
        <v>13627</v>
      </c>
      <c r="AL1928" s="48" t="n">
        <f aca="false">IF($U1928&gt;=STRUCT_L,MIN(INDEX($H$1678:$H1928,252-STRUCT_L):$H1928),"")</f>
        <v>10654</v>
      </c>
      <c r="AM1928" s="46" t="n">
        <f aca="false">IF($A1928&lt;&gt;$A1929,1,0)</f>
        <v>0</v>
      </c>
      <c r="AN1928" s="47" t="str">
        <f aca="false">IF($AM1928=1,$A1928,"")</f>
        <v/>
      </c>
    </row>
    <row r="1929" customFormat="false" ht="15" hidden="false" customHeight="false" outlineLevel="0" collapsed="false">
      <c r="A1929" s="43" t="s">
        <v>167</v>
      </c>
      <c r="B1929" s="44" t="s">
        <v>169</v>
      </c>
      <c r="C1929" s="45" t="n">
        <v>46050</v>
      </c>
      <c r="D1929" s="46" t="n">
        <v>20260128</v>
      </c>
      <c r="E1929" s="47" t="s">
        <v>392</v>
      </c>
      <c r="F1929" s="48" t="n">
        <v>13039</v>
      </c>
      <c r="G1929" s="48" t="n">
        <v>13424</v>
      </c>
      <c r="H1929" s="48" t="n">
        <v>12863</v>
      </c>
      <c r="I1929" s="48" t="n">
        <v>13095</v>
      </c>
      <c r="J1929" s="48" t="n">
        <v>13316</v>
      </c>
      <c r="K1929" s="48" t="n">
        <v>13190</v>
      </c>
      <c r="L1929" s="48" t="n">
        <v>103195108</v>
      </c>
      <c r="M1929" s="48" t="n">
        <v>1351339939260</v>
      </c>
      <c r="N1929" s="48" t="n">
        <v>10239</v>
      </c>
      <c r="O1929" s="48" t="n">
        <v>57808189</v>
      </c>
      <c r="P1929" s="48" t="n">
        <v>44541872</v>
      </c>
      <c r="Q1929" s="48" t="n">
        <v>4442</v>
      </c>
      <c r="R1929" s="48" t="n">
        <v>2742</v>
      </c>
      <c r="S1929" s="48" t="n">
        <v>45386919</v>
      </c>
      <c r="T1929" s="48" t="n">
        <v>58653236</v>
      </c>
      <c r="U1929" s="46" t="n">
        <f aca="false">IF($A1929=$A1928,$U1928+1,1)</f>
        <v>105</v>
      </c>
      <c r="V1929" s="48" t="n">
        <f aca="false">IF($U1929&gt;=MA_SHORT,AVERAGE(INDEX($I$1529:$I1929,402-MA_SHORT):$I1929),"")</f>
        <v>13084.5</v>
      </c>
      <c r="W1929" s="48" t="n">
        <f aca="false">IF($U1929&gt;=MA_MED,AVERAGE(INDEX($I$1529:$I1929,402-MA_MED):$I1929),"")</f>
        <v>12569.5</v>
      </c>
      <c r="X1929" s="48" t="n">
        <f aca="false">IF($U1929&gt;=MA_LONG1,AVERAGE(INDEX($I$1529:$I1929,402-MA_LONG1):$I1929),"")</f>
        <v>12198.89</v>
      </c>
      <c r="Y1929" s="48" t="str">
        <f aca="false">IF($U1929&gt;=MA_LONG2,AVERAGE(INDEX($I$1529:$I1929,402-MA_LONG2):$I1929),"")</f>
        <v/>
      </c>
      <c r="Z1929" s="48" t="n">
        <f aca="false">IF($U1929&gt;=MA_SHORT,AVERAGE(INDEX($L$1809:$L1929,122-MA_SHORT):$L1929),"")</f>
        <v>96234473.75</v>
      </c>
      <c r="AA1929" s="48" t="n">
        <f aca="false">IF($U1929=1,$G1929-$H1929,MAX($G1929-$H1929,ABS($G1929-$I1928),ABS($H1929-$I1928)))</f>
        <v>561</v>
      </c>
      <c r="AB1929" s="48" t="n">
        <f aca="false">IF($U1929&gt;=ATR_PER,AVERAGE(INDEX($AA$1809:$AA1929,122-ATR_PER):$AA1929),"")</f>
        <v>438.142857142857</v>
      </c>
      <c r="AC1929" s="48" t="n">
        <f aca="false">$O1929-$P1929</f>
        <v>13266317</v>
      </c>
      <c r="AD1929" s="48" t="n">
        <f aca="false">$AC1929*$I1929</f>
        <v>173722421115</v>
      </c>
      <c r="AE1929" s="49" t="n">
        <f aca="false">IF($Q1929&gt;0,$O1929*$I1929/$Q1929/1000000,"")</f>
        <v>170.418332947996</v>
      </c>
      <c r="AF1929" s="49" t="n">
        <f aca="false">IF($R1929&gt;0,$P1929*$I1929/$R1929/1000000,"")</f>
        <v>212.719115185996</v>
      </c>
      <c r="AG1929" s="50" t="n">
        <f aca="false">IF(AND(ISNUMBER($AE1929),ISNUMBER($AF1929),$AF1929&gt;0),$AE1929/$AF1929,"")</f>
        <v>0.801142543297002</v>
      </c>
      <c r="AH1929" s="48" t="n">
        <f aca="false">IF($U1929&gt;=5,SUM(INDEX($AD$1899:$AD1929,32-5):$AD1929),"")</f>
        <v>1320689739311</v>
      </c>
      <c r="AI1929" s="48" t="n">
        <f aca="false">IF($U1929&gt;=STRUCT_S,MAX(INDEX($G$1779:$G1929,152-STRUCT_S):$G1929),"")</f>
        <v>13627</v>
      </c>
      <c r="AJ1929" s="48" t="n">
        <f aca="false">IF($U1929&gt;=STRUCT_S,MIN(INDEX($H$1779:$H1929,152-STRUCT_S):$H1929),"")</f>
        <v>12520</v>
      </c>
      <c r="AK1929" s="48" t="n">
        <f aca="false">IF($U1929&gt;=STRUCT_L,MAX(INDEX($G$1679:$G1929,252-STRUCT_L):$G1929),"")</f>
        <v>13627</v>
      </c>
      <c r="AL1929" s="48" t="n">
        <f aca="false">IF($U1929&gt;=STRUCT_L,MIN(INDEX($H$1679:$H1929,252-STRUCT_L):$H1929),"")</f>
        <v>10654</v>
      </c>
      <c r="AM1929" s="46" t="n">
        <f aca="false">IF($A1929&lt;&gt;$A1930,1,0)</f>
        <v>0</v>
      </c>
      <c r="AN1929" s="47" t="str">
        <f aca="false">IF($AM1929=1,$A1929,"")</f>
        <v/>
      </c>
    </row>
    <row r="1930" customFormat="false" ht="15" hidden="false" customHeight="false" outlineLevel="0" collapsed="false">
      <c r="A1930" s="43" t="s">
        <v>167</v>
      </c>
      <c r="B1930" s="44" t="s">
        <v>169</v>
      </c>
      <c r="C1930" s="45" t="n">
        <v>46053</v>
      </c>
      <c r="D1930" s="46" t="n">
        <v>20260131</v>
      </c>
      <c r="E1930" s="47" t="s">
        <v>393</v>
      </c>
      <c r="F1930" s="48" t="n">
        <v>13252</v>
      </c>
      <c r="G1930" s="48" t="n">
        <v>13575</v>
      </c>
      <c r="H1930" s="48" t="n">
        <v>13032</v>
      </c>
      <c r="I1930" s="48" t="n">
        <v>13510</v>
      </c>
      <c r="J1930" s="48" t="n">
        <v>13085</v>
      </c>
      <c r="K1930" s="48" t="n">
        <v>13095</v>
      </c>
      <c r="L1930" s="48" t="n">
        <v>94663691</v>
      </c>
      <c r="M1930" s="48" t="n">
        <v>1278906465410</v>
      </c>
      <c r="N1930" s="48" t="n">
        <v>2124</v>
      </c>
      <c r="O1930" s="48" t="n">
        <v>69688471</v>
      </c>
      <c r="P1930" s="48" t="n">
        <v>25852772</v>
      </c>
      <c r="Q1930" s="48" t="n">
        <v>629</v>
      </c>
      <c r="R1930" s="48" t="n">
        <v>1240</v>
      </c>
      <c r="S1930" s="48" t="n">
        <v>24975220</v>
      </c>
      <c r="T1930" s="48" t="n">
        <v>68810919</v>
      </c>
      <c r="U1930" s="46" t="n">
        <f aca="false">IF($A1930=$A1929,$U1929+1,1)</f>
        <v>106</v>
      </c>
      <c r="V1930" s="48" t="n">
        <f aca="false">IF($U1930&gt;=MA_SHORT,AVERAGE(INDEX($I$1530:$I1930,402-MA_SHORT):$I1930),"")</f>
        <v>13119.65</v>
      </c>
      <c r="W1930" s="48" t="n">
        <f aca="false">IF($U1930&gt;=MA_MED,AVERAGE(INDEX($I$1530:$I1930,402-MA_MED):$I1930),"")</f>
        <v>12602.36</v>
      </c>
      <c r="X1930" s="48" t="n">
        <f aca="false">IF($U1930&gt;=MA_LONG1,AVERAGE(INDEX($I$1530:$I1930,402-MA_LONG1):$I1930),"")</f>
        <v>12217.34</v>
      </c>
      <c r="Y1930" s="48" t="str">
        <f aca="false">IF($U1930&gt;=MA_LONG2,AVERAGE(INDEX($I$1530:$I1930,402-MA_LONG2):$I1930),"")</f>
        <v/>
      </c>
      <c r="Z1930" s="48" t="n">
        <f aca="false">IF($U1930&gt;=MA_SHORT,AVERAGE(INDEX($L$1810:$L1930,122-MA_SHORT):$L1930),"")</f>
        <v>96321782.5</v>
      </c>
      <c r="AA1930" s="48" t="n">
        <f aca="false">IF($U1930=1,$G1930-$H1930,MAX($G1930-$H1930,ABS($G1930-$I1929),ABS($H1930-$I1929)))</f>
        <v>543</v>
      </c>
      <c r="AB1930" s="48" t="n">
        <f aca="false">IF($U1930&gt;=ATR_PER,AVERAGE(INDEX($AA$1810:$AA1930,122-ATR_PER):$AA1930),"")</f>
        <v>443.5</v>
      </c>
      <c r="AC1930" s="48" t="n">
        <f aca="false">$O1930-$P1930</f>
        <v>43835699</v>
      </c>
      <c r="AD1930" s="48" t="n">
        <f aca="false">$AC1930*$I1930</f>
        <v>592220293490</v>
      </c>
      <c r="AE1930" s="49" t="n">
        <f aca="false">IF($Q1930&gt;0,$O1930*$I1930/$Q1930/1000000,"")</f>
        <v>1496.80642799682</v>
      </c>
      <c r="AF1930" s="49" t="n">
        <f aca="false">IF($R1930&gt;0,$P1930*$I1930/$R1930/1000000,"")</f>
        <v>281.670120741936</v>
      </c>
      <c r="AG1930" s="50" t="n">
        <f aca="false">IF(AND(ISNUMBER($AE1930),ISNUMBER($AF1930),$AF1930&gt;0),$AE1930/$AF1930,"")</f>
        <v>5.31404049550639</v>
      </c>
      <c r="AH1930" s="48" t="n">
        <f aca="false">IF($U1930&gt;=5,SUM(INDEX($AD$1900:$AD1930,32-5):$AD1930),"")</f>
        <v>1575542309011</v>
      </c>
      <c r="AI1930" s="48" t="n">
        <f aca="false">IF($U1930&gt;=STRUCT_S,MAX(INDEX($G$1780:$G1930,152-STRUCT_S):$G1930),"")</f>
        <v>13627</v>
      </c>
      <c r="AJ1930" s="48" t="n">
        <f aca="false">IF($U1930&gt;=STRUCT_S,MIN(INDEX($H$1780:$H1930,152-STRUCT_S):$H1930),"")</f>
        <v>12520</v>
      </c>
      <c r="AK1930" s="48" t="n">
        <f aca="false">IF($U1930&gt;=STRUCT_L,MAX(INDEX($G$1680:$G1930,252-STRUCT_L):$G1930),"")</f>
        <v>13627</v>
      </c>
      <c r="AL1930" s="48" t="n">
        <f aca="false">IF($U1930&gt;=STRUCT_L,MIN(INDEX($H$1680:$H1930,252-STRUCT_L):$H1930),"")</f>
        <v>10654</v>
      </c>
      <c r="AM1930" s="46" t="n">
        <f aca="false">IF($A1930&lt;&gt;$A1931,1,0)</f>
        <v>0</v>
      </c>
      <c r="AN1930" s="47" t="str">
        <f aca="false">IF($AM1930=1,$A1930,"")</f>
        <v/>
      </c>
    </row>
    <row r="1931" customFormat="false" ht="15" hidden="false" customHeight="false" outlineLevel="0" collapsed="false">
      <c r="A1931" s="43" t="s">
        <v>167</v>
      </c>
      <c r="B1931" s="44" t="s">
        <v>169</v>
      </c>
      <c r="C1931" s="45" t="n">
        <v>46054</v>
      </c>
      <c r="D1931" s="46" t="n">
        <v>20260201</v>
      </c>
      <c r="E1931" s="47" t="s">
        <v>394</v>
      </c>
      <c r="F1931" s="48" t="n">
        <v>13386</v>
      </c>
      <c r="G1931" s="48" t="n">
        <v>13749</v>
      </c>
      <c r="H1931" s="48" t="n">
        <v>13347</v>
      </c>
      <c r="I1931" s="48" t="n">
        <v>13585</v>
      </c>
      <c r="J1931" s="48" t="n">
        <v>13591</v>
      </c>
      <c r="K1931" s="48" t="n">
        <v>13510</v>
      </c>
      <c r="L1931" s="48" t="n">
        <v>82188717</v>
      </c>
      <c r="M1931" s="48" t="n">
        <v>1116533720445</v>
      </c>
      <c r="N1931" s="48" t="n">
        <v>5087</v>
      </c>
      <c r="O1931" s="48" t="n">
        <v>45370759</v>
      </c>
      <c r="P1931" s="48" t="n">
        <v>38423371</v>
      </c>
      <c r="Q1931" s="48" t="n">
        <v>1441</v>
      </c>
      <c r="R1931" s="48" t="n">
        <v>2473</v>
      </c>
      <c r="S1931" s="48" t="n">
        <v>36817958</v>
      </c>
      <c r="T1931" s="48" t="n">
        <v>43765346</v>
      </c>
      <c r="U1931" s="46" t="n">
        <f aca="false">IF($A1931=$A1930,$U1930+1,1)</f>
        <v>107</v>
      </c>
      <c r="V1931" s="48" t="n">
        <f aca="false">IF($U1931&gt;=MA_SHORT,AVERAGE(INDEX($I$1531:$I1931,402-MA_SHORT):$I1931),"")</f>
        <v>13160.85</v>
      </c>
      <c r="W1931" s="48" t="n">
        <f aca="false">IF($U1931&gt;=MA_MED,AVERAGE(INDEX($I$1531:$I1931,402-MA_MED):$I1931),"")</f>
        <v>12632.68</v>
      </c>
      <c r="X1931" s="48" t="n">
        <f aca="false">IF($U1931&gt;=MA_LONG1,AVERAGE(INDEX($I$1531:$I1931,402-MA_LONG1):$I1931),"")</f>
        <v>12236.21</v>
      </c>
      <c r="Y1931" s="48" t="str">
        <f aca="false">IF($U1931&gt;=MA_LONG2,AVERAGE(INDEX($I$1531:$I1931,402-MA_LONG2):$I1931),"")</f>
        <v/>
      </c>
      <c r="Z1931" s="48" t="n">
        <f aca="false">IF($U1931&gt;=MA_SHORT,AVERAGE(INDEX($L$1811:$L1931,122-MA_SHORT):$L1931),"")</f>
        <v>95064622.7</v>
      </c>
      <c r="AA1931" s="48" t="n">
        <f aca="false">IF($U1931=1,$G1931-$H1931,MAX($G1931-$H1931,ABS($G1931-$I1930),ABS($H1931-$I1930)))</f>
        <v>402</v>
      </c>
      <c r="AB1931" s="48" t="n">
        <f aca="false">IF($U1931&gt;=ATR_PER,AVERAGE(INDEX($AA$1811:$AA1931,122-ATR_PER):$AA1931),"")</f>
        <v>427.928571428571</v>
      </c>
      <c r="AC1931" s="48" t="n">
        <f aca="false">$O1931-$P1931</f>
        <v>6947388</v>
      </c>
      <c r="AD1931" s="48" t="n">
        <f aca="false">$AC1931*$I1931</f>
        <v>94380265980</v>
      </c>
      <c r="AE1931" s="49" t="n">
        <f aca="false">IF($Q1931&gt;0,$O1931*$I1931/$Q1931/1000000,"")</f>
        <v>427.731964618321</v>
      </c>
      <c r="AF1931" s="49" t="n">
        <f aca="false">IF($R1931&gt;0,$P1931*$I1931/$R1931/1000000,"")</f>
        <v>211.072177531338</v>
      </c>
      <c r="AG1931" s="50" t="n">
        <f aca="false">IF(AND(ISNUMBER($AE1931),ISNUMBER($AF1931),$AF1931&gt;0),$AE1931/$AF1931,"")</f>
        <v>2.02647250632933</v>
      </c>
      <c r="AH1931" s="48" t="n">
        <f aca="false">IF($U1931&gt;=5,SUM(INDEX($AD$1901:$AD1931,32-5):$AD1931),"")</f>
        <v>1183505047288</v>
      </c>
      <c r="AI1931" s="48" t="n">
        <f aca="false">IF($U1931&gt;=STRUCT_S,MAX(INDEX($G$1781:$G1931,152-STRUCT_S):$G1931),"")</f>
        <v>13749</v>
      </c>
      <c r="AJ1931" s="48" t="n">
        <f aca="false">IF($U1931&gt;=STRUCT_S,MIN(INDEX($H$1781:$H1931,152-STRUCT_S):$H1931),"")</f>
        <v>12520</v>
      </c>
      <c r="AK1931" s="48" t="n">
        <f aca="false">IF($U1931&gt;=STRUCT_L,MAX(INDEX($G$1681:$G1931,252-STRUCT_L):$G1931),"")</f>
        <v>13749</v>
      </c>
      <c r="AL1931" s="48" t="n">
        <f aca="false">IF($U1931&gt;=STRUCT_L,MIN(INDEX($H$1681:$H1931,252-STRUCT_L):$H1931),"")</f>
        <v>10728</v>
      </c>
      <c r="AM1931" s="46" t="n">
        <f aca="false">IF($A1931&lt;&gt;$A1932,1,0)</f>
        <v>0</v>
      </c>
      <c r="AN1931" s="47" t="str">
        <f aca="false">IF($AM1931=1,$A1931,"")</f>
        <v/>
      </c>
    </row>
    <row r="1932" customFormat="false" ht="15" hidden="false" customHeight="false" outlineLevel="0" collapsed="false">
      <c r="A1932" s="43" t="s">
        <v>167</v>
      </c>
      <c r="B1932" s="44" t="s">
        <v>169</v>
      </c>
      <c r="C1932" s="45" t="n">
        <v>46055</v>
      </c>
      <c r="D1932" s="46" t="n">
        <v>20260202</v>
      </c>
      <c r="E1932" s="47" t="s">
        <v>395</v>
      </c>
      <c r="F1932" s="48" t="n">
        <v>13480</v>
      </c>
      <c r="G1932" s="48" t="n">
        <v>13739</v>
      </c>
      <c r="H1932" s="48" t="n">
        <v>13279</v>
      </c>
      <c r="I1932" s="48" t="n">
        <v>13431</v>
      </c>
      <c r="J1932" s="48" t="n">
        <v>13580</v>
      </c>
      <c r="K1932" s="48" t="n">
        <v>13585</v>
      </c>
      <c r="L1932" s="48" t="n">
        <v>84949332</v>
      </c>
      <c r="M1932" s="48" t="n">
        <v>1140954478092</v>
      </c>
      <c r="N1932" s="48" t="n">
        <v>3528</v>
      </c>
      <c r="O1932" s="48" t="n">
        <v>49588941</v>
      </c>
      <c r="P1932" s="48" t="n">
        <v>29706977</v>
      </c>
      <c r="Q1932" s="48" t="n">
        <v>1771</v>
      </c>
      <c r="R1932" s="48" t="n">
        <v>947</v>
      </c>
      <c r="S1932" s="48" t="n">
        <v>35360391</v>
      </c>
      <c r="T1932" s="48" t="n">
        <v>55242355</v>
      </c>
      <c r="U1932" s="46" t="n">
        <f aca="false">IF($A1932=$A1931,$U1931+1,1)</f>
        <v>108</v>
      </c>
      <c r="V1932" s="48" t="n">
        <f aca="false">IF($U1932&gt;=MA_SHORT,AVERAGE(INDEX($I$1532:$I1932,402-MA_SHORT):$I1932),"")</f>
        <v>13197</v>
      </c>
      <c r="W1932" s="48" t="n">
        <f aca="false">IF($U1932&gt;=MA_MED,AVERAGE(INDEX($I$1532:$I1932,402-MA_MED):$I1932),"")</f>
        <v>12661.5</v>
      </c>
      <c r="X1932" s="48" t="n">
        <f aca="false">IF($U1932&gt;=MA_LONG1,AVERAGE(INDEX($I$1532:$I1932,402-MA_LONG1):$I1932),"")</f>
        <v>12253.14</v>
      </c>
      <c r="Y1932" s="48" t="str">
        <f aca="false">IF($U1932&gt;=MA_LONG2,AVERAGE(INDEX($I$1532:$I1932,402-MA_LONG2):$I1932),"")</f>
        <v/>
      </c>
      <c r="Z1932" s="48" t="n">
        <f aca="false">IF($U1932&gt;=MA_SHORT,AVERAGE(INDEX($L$1812:$L1932,122-MA_SHORT):$L1932),"")</f>
        <v>95236016.15</v>
      </c>
      <c r="AA1932" s="48" t="n">
        <f aca="false">IF($U1932=1,$G1932-$H1932,MAX($G1932-$H1932,ABS($G1932-$I1931),ABS($H1932-$I1931)))</f>
        <v>460</v>
      </c>
      <c r="AB1932" s="48" t="n">
        <f aca="false">IF($U1932&gt;=ATR_PER,AVERAGE(INDEX($AA$1812:$AA1932,122-ATR_PER):$AA1932),"")</f>
        <v>432.928571428571</v>
      </c>
      <c r="AC1932" s="48" t="n">
        <f aca="false">$O1932-$P1932</f>
        <v>19881964</v>
      </c>
      <c r="AD1932" s="48" t="n">
        <f aca="false">$AC1932*$I1932</f>
        <v>267034658484</v>
      </c>
      <c r="AE1932" s="49" t="n">
        <f aca="false">IF($Q1932&gt;0,$O1932*$I1932/$Q1932/1000000,"")</f>
        <v>376.075136403727</v>
      </c>
      <c r="AF1932" s="49" t="n">
        <f aca="false">IF($R1932&gt;0,$P1932*$I1932/$R1932/1000000,"")</f>
        <v>421.32461255227</v>
      </c>
      <c r="AG1932" s="50" t="n">
        <f aca="false">IF(AND(ISNUMBER($AE1932),ISNUMBER($AF1932),$AF1932&gt;0),$AE1932/$AF1932,"")</f>
        <v>0.892601868487021</v>
      </c>
      <c r="AH1932" s="48" t="n">
        <f aca="false">IF($U1932&gt;=5,SUM(INDEX($AD$1902:$AD1932,32-5):$AD1932),"")</f>
        <v>1440878082709</v>
      </c>
      <c r="AI1932" s="48" t="n">
        <f aca="false">IF($U1932&gt;=STRUCT_S,MAX(INDEX($G$1782:$G1932,152-STRUCT_S):$G1932),"")</f>
        <v>13749</v>
      </c>
      <c r="AJ1932" s="48" t="n">
        <f aca="false">IF($U1932&gt;=STRUCT_S,MIN(INDEX($H$1782:$H1932,152-STRUCT_S):$H1932),"")</f>
        <v>12520</v>
      </c>
      <c r="AK1932" s="48" t="n">
        <f aca="false">IF($U1932&gt;=STRUCT_L,MAX(INDEX($G$1682:$G1932,252-STRUCT_L):$G1932),"")</f>
        <v>13749</v>
      </c>
      <c r="AL1932" s="48" t="n">
        <f aca="false">IF($U1932&gt;=STRUCT_L,MIN(INDEX($H$1682:$H1932,252-STRUCT_L):$H1932),"")</f>
        <v>10760</v>
      </c>
      <c r="AM1932" s="46" t="n">
        <f aca="false">IF($A1932&lt;&gt;$A1933,1,0)</f>
        <v>0</v>
      </c>
      <c r="AN1932" s="47" t="str">
        <f aca="false">IF($AM1932=1,$A1932,"")</f>
        <v/>
      </c>
    </row>
    <row r="1933" customFormat="false" ht="15" hidden="false" customHeight="false" outlineLevel="0" collapsed="false">
      <c r="A1933" s="43" t="s">
        <v>167</v>
      </c>
      <c r="B1933" s="44" t="s">
        <v>169</v>
      </c>
      <c r="C1933" s="45" t="n">
        <v>46056</v>
      </c>
      <c r="D1933" s="46" t="n">
        <v>20260203</v>
      </c>
      <c r="E1933" s="47" t="s">
        <v>396</v>
      </c>
      <c r="F1933" s="48" t="n">
        <v>13403</v>
      </c>
      <c r="G1933" s="48" t="n">
        <v>13547</v>
      </c>
      <c r="H1933" s="48" t="n">
        <v>13380</v>
      </c>
      <c r="I1933" s="48" t="n">
        <v>13496</v>
      </c>
      <c r="J1933" s="48" t="n">
        <v>13410</v>
      </c>
      <c r="K1933" s="48" t="n">
        <v>13431</v>
      </c>
      <c r="L1933" s="48" t="n">
        <v>81848976</v>
      </c>
      <c r="M1933" s="48" t="n">
        <v>1104633780096</v>
      </c>
      <c r="N1933" s="48" t="n">
        <v>2878</v>
      </c>
      <c r="O1933" s="48" t="n">
        <v>42561492</v>
      </c>
      <c r="P1933" s="48" t="n">
        <v>34564700</v>
      </c>
      <c r="Q1933" s="48" t="n">
        <v>837</v>
      </c>
      <c r="R1933" s="48" t="n">
        <v>1850</v>
      </c>
      <c r="S1933" s="48" t="n">
        <v>39287484</v>
      </c>
      <c r="T1933" s="48" t="n">
        <v>47284276</v>
      </c>
      <c r="U1933" s="46" t="n">
        <f aca="false">IF($A1933=$A1932,$U1932+1,1)</f>
        <v>109</v>
      </c>
      <c r="V1933" s="48" t="n">
        <f aca="false">IF($U1933&gt;=MA_SHORT,AVERAGE(INDEX($I$1533:$I1933,402-MA_SHORT):$I1933),"")</f>
        <v>13227.05</v>
      </c>
      <c r="W1933" s="48" t="n">
        <f aca="false">IF($U1933&gt;=MA_MED,AVERAGE(INDEX($I$1533:$I1933,402-MA_MED):$I1933),"")</f>
        <v>12690.18</v>
      </c>
      <c r="X1933" s="48" t="n">
        <f aca="false">IF($U1933&gt;=MA_LONG1,AVERAGE(INDEX($I$1533:$I1933,402-MA_LONG1):$I1933),"")</f>
        <v>12270.14</v>
      </c>
      <c r="Y1933" s="48" t="str">
        <f aca="false">IF($U1933&gt;=MA_LONG2,AVERAGE(INDEX($I$1533:$I1933,402-MA_LONG2):$I1933),"")</f>
        <v/>
      </c>
      <c r="Z1933" s="48" t="n">
        <f aca="false">IF($U1933&gt;=MA_SHORT,AVERAGE(INDEX($L$1813:$L1933,122-MA_SHORT):$L1933),"")</f>
        <v>95000366.7</v>
      </c>
      <c r="AA1933" s="48" t="n">
        <f aca="false">IF($U1933=1,$G1933-$H1933,MAX($G1933-$H1933,ABS($G1933-$I1932),ABS($H1933-$I1932)))</f>
        <v>167</v>
      </c>
      <c r="AB1933" s="48" t="n">
        <f aca="false">IF($U1933&gt;=ATR_PER,AVERAGE(INDEX($AA$1813:$AA1933,122-ATR_PER):$AA1933),"")</f>
        <v>416.714285714286</v>
      </c>
      <c r="AC1933" s="48" t="n">
        <f aca="false">$O1933-$P1933</f>
        <v>7996792</v>
      </c>
      <c r="AD1933" s="48" t="n">
        <f aca="false">$AC1933*$I1933</f>
        <v>107924704832</v>
      </c>
      <c r="AE1933" s="49" t="n">
        <f aca="false">IF($Q1933&gt;0,$O1933*$I1933/$Q1933/1000000,"")</f>
        <v>686.272277218638</v>
      </c>
      <c r="AF1933" s="49" t="n">
        <f aca="false">IF($R1933&gt;0,$P1933*$I1933/$R1933/1000000,"")</f>
        <v>252.154157405405</v>
      </c>
      <c r="AG1933" s="50" t="n">
        <f aca="false">IF(AND(ISNUMBER($AE1933),ISNUMBER($AF1933),$AF1933&gt;0),$AE1933/$AF1933,"")</f>
        <v>2.7216377642954</v>
      </c>
      <c r="AH1933" s="48" t="n">
        <f aca="false">IF($U1933&gt;=5,SUM(INDEX($AD$1903:$AD1933,32-5):$AD1933),"")</f>
        <v>1235282343901</v>
      </c>
      <c r="AI1933" s="48" t="n">
        <f aca="false">IF($U1933&gt;=STRUCT_S,MAX(INDEX($G$1783:$G1933,152-STRUCT_S):$G1933),"")</f>
        <v>13749</v>
      </c>
      <c r="AJ1933" s="48" t="n">
        <f aca="false">IF($U1933&gt;=STRUCT_S,MIN(INDEX($H$1783:$H1933,152-STRUCT_S):$H1933),"")</f>
        <v>12520</v>
      </c>
      <c r="AK1933" s="48" t="n">
        <f aca="false">IF($U1933&gt;=STRUCT_L,MAX(INDEX($G$1683:$G1933,252-STRUCT_L):$G1933),"")</f>
        <v>13749</v>
      </c>
      <c r="AL1933" s="48" t="n">
        <f aca="false">IF($U1933&gt;=STRUCT_L,MIN(INDEX($H$1683:$H1933,252-STRUCT_L):$H1933),"")</f>
        <v>11013</v>
      </c>
      <c r="AM1933" s="46" t="n">
        <f aca="false">IF($A1933&lt;&gt;$A1934,1,0)</f>
        <v>0</v>
      </c>
      <c r="AN1933" s="47" t="str">
        <f aca="false">IF($AM1933=1,$A1933,"")</f>
        <v/>
      </c>
    </row>
    <row r="1934" customFormat="false" ht="15" hidden="false" customHeight="false" outlineLevel="0" collapsed="false">
      <c r="A1934" s="43" t="s">
        <v>167</v>
      </c>
      <c r="B1934" s="44" t="s">
        <v>169</v>
      </c>
      <c r="C1934" s="45" t="n">
        <v>46057</v>
      </c>
      <c r="D1934" s="46" t="n">
        <v>20260204</v>
      </c>
      <c r="E1934" s="47" t="s">
        <v>397</v>
      </c>
      <c r="F1934" s="48" t="n">
        <v>13527</v>
      </c>
      <c r="G1934" s="48" t="n">
        <v>13806</v>
      </c>
      <c r="H1934" s="48" t="n">
        <v>13261</v>
      </c>
      <c r="I1934" s="48" t="n">
        <v>13569</v>
      </c>
      <c r="J1934" s="48" t="n">
        <v>13592</v>
      </c>
      <c r="K1934" s="48" t="n">
        <v>13496</v>
      </c>
      <c r="L1934" s="48" t="n">
        <v>82120743</v>
      </c>
      <c r="M1934" s="48" t="n">
        <v>1114296361767</v>
      </c>
      <c r="N1934" s="48" t="n">
        <v>3880</v>
      </c>
      <c r="O1934" s="48" t="n">
        <v>46090767</v>
      </c>
      <c r="P1934" s="48" t="n">
        <v>36928576</v>
      </c>
      <c r="Q1934" s="48" t="n">
        <v>1271</v>
      </c>
      <c r="R1934" s="48" t="n">
        <v>1861</v>
      </c>
      <c r="S1934" s="48" t="n">
        <v>36029976</v>
      </c>
      <c r="T1934" s="48" t="n">
        <v>45192167</v>
      </c>
      <c r="U1934" s="46" t="n">
        <f aca="false">IF($A1934=$A1933,$U1933+1,1)</f>
        <v>110</v>
      </c>
      <c r="V1934" s="48" t="n">
        <f aca="false">IF($U1934&gt;=MA_SHORT,AVERAGE(INDEX($I$1534:$I1934,402-MA_SHORT):$I1934),"")</f>
        <v>13262.85</v>
      </c>
      <c r="W1934" s="48" t="n">
        <f aca="false">IF($U1934&gt;=MA_MED,AVERAGE(INDEX($I$1534:$I1934,402-MA_MED):$I1934),"")</f>
        <v>12722.58</v>
      </c>
      <c r="X1934" s="48" t="n">
        <f aca="false">IF($U1934&gt;=MA_LONG1,AVERAGE(INDEX($I$1534:$I1934,402-MA_LONG1):$I1934),"")</f>
        <v>12284.51</v>
      </c>
      <c r="Y1934" s="48" t="str">
        <f aca="false">IF($U1934&gt;=MA_LONG2,AVERAGE(INDEX($I$1534:$I1934,402-MA_LONG2):$I1934),"")</f>
        <v/>
      </c>
      <c r="Z1934" s="48" t="n">
        <f aca="false">IF($U1934&gt;=MA_SHORT,AVERAGE(INDEX($L$1814:$L1934,122-MA_SHORT):$L1934),"")</f>
        <v>94495567.25</v>
      </c>
      <c r="AA1934" s="48" t="n">
        <f aca="false">IF($U1934=1,$G1934-$H1934,MAX($G1934-$H1934,ABS($G1934-$I1933),ABS($H1934-$I1933)))</f>
        <v>545</v>
      </c>
      <c r="AB1934" s="48" t="n">
        <f aca="false">IF($U1934&gt;=ATR_PER,AVERAGE(INDEX($AA$1814:$AA1934,122-ATR_PER):$AA1934),"")</f>
        <v>414.214285714286</v>
      </c>
      <c r="AC1934" s="48" t="n">
        <f aca="false">$O1934-$P1934</f>
        <v>9162191</v>
      </c>
      <c r="AD1934" s="48" t="n">
        <f aca="false">$AC1934*$I1934</f>
        <v>124321769679</v>
      </c>
      <c r="AE1934" s="49" t="n">
        <f aca="false">IF($Q1934&gt;0,$O1934*$I1934/$Q1934/1000000,"")</f>
        <v>492.057920867821</v>
      </c>
      <c r="AF1934" s="49" t="n">
        <f aca="false">IF($R1934&gt;0,$P1934*$I1934/$R1934/1000000,"")</f>
        <v>269.255157304675</v>
      </c>
      <c r="AG1934" s="50" t="n">
        <f aca="false">IF(AND(ISNUMBER($AE1934),ISNUMBER($AF1934),$AF1934&gt;0),$AE1934/$AF1934,"")</f>
        <v>1.8274781652967</v>
      </c>
      <c r="AH1934" s="48" t="n">
        <f aca="false">IF($U1934&gt;=5,SUM(INDEX($AD$1904:$AD1934,32-5):$AD1934),"")</f>
        <v>1185881692465</v>
      </c>
      <c r="AI1934" s="48" t="n">
        <f aca="false">IF($U1934&gt;=STRUCT_S,MAX(INDEX($G$1784:$G1934,152-STRUCT_S):$G1934),"")</f>
        <v>13806</v>
      </c>
      <c r="AJ1934" s="48" t="n">
        <f aca="false">IF($U1934&gt;=STRUCT_S,MIN(INDEX($H$1784:$H1934,152-STRUCT_S):$H1934),"")</f>
        <v>12520</v>
      </c>
      <c r="AK1934" s="48" t="n">
        <f aca="false">IF($U1934&gt;=STRUCT_L,MAX(INDEX($G$1684:$G1934,252-STRUCT_L):$G1934),"")</f>
        <v>13806</v>
      </c>
      <c r="AL1934" s="48" t="n">
        <f aca="false">IF($U1934&gt;=STRUCT_L,MIN(INDEX($H$1684:$H1934,252-STRUCT_L):$H1934),"")</f>
        <v>11348</v>
      </c>
      <c r="AM1934" s="46" t="n">
        <f aca="false">IF($A1934&lt;&gt;$A1935,1,0)</f>
        <v>0</v>
      </c>
      <c r="AN1934" s="47" t="str">
        <f aca="false">IF($AM1934=1,$A1934,"")</f>
        <v/>
      </c>
    </row>
    <row r="1935" customFormat="false" ht="15" hidden="false" customHeight="false" outlineLevel="0" collapsed="false">
      <c r="A1935" s="43" t="s">
        <v>167</v>
      </c>
      <c r="B1935" s="44" t="s">
        <v>169</v>
      </c>
      <c r="C1935" s="45" t="n">
        <v>46060</v>
      </c>
      <c r="D1935" s="46" t="n">
        <v>20260207</v>
      </c>
      <c r="E1935" s="47" t="s">
        <v>398</v>
      </c>
      <c r="F1935" s="48" t="n">
        <v>13765</v>
      </c>
      <c r="G1935" s="48" t="n">
        <v>13962</v>
      </c>
      <c r="H1935" s="48" t="n">
        <v>12952</v>
      </c>
      <c r="I1935" s="48" t="n">
        <v>13338</v>
      </c>
      <c r="J1935" s="48" t="n">
        <v>13592</v>
      </c>
      <c r="K1935" s="48" t="n">
        <v>13569</v>
      </c>
      <c r="L1935" s="48" t="n">
        <v>87663884</v>
      </c>
      <c r="M1935" s="48" t="n">
        <v>1169260884792</v>
      </c>
      <c r="N1935" s="48" t="n">
        <v>2369</v>
      </c>
      <c r="O1935" s="48" t="n">
        <v>49825028</v>
      </c>
      <c r="P1935" s="48" t="n">
        <v>38393496</v>
      </c>
      <c r="Q1935" s="48" t="n">
        <v>1719</v>
      </c>
      <c r="R1935" s="48" t="n">
        <v>541</v>
      </c>
      <c r="S1935" s="48" t="n">
        <v>37838856</v>
      </c>
      <c r="T1935" s="48" t="n">
        <v>49270388</v>
      </c>
      <c r="U1935" s="46" t="n">
        <f aca="false">IF($A1935=$A1934,$U1934+1,1)</f>
        <v>111</v>
      </c>
      <c r="V1935" s="48" t="n">
        <f aca="false">IF($U1935&gt;=MA_SHORT,AVERAGE(INDEX($I$1535:$I1935,402-MA_SHORT):$I1935),"")</f>
        <v>13292.25</v>
      </c>
      <c r="W1935" s="48" t="n">
        <f aca="false">IF($U1935&gt;=MA_MED,AVERAGE(INDEX($I$1535:$I1935,402-MA_MED):$I1935),"")</f>
        <v>12753.96</v>
      </c>
      <c r="X1935" s="48" t="n">
        <f aca="false">IF($U1935&gt;=MA_LONG1,AVERAGE(INDEX($I$1535:$I1935,402-MA_LONG1):$I1935),"")</f>
        <v>12300.21</v>
      </c>
      <c r="Y1935" s="48" t="str">
        <f aca="false">IF($U1935&gt;=MA_LONG2,AVERAGE(INDEX($I$1535:$I1935,402-MA_LONG2):$I1935),"")</f>
        <v/>
      </c>
      <c r="Z1935" s="48" t="n">
        <f aca="false">IF($U1935&gt;=MA_SHORT,AVERAGE(INDEX($L$1815:$L1935,122-MA_SHORT):$L1935),"")</f>
        <v>92802674.7</v>
      </c>
      <c r="AA1935" s="48" t="n">
        <f aca="false">IF($U1935=1,$G1935-$H1935,MAX($G1935-$H1935,ABS($G1935-$I1934),ABS($H1935-$I1934)))</f>
        <v>1010</v>
      </c>
      <c r="AB1935" s="48" t="n">
        <f aca="false">IF($U1935&gt;=ATR_PER,AVERAGE(INDEX($AA$1815:$AA1935,122-ATR_PER):$AA1935),"")</f>
        <v>452.785714285714</v>
      </c>
      <c r="AC1935" s="48" t="n">
        <f aca="false">$O1935-$P1935</f>
        <v>11431532</v>
      </c>
      <c r="AD1935" s="48" t="n">
        <f aca="false">$AC1935*$I1935</f>
        <v>152473773816</v>
      </c>
      <c r="AE1935" s="49" t="n">
        <f aca="false">IF($Q1935&gt;0,$O1935*$I1935/$Q1935/1000000,"")</f>
        <v>386.600479036649</v>
      </c>
      <c r="AF1935" s="49" t="n">
        <f aca="false">IF($R1935&gt;0,$P1935*$I1935/$R1935/1000000,"")</f>
        <v>946.566450365989</v>
      </c>
      <c r="AG1935" s="50" t="n">
        <f aca="false">IF(AND(ISNUMBER($AE1935),ISNUMBER($AF1935),$AF1935&gt;0),$AE1935/$AF1935,"")</f>
        <v>0.408424024417061</v>
      </c>
      <c r="AH1935" s="48" t="n">
        <f aca="false">IF($U1935&gt;=5,SUM(INDEX($AD$1905:$AD1935,32-5):$AD1935),"")</f>
        <v>746135172791</v>
      </c>
      <c r="AI1935" s="48" t="n">
        <f aca="false">IF($U1935&gt;=STRUCT_S,MAX(INDEX($G$1785:$G1935,152-STRUCT_S):$G1935),"")</f>
        <v>13962</v>
      </c>
      <c r="AJ1935" s="48" t="n">
        <f aca="false">IF($U1935&gt;=STRUCT_S,MIN(INDEX($H$1785:$H1935,152-STRUCT_S):$H1935),"")</f>
        <v>12596</v>
      </c>
      <c r="AK1935" s="48" t="n">
        <f aca="false">IF($U1935&gt;=STRUCT_L,MAX(INDEX($G$1685:$G1935,252-STRUCT_L):$G1935),"")</f>
        <v>13962</v>
      </c>
      <c r="AL1935" s="48" t="n">
        <f aca="false">IF($U1935&gt;=STRUCT_L,MIN(INDEX($H$1685:$H1935,252-STRUCT_L):$H1935),"")</f>
        <v>11373</v>
      </c>
      <c r="AM1935" s="46" t="n">
        <f aca="false">IF($A1935&lt;&gt;$A1936,1,0)</f>
        <v>0</v>
      </c>
      <c r="AN1935" s="47" t="str">
        <f aca="false">IF($AM1935=1,$A1935,"")</f>
        <v/>
      </c>
    </row>
    <row r="1936" customFormat="false" ht="15" hidden="false" customHeight="false" outlineLevel="0" collapsed="false">
      <c r="A1936" s="43" t="s">
        <v>167</v>
      </c>
      <c r="B1936" s="44" t="s">
        <v>169</v>
      </c>
      <c r="C1936" s="45" t="n">
        <v>46061</v>
      </c>
      <c r="D1936" s="46" t="n">
        <v>20260208</v>
      </c>
      <c r="E1936" s="47" t="s">
        <v>399</v>
      </c>
      <c r="F1936" s="48" t="n">
        <v>13230</v>
      </c>
      <c r="G1936" s="48" t="n">
        <v>13529</v>
      </c>
      <c r="H1936" s="48" t="n">
        <v>13030</v>
      </c>
      <c r="I1936" s="48" t="n">
        <v>13220</v>
      </c>
      <c r="J1936" s="48" t="n">
        <v>13074</v>
      </c>
      <c r="K1936" s="48" t="n">
        <v>13338</v>
      </c>
      <c r="L1936" s="48" t="n">
        <v>83761430</v>
      </c>
      <c r="M1936" s="48" t="n">
        <v>1107326104600</v>
      </c>
      <c r="N1936" s="48" t="n">
        <v>3735</v>
      </c>
      <c r="O1936" s="48" t="n">
        <v>51042994</v>
      </c>
      <c r="P1936" s="48" t="n">
        <v>39420704</v>
      </c>
      <c r="Q1936" s="48" t="n">
        <v>1586</v>
      </c>
      <c r="R1936" s="48" t="n">
        <v>1153</v>
      </c>
      <c r="S1936" s="48" t="n">
        <v>32718436</v>
      </c>
      <c r="T1936" s="48" t="n">
        <v>44340726</v>
      </c>
      <c r="U1936" s="46" t="n">
        <f aca="false">IF($A1936=$A1935,$U1935+1,1)</f>
        <v>112</v>
      </c>
      <c r="V1936" s="48" t="n">
        <f aca="false">IF($U1936&gt;=MA_SHORT,AVERAGE(INDEX($I$1536:$I1936,402-MA_SHORT):$I1936),"")</f>
        <v>13307.85</v>
      </c>
      <c r="W1936" s="48" t="n">
        <f aca="false">IF($U1936&gt;=MA_MED,AVERAGE(INDEX($I$1536:$I1936,402-MA_MED):$I1936),"")</f>
        <v>12781.36</v>
      </c>
      <c r="X1936" s="48" t="n">
        <f aca="false">IF($U1936&gt;=MA_LONG1,AVERAGE(INDEX($I$1536:$I1936,402-MA_LONG1):$I1936),"")</f>
        <v>12316.05</v>
      </c>
      <c r="Y1936" s="48" t="str">
        <f aca="false">IF($U1936&gt;=MA_LONG2,AVERAGE(INDEX($I$1536:$I1936,402-MA_LONG2):$I1936),"")</f>
        <v/>
      </c>
      <c r="Z1936" s="48" t="n">
        <f aca="false">IF($U1936&gt;=MA_SHORT,AVERAGE(INDEX($L$1816:$L1936,122-MA_SHORT):$L1936),"")</f>
        <v>92718078.55</v>
      </c>
      <c r="AA1936" s="48" t="n">
        <f aca="false">IF($U1936=1,$G1936-$H1936,MAX($G1936-$H1936,ABS($G1936-$I1935),ABS($H1936-$I1935)))</f>
        <v>499</v>
      </c>
      <c r="AB1936" s="48" t="n">
        <f aca="false">IF($U1936&gt;=ATR_PER,AVERAGE(INDEX($AA$1816:$AA1936,122-ATR_PER):$AA1936),"")</f>
        <v>466.785714285714</v>
      </c>
      <c r="AC1936" s="48" t="n">
        <f aca="false">$O1936-$P1936</f>
        <v>11622290</v>
      </c>
      <c r="AD1936" s="48" t="n">
        <f aca="false">$AC1936*$I1936</f>
        <v>153646673800</v>
      </c>
      <c r="AE1936" s="49" t="n">
        <f aca="false">IF($Q1936&gt;0,$O1936*$I1936/$Q1936/1000000,"")</f>
        <v>425.465561588903</v>
      </c>
      <c r="AF1936" s="49" t="n">
        <f aca="false">IF($R1936&gt;0,$P1936*$I1936/$R1936/1000000,"")</f>
        <v>451.987603538595</v>
      </c>
      <c r="AG1936" s="50" t="n">
        <f aca="false">IF(AND(ISNUMBER($AE1936),ISNUMBER($AF1936),$AF1936&gt;0),$AE1936/$AF1936,"")</f>
        <v>0.941321306730424</v>
      </c>
      <c r="AH1936" s="48" t="n">
        <f aca="false">IF($U1936&gt;=5,SUM(INDEX($AD$1906:$AD1936,32-5):$AD1936),"")</f>
        <v>805401580611</v>
      </c>
      <c r="AI1936" s="48" t="n">
        <f aca="false">IF($U1936&gt;=STRUCT_S,MAX(INDEX($G$1786:$G1936,152-STRUCT_S):$G1936),"")</f>
        <v>13962</v>
      </c>
      <c r="AJ1936" s="48" t="n">
        <f aca="false">IF($U1936&gt;=STRUCT_S,MIN(INDEX($H$1786:$H1936,152-STRUCT_S):$H1936),"")</f>
        <v>12750</v>
      </c>
      <c r="AK1936" s="48" t="n">
        <f aca="false">IF($U1936&gt;=STRUCT_L,MAX(INDEX($G$1686:$G1936,252-STRUCT_L):$G1936),"")</f>
        <v>13962</v>
      </c>
      <c r="AL1936" s="48" t="n">
        <f aca="false">IF($U1936&gt;=STRUCT_L,MIN(INDEX($H$1686:$H1936,252-STRUCT_L):$H1936),"")</f>
        <v>11373</v>
      </c>
      <c r="AM1936" s="46" t="n">
        <f aca="false">IF($A1936&lt;&gt;$A1937,1,0)</f>
        <v>0</v>
      </c>
      <c r="AN1936" s="47" t="str">
        <f aca="false">IF($AM1936=1,$A1936,"")</f>
        <v/>
      </c>
    </row>
    <row r="1937" customFormat="false" ht="15" hidden="false" customHeight="false" outlineLevel="0" collapsed="false">
      <c r="A1937" s="43" t="s">
        <v>167</v>
      </c>
      <c r="B1937" s="44" t="s">
        <v>169</v>
      </c>
      <c r="C1937" s="45" t="n">
        <v>46062</v>
      </c>
      <c r="D1937" s="46" t="n">
        <v>20260209</v>
      </c>
      <c r="E1937" s="47" t="s">
        <v>400</v>
      </c>
      <c r="F1937" s="48" t="n">
        <v>12875</v>
      </c>
      <c r="G1937" s="48" t="n">
        <v>13338</v>
      </c>
      <c r="H1937" s="48" t="n">
        <v>12657</v>
      </c>
      <c r="I1937" s="48" t="n">
        <v>12771</v>
      </c>
      <c r="J1937" s="48" t="n">
        <v>12980</v>
      </c>
      <c r="K1937" s="48" t="n">
        <v>13220</v>
      </c>
      <c r="L1937" s="48" t="n">
        <v>95748070</v>
      </c>
      <c r="M1937" s="48" t="n">
        <v>1222798601970</v>
      </c>
      <c r="N1937" s="48" t="n">
        <v>2177</v>
      </c>
      <c r="O1937" s="48" t="n">
        <v>48867993</v>
      </c>
      <c r="P1937" s="48" t="n">
        <v>48836745</v>
      </c>
      <c r="Q1937" s="48" t="n">
        <v>896</v>
      </c>
      <c r="R1937" s="48" t="n">
        <v>551</v>
      </c>
      <c r="S1937" s="48" t="n">
        <v>46880077</v>
      </c>
      <c r="T1937" s="48" t="n">
        <v>46911325</v>
      </c>
      <c r="U1937" s="46" t="n">
        <f aca="false">IF($A1937=$A1936,$U1936+1,1)</f>
        <v>113</v>
      </c>
      <c r="V1937" s="48" t="n">
        <f aca="false">IF($U1937&gt;=MA_SHORT,AVERAGE(INDEX($I$1537:$I1937,402-MA_SHORT):$I1937),"")</f>
        <v>13286</v>
      </c>
      <c r="W1937" s="48" t="n">
        <f aca="false">IF($U1937&gt;=MA_MED,AVERAGE(INDEX($I$1537:$I1937,402-MA_MED):$I1937),"")</f>
        <v>12798.22</v>
      </c>
      <c r="X1937" s="48" t="n">
        <f aca="false">IF($U1937&gt;=MA_LONG1,AVERAGE(INDEX($I$1537:$I1937,402-MA_LONG1):$I1937),"")</f>
        <v>12327.98</v>
      </c>
      <c r="Y1937" s="48" t="str">
        <f aca="false">IF($U1937&gt;=MA_LONG2,AVERAGE(INDEX($I$1537:$I1937,402-MA_LONG2):$I1937),"")</f>
        <v/>
      </c>
      <c r="Z1937" s="48" t="n">
        <f aca="false">IF($U1937&gt;=MA_SHORT,AVERAGE(INDEX($L$1817:$L1937,122-MA_SHORT):$L1937),"")</f>
        <v>91009838.05</v>
      </c>
      <c r="AA1937" s="48" t="n">
        <f aca="false">IF($U1937=1,$G1937-$H1937,MAX($G1937-$H1937,ABS($G1937-$I1936),ABS($H1937-$I1936)))</f>
        <v>681</v>
      </c>
      <c r="AB1937" s="48" t="n">
        <f aca="false">IF($U1937&gt;=ATR_PER,AVERAGE(INDEX($AA$1817:$AA1937,122-ATR_PER):$AA1937),"")</f>
        <v>501.642857142857</v>
      </c>
      <c r="AC1937" s="48" t="n">
        <f aca="false">$O1937-$P1937</f>
        <v>31248</v>
      </c>
      <c r="AD1937" s="48" t="n">
        <f aca="false">$AC1937*$I1937</f>
        <v>399068208</v>
      </c>
      <c r="AE1937" s="49" t="n">
        <f aca="false">IF($Q1937&gt;0,$O1937*$I1937/$Q1937/1000000,"")</f>
        <v>696.532520762277</v>
      </c>
      <c r="AF1937" s="49" t="n">
        <f aca="false">IF($R1937&gt;0,$P1937*$I1937/$R1937/1000000,"")</f>
        <v>1131.93116224138</v>
      </c>
      <c r="AG1937" s="50" t="n">
        <f aca="false">IF(AND(ISNUMBER($AE1937),ISNUMBER($AF1937),$AF1937&gt;0),$AE1937/$AF1937,"")</f>
        <v>0.615348833919411</v>
      </c>
      <c r="AH1937" s="48" t="n">
        <f aca="false">IF($U1937&gt;=5,SUM(INDEX($AD$1907:$AD1937,32-5):$AD1937),"")</f>
        <v>538765990335</v>
      </c>
      <c r="AI1937" s="48" t="n">
        <f aca="false">IF($U1937&gt;=STRUCT_S,MAX(INDEX($G$1787:$G1937,152-STRUCT_S):$G1937),"")</f>
        <v>13962</v>
      </c>
      <c r="AJ1937" s="48" t="n">
        <f aca="false">IF($U1937&gt;=STRUCT_S,MIN(INDEX($H$1787:$H1937,152-STRUCT_S):$H1937),"")</f>
        <v>12657</v>
      </c>
      <c r="AK1937" s="48" t="n">
        <f aca="false">IF($U1937&gt;=STRUCT_L,MAX(INDEX($G$1687:$G1937,252-STRUCT_L):$G1937),"")</f>
        <v>13962</v>
      </c>
      <c r="AL1937" s="48" t="n">
        <f aca="false">IF($U1937&gt;=STRUCT_L,MIN(INDEX($H$1687:$H1937,252-STRUCT_L):$H1937),"")</f>
        <v>11373</v>
      </c>
      <c r="AM1937" s="46" t="n">
        <f aca="false">IF($A1937&lt;&gt;$A1938,1,0)</f>
        <v>0</v>
      </c>
      <c r="AN1937" s="47" t="str">
        <f aca="false">IF($AM1937=1,$A1937,"")</f>
        <v/>
      </c>
    </row>
    <row r="1938" customFormat="false" ht="15" hidden="false" customHeight="false" outlineLevel="0" collapsed="false">
      <c r="A1938" s="43" t="s">
        <v>167</v>
      </c>
      <c r="B1938" s="44" t="s">
        <v>169</v>
      </c>
      <c r="C1938" s="45" t="n">
        <v>46063</v>
      </c>
      <c r="D1938" s="46" t="n">
        <v>20260210</v>
      </c>
      <c r="E1938" s="47" t="s">
        <v>401</v>
      </c>
      <c r="F1938" s="48" t="n">
        <v>12808</v>
      </c>
      <c r="G1938" s="48" t="n">
        <v>12976</v>
      </c>
      <c r="H1938" s="48" t="n">
        <v>12268</v>
      </c>
      <c r="I1938" s="48" t="n">
        <v>12468</v>
      </c>
      <c r="J1938" s="48" t="n">
        <v>12590</v>
      </c>
      <c r="K1938" s="48" t="n">
        <v>12771</v>
      </c>
      <c r="L1938" s="48" t="n">
        <v>90862096</v>
      </c>
      <c r="M1938" s="48" t="n">
        <v>1132868612928</v>
      </c>
      <c r="N1938" s="48" t="n">
        <v>2305</v>
      </c>
      <c r="O1938" s="48" t="n">
        <v>44476433</v>
      </c>
      <c r="P1938" s="48" t="n">
        <v>54739251</v>
      </c>
      <c r="Q1938" s="48" t="n">
        <v>1156</v>
      </c>
      <c r="R1938" s="48" t="n">
        <v>907</v>
      </c>
      <c r="S1938" s="48" t="n">
        <v>46385663</v>
      </c>
      <c r="T1938" s="48" t="n">
        <v>36122845</v>
      </c>
      <c r="U1938" s="46" t="n">
        <f aca="false">IF($A1938=$A1937,$U1937+1,1)</f>
        <v>114</v>
      </c>
      <c r="V1938" s="48" t="n">
        <f aca="false">IF($U1938&gt;=MA_SHORT,AVERAGE(INDEX($I$1538:$I1938,402-MA_SHORT):$I1938),"")</f>
        <v>13248.4</v>
      </c>
      <c r="W1938" s="48" t="n">
        <f aca="false">IF($U1938&gt;=MA_MED,AVERAGE(INDEX($I$1538:$I1938,402-MA_MED):$I1938),"")</f>
        <v>12809.74</v>
      </c>
      <c r="X1938" s="48" t="n">
        <f aca="false">IF($U1938&gt;=MA_LONG1,AVERAGE(INDEX($I$1538:$I1938,402-MA_LONG1):$I1938),"")</f>
        <v>12333.72</v>
      </c>
      <c r="Y1938" s="48" t="str">
        <f aca="false">IF($U1938&gt;=MA_LONG2,AVERAGE(INDEX($I$1538:$I1938,402-MA_LONG2):$I1938),"")</f>
        <v/>
      </c>
      <c r="Z1938" s="48" t="n">
        <f aca="false">IF($U1938&gt;=MA_SHORT,AVERAGE(INDEX($L$1818:$L1938,122-MA_SHORT):$L1938),"")</f>
        <v>90804237.3</v>
      </c>
      <c r="AA1938" s="48" t="n">
        <f aca="false">IF($U1938=1,$G1938-$H1938,MAX($G1938-$H1938,ABS($G1938-$I1937),ABS($H1938-$I1937)))</f>
        <v>708</v>
      </c>
      <c r="AB1938" s="48" t="n">
        <f aca="false">IF($U1938&gt;=ATR_PER,AVERAGE(INDEX($AA$1818:$AA1938,122-ATR_PER):$AA1938),"")</f>
        <v>519.857142857143</v>
      </c>
      <c r="AC1938" s="48" t="n">
        <f aca="false">$O1938-$P1938</f>
        <v>-10262818</v>
      </c>
      <c r="AD1938" s="48" t="n">
        <f aca="false">$AC1938*$I1938</f>
        <v>-127956814824</v>
      </c>
      <c r="AE1938" s="49" t="n">
        <f aca="false">IF($Q1938&gt;0,$O1938*$I1938/$Q1938/1000000,"")</f>
        <v>479.699106093426</v>
      </c>
      <c r="AF1938" s="49" t="n">
        <f aca="false">IF($R1938&gt;0,$P1938*$I1938/$R1938/1000000,"")</f>
        <v>752.468557296582</v>
      </c>
      <c r="AG1938" s="50" t="n">
        <f aca="false">IF(AND(ISNUMBER($AE1938),ISNUMBER($AF1938),$AF1938&gt;0),$AE1938/$AF1938,"")</f>
        <v>0.63750053266924</v>
      </c>
      <c r="AH1938" s="48" t="n">
        <f aca="false">IF($U1938&gt;=5,SUM(INDEX($AD$1908:$AD1938,32-5):$AD1938),"")</f>
        <v>302884470679</v>
      </c>
      <c r="AI1938" s="48" t="n">
        <f aca="false">IF($U1938&gt;=STRUCT_S,MAX(INDEX($G$1788:$G1938,152-STRUCT_S):$G1938),"")</f>
        <v>13962</v>
      </c>
      <c r="AJ1938" s="48" t="n">
        <f aca="false">IF($U1938&gt;=STRUCT_S,MIN(INDEX($H$1788:$H1938,152-STRUCT_S):$H1938),"")</f>
        <v>12268</v>
      </c>
      <c r="AK1938" s="48" t="n">
        <f aca="false">IF($U1938&gt;=STRUCT_L,MAX(INDEX($G$1688:$G1938,252-STRUCT_L):$G1938),"")</f>
        <v>13962</v>
      </c>
      <c r="AL1938" s="48" t="n">
        <f aca="false">IF($U1938&gt;=STRUCT_L,MIN(INDEX($H$1688:$H1938,252-STRUCT_L):$H1938),"")</f>
        <v>11642</v>
      </c>
      <c r="AM1938" s="46" t="n">
        <f aca="false">IF($A1938&lt;&gt;$A1939,1,0)</f>
        <v>0</v>
      </c>
      <c r="AN1938" s="47" t="str">
        <f aca="false">IF($AM1938=1,$A1938,"")</f>
        <v/>
      </c>
    </row>
    <row r="1939" customFormat="false" ht="15" hidden="false" customHeight="false" outlineLevel="0" collapsed="false">
      <c r="A1939" s="43" t="s">
        <v>167</v>
      </c>
      <c r="B1939" s="44" t="s">
        <v>169</v>
      </c>
      <c r="C1939" s="45" t="n">
        <v>46064</v>
      </c>
      <c r="D1939" s="46" t="n">
        <v>20260211</v>
      </c>
      <c r="E1939" s="47" t="s">
        <v>402</v>
      </c>
      <c r="F1939" s="48" t="n">
        <v>12676</v>
      </c>
      <c r="G1939" s="48" t="n">
        <v>12686</v>
      </c>
      <c r="H1939" s="48" t="n">
        <v>12341</v>
      </c>
      <c r="I1939" s="48" t="n">
        <v>12558</v>
      </c>
      <c r="J1939" s="48" t="n">
        <v>12563</v>
      </c>
      <c r="K1939" s="48" t="n">
        <v>12468</v>
      </c>
      <c r="L1939" s="48" t="n">
        <v>122591652</v>
      </c>
      <c r="M1939" s="48" t="n">
        <v>1539505965816</v>
      </c>
      <c r="N1939" s="48" t="n">
        <v>3209</v>
      </c>
      <c r="O1939" s="48" t="n">
        <v>67018038</v>
      </c>
      <c r="P1939" s="48" t="n">
        <v>55820777</v>
      </c>
      <c r="Q1939" s="48" t="n">
        <v>1031</v>
      </c>
      <c r="R1939" s="48" t="n">
        <v>2177</v>
      </c>
      <c r="S1939" s="48" t="n">
        <v>55573614</v>
      </c>
      <c r="T1939" s="48" t="n">
        <v>66770875</v>
      </c>
      <c r="U1939" s="46" t="n">
        <f aca="false">IF($A1939=$A1938,$U1938+1,1)</f>
        <v>115</v>
      </c>
      <c r="V1939" s="48" t="n">
        <f aca="false">IF($U1939&gt;=MA_SHORT,AVERAGE(INDEX($I$1539:$I1939,402-MA_SHORT):$I1939),"")</f>
        <v>13221.1</v>
      </c>
      <c r="W1939" s="48" t="n">
        <f aca="false">IF($U1939&gt;=MA_MED,AVERAGE(INDEX($I$1539:$I1939,402-MA_MED):$I1939),"")</f>
        <v>12819.14</v>
      </c>
      <c r="X1939" s="48" t="n">
        <f aca="false">IF($U1939&gt;=MA_LONG1,AVERAGE(INDEX($I$1539:$I1939,402-MA_LONG1):$I1939),"")</f>
        <v>12340.03</v>
      </c>
      <c r="Y1939" s="48" t="str">
        <f aca="false">IF($U1939&gt;=MA_LONG2,AVERAGE(INDEX($I$1539:$I1939,402-MA_LONG2):$I1939),"")</f>
        <v/>
      </c>
      <c r="Z1939" s="48" t="n">
        <f aca="false">IF($U1939&gt;=MA_SHORT,AVERAGE(INDEX($L$1819:$L1939,122-MA_SHORT):$L1939),"")</f>
        <v>92747474.1</v>
      </c>
      <c r="AA1939" s="48" t="n">
        <f aca="false">IF($U1939=1,$G1939-$H1939,MAX($G1939-$H1939,ABS($G1939-$I1938),ABS($H1939-$I1938)))</f>
        <v>345</v>
      </c>
      <c r="AB1939" s="48" t="n">
        <f aca="false">IF($U1939&gt;=ATR_PER,AVERAGE(INDEX($AA$1819:$AA1939,122-ATR_PER):$AA1939),"")</f>
        <v>524.5</v>
      </c>
      <c r="AC1939" s="48" t="n">
        <f aca="false">$O1939-$P1939</f>
        <v>11197261</v>
      </c>
      <c r="AD1939" s="48" t="n">
        <f aca="false">$AC1939*$I1939</f>
        <v>140615203638</v>
      </c>
      <c r="AE1939" s="49" t="n">
        <f aca="false">IF($Q1939&gt;0,$O1939*$I1939/$Q1939/1000000,"")</f>
        <v>816.307004077595</v>
      </c>
      <c r="AF1939" s="49" t="n">
        <f aca="false">IF($R1939&gt;0,$P1939*$I1939/$R1939/1000000,"")</f>
        <v>322.001523916399</v>
      </c>
      <c r="AG1939" s="50" t="n">
        <f aca="false">IF(AND(ISNUMBER($AE1939),ISNUMBER($AF1939),$AF1939&gt;0),$AE1939/$AF1939,"")</f>
        <v>2.5351029217164</v>
      </c>
      <c r="AH1939" s="48" t="n">
        <f aca="false">IF($U1939&gt;=5,SUM(INDEX($AD$1909:$AD1939,32-5):$AD1939),"")</f>
        <v>319177904638</v>
      </c>
      <c r="AI1939" s="48" t="n">
        <f aca="false">IF($U1939&gt;=STRUCT_S,MAX(INDEX($G$1789:$G1939,152-STRUCT_S):$G1939),"")</f>
        <v>13962</v>
      </c>
      <c r="AJ1939" s="48" t="n">
        <f aca="false">IF($U1939&gt;=STRUCT_S,MIN(INDEX($H$1789:$H1939,152-STRUCT_S):$H1939),"")</f>
        <v>12268</v>
      </c>
      <c r="AK1939" s="48" t="n">
        <f aca="false">IF($U1939&gt;=STRUCT_L,MAX(INDEX($G$1689:$G1939,252-STRUCT_L):$G1939),"")</f>
        <v>13962</v>
      </c>
      <c r="AL1939" s="48" t="n">
        <f aca="false">IF($U1939&gt;=STRUCT_L,MIN(INDEX($H$1689:$H1939,252-STRUCT_L):$H1939),"")</f>
        <v>11642</v>
      </c>
      <c r="AM1939" s="46" t="n">
        <f aca="false">IF($A1939&lt;&gt;$A1940,1,0)</f>
        <v>0</v>
      </c>
      <c r="AN1939" s="47" t="str">
        <f aca="false">IF($AM1939=1,$A1939,"")</f>
        <v/>
      </c>
    </row>
    <row r="1940" customFormat="false" ht="15" hidden="false" customHeight="false" outlineLevel="0" collapsed="false">
      <c r="A1940" s="43" t="s">
        <v>167</v>
      </c>
      <c r="B1940" s="44" t="s">
        <v>169</v>
      </c>
      <c r="C1940" s="45" t="n">
        <v>46067</v>
      </c>
      <c r="D1940" s="46" t="n">
        <v>20260214</v>
      </c>
      <c r="E1940" s="47" t="s">
        <v>403</v>
      </c>
      <c r="F1940" s="48" t="n">
        <v>12593</v>
      </c>
      <c r="G1940" s="48" t="n">
        <v>12886</v>
      </c>
      <c r="H1940" s="48" t="n">
        <v>12513</v>
      </c>
      <c r="I1940" s="48" t="n">
        <v>12840</v>
      </c>
      <c r="J1940" s="48" t="n">
        <v>12646</v>
      </c>
      <c r="K1940" s="48" t="n">
        <v>12558</v>
      </c>
      <c r="L1940" s="48" t="n">
        <v>101236286</v>
      </c>
      <c r="M1940" s="48" t="n">
        <v>1299873912240</v>
      </c>
      <c r="N1940" s="48" t="n">
        <v>2605</v>
      </c>
      <c r="O1940" s="48" t="n">
        <v>71568170</v>
      </c>
      <c r="P1940" s="48" t="n">
        <v>33017578</v>
      </c>
      <c r="Q1940" s="48" t="n">
        <v>927</v>
      </c>
      <c r="R1940" s="48" t="n">
        <v>2048</v>
      </c>
      <c r="S1940" s="48" t="n">
        <v>29668116</v>
      </c>
      <c r="T1940" s="48" t="n">
        <v>68218708</v>
      </c>
      <c r="U1940" s="46" t="n">
        <f aca="false">IF($A1940=$A1939,$U1939+1,1)</f>
        <v>116</v>
      </c>
      <c r="V1940" s="48" t="n">
        <f aca="false">IF($U1940&gt;=MA_SHORT,AVERAGE(INDEX($I$1540:$I1940,402-MA_SHORT):$I1940),"")</f>
        <v>13204.75</v>
      </c>
      <c r="W1940" s="48" t="n">
        <f aca="false">IF($U1940&gt;=MA_MED,AVERAGE(INDEX($I$1540:$I1940,402-MA_MED):$I1940),"")</f>
        <v>12826.92</v>
      </c>
      <c r="X1940" s="48" t="n">
        <f aca="false">IF($U1940&gt;=MA_LONG1,AVERAGE(INDEX($I$1540:$I1940,402-MA_LONG1):$I1940),"")</f>
        <v>12351.84</v>
      </c>
      <c r="Y1940" s="48" t="str">
        <f aca="false">IF($U1940&gt;=MA_LONG2,AVERAGE(INDEX($I$1540:$I1940,402-MA_LONG2):$I1940),"")</f>
        <v/>
      </c>
      <c r="Z1940" s="48" t="n">
        <f aca="false">IF($U1940&gt;=MA_SHORT,AVERAGE(INDEX($L$1820:$L1940,122-MA_SHORT):$L1940),"")</f>
        <v>93717599.8</v>
      </c>
      <c r="AA1940" s="48" t="n">
        <f aca="false">IF($U1940=1,$G1940-$H1940,MAX($G1940-$H1940,ABS($G1940-$I1939),ABS($H1940-$I1939)))</f>
        <v>373</v>
      </c>
      <c r="AB1940" s="48" t="n">
        <f aca="false">IF($U1940&gt;=ATR_PER,AVERAGE(INDEX($AA$1820:$AA1940,122-ATR_PER):$AA1940),"")</f>
        <v>516.571428571429</v>
      </c>
      <c r="AC1940" s="48" t="n">
        <f aca="false">$O1940-$P1940</f>
        <v>38550592</v>
      </c>
      <c r="AD1940" s="48" t="n">
        <f aca="false">$AC1940*$I1940</f>
        <v>494989601280</v>
      </c>
      <c r="AE1940" s="49" t="n">
        <f aca="false">IF($Q1940&gt;0,$O1940*$I1940/$Q1940/1000000,"")</f>
        <v>991.300218770227</v>
      </c>
      <c r="AF1940" s="49" t="n">
        <f aca="false">IF($R1940&gt;0,$P1940*$I1940/$R1940/1000000,"")</f>
        <v>207.004737070313</v>
      </c>
      <c r="AG1940" s="50" t="n">
        <f aca="false">IF(AND(ISNUMBER($AE1940),ISNUMBER($AF1940),$AF1940&gt;0),$AE1940/$AF1940,"")</f>
        <v>4.78878035739595</v>
      </c>
      <c r="AH1940" s="48" t="n">
        <f aca="false">IF($U1940&gt;=5,SUM(INDEX($AD$1910:$AD1940,32-5):$AD1940),"")</f>
        <v>661693732102</v>
      </c>
      <c r="AI1940" s="48" t="n">
        <f aca="false">IF($U1940&gt;=STRUCT_S,MAX(INDEX($G$1790:$G1940,152-STRUCT_S):$G1940),"")</f>
        <v>13962</v>
      </c>
      <c r="AJ1940" s="48" t="n">
        <f aca="false">IF($U1940&gt;=STRUCT_S,MIN(INDEX($H$1790:$H1940,152-STRUCT_S):$H1940),"")</f>
        <v>12268</v>
      </c>
      <c r="AK1940" s="48" t="n">
        <f aca="false">IF($U1940&gt;=STRUCT_L,MAX(INDEX($G$1690:$G1940,252-STRUCT_L):$G1940),"")</f>
        <v>13962</v>
      </c>
      <c r="AL1940" s="48" t="n">
        <f aca="false">IF($U1940&gt;=STRUCT_L,MIN(INDEX($H$1690:$H1940,252-STRUCT_L):$H1940),"")</f>
        <v>11642</v>
      </c>
      <c r="AM1940" s="46" t="n">
        <f aca="false">IF($A1940&lt;&gt;$A1941,1,0)</f>
        <v>0</v>
      </c>
      <c r="AN1940" s="47" t="str">
        <f aca="false">IF($AM1940=1,$A1940,"")</f>
        <v/>
      </c>
    </row>
    <row r="1941" customFormat="false" ht="15" hidden="false" customHeight="false" outlineLevel="0" collapsed="false">
      <c r="A1941" s="43" t="s">
        <v>167</v>
      </c>
      <c r="B1941" s="44" t="s">
        <v>169</v>
      </c>
      <c r="C1941" s="45" t="n">
        <v>46068</v>
      </c>
      <c r="D1941" s="46" t="n">
        <v>20260215</v>
      </c>
      <c r="E1941" s="47" t="s">
        <v>404</v>
      </c>
      <c r="F1941" s="48" t="n">
        <v>12805</v>
      </c>
      <c r="G1941" s="48" t="n">
        <v>12946</v>
      </c>
      <c r="H1941" s="48" t="n">
        <v>12575</v>
      </c>
      <c r="I1941" s="48" t="n">
        <v>12680</v>
      </c>
      <c r="J1941" s="48" t="n">
        <v>12923</v>
      </c>
      <c r="K1941" s="48" t="n">
        <v>12840</v>
      </c>
      <c r="L1941" s="48" t="n">
        <v>85486236</v>
      </c>
      <c r="M1941" s="48" t="n">
        <v>1083965472480</v>
      </c>
      <c r="N1941" s="48" t="n">
        <v>2145</v>
      </c>
      <c r="O1941" s="48" t="n">
        <v>48036483</v>
      </c>
      <c r="P1941" s="48" t="n">
        <v>38025834</v>
      </c>
      <c r="Q1941" s="48" t="n">
        <v>1324</v>
      </c>
      <c r="R1941" s="48" t="n">
        <v>675</v>
      </c>
      <c r="S1941" s="48" t="n">
        <v>37449753</v>
      </c>
      <c r="T1941" s="48" t="n">
        <v>47460402</v>
      </c>
      <c r="U1941" s="46" t="n">
        <f aca="false">IF($A1941=$A1940,$U1940+1,1)</f>
        <v>117</v>
      </c>
      <c r="V1941" s="48" t="n">
        <f aca="false">IF($U1941&gt;=MA_SHORT,AVERAGE(INDEX($I$1541:$I1941,402-MA_SHORT):$I1941),"")</f>
        <v>13171.5</v>
      </c>
      <c r="W1941" s="48" t="n">
        <f aca="false">IF($U1941&gt;=MA_MED,AVERAGE(INDEX($I$1541:$I1941,402-MA_MED):$I1941),"")</f>
        <v>12831.44</v>
      </c>
      <c r="X1941" s="48" t="n">
        <f aca="false">IF($U1941&gt;=MA_LONG1,AVERAGE(INDEX($I$1541:$I1941,402-MA_LONG1):$I1941),"")</f>
        <v>12359.41</v>
      </c>
      <c r="Y1941" s="48" t="str">
        <f aca="false">IF($U1941&gt;=MA_LONG2,AVERAGE(INDEX($I$1541:$I1941,402-MA_LONG2):$I1941),"")</f>
        <v/>
      </c>
      <c r="Z1941" s="48" t="n">
        <f aca="false">IF($U1941&gt;=MA_SHORT,AVERAGE(INDEX($L$1821:$L1941,122-MA_SHORT):$L1941),"")</f>
        <v>92943812.85</v>
      </c>
      <c r="AA1941" s="48" t="n">
        <f aca="false">IF($U1941=1,$G1941-$H1941,MAX($G1941-$H1941,ABS($G1941-$I1940),ABS($H1941-$I1940)))</f>
        <v>371</v>
      </c>
      <c r="AB1941" s="48" t="n">
        <f aca="false">IF($U1941&gt;=ATR_PER,AVERAGE(INDEX($AA$1821:$AA1941,122-ATR_PER):$AA1941),"")</f>
        <v>503.285714285714</v>
      </c>
      <c r="AC1941" s="48" t="n">
        <f aca="false">$O1941-$P1941</f>
        <v>10010649</v>
      </c>
      <c r="AD1941" s="48" t="n">
        <f aca="false">$AC1941*$I1941</f>
        <v>126935029320</v>
      </c>
      <c r="AE1941" s="49" t="n">
        <f aca="false">IF($Q1941&gt;0,$O1941*$I1941/$Q1941/1000000,"")</f>
        <v>460.047284320242</v>
      </c>
      <c r="AF1941" s="49" t="n">
        <f aca="false">IF($R1941&gt;0,$P1941*$I1941/$R1941/1000000,"")</f>
        <v>714.322333511111</v>
      </c>
      <c r="AG1941" s="50" t="n">
        <f aca="false">IF(AND(ISNUMBER($AE1941),ISNUMBER($AF1941),$AF1941&gt;0),$AE1941/$AF1941,"")</f>
        <v>0.644033180453661</v>
      </c>
      <c r="AH1941" s="48" t="n">
        <f aca="false">IF($U1941&gt;=5,SUM(INDEX($AD$1911:$AD1941,32-5):$AD1941),"")</f>
        <v>634982087622</v>
      </c>
      <c r="AI1941" s="48" t="n">
        <f aca="false">IF($U1941&gt;=STRUCT_S,MAX(INDEX($G$1791:$G1941,152-STRUCT_S):$G1941),"")</f>
        <v>13962</v>
      </c>
      <c r="AJ1941" s="48" t="n">
        <f aca="false">IF($U1941&gt;=STRUCT_S,MIN(INDEX($H$1791:$H1941,152-STRUCT_S):$H1941),"")</f>
        <v>12268</v>
      </c>
      <c r="AK1941" s="48" t="n">
        <f aca="false">IF($U1941&gt;=STRUCT_L,MAX(INDEX($G$1691:$G1941,252-STRUCT_L):$G1941),"")</f>
        <v>13962</v>
      </c>
      <c r="AL1941" s="48" t="n">
        <f aca="false">IF($U1941&gt;=STRUCT_L,MIN(INDEX($H$1691:$H1941,252-STRUCT_L):$H1941),"")</f>
        <v>11642</v>
      </c>
      <c r="AM1941" s="46" t="n">
        <f aca="false">IF($A1941&lt;&gt;$A1942,1,0)</f>
        <v>0</v>
      </c>
      <c r="AN1941" s="47" t="str">
        <f aca="false">IF($AM1941=1,$A1941,"")</f>
        <v/>
      </c>
    </row>
    <row r="1942" customFormat="false" ht="15" hidden="false" customHeight="false" outlineLevel="0" collapsed="false">
      <c r="A1942" s="43" t="s">
        <v>167</v>
      </c>
      <c r="B1942" s="44" t="s">
        <v>169</v>
      </c>
      <c r="C1942" s="45" t="n">
        <v>46069</v>
      </c>
      <c r="D1942" s="46" t="n">
        <v>20260216</v>
      </c>
      <c r="E1942" s="47" t="s">
        <v>405</v>
      </c>
      <c r="F1942" s="48" t="n">
        <v>12854</v>
      </c>
      <c r="G1942" s="48" t="n">
        <v>12953</v>
      </c>
      <c r="H1942" s="48" t="n">
        <v>12300</v>
      </c>
      <c r="I1942" s="48" t="n">
        <v>12571</v>
      </c>
      <c r="J1942" s="48" t="n">
        <v>12456</v>
      </c>
      <c r="K1942" s="48" t="n">
        <v>12680</v>
      </c>
      <c r="L1942" s="48" t="n">
        <v>83641792</v>
      </c>
      <c r="M1942" s="48" t="n">
        <v>1051460967232</v>
      </c>
      <c r="N1942" s="48" t="n">
        <v>3619</v>
      </c>
      <c r="O1942" s="48" t="n">
        <v>43277529</v>
      </c>
      <c r="P1942" s="48" t="n">
        <v>42505197</v>
      </c>
      <c r="Q1942" s="48" t="n">
        <v>1507</v>
      </c>
      <c r="R1942" s="48" t="n">
        <v>949</v>
      </c>
      <c r="S1942" s="48" t="n">
        <v>40364263</v>
      </c>
      <c r="T1942" s="48" t="n">
        <v>41136595</v>
      </c>
      <c r="U1942" s="46" t="n">
        <f aca="false">IF($A1942=$A1941,$U1941+1,1)</f>
        <v>118</v>
      </c>
      <c r="V1942" s="48" t="n">
        <f aca="false">IF($U1942&gt;=MA_SHORT,AVERAGE(INDEX($I$1542:$I1942,402-MA_SHORT):$I1942),"")</f>
        <v>13125.4</v>
      </c>
      <c r="W1942" s="48" t="n">
        <f aca="false">IF($U1942&gt;=MA_MED,AVERAGE(INDEX($I$1542:$I1942,402-MA_MED):$I1942),"")</f>
        <v>12833.32</v>
      </c>
      <c r="X1942" s="48" t="n">
        <f aca="false">IF($U1942&gt;=MA_LONG1,AVERAGE(INDEX($I$1542:$I1942,402-MA_LONG1):$I1942),"")</f>
        <v>12365.98</v>
      </c>
      <c r="Y1942" s="48" t="str">
        <f aca="false">IF($U1942&gt;=MA_LONG2,AVERAGE(INDEX($I$1542:$I1942,402-MA_LONG2):$I1942),"")</f>
        <v/>
      </c>
      <c r="Z1942" s="48" t="n">
        <f aca="false">IF($U1942&gt;=MA_SHORT,AVERAGE(INDEX($L$1822:$L1942,122-MA_SHORT):$L1942),"")</f>
        <v>92884299.55</v>
      </c>
      <c r="AA1942" s="48" t="n">
        <f aca="false">IF($U1942=1,$G1942-$H1942,MAX($G1942-$H1942,ABS($G1942-$I1941),ABS($H1942-$I1941)))</f>
        <v>653</v>
      </c>
      <c r="AB1942" s="48" t="n">
        <f aca="false">IF($U1942&gt;=ATR_PER,AVERAGE(INDEX($AA$1822:$AA1942,122-ATR_PER):$AA1942),"")</f>
        <v>522.714285714286</v>
      </c>
      <c r="AC1942" s="48" t="n">
        <f aca="false">$O1942-$P1942</f>
        <v>772332</v>
      </c>
      <c r="AD1942" s="48" t="n">
        <f aca="false">$AC1942*$I1942</f>
        <v>9708985572</v>
      </c>
      <c r="AE1942" s="49" t="n">
        <f aca="false">IF($Q1942&gt;0,$O1942*$I1942/$Q1942/1000000,"")</f>
        <v>361.009832155939</v>
      </c>
      <c r="AF1942" s="49" t="n">
        <f aca="false">IF($R1942&gt;0,$P1942*$I1942/$R1942/1000000,"")</f>
        <v>563.048294506849</v>
      </c>
      <c r="AG1942" s="50" t="n">
        <f aca="false">IF(AND(ISNUMBER($AE1942),ISNUMBER($AF1942),$AF1942&gt;0),$AE1942/$AF1942,"")</f>
        <v>0.641170279135882</v>
      </c>
      <c r="AH1942" s="48" t="n">
        <f aca="false">IF($U1942&gt;=5,SUM(INDEX($AD$1912:$AD1942,32-5):$AD1942),"")</f>
        <v>644292004986</v>
      </c>
      <c r="AI1942" s="48" t="n">
        <f aca="false">IF($U1942&gt;=STRUCT_S,MAX(INDEX($G$1792:$G1942,152-STRUCT_S):$G1942),"")</f>
        <v>13962</v>
      </c>
      <c r="AJ1942" s="48" t="n">
        <f aca="false">IF($U1942&gt;=STRUCT_S,MIN(INDEX($H$1792:$H1942,152-STRUCT_S):$H1942),"")</f>
        <v>12268</v>
      </c>
      <c r="AK1942" s="48" t="n">
        <f aca="false">IF($U1942&gt;=STRUCT_L,MAX(INDEX($G$1692:$G1942,252-STRUCT_L):$G1942),"")</f>
        <v>13962</v>
      </c>
      <c r="AL1942" s="48" t="n">
        <f aca="false">IF($U1942&gt;=STRUCT_L,MIN(INDEX($H$1692:$H1942,252-STRUCT_L):$H1942),"")</f>
        <v>11642</v>
      </c>
      <c r="AM1942" s="46" t="n">
        <f aca="false">IF($A1942&lt;&gt;$A1943,1,0)</f>
        <v>0</v>
      </c>
      <c r="AN1942" s="47" t="str">
        <f aca="false">IF($AM1942=1,$A1942,"")</f>
        <v/>
      </c>
    </row>
    <row r="1943" customFormat="false" ht="15" hidden="false" customHeight="false" outlineLevel="0" collapsed="false">
      <c r="A1943" s="43" t="s">
        <v>167</v>
      </c>
      <c r="B1943" s="44" t="s">
        <v>169</v>
      </c>
      <c r="C1943" s="45" t="n">
        <v>46070</v>
      </c>
      <c r="D1943" s="46" t="n">
        <v>20260217</v>
      </c>
      <c r="E1943" s="47" t="s">
        <v>406</v>
      </c>
      <c r="F1943" s="48" t="n">
        <v>12543</v>
      </c>
      <c r="G1943" s="48" t="n">
        <v>12936</v>
      </c>
      <c r="H1943" s="48" t="n">
        <v>12532</v>
      </c>
      <c r="I1943" s="48" t="n">
        <v>12896</v>
      </c>
      <c r="J1943" s="48" t="n">
        <v>12680</v>
      </c>
      <c r="K1943" s="48" t="n">
        <v>12571</v>
      </c>
      <c r="L1943" s="48" t="n">
        <v>91877428</v>
      </c>
      <c r="M1943" s="48" t="n">
        <v>1184851311488</v>
      </c>
      <c r="N1943" s="48" t="n">
        <v>2703</v>
      </c>
      <c r="O1943" s="48" t="n">
        <v>64281796</v>
      </c>
      <c r="P1943" s="48" t="n">
        <v>27284092</v>
      </c>
      <c r="Q1943" s="48" t="n">
        <v>910</v>
      </c>
      <c r="R1943" s="48" t="n">
        <v>1719</v>
      </c>
      <c r="S1943" s="48" t="n">
        <v>27595632</v>
      </c>
      <c r="T1943" s="48" t="n">
        <v>64593336</v>
      </c>
      <c r="U1943" s="46" t="n">
        <f aca="false">IF($A1943=$A1942,$U1942+1,1)</f>
        <v>119</v>
      </c>
      <c r="V1943" s="48" t="n">
        <f aca="false">IF($U1943&gt;=MA_SHORT,AVERAGE(INDEX($I$1543:$I1943,402-MA_SHORT):$I1943),"")</f>
        <v>13091.8</v>
      </c>
      <c r="W1943" s="48" t="n">
        <f aca="false">IF($U1943&gt;=MA_MED,AVERAGE(INDEX($I$1543:$I1943,402-MA_MED):$I1943),"")</f>
        <v>12844.84</v>
      </c>
      <c r="X1943" s="48" t="n">
        <f aca="false">IF($U1943&gt;=MA_LONG1,AVERAGE(INDEX($I$1543:$I1943,402-MA_LONG1):$I1943),"")</f>
        <v>12376.75</v>
      </c>
      <c r="Y1943" s="48" t="str">
        <f aca="false">IF($U1943&gt;=MA_LONG2,AVERAGE(INDEX($I$1543:$I1943,402-MA_LONG2):$I1943),"")</f>
        <v/>
      </c>
      <c r="Z1943" s="48" t="n">
        <f aca="false">IF($U1943&gt;=MA_SHORT,AVERAGE(INDEX($L$1823:$L1943,122-MA_SHORT):$L1943),"")</f>
        <v>92802337</v>
      </c>
      <c r="AA1943" s="48" t="n">
        <f aca="false">IF($U1943=1,$G1943-$H1943,MAX($G1943-$H1943,ABS($G1943-$I1942),ABS($H1943-$I1942)))</f>
        <v>404</v>
      </c>
      <c r="AB1943" s="48" t="n">
        <f aca="false">IF($U1943&gt;=ATR_PER,AVERAGE(INDEX($AA$1823:$AA1943,122-ATR_PER):$AA1943),"")</f>
        <v>511.5</v>
      </c>
      <c r="AC1943" s="48" t="n">
        <f aca="false">$O1943-$P1943</f>
        <v>36997704</v>
      </c>
      <c r="AD1943" s="48" t="n">
        <f aca="false">$AC1943*$I1943</f>
        <v>477122390784</v>
      </c>
      <c r="AE1943" s="49" t="n">
        <f aca="false">IF($Q1943&gt;0,$O1943*$I1943/$Q1943/1000000,"")</f>
        <v>910.964880457143</v>
      </c>
      <c r="AF1943" s="49" t="n">
        <f aca="false">IF($R1943&gt;0,$P1943*$I1943/$R1943/1000000,"")</f>
        <v>204.686242252472</v>
      </c>
      <c r="AG1943" s="50" t="n">
        <f aca="false">IF(AND(ISNUMBER($AE1943),ISNUMBER($AF1943),$AF1943&gt;0),$AE1943/$AF1943,"")</f>
        <v>4.45054279385081</v>
      </c>
      <c r="AH1943" s="48" t="n">
        <f aca="false">IF($U1943&gt;=5,SUM(INDEX($AD$1913:$AD1943,32-5):$AD1943),"")</f>
        <v>1249371210594</v>
      </c>
      <c r="AI1943" s="48" t="n">
        <f aca="false">IF($U1943&gt;=STRUCT_S,MAX(INDEX($G$1793:$G1943,152-STRUCT_S):$G1943),"")</f>
        <v>13962</v>
      </c>
      <c r="AJ1943" s="48" t="n">
        <f aca="false">IF($U1943&gt;=STRUCT_S,MIN(INDEX($H$1793:$H1943,152-STRUCT_S):$H1943),"")</f>
        <v>12268</v>
      </c>
      <c r="AK1943" s="48" t="n">
        <f aca="false">IF($U1943&gt;=STRUCT_L,MAX(INDEX($G$1693:$G1943,252-STRUCT_L):$G1943),"")</f>
        <v>13962</v>
      </c>
      <c r="AL1943" s="48" t="n">
        <f aca="false">IF($U1943&gt;=STRUCT_L,MIN(INDEX($H$1693:$H1943,252-STRUCT_L):$H1943),"")</f>
        <v>11642</v>
      </c>
      <c r="AM1943" s="46" t="n">
        <f aca="false">IF($A1943&lt;&gt;$A1944,1,0)</f>
        <v>0</v>
      </c>
      <c r="AN1943" s="47" t="str">
        <f aca="false">IF($AM1943=1,$A1943,"")</f>
        <v/>
      </c>
    </row>
    <row r="1944" customFormat="false" ht="15" hidden="false" customHeight="false" outlineLevel="0" collapsed="false">
      <c r="A1944" s="43" t="s">
        <v>167</v>
      </c>
      <c r="B1944" s="44" t="s">
        <v>169</v>
      </c>
      <c r="C1944" s="45" t="n">
        <v>46071</v>
      </c>
      <c r="D1944" s="46" t="n">
        <v>20260218</v>
      </c>
      <c r="E1944" s="47" t="s">
        <v>407</v>
      </c>
      <c r="F1944" s="48" t="n">
        <v>12833</v>
      </c>
      <c r="G1944" s="48" t="n">
        <v>12939</v>
      </c>
      <c r="H1944" s="48" t="n">
        <v>12797</v>
      </c>
      <c r="I1944" s="48" t="n">
        <v>12840</v>
      </c>
      <c r="J1944" s="48" t="n">
        <v>12831</v>
      </c>
      <c r="K1944" s="48" t="n">
        <v>12896</v>
      </c>
      <c r="L1944" s="48" t="n">
        <v>81611733</v>
      </c>
      <c r="M1944" s="48" t="n">
        <v>1047894651720</v>
      </c>
      <c r="N1944" s="48" t="n">
        <v>3606</v>
      </c>
      <c r="O1944" s="48" t="n">
        <v>45890734</v>
      </c>
      <c r="P1944" s="48" t="n">
        <v>39657624</v>
      </c>
      <c r="Q1944" s="48" t="n">
        <v>1515</v>
      </c>
      <c r="R1944" s="48" t="n">
        <v>904</v>
      </c>
      <c r="S1944" s="48" t="n">
        <v>35720999</v>
      </c>
      <c r="T1944" s="48" t="n">
        <v>41954109</v>
      </c>
      <c r="U1944" s="46" t="n">
        <f aca="false">IF($A1944=$A1943,$U1943+1,1)</f>
        <v>120</v>
      </c>
      <c r="V1944" s="48" t="n">
        <f aca="false">IF($U1944&gt;=MA_SHORT,AVERAGE(INDEX($I$1544:$I1944,402-MA_SHORT):$I1944),"")</f>
        <v>13072.25</v>
      </c>
      <c r="W1944" s="48" t="n">
        <f aca="false">IF($U1944&gt;=MA_MED,AVERAGE(INDEX($I$1544:$I1944,402-MA_MED):$I1944),"")</f>
        <v>12852.34</v>
      </c>
      <c r="X1944" s="48" t="n">
        <f aca="false">IF($U1944&gt;=MA_LONG1,AVERAGE(INDEX($I$1544:$I1944,402-MA_LONG1):$I1944),"")</f>
        <v>12384.42</v>
      </c>
      <c r="Y1944" s="48" t="str">
        <f aca="false">IF($U1944&gt;=MA_LONG2,AVERAGE(INDEX($I$1544:$I1944,402-MA_LONG2):$I1944),"")</f>
        <v/>
      </c>
      <c r="Z1944" s="48" t="n">
        <f aca="false">IF($U1944&gt;=MA_SHORT,AVERAGE(INDEX($L$1824:$L1944,122-MA_SHORT):$L1944),"")</f>
        <v>92313279.15</v>
      </c>
      <c r="AA1944" s="48" t="n">
        <f aca="false">IF($U1944=1,$G1944-$H1944,MAX($G1944-$H1944,ABS($G1944-$I1943),ABS($H1944-$I1943)))</f>
        <v>142</v>
      </c>
      <c r="AB1944" s="48" t="n">
        <f aca="false">IF($U1944&gt;=ATR_PER,AVERAGE(INDEX($AA$1824:$AA1944,122-ATR_PER):$AA1944),"")</f>
        <v>482.857142857143</v>
      </c>
      <c r="AC1944" s="48" t="n">
        <f aca="false">$O1944-$P1944</f>
        <v>6233110</v>
      </c>
      <c r="AD1944" s="48" t="n">
        <f aca="false">$AC1944*$I1944</f>
        <v>80033132400</v>
      </c>
      <c r="AE1944" s="49" t="n">
        <f aca="false">IF($Q1944&gt;0,$O1944*$I1944/$Q1944/1000000,"")</f>
        <v>388.935329742574</v>
      </c>
      <c r="AF1944" s="49" t="n">
        <f aca="false">IF($R1944&gt;0,$P1944*$I1944/$R1944/1000000,"")</f>
        <v>563.278641769912</v>
      </c>
      <c r="AG1944" s="50" t="n">
        <f aca="false">IF(AND(ISNUMBER($AE1944),ISNUMBER($AF1944),$AF1944&gt;0),$AE1944/$AF1944,"")</f>
        <v>0.690484781245171</v>
      </c>
      <c r="AH1944" s="48" t="n">
        <f aca="false">IF($U1944&gt;=5,SUM(INDEX($AD$1914:$AD1944,32-5):$AD1944),"")</f>
        <v>1188789139356</v>
      </c>
      <c r="AI1944" s="48" t="n">
        <f aca="false">IF($U1944&gt;=STRUCT_S,MAX(INDEX($G$1794:$G1944,152-STRUCT_S):$G1944),"")</f>
        <v>13962</v>
      </c>
      <c r="AJ1944" s="48" t="n">
        <f aca="false">IF($U1944&gt;=STRUCT_S,MIN(INDEX($H$1794:$H1944,152-STRUCT_S):$H1944),"")</f>
        <v>12268</v>
      </c>
      <c r="AK1944" s="48" t="n">
        <f aca="false">IF($U1944&gt;=STRUCT_L,MAX(INDEX($G$1694:$G1944,252-STRUCT_L):$G1944),"")</f>
        <v>13962</v>
      </c>
      <c r="AL1944" s="48" t="n">
        <f aca="false">IF($U1944&gt;=STRUCT_L,MIN(INDEX($H$1694:$H1944,252-STRUCT_L):$H1944),"")</f>
        <v>11642</v>
      </c>
      <c r="AM1944" s="46" t="n">
        <f aca="false">IF($A1944&lt;&gt;$A1945,1,0)</f>
        <v>0</v>
      </c>
      <c r="AN1944" s="47" t="str">
        <f aca="false">IF($AM1944=1,$A1944,"")</f>
        <v/>
      </c>
    </row>
    <row r="1945" customFormat="false" ht="15" hidden="false" customHeight="false" outlineLevel="0" collapsed="false">
      <c r="A1945" s="43" t="s">
        <v>167</v>
      </c>
      <c r="B1945" s="44" t="s">
        <v>169</v>
      </c>
      <c r="C1945" s="45" t="n">
        <v>46074</v>
      </c>
      <c r="D1945" s="46" t="n">
        <v>20260221</v>
      </c>
      <c r="E1945" s="47" t="s">
        <v>408</v>
      </c>
      <c r="F1945" s="48" t="n">
        <v>13003</v>
      </c>
      <c r="G1945" s="48" t="n">
        <v>13065</v>
      </c>
      <c r="H1945" s="48" t="n">
        <v>12715</v>
      </c>
      <c r="I1945" s="48" t="n">
        <v>12939</v>
      </c>
      <c r="J1945" s="48" t="n">
        <v>12771</v>
      </c>
      <c r="K1945" s="48" t="n">
        <v>12840</v>
      </c>
      <c r="L1945" s="48" t="n">
        <v>83218992</v>
      </c>
      <c r="M1945" s="48" t="n">
        <v>1076770537488</v>
      </c>
      <c r="N1945" s="48" t="n">
        <v>4148</v>
      </c>
      <c r="O1945" s="48" t="n">
        <v>57986662</v>
      </c>
      <c r="P1945" s="48" t="n">
        <v>22228051</v>
      </c>
      <c r="Q1945" s="48" t="n">
        <v>1043</v>
      </c>
      <c r="R1945" s="48" t="n">
        <v>2436</v>
      </c>
      <c r="S1945" s="48" t="n">
        <v>25232330</v>
      </c>
      <c r="T1945" s="48" t="n">
        <v>60990941</v>
      </c>
      <c r="U1945" s="46" t="n">
        <f aca="false">IF($A1945=$A1944,$U1944+1,1)</f>
        <v>121</v>
      </c>
      <c r="V1945" s="48" t="n">
        <f aca="false">IF($U1945&gt;=MA_SHORT,AVERAGE(INDEX($I$1545:$I1945,402-MA_SHORT):$I1945),"")</f>
        <v>13064.55</v>
      </c>
      <c r="W1945" s="48" t="n">
        <f aca="false">IF($U1945&gt;=MA_MED,AVERAGE(INDEX($I$1545:$I1945,402-MA_MED):$I1945),"")</f>
        <v>12864.36</v>
      </c>
      <c r="X1945" s="48" t="n">
        <f aca="false">IF($U1945&gt;=MA_LONG1,AVERAGE(INDEX($I$1545:$I1945,402-MA_LONG1):$I1945),"")</f>
        <v>12390.64</v>
      </c>
      <c r="Y1945" s="48" t="str">
        <f aca="false">IF($U1945&gt;=MA_LONG2,AVERAGE(INDEX($I$1545:$I1945,402-MA_LONG2):$I1945),"")</f>
        <v/>
      </c>
      <c r="Z1945" s="48" t="n">
        <f aca="false">IF($U1945&gt;=MA_SHORT,AVERAGE(INDEX($L$1825:$L1945,122-MA_SHORT):$L1945),"")</f>
        <v>90511495.7</v>
      </c>
      <c r="AA1945" s="48" t="n">
        <f aca="false">IF($U1945=1,$G1945-$H1945,MAX($G1945-$H1945,ABS($G1945-$I1944),ABS($H1945-$I1944)))</f>
        <v>350</v>
      </c>
      <c r="AB1945" s="48" t="n">
        <f aca="false">IF($U1945&gt;=ATR_PER,AVERAGE(INDEX($AA$1825:$AA1945,122-ATR_PER):$AA1945),"")</f>
        <v>479.142857142857</v>
      </c>
      <c r="AC1945" s="48" t="n">
        <f aca="false">$O1945-$P1945</f>
        <v>35758611</v>
      </c>
      <c r="AD1945" s="48" t="n">
        <f aca="false">$AC1945*$I1945</f>
        <v>462680667729</v>
      </c>
      <c r="AE1945" s="49" t="n">
        <f aca="false">IF($Q1945&gt;0,$O1945*$I1945/$Q1945/1000000,"")</f>
        <v>719.35706578907</v>
      </c>
      <c r="AF1945" s="49" t="n">
        <f aca="false">IF($R1945&gt;0,$P1945*$I1945/$R1945/1000000,"")</f>
        <v>118.065990102217</v>
      </c>
      <c r="AG1945" s="50" t="n">
        <f aca="false">IF(AND(ISNUMBER($AE1945),ISNUMBER($AF1945),$AF1945&gt;0),$AE1945/$AF1945,"")</f>
        <v>6.0928389722246</v>
      </c>
      <c r="AH1945" s="48" t="n">
        <f aca="false">IF($U1945&gt;=5,SUM(INDEX($AD$1915:$AD1945,32-5):$AD1945),"")</f>
        <v>1156480205805</v>
      </c>
      <c r="AI1945" s="48" t="n">
        <f aca="false">IF($U1945&gt;=STRUCT_S,MAX(INDEX($G$1795:$G1945,152-STRUCT_S):$G1945),"")</f>
        <v>13962</v>
      </c>
      <c r="AJ1945" s="48" t="n">
        <f aca="false">IF($U1945&gt;=STRUCT_S,MIN(INDEX($H$1795:$H1945,152-STRUCT_S):$H1945),"")</f>
        <v>12268</v>
      </c>
      <c r="AK1945" s="48" t="n">
        <f aca="false">IF($U1945&gt;=STRUCT_L,MAX(INDEX($G$1695:$G1945,252-STRUCT_L):$G1945),"")</f>
        <v>13962</v>
      </c>
      <c r="AL1945" s="48" t="n">
        <f aca="false">IF($U1945&gt;=STRUCT_L,MIN(INDEX($H$1695:$H1945,252-STRUCT_L):$H1945),"")</f>
        <v>11663</v>
      </c>
      <c r="AM1945" s="46" t="n">
        <f aca="false">IF($A1945&lt;&gt;$A1946,1,0)</f>
        <v>0</v>
      </c>
      <c r="AN1945" s="47" t="str">
        <f aca="false">IF($AM1945=1,$A1945,"")</f>
        <v/>
      </c>
    </row>
    <row r="1946" customFormat="false" ht="15" hidden="false" customHeight="false" outlineLevel="0" collapsed="false">
      <c r="A1946" s="43" t="s">
        <v>167</v>
      </c>
      <c r="B1946" s="44" t="s">
        <v>169</v>
      </c>
      <c r="C1946" s="45" t="n">
        <v>46075</v>
      </c>
      <c r="D1946" s="46" t="n">
        <v>20260222</v>
      </c>
      <c r="E1946" s="47" t="s">
        <v>409</v>
      </c>
      <c r="F1946" s="48" t="n">
        <v>12880</v>
      </c>
      <c r="G1946" s="48" t="n">
        <v>13071</v>
      </c>
      <c r="H1946" s="48" t="n">
        <v>12843</v>
      </c>
      <c r="I1946" s="48" t="n">
        <v>12975</v>
      </c>
      <c r="J1946" s="48" t="n">
        <v>12908</v>
      </c>
      <c r="K1946" s="48" t="n">
        <v>12939</v>
      </c>
      <c r="L1946" s="48" t="n">
        <v>111420090</v>
      </c>
      <c r="M1946" s="48" t="n">
        <v>1445675667750</v>
      </c>
      <c r="N1946" s="48" t="n">
        <v>2856</v>
      </c>
      <c r="O1946" s="48" t="n">
        <v>60749182</v>
      </c>
      <c r="P1946" s="48" t="n">
        <v>54092189</v>
      </c>
      <c r="Q1946" s="48" t="n">
        <v>644</v>
      </c>
      <c r="R1946" s="48" t="n">
        <v>1761</v>
      </c>
      <c r="S1946" s="48" t="n">
        <v>50670908</v>
      </c>
      <c r="T1946" s="48" t="n">
        <v>57327901</v>
      </c>
      <c r="U1946" s="46" t="n">
        <f aca="false">IF($A1946=$A1945,$U1945+1,1)</f>
        <v>122</v>
      </c>
      <c r="V1946" s="48" t="n">
        <f aca="false">IF($U1946&gt;=MA_SHORT,AVERAGE(INDEX($I$1546:$I1946,402-MA_SHORT):$I1946),"")</f>
        <v>13047.45</v>
      </c>
      <c r="W1946" s="48" t="n">
        <f aca="false">IF($U1946&gt;=MA_MED,AVERAGE(INDEX($I$1546:$I1946,402-MA_MED):$I1946),"")</f>
        <v>12876.6</v>
      </c>
      <c r="X1946" s="48" t="n">
        <f aca="false">IF($U1946&gt;=MA_LONG1,AVERAGE(INDEX($I$1546:$I1946,402-MA_LONG1):$I1946),"")</f>
        <v>12396.24</v>
      </c>
      <c r="Y1946" s="48" t="str">
        <f aca="false">IF($U1946&gt;=MA_LONG2,AVERAGE(INDEX($I$1546:$I1946,402-MA_LONG2):$I1946),"")</f>
        <v/>
      </c>
      <c r="Z1946" s="48" t="n">
        <f aca="false">IF($U1946&gt;=MA_SHORT,AVERAGE(INDEX($L$1826:$L1946,122-MA_SHORT):$L1946),"")</f>
        <v>91697294.95</v>
      </c>
      <c r="AA1946" s="48" t="n">
        <f aca="false">IF($U1946=1,$G1946-$H1946,MAX($G1946-$H1946,ABS($G1946-$I1945),ABS($H1946-$I1945)))</f>
        <v>228</v>
      </c>
      <c r="AB1946" s="48" t="n">
        <f aca="false">IF($U1946&gt;=ATR_PER,AVERAGE(INDEX($AA$1826:$AA1946,122-ATR_PER):$AA1946),"")</f>
        <v>462.571428571429</v>
      </c>
      <c r="AC1946" s="48" t="n">
        <f aca="false">$O1946-$P1946</f>
        <v>6656993</v>
      </c>
      <c r="AD1946" s="48" t="n">
        <f aca="false">$AC1946*$I1946</f>
        <v>86374484175</v>
      </c>
      <c r="AE1946" s="49" t="n">
        <f aca="false">IF($Q1946&gt;0,$O1946*$I1946/$Q1946/1000000,"")</f>
        <v>1223.94508765528</v>
      </c>
      <c r="AF1946" s="49" t="n">
        <f aca="false">IF($R1946&gt;0,$P1946*$I1946/$R1946/1000000,"")</f>
        <v>398.549774148211</v>
      </c>
      <c r="AG1946" s="50" t="n">
        <f aca="false">IF(AND(ISNUMBER($AE1946),ISNUMBER($AF1946),$AF1946&gt;0),$AE1946/$AF1946,"")</f>
        <v>3.07099681657359</v>
      </c>
      <c r="AH1946" s="48" t="n">
        <f aca="false">IF($U1946&gt;=5,SUM(INDEX($AD$1916:$AD1946,32-5):$AD1946),"")</f>
        <v>1115919660660</v>
      </c>
      <c r="AI1946" s="48" t="n">
        <f aca="false">IF($U1946&gt;=STRUCT_S,MAX(INDEX($G$1796:$G1946,152-STRUCT_S):$G1946),"")</f>
        <v>13962</v>
      </c>
      <c r="AJ1946" s="48" t="n">
        <f aca="false">IF($U1946&gt;=STRUCT_S,MIN(INDEX($H$1796:$H1946,152-STRUCT_S):$H1946),"")</f>
        <v>12268</v>
      </c>
      <c r="AK1946" s="48" t="n">
        <f aca="false">IF($U1946&gt;=STRUCT_L,MAX(INDEX($G$1696:$G1946,252-STRUCT_L):$G1946),"")</f>
        <v>13962</v>
      </c>
      <c r="AL1946" s="48" t="n">
        <f aca="false">IF($U1946&gt;=STRUCT_L,MIN(INDEX($H$1696:$H1946,252-STRUCT_L):$H1946),"")</f>
        <v>11680</v>
      </c>
      <c r="AM1946" s="46" t="n">
        <f aca="false">IF($A1946&lt;&gt;$A1947,1,0)</f>
        <v>0</v>
      </c>
      <c r="AN1946" s="47" t="str">
        <f aca="false">IF($AM1946=1,$A1946,"")</f>
        <v/>
      </c>
    </row>
    <row r="1947" customFormat="false" ht="15" hidden="false" customHeight="false" outlineLevel="0" collapsed="false">
      <c r="A1947" s="43" t="s">
        <v>167</v>
      </c>
      <c r="B1947" s="44" t="s">
        <v>169</v>
      </c>
      <c r="C1947" s="45" t="n">
        <v>46076</v>
      </c>
      <c r="D1947" s="46" t="n">
        <v>20260223</v>
      </c>
      <c r="E1947" s="47" t="s">
        <v>410</v>
      </c>
      <c r="F1947" s="48" t="n">
        <v>12920</v>
      </c>
      <c r="G1947" s="48" t="n">
        <v>13046</v>
      </c>
      <c r="H1947" s="48" t="n">
        <v>12677</v>
      </c>
      <c r="I1947" s="48" t="n">
        <v>12747</v>
      </c>
      <c r="J1947" s="48" t="n">
        <v>12831</v>
      </c>
      <c r="K1947" s="48" t="n">
        <v>12975</v>
      </c>
      <c r="L1947" s="48" t="n">
        <v>87925483</v>
      </c>
      <c r="M1947" s="48" t="n">
        <v>1120786131801</v>
      </c>
      <c r="N1947" s="48" t="n">
        <v>2418</v>
      </c>
      <c r="O1947" s="48" t="n">
        <v>38831248</v>
      </c>
      <c r="P1947" s="48" t="n">
        <v>50986690</v>
      </c>
      <c r="Q1947" s="48" t="n">
        <v>1175</v>
      </c>
      <c r="R1947" s="48" t="n">
        <v>766</v>
      </c>
      <c r="S1947" s="48" t="n">
        <v>49094235</v>
      </c>
      <c r="T1947" s="48" t="n">
        <v>36938793</v>
      </c>
      <c r="U1947" s="46" t="n">
        <f aca="false">IF($A1947=$A1946,$U1946+1,1)</f>
        <v>123</v>
      </c>
      <c r="V1947" s="48" t="n">
        <f aca="false">IF($U1947&gt;=MA_SHORT,AVERAGE(INDEX($I$1547:$I1947,402-MA_SHORT):$I1947),"")</f>
        <v>13035.95</v>
      </c>
      <c r="W1947" s="48" t="n">
        <f aca="false">IF($U1947&gt;=MA_MED,AVERAGE(INDEX($I$1547:$I1947,402-MA_MED):$I1947),"")</f>
        <v>12884.84</v>
      </c>
      <c r="X1947" s="48" t="n">
        <f aca="false">IF($U1947&gt;=MA_LONG1,AVERAGE(INDEX($I$1547:$I1947,402-MA_LONG1):$I1947),"")</f>
        <v>12399.5</v>
      </c>
      <c r="Y1947" s="48" t="str">
        <f aca="false">IF($U1947&gt;=MA_LONG2,AVERAGE(INDEX($I$1547:$I1947,402-MA_LONG2):$I1947),"")</f>
        <v/>
      </c>
      <c r="Z1947" s="48" t="n">
        <f aca="false">IF($U1947&gt;=MA_SHORT,AVERAGE(INDEX($L$1827:$L1947,122-MA_SHORT):$L1947),"")</f>
        <v>91169214.85</v>
      </c>
      <c r="AA1947" s="48" t="n">
        <f aca="false">IF($U1947=1,$G1947-$H1947,MAX($G1947-$H1947,ABS($G1947-$I1946),ABS($H1947-$I1946)))</f>
        <v>369</v>
      </c>
      <c r="AB1947" s="48" t="n">
        <f aca="false">IF($U1947&gt;=ATR_PER,AVERAGE(INDEX($AA$1827:$AA1947,122-ATR_PER):$AA1947),"")</f>
        <v>477</v>
      </c>
      <c r="AC1947" s="48" t="n">
        <f aca="false">$O1947-$P1947</f>
        <v>-12155442</v>
      </c>
      <c r="AD1947" s="48" t="n">
        <f aca="false">$AC1947*$I1947</f>
        <v>-154945419174</v>
      </c>
      <c r="AE1947" s="49" t="n">
        <f aca="false">IF($Q1947&gt;0,$O1947*$I1947/$Q1947/1000000,"")</f>
        <v>421.261207026383</v>
      </c>
      <c r="AF1947" s="49" t="n">
        <f aca="false">IF($R1947&gt;0,$P1947*$I1947/$R1947/1000000,"")</f>
        <v>848.469108916449</v>
      </c>
      <c r="AG1947" s="50" t="n">
        <f aca="false">IF(AND(ISNUMBER($AE1947),ISNUMBER($AF1947),$AF1947&gt;0),$AE1947/$AF1947,"")</f>
        <v>0.496495632662881</v>
      </c>
      <c r="AH1947" s="48" t="n">
        <f aca="false">IF($U1947&gt;=5,SUM(INDEX($AD$1917:$AD1947,32-5):$AD1947),"")</f>
        <v>951265255914</v>
      </c>
      <c r="AI1947" s="48" t="n">
        <f aca="false">IF($U1947&gt;=STRUCT_S,MAX(INDEX($G$1797:$G1947,152-STRUCT_S):$G1947),"")</f>
        <v>13962</v>
      </c>
      <c r="AJ1947" s="48" t="n">
        <f aca="false">IF($U1947&gt;=STRUCT_S,MIN(INDEX($H$1797:$H1947,152-STRUCT_S):$H1947),"")</f>
        <v>12268</v>
      </c>
      <c r="AK1947" s="48" t="n">
        <f aca="false">IF($U1947&gt;=STRUCT_L,MAX(INDEX($G$1697:$G1947,252-STRUCT_L):$G1947),"")</f>
        <v>13962</v>
      </c>
      <c r="AL1947" s="48" t="n">
        <f aca="false">IF($U1947&gt;=STRUCT_L,MIN(INDEX($H$1697:$H1947,252-STRUCT_L):$H1947),"")</f>
        <v>11704</v>
      </c>
      <c r="AM1947" s="46" t="n">
        <f aca="false">IF($A1947&lt;&gt;$A1948,1,0)</f>
        <v>0</v>
      </c>
      <c r="AN1947" s="47" t="str">
        <f aca="false">IF($AM1947=1,$A1947,"")</f>
        <v/>
      </c>
    </row>
    <row r="1948" customFormat="false" ht="15" hidden="false" customHeight="false" outlineLevel="0" collapsed="false">
      <c r="A1948" s="43" t="s">
        <v>167</v>
      </c>
      <c r="B1948" s="44" t="s">
        <v>169</v>
      </c>
      <c r="C1948" s="45" t="n">
        <v>46077</v>
      </c>
      <c r="D1948" s="46" t="n">
        <v>20260224</v>
      </c>
      <c r="E1948" s="47" t="s">
        <v>411</v>
      </c>
      <c r="F1948" s="48" t="n">
        <v>12574</v>
      </c>
      <c r="G1948" s="48" t="n">
        <v>12853</v>
      </c>
      <c r="H1948" s="48" t="n">
        <v>12264</v>
      </c>
      <c r="I1948" s="48" t="n">
        <v>12367</v>
      </c>
      <c r="J1948" s="48" t="n">
        <v>12373</v>
      </c>
      <c r="K1948" s="48" t="n">
        <v>12747</v>
      </c>
      <c r="L1948" s="48" t="n">
        <v>121134638</v>
      </c>
      <c r="M1948" s="48" t="n">
        <v>1498072068146</v>
      </c>
      <c r="N1948" s="48" t="n">
        <v>2714</v>
      </c>
      <c r="O1948" s="48" t="n">
        <v>58318956</v>
      </c>
      <c r="P1948" s="48" t="n">
        <v>65061371</v>
      </c>
      <c r="Q1948" s="48" t="n">
        <v>1760</v>
      </c>
      <c r="R1948" s="48" t="n">
        <v>860</v>
      </c>
      <c r="S1948" s="48" t="n">
        <v>62815682</v>
      </c>
      <c r="T1948" s="48" t="n">
        <v>56073267</v>
      </c>
      <c r="U1948" s="46" t="n">
        <f aca="false">IF($A1948=$A1947,$U1947+1,1)</f>
        <v>124</v>
      </c>
      <c r="V1948" s="48" t="n">
        <f aca="false">IF($U1948&gt;=MA_SHORT,AVERAGE(INDEX($I$1548:$I1948,402-MA_SHORT):$I1948),"")</f>
        <v>12994.8</v>
      </c>
      <c r="W1948" s="48" t="n">
        <f aca="false">IF($U1948&gt;=MA_MED,AVERAGE(INDEX($I$1548:$I1948,402-MA_MED):$I1948),"")</f>
        <v>12884.46</v>
      </c>
      <c r="X1948" s="48" t="n">
        <f aca="false">IF($U1948&gt;=MA_LONG1,AVERAGE(INDEX($I$1548:$I1948,402-MA_LONG1):$I1948),"")</f>
        <v>12399.36</v>
      </c>
      <c r="Y1948" s="48" t="str">
        <f aca="false">IF($U1948&gt;=MA_LONG2,AVERAGE(INDEX($I$1548:$I1948,402-MA_LONG2):$I1948),"")</f>
        <v/>
      </c>
      <c r="Z1948" s="48" t="n">
        <f aca="false">IF($U1948&gt;=MA_SHORT,AVERAGE(INDEX($L$1828:$L1948,122-MA_SHORT):$L1948),"")</f>
        <v>92857318.85</v>
      </c>
      <c r="AA1948" s="48" t="n">
        <f aca="false">IF($U1948=1,$G1948-$H1948,MAX($G1948-$H1948,ABS($G1948-$I1947),ABS($H1948-$I1947)))</f>
        <v>589</v>
      </c>
      <c r="AB1948" s="48" t="n">
        <f aca="false">IF($U1948&gt;=ATR_PER,AVERAGE(INDEX($AA$1828:$AA1948,122-ATR_PER):$AA1948),"")</f>
        <v>480.142857142857</v>
      </c>
      <c r="AC1948" s="48" t="n">
        <f aca="false">$O1948-$P1948</f>
        <v>-6742415</v>
      </c>
      <c r="AD1948" s="48" t="n">
        <f aca="false">$AC1948*$I1948</f>
        <v>-83383446305</v>
      </c>
      <c r="AE1948" s="49" t="n">
        <f aca="false">IF($Q1948&gt;0,$O1948*$I1948/$Q1948/1000000,"")</f>
        <v>409.790073211364</v>
      </c>
      <c r="AF1948" s="49" t="n">
        <f aca="false">IF($R1948&gt;0,$P1948*$I1948/$R1948/1000000,"")</f>
        <v>935.597645531395</v>
      </c>
      <c r="AG1948" s="50" t="n">
        <f aca="false">IF(AND(ISNUMBER($AE1948),ISNUMBER($AF1948),$AF1948&gt;0),$AE1948/$AF1948,"")</f>
        <v>0.43799818775582</v>
      </c>
      <c r="AH1948" s="48" t="n">
        <f aca="false">IF($U1948&gt;=5,SUM(INDEX($AD$1918:$AD1948,32-5):$AD1948),"")</f>
        <v>390759418825</v>
      </c>
      <c r="AI1948" s="48" t="n">
        <f aca="false">IF($U1948&gt;=STRUCT_S,MAX(INDEX($G$1798:$G1948,152-STRUCT_S):$G1948),"")</f>
        <v>13962</v>
      </c>
      <c r="AJ1948" s="48" t="n">
        <f aca="false">IF($U1948&gt;=STRUCT_S,MIN(INDEX($H$1798:$H1948,152-STRUCT_S):$H1948),"")</f>
        <v>12264</v>
      </c>
      <c r="AK1948" s="48" t="n">
        <f aca="false">IF($U1948&gt;=STRUCT_L,MAX(INDEX($G$1698:$G1948,252-STRUCT_L):$G1948),"")</f>
        <v>13962</v>
      </c>
      <c r="AL1948" s="48" t="n">
        <f aca="false">IF($U1948&gt;=STRUCT_L,MIN(INDEX($H$1698:$H1948,252-STRUCT_L):$H1948),"")</f>
        <v>11704</v>
      </c>
      <c r="AM1948" s="46" t="n">
        <f aca="false">IF($A1948&lt;&gt;$A1949,1,0)</f>
        <v>0</v>
      </c>
      <c r="AN1948" s="47" t="str">
        <f aca="false">IF($AM1948=1,$A1948,"")</f>
        <v/>
      </c>
    </row>
    <row r="1949" customFormat="false" ht="15" hidden="false" customHeight="false" outlineLevel="0" collapsed="false">
      <c r="A1949" s="43" t="s">
        <v>167</v>
      </c>
      <c r="B1949" s="44" t="s">
        <v>169</v>
      </c>
      <c r="C1949" s="45" t="n">
        <v>46078</v>
      </c>
      <c r="D1949" s="46" t="n">
        <v>20260225</v>
      </c>
      <c r="E1949" s="47" t="s">
        <v>412</v>
      </c>
      <c r="F1949" s="48" t="n">
        <v>12272</v>
      </c>
      <c r="G1949" s="48" t="n">
        <v>12474</v>
      </c>
      <c r="H1949" s="48" t="n">
        <v>12238</v>
      </c>
      <c r="I1949" s="48" t="n">
        <v>12345</v>
      </c>
      <c r="J1949" s="48" t="n">
        <v>12431</v>
      </c>
      <c r="K1949" s="48" t="n">
        <v>12367</v>
      </c>
      <c r="L1949" s="48" t="n">
        <v>223667632</v>
      </c>
      <c r="M1949" s="48" t="n">
        <v>2761176917040</v>
      </c>
      <c r="N1949" s="48" t="n">
        <v>5622</v>
      </c>
      <c r="O1949" s="48" t="n">
        <v>135916456</v>
      </c>
      <c r="P1949" s="48" t="n">
        <v>96371857</v>
      </c>
      <c r="Q1949" s="48" t="n">
        <v>3529</v>
      </c>
      <c r="R1949" s="48" t="n">
        <v>2184</v>
      </c>
      <c r="S1949" s="48" t="n">
        <v>87751176</v>
      </c>
      <c r="T1949" s="48" t="n">
        <v>127295775</v>
      </c>
      <c r="U1949" s="46" t="n">
        <f aca="false">IF($A1949=$A1948,$U1948+1,1)</f>
        <v>125</v>
      </c>
      <c r="V1949" s="48" t="n">
        <f aca="false">IF($U1949&gt;=MA_SHORT,AVERAGE(INDEX($I$1549:$I1949,402-MA_SHORT):$I1949),"")</f>
        <v>12957.3</v>
      </c>
      <c r="W1949" s="48" t="n">
        <f aca="false">IF($U1949&gt;=MA_MED,AVERAGE(INDEX($I$1549:$I1949,402-MA_MED):$I1949),"")</f>
        <v>12885.06</v>
      </c>
      <c r="X1949" s="48" t="n">
        <f aca="false">IF($U1949&gt;=MA_LONG1,AVERAGE(INDEX($I$1549:$I1949,402-MA_LONG1):$I1949),"")</f>
        <v>12403.39</v>
      </c>
      <c r="Y1949" s="48" t="str">
        <f aca="false">IF($U1949&gt;=MA_LONG2,AVERAGE(INDEX($I$1549:$I1949,402-MA_LONG2):$I1949),"")</f>
        <v/>
      </c>
      <c r="Z1949" s="48" t="n">
        <f aca="false">IF($U1949&gt;=MA_SHORT,AVERAGE(INDEX($L$1829:$L1949,122-MA_SHORT):$L1949),"")</f>
        <v>98880945.05</v>
      </c>
      <c r="AA1949" s="48" t="n">
        <f aca="false">IF($U1949=1,$G1949-$H1949,MAX($G1949-$H1949,ABS($G1949-$I1948),ABS($H1949-$I1948)))</f>
        <v>236</v>
      </c>
      <c r="AB1949" s="48" t="n">
        <f aca="false">IF($U1949&gt;=ATR_PER,AVERAGE(INDEX($AA$1829:$AA1949,122-ATR_PER):$AA1949),"")</f>
        <v>424.857142857143</v>
      </c>
      <c r="AC1949" s="48" t="n">
        <f aca="false">$O1949-$P1949</f>
        <v>39544599</v>
      </c>
      <c r="AD1949" s="48" t="n">
        <f aca="false">$AC1949*$I1949</f>
        <v>488178074655</v>
      </c>
      <c r="AE1949" s="49" t="n">
        <f aca="false">IF($Q1949&gt;0,$O1949*$I1949/$Q1949/1000000,"")</f>
        <v>475.457253986965</v>
      </c>
      <c r="AF1949" s="49" t="n">
        <f aca="false">IF($R1949&gt;0,$P1949*$I1949/$R1949/1000000,"")</f>
        <v>544.739274114011</v>
      </c>
      <c r="AG1949" s="50" t="n">
        <f aca="false">IF(AND(ISNUMBER($AE1949),ISNUMBER($AF1949),$AF1949&gt;0),$AE1949/$AF1949,"")</f>
        <v>0.872816183045129</v>
      </c>
      <c r="AH1949" s="48" t="n">
        <f aca="false">IF($U1949&gt;=5,SUM(INDEX($AD$1919:$AD1949,32-5):$AD1949),"")</f>
        <v>798904361080</v>
      </c>
      <c r="AI1949" s="48" t="n">
        <f aca="false">IF($U1949&gt;=STRUCT_S,MAX(INDEX($G$1799:$G1949,152-STRUCT_S):$G1949),"")</f>
        <v>13962</v>
      </c>
      <c r="AJ1949" s="48" t="n">
        <f aca="false">IF($U1949&gt;=STRUCT_S,MIN(INDEX($H$1799:$H1949,152-STRUCT_S):$H1949),"")</f>
        <v>12238</v>
      </c>
      <c r="AK1949" s="48" t="n">
        <f aca="false">IF($U1949&gt;=STRUCT_L,MAX(INDEX($G$1699:$G1949,252-STRUCT_L):$G1949),"")</f>
        <v>13962</v>
      </c>
      <c r="AL1949" s="48" t="n">
        <f aca="false">IF($U1949&gt;=STRUCT_L,MIN(INDEX($H$1699:$H1949,252-STRUCT_L):$H1949),"")</f>
        <v>11911</v>
      </c>
      <c r="AM1949" s="46" t="n">
        <f aca="false">IF($A1949&lt;&gt;$A1950,1,0)</f>
        <v>0</v>
      </c>
      <c r="AN1949" s="47" t="str">
        <f aca="false">IF($AM1949=1,$A1949,"")</f>
        <v/>
      </c>
    </row>
    <row r="1950" customFormat="false" ht="15" hidden="false" customHeight="false" outlineLevel="0" collapsed="false">
      <c r="A1950" s="43" t="s">
        <v>167</v>
      </c>
      <c r="B1950" s="44" t="s">
        <v>169</v>
      </c>
      <c r="C1950" s="45" t="n">
        <v>46081</v>
      </c>
      <c r="D1950" s="46" t="n">
        <v>20260228</v>
      </c>
      <c r="E1950" s="47" t="s">
        <v>413</v>
      </c>
      <c r="F1950" s="48" t="n">
        <v>12562</v>
      </c>
      <c r="G1950" s="48" t="n">
        <v>12727</v>
      </c>
      <c r="H1950" s="48" t="n">
        <v>12282</v>
      </c>
      <c r="I1950" s="48" t="n">
        <v>12663</v>
      </c>
      <c r="J1950" s="48" t="n">
        <v>12726</v>
      </c>
      <c r="K1950" s="48" t="n">
        <v>12345</v>
      </c>
      <c r="L1950" s="48" t="n">
        <v>120262217</v>
      </c>
      <c r="M1950" s="48" t="n">
        <v>1522880453871</v>
      </c>
      <c r="N1950" s="48" t="n">
        <v>10016</v>
      </c>
      <c r="O1950" s="48" t="n">
        <v>84284221</v>
      </c>
      <c r="P1950" s="48" t="n">
        <v>34115063</v>
      </c>
      <c r="Q1950" s="48" t="n">
        <v>2214</v>
      </c>
      <c r="R1950" s="48" t="n">
        <v>7809</v>
      </c>
      <c r="S1950" s="48" t="n">
        <v>35977996</v>
      </c>
      <c r="T1950" s="48" t="n">
        <v>86147154</v>
      </c>
      <c r="U1950" s="46" t="n">
        <f aca="false">IF($A1950=$A1949,$U1949+1,1)</f>
        <v>126</v>
      </c>
      <c r="V1950" s="48" t="n">
        <f aca="false">IF($U1950&gt;=MA_SHORT,AVERAGE(INDEX($I$1550:$I1950,402-MA_SHORT):$I1950),"")</f>
        <v>12914.95</v>
      </c>
      <c r="W1950" s="48" t="n">
        <f aca="false">IF($U1950&gt;=MA_MED,AVERAGE(INDEX($I$1550:$I1950,402-MA_MED):$I1950),"")</f>
        <v>12894.9</v>
      </c>
      <c r="X1950" s="48" t="n">
        <f aca="false">IF($U1950&gt;=MA_LONG1,AVERAGE(INDEX($I$1550:$I1950,402-MA_LONG1):$I1950),"")</f>
        <v>12409.16</v>
      </c>
      <c r="Y1950" s="48" t="str">
        <f aca="false">IF($U1950&gt;=MA_LONG2,AVERAGE(INDEX($I$1550:$I1950,402-MA_LONG2):$I1950),"")</f>
        <v/>
      </c>
      <c r="Z1950" s="48" t="n">
        <f aca="false">IF($U1950&gt;=MA_SHORT,AVERAGE(INDEX($L$1830:$L1950,122-MA_SHORT):$L1950),"")</f>
        <v>100160871.35</v>
      </c>
      <c r="AA1950" s="48" t="n">
        <f aca="false">IF($U1950=1,$G1950-$H1950,MAX($G1950-$H1950,ABS($G1950-$I1949),ABS($H1950-$I1949)))</f>
        <v>445</v>
      </c>
      <c r="AB1950" s="48" t="n">
        <f aca="false">IF($U1950&gt;=ATR_PER,AVERAGE(INDEX($AA$1830:$AA1950,122-ATR_PER):$AA1950),"")</f>
        <v>421</v>
      </c>
      <c r="AC1950" s="48" t="n">
        <f aca="false">$O1950-$P1950</f>
        <v>50169158</v>
      </c>
      <c r="AD1950" s="48" t="n">
        <f aca="false">$AC1950*$I1950</f>
        <v>635292047754</v>
      </c>
      <c r="AE1950" s="49" t="n">
        <f aca="false">IF($Q1950&gt;0,$O1950*$I1950/$Q1950/1000000,"")</f>
        <v>482.064629865854</v>
      </c>
      <c r="AF1950" s="49" t="n">
        <f aca="false">IF($R1950&gt;0,$P1950*$I1950/$R1950/1000000,"")</f>
        <v>55.3206611306185</v>
      </c>
      <c r="AG1950" s="50" t="n">
        <f aca="false">IF(AND(ISNUMBER($AE1950),ISNUMBER($AF1950),$AF1950&gt;0),$AE1950/$AF1950,"")</f>
        <v>8.71400702763915</v>
      </c>
      <c r="AH1950" s="48" t="n">
        <f aca="false">IF($U1950&gt;=5,SUM(INDEX($AD$1920:$AD1950,32-5):$AD1950),"")</f>
        <v>971515741105</v>
      </c>
      <c r="AI1950" s="48" t="n">
        <f aca="false">IF($U1950&gt;=STRUCT_S,MAX(INDEX($G$1800:$G1950,152-STRUCT_S):$G1950),"")</f>
        <v>13962</v>
      </c>
      <c r="AJ1950" s="48" t="n">
        <f aca="false">IF($U1950&gt;=STRUCT_S,MIN(INDEX($H$1800:$H1950,152-STRUCT_S):$H1950),"")</f>
        <v>12238</v>
      </c>
      <c r="AK1950" s="48" t="n">
        <f aca="false">IF($U1950&gt;=STRUCT_L,MAX(INDEX($G$1700:$G1950,252-STRUCT_L):$G1950),"")</f>
        <v>13962</v>
      </c>
      <c r="AL1950" s="48" t="n">
        <f aca="false">IF($U1950&gt;=STRUCT_L,MIN(INDEX($H$1700:$H1950,252-STRUCT_L):$H1950),"")</f>
        <v>11911</v>
      </c>
      <c r="AM1950" s="46" t="n">
        <f aca="false">IF($A1950&lt;&gt;$A1951,1,0)</f>
        <v>0</v>
      </c>
      <c r="AN1950" s="47" t="str">
        <f aca="false">IF($AM1950=1,$A1950,"")</f>
        <v/>
      </c>
    </row>
    <row r="1951" customFormat="false" ht="15" hidden="false" customHeight="false" outlineLevel="0" collapsed="false">
      <c r="A1951" s="43" t="s">
        <v>167</v>
      </c>
      <c r="B1951" s="44" t="s">
        <v>169</v>
      </c>
      <c r="C1951" s="45" t="n">
        <v>46082</v>
      </c>
      <c r="D1951" s="46" t="n">
        <v>20260301</v>
      </c>
      <c r="E1951" s="47" t="s">
        <v>414</v>
      </c>
      <c r="F1951" s="48" t="n">
        <v>13098</v>
      </c>
      <c r="G1951" s="48" t="n">
        <v>13155</v>
      </c>
      <c r="H1951" s="48" t="n">
        <v>12477</v>
      </c>
      <c r="I1951" s="48" t="n">
        <v>12964</v>
      </c>
      <c r="J1951" s="48" t="n">
        <v>12709</v>
      </c>
      <c r="K1951" s="48" t="n">
        <v>12663</v>
      </c>
      <c r="L1951" s="48" t="n">
        <v>91631258</v>
      </c>
      <c r="M1951" s="48" t="n">
        <v>1187907628712</v>
      </c>
      <c r="N1951" s="48" t="n">
        <v>4231</v>
      </c>
      <c r="O1951" s="48" t="n">
        <v>73305006</v>
      </c>
      <c r="P1951" s="48" t="n">
        <v>18326251</v>
      </c>
      <c r="Q1951" s="48" t="n">
        <v>1201</v>
      </c>
      <c r="R1951" s="48" t="n">
        <v>3379</v>
      </c>
      <c r="S1951" s="48" t="n">
        <v>18326252</v>
      </c>
      <c r="T1951" s="48" t="n">
        <v>73305007</v>
      </c>
      <c r="U1951" s="46" t="n">
        <f aca="false">IF($A1951=$A1950,$U1950+1,1)</f>
        <v>127</v>
      </c>
      <c r="V1951" s="48" t="n">
        <f aca="false">IF($U1951&gt;=MA_SHORT,AVERAGE(INDEX($I$1551:$I1951,402-MA_SHORT):$I1951),"")</f>
        <v>12883.9</v>
      </c>
      <c r="W1951" s="48" t="n">
        <f aca="false">IF($U1951&gt;=MA_MED,AVERAGE(INDEX($I$1551:$I1951,402-MA_MED):$I1951),"")</f>
        <v>12910.3</v>
      </c>
      <c r="X1951" s="48" t="n">
        <f aca="false">IF($U1951&gt;=MA_LONG1,AVERAGE(INDEX($I$1551:$I1951,402-MA_LONG1):$I1951),"")</f>
        <v>12421.81</v>
      </c>
      <c r="Y1951" s="48" t="str">
        <f aca="false">IF($U1951&gt;=MA_LONG2,AVERAGE(INDEX($I$1551:$I1951,402-MA_LONG2):$I1951),"")</f>
        <v/>
      </c>
      <c r="Z1951" s="48" t="n">
        <f aca="false">IF($U1951&gt;=MA_SHORT,AVERAGE(INDEX($L$1831:$L1951,122-MA_SHORT):$L1951),"")</f>
        <v>100632998.4</v>
      </c>
      <c r="AA1951" s="48" t="n">
        <f aca="false">IF($U1951=1,$G1951-$H1951,MAX($G1951-$H1951,ABS($G1951-$I1950),ABS($H1951-$I1950)))</f>
        <v>678</v>
      </c>
      <c r="AB1951" s="48" t="n">
        <f aca="false">IF($U1951&gt;=ATR_PER,AVERAGE(INDEX($AA$1831:$AA1951,122-ATR_PER):$AA1951),"")</f>
        <v>420.785714285714</v>
      </c>
      <c r="AC1951" s="48" t="n">
        <f aca="false">$O1951-$P1951</f>
        <v>54978755</v>
      </c>
      <c r="AD1951" s="48" t="n">
        <f aca="false">$AC1951*$I1951</f>
        <v>712744579820</v>
      </c>
      <c r="AE1951" s="49" t="n">
        <f aca="false">IF($Q1951&gt;0,$O1951*$I1951/$Q1951/1000000,"")</f>
        <v>791.2790156403</v>
      </c>
      <c r="AF1951" s="49" t="n">
        <f aca="false">IF($R1951&gt;0,$P1951*$I1951/$R1951/1000000,"")</f>
        <v>70.3111920580053</v>
      </c>
      <c r="AG1951" s="50" t="n">
        <f aca="false">IF(AND(ISNUMBER($AE1951),ISNUMBER($AF1951),$AF1951&gt;0),$AE1951/$AF1951,"")</f>
        <v>11.2539553445134</v>
      </c>
      <c r="AH1951" s="48" t="n">
        <f aca="false">IF($U1951&gt;=5,SUM(INDEX($AD$1921:$AD1951,32-5):$AD1951),"")</f>
        <v>1597885836750</v>
      </c>
      <c r="AI1951" s="48" t="n">
        <f aca="false">IF($U1951&gt;=STRUCT_S,MAX(INDEX($G$1801:$G1951,152-STRUCT_S):$G1951),"")</f>
        <v>13962</v>
      </c>
      <c r="AJ1951" s="48" t="n">
        <f aca="false">IF($U1951&gt;=STRUCT_S,MIN(INDEX($H$1801:$H1951,152-STRUCT_S):$H1951),"")</f>
        <v>12238</v>
      </c>
      <c r="AK1951" s="48" t="n">
        <f aca="false">IF($U1951&gt;=STRUCT_L,MAX(INDEX($G$1701:$G1951,252-STRUCT_L):$G1951),"")</f>
        <v>13962</v>
      </c>
      <c r="AL1951" s="48" t="n">
        <f aca="false">IF($U1951&gt;=STRUCT_L,MIN(INDEX($H$1701:$H1951,252-STRUCT_L):$H1951),"")</f>
        <v>11911</v>
      </c>
      <c r="AM1951" s="46" t="n">
        <f aca="false">IF($A1951&lt;&gt;$A1952,1,0)</f>
        <v>0</v>
      </c>
      <c r="AN1951" s="47" t="str">
        <f aca="false">IF($AM1951=1,$A1951,"")</f>
        <v/>
      </c>
    </row>
    <row r="1952" customFormat="false" ht="15" hidden="false" customHeight="false" outlineLevel="0" collapsed="false">
      <c r="A1952" s="43" t="s">
        <v>167</v>
      </c>
      <c r="B1952" s="44" t="s">
        <v>169</v>
      </c>
      <c r="C1952" s="45" t="n">
        <v>46083</v>
      </c>
      <c r="D1952" s="46" t="n">
        <v>20260302</v>
      </c>
      <c r="E1952" s="47" t="s">
        <v>415</v>
      </c>
      <c r="F1952" s="48" t="n">
        <v>12862</v>
      </c>
      <c r="G1952" s="48" t="n">
        <v>13422</v>
      </c>
      <c r="H1952" s="48" t="n">
        <v>12779</v>
      </c>
      <c r="I1952" s="48" t="n">
        <v>13233</v>
      </c>
      <c r="J1952" s="48" t="n">
        <v>13226</v>
      </c>
      <c r="K1952" s="48" t="n">
        <v>12964</v>
      </c>
      <c r="L1952" s="48" t="n">
        <v>142711458</v>
      </c>
      <c r="M1952" s="48" t="n">
        <v>1888500723714</v>
      </c>
      <c r="N1952" s="48" t="n">
        <v>5991</v>
      </c>
      <c r="O1952" s="48" t="n">
        <v>99411663</v>
      </c>
      <c r="P1952" s="48" t="n">
        <v>39387152</v>
      </c>
      <c r="Q1952" s="48" t="n">
        <v>1787</v>
      </c>
      <c r="R1952" s="48" t="n">
        <v>4829</v>
      </c>
      <c r="S1952" s="48" t="n">
        <v>43299795</v>
      </c>
      <c r="T1952" s="48" t="n">
        <v>103324306</v>
      </c>
      <c r="U1952" s="46" t="n">
        <f aca="false">IF($A1952=$A1951,$U1951+1,1)</f>
        <v>128</v>
      </c>
      <c r="V1952" s="48" t="n">
        <f aca="false">IF($U1952&gt;=MA_SHORT,AVERAGE(INDEX($I$1552:$I1952,402-MA_SHORT):$I1952),"")</f>
        <v>12874</v>
      </c>
      <c r="W1952" s="48" t="n">
        <f aca="false">IF($U1952&gt;=MA_MED,AVERAGE(INDEX($I$1552:$I1952,402-MA_MED):$I1952),"")</f>
        <v>12929.84</v>
      </c>
      <c r="X1952" s="48" t="n">
        <f aca="false">IF($U1952&gt;=MA_LONG1,AVERAGE(INDEX($I$1552:$I1952,402-MA_LONG1):$I1952),"")</f>
        <v>12433.84</v>
      </c>
      <c r="Y1952" s="48" t="str">
        <f aca="false">IF($U1952&gt;=MA_LONG2,AVERAGE(INDEX($I$1552:$I1952,402-MA_LONG2):$I1952),"")</f>
        <v/>
      </c>
      <c r="Z1952" s="48" t="n">
        <f aca="false">IF($U1952&gt;=MA_SHORT,AVERAGE(INDEX($L$1832:$L1952,122-MA_SHORT):$L1952),"")</f>
        <v>103521104.7</v>
      </c>
      <c r="AA1952" s="48" t="n">
        <f aca="false">IF($U1952=1,$G1952-$H1952,MAX($G1952-$H1952,ABS($G1952-$I1951),ABS($H1952-$I1951)))</f>
        <v>643</v>
      </c>
      <c r="AB1952" s="48" t="n">
        <f aca="false">IF($U1952&gt;=ATR_PER,AVERAGE(INDEX($AA$1832:$AA1952,122-ATR_PER):$AA1952),"")</f>
        <v>416.142857142857</v>
      </c>
      <c r="AC1952" s="48" t="n">
        <f aca="false">$O1952-$P1952</f>
        <v>60024511</v>
      </c>
      <c r="AD1952" s="48" t="n">
        <f aca="false">$AC1952*$I1952</f>
        <v>794304354063</v>
      </c>
      <c r="AE1952" s="49" t="n">
        <f aca="false">IF($Q1952&gt;0,$O1952*$I1952/$Q1952/1000000,"")</f>
        <v>736.158106591494</v>
      </c>
      <c r="AF1952" s="49" t="n">
        <f aca="false">IF($R1952&gt;0,$P1952*$I1952/$R1952/1000000,"")</f>
        <v>107.933357302961</v>
      </c>
      <c r="AG1952" s="50" t="n">
        <f aca="false">IF(AND(ISNUMBER($AE1952),ISNUMBER($AF1952),$AF1952&gt;0),$AE1952/$AF1952,"")</f>
        <v>6.82048742841521</v>
      </c>
      <c r="AH1952" s="48" t="n">
        <f aca="false">IF($U1952&gt;=5,SUM(INDEX($AD$1922:$AD1952,32-5):$AD1952),"")</f>
        <v>2547135609987</v>
      </c>
      <c r="AI1952" s="48" t="n">
        <f aca="false">IF($U1952&gt;=STRUCT_S,MAX(INDEX($G$1802:$G1952,152-STRUCT_S):$G1952),"")</f>
        <v>13962</v>
      </c>
      <c r="AJ1952" s="48" t="n">
        <f aca="false">IF($U1952&gt;=STRUCT_S,MIN(INDEX($H$1802:$H1952,152-STRUCT_S):$H1952),"")</f>
        <v>12238</v>
      </c>
      <c r="AK1952" s="48" t="n">
        <f aca="false">IF($U1952&gt;=STRUCT_L,MAX(INDEX($G$1702:$G1952,252-STRUCT_L):$G1952),"")</f>
        <v>13962</v>
      </c>
      <c r="AL1952" s="48" t="n">
        <f aca="false">IF($U1952&gt;=STRUCT_L,MIN(INDEX($H$1702:$H1952,252-STRUCT_L):$H1952),"")</f>
        <v>11911</v>
      </c>
      <c r="AM1952" s="46" t="n">
        <f aca="false">IF($A1952&lt;&gt;$A1953,1,0)</f>
        <v>0</v>
      </c>
      <c r="AN1952" s="47" t="str">
        <f aca="false">IF($AM1952=1,$A1952,"")</f>
        <v/>
      </c>
    </row>
    <row r="1953" customFormat="false" ht="15" hidden="false" customHeight="false" outlineLevel="0" collapsed="false">
      <c r="A1953" s="43" t="s">
        <v>167</v>
      </c>
      <c r="B1953" s="44" t="s">
        <v>169</v>
      </c>
      <c r="C1953" s="45" t="n">
        <v>46084</v>
      </c>
      <c r="D1953" s="46" t="n">
        <v>20260303</v>
      </c>
      <c r="E1953" s="47" t="s">
        <v>416</v>
      </c>
      <c r="F1953" s="48" t="n">
        <v>13258</v>
      </c>
      <c r="G1953" s="48" t="n">
        <v>13420</v>
      </c>
      <c r="H1953" s="48" t="n">
        <v>13160</v>
      </c>
      <c r="I1953" s="48" t="n">
        <v>13347</v>
      </c>
      <c r="J1953" s="48" t="n">
        <v>13355</v>
      </c>
      <c r="K1953" s="48" t="n">
        <v>13233</v>
      </c>
      <c r="L1953" s="48" t="n">
        <v>91496059</v>
      </c>
      <c r="M1953" s="48" t="n">
        <v>1221197899473</v>
      </c>
      <c r="N1953" s="48" t="n">
        <v>4340</v>
      </c>
      <c r="O1953" s="48" t="n">
        <v>53310570</v>
      </c>
      <c r="P1953" s="48" t="n">
        <v>40193582</v>
      </c>
      <c r="Q1953" s="48" t="n">
        <v>1434</v>
      </c>
      <c r="R1953" s="48" t="n">
        <v>2139</v>
      </c>
      <c r="S1953" s="48" t="n">
        <v>38185489</v>
      </c>
      <c r="T1953" s="48" t="n">
        <v>51302477</v>
      </c>
      <c r="U1953" s="46" t="n">
        <f aca="false">IF($A1953=$A1952,$U1952+1,1)</f>
        <v>129</v>
      </c>
      <c r="V1953" s="48" t="n">
        <f aca="false">IF($U1953&gt;=MA_SHORT,AVERAGE(INDEX($I$1553:$I1953,402-MA_SHORT):$I1953),"")</f>
        <v>12866.55</v>
      </c>
      <c r="W1953" s="48" t="n">
        <f aca="false">IF($U1953&gt;=MA_MED,AVERAGE(INDEX($I$1553:$I1953,402-MA_MED):$I1953),"")</f>
        <v>12954.38</v>
      </c>
      <c r="X1953" s="48" t="n">
        <f aca="false">IF($U1953&gt;=MA_LONG1,AVERAGE(INDEX($I$1553:$I1953,402-MA_LONG1):$I1953),"")</f>
        <v>12446.62</v>
      </c>
      <c r="Y1953" s="48" t="str">
        <f aca="false">IF($U1953&gt;=MA_LONG2,AVERAGE(INDEX($I$1553:$I1953,402-MA_LONG2):$I1953),"")</f>
        <v/>
      </c>
      <c r="Z1953" s="48" t="n">
        <f aca="false">IF($U1953&gt;=MA_SHORT,AVERAGE(INDEX($L$1833:$L1953,122-MA_SHORT):$L1953),"")</f>
        <v>104003458.85</v>
      </c>
      <c r="AA1953" s="48" t="n">
        <f aca="false">IF($U1953=1,$G1953-$H1953,MAX($G1953-$H1953,ABS($G1953-$I1952),ABS($H1953-$I1952)))</f>
        <v>260</v>
      </c>
      <c r="AB1953" s="48" t="n">
        <f aca="false">IF($U1953&gt;=ATR_PER,AVERAGE(INDEX($AA$1833:$AA1953,122-ATR_PER):$AA1953),"")</f>
        <v>410.071428571429</v>
      </c>
      <c r="AC1953" s="48" t="n">
        <f aca="false">$O1953-$P1953</f>
        <v>13116988</v>
      </c>
      <c r="AD1953" s="48" t="n">
        <f aca="false">$AC1953*$I1953</f>
        <v>175072438836</v>
      </c>
      <c r="AE1953" s="49" t="n">
        <f aca="false">IF($Q1953&gt;0,$O1953*$I1953/$Q1953/1000000,"")</f>
        <v>496.189803200837</v>
      </c>
      <c r="AF1953" s="49" t="n">
        <f aca="false">IF($R1953&gt;0,$P1953*$I1953/$R1953/1000000,"")</f>
        <v>250.801186981767</v>
      </c>
      <c r="AG1953" s="50" t="n">
        <f aca="false">IF(AND(ISNUMBER($AE1953),ISNUMBER($AF1953),$AF1953&gt;0),$AE1953/$AF1953,"")</f>
        <v>1.97841887900199</v>
      </c>
      <c r="AH1953" s="48" t="n">
        <f aca="false">IF($U1953&gt;=5,SUM(INDEX($AD$1923:$AD1953,32-5):$AD1953),"")</f>
        <v>2805591495128</v>
      </c>
      <c r="AI1953" s="48" t="n">
        <f aca="false">IF($U1953&gt;=STRUCT_S,MAX(INDEX($G$1803:$G1953,152-STRUCT_S):$G1953),"")</f>
        <v>13962</v>
      </c>
      <c r="AJ1953" s="48" t="n">
        <f aca="false">IF($U1953&gt;=STRUCT_S,MIN(INDEX($H$1803:$H1953,152-STRUCT_S):$H1953),"")</f>
        <v>12238</v>
      </c>
      <c r="AK1953" s="48" t="n">
        <f aca="false">IF($U1953&gt;=STRUCT_L,MAX(INDEX($G$1703:$G1953,252-STRUCT_L):$G1953),"")</f>
        <v>13962</v>
      </c>
      <c r="AL1953" s="48" t="n">
        <f aca="false">IF($U1953&gt;=STRUCT_L,MIN(INDEX($H$1703:$H1953,252-STRUCT_L):$H1953),"")</f>
        <v>11911</v>
      </c>
      <c r="AM1953" s="46" t="n">
        <f aca="false">IF($A1953&lt;&gt;$A1954,1,0)</f>
        <v>0</v>
      </c>
      <c r="AN1953" s="47" t="str">
        <f aca="false">IF($AM1953=1,$A1953,"")</f>
        <v/>
      </c>
    </row>
    <row r="1954" customFormat="false" ht="15" hidden="false" customHeight="false" outlineLevel="0" collapsed="false">
      <c r="A1954" s="43" t="s">
        <v>167</v>
      </c>
      <c r="B1954" s="44" t="s">
        <v>169</v>
      </c>
      <c r="C1954" s="45" t="n">
        <v>46085</v>
      </c>
      <c r="D1954" s="46" t="n">
        <v>20260304</v>
      </c>
      <c r="E1954" s="47" t="s">
        <v>417</v>
      </c>
      <c r="F1954" s="48" t="n">
        <v>13688</v>
      </c>
      <c r="G1954" s="48" t="n">
        <v>13862</v>
      </c>
      <c r="H1954" s="48" t="n">
        <v>13210</v>
      </c>
      <c r="I1954" s="48" t="n">
        <v>13721</v>
      </c>
      <c r="J1954" s="48" t="n">
        <v>13617</v>
      </c>
      <c r="K1954" s="48" t="n">
        <v>13347</v>
      </c>
      <c r="L1954" s="48" t="n">
        <v>107238491</v>
      </c>
      <c r="M1954" s="48" t="n">
        <v>1471419335011</v>
      </c>
      <c r="N1954" s="48" t="n">
        <v>5495</v>
      </c>
      <c r="O1954" s="48" t="n">
        <v>81379914</v>
      </c>
      <c r="P1954" s="48" t="n">
        <v>34915299</v>
      </c>
      <c r="Q1954" s="48" t="n">
        <v>1774</v>
      </c>
      <c r="R1954" s="48" t="n">
        <v>2494</v>
      </c>
      <c r="S1954" s="48" t="n">
        <v>25858577</v>
      </c>
      <c r="T1954" s="48" t="n">
        <v>72323192</v>
      </c>
      <c r="U1954" s="46" t="n">
        <f aca="false">IF($A1954=$A1953,$U1953+1,1)</f>
        <v>130</v>
      </c>
      <c r="V1954" s="48" t="n">
        <f aca="false">IF($U1954&gt;=MA_SHORT,AVERAGE(INDEX($I$1554:$I1954,402-MA_SHORT):$I1954),"")</f>
        <v>12874.15</v>
      </c>
      <c r="W1954" s="48" t="n">
        <f aca="false">IF($U1954&gt;=MA_MED,AVERAGE(INDEX($I$1554:$I1954,402-MA_MED):$I1954),"")</f>
        <v>12986.12</v>
      </c>
      <c r="X1954" s="48" t="n">
        <f aca="false">IF($U1954&gt;=MA_LONG1,AVERAGE(INDEX($I$1554:$I1954,402-MA_LONG1):$I1954),"")</f>
        <v>12461.74</v>
      </c>
      <c r="Y1954" s="48" t="str">
        <f aca="false">IF($U1954&gt;=MA_LONG2,AVERAGE(INDEX($I$1554:$I1954,402-MA_LONG2):$I1954),"")</f>
        <v/>
      </c>
      <c r="Z1954" s="48" t="n">
        <f aca="false">IF($U1954&gt;=MA_SHORT,AVERAGE(INDEX($L$1834:$L1954,122-MA_SHORT):$L1954),"")</f>
        <v>105259346.25</v>
      </c>
      <c r="AA1954" s="48" t="n">
        <f aca="false">IF($U1954=1,$G1954-$H1954,MAX($G1954-$H1954,ABS($G1954-$I1953),ABS($H1954-$I1953)))</f>
        <v>652</v>
      </c>
      <c r="AB1954" s="48" t="n">
        <f aca="false">IF($U1954&gt;=ATR_PER,AVERAGE(INDEX($AA$1834:$AA1954,122-ATR_PER):$AA1954),"")</f>
        <v>430</v>
      </c>
      <c r="AC1954" s="48" t="n">
        <f aca="false">$O1954-$P1954</f>
        <v>46464615</v>
      </c>
      <c r="AD1954" s="48" t="n">
        <f aca="false">$AC1954*$I1954</f>
        <v>637540982415</v>
      </c>
      <c r="AE1954" s="49" t="n">
        <f aca="false">IF($Q1954&gt;0,$O1954*$I1954/$Q1954/1000000,"")</f>
        <v>629.43280721195</v>
      </c>
      <c r="AF1954" s="49" t="n">
        <f aca="false">IF($R1954&gt;0,$P1954*$I1954/$R1954/1000000,"")</f>
        <v>192.090143375702</v>
      </c>
      <c r="AG1954" s="50" t="n">
        <f aca="false">IF(AND(ISNUMBER($AE1954),ISNUMBER($AF1954),$AF1954&gt;0),$AE1954/$AF1954,"")</f>
        <v>3.2767574439302</v>
      </c>
      <c r="AH1954" s="48" t="n">
        <f aca="false">IF($U1954&gt;=5,SUM(INDEX($AD$1924:$AD1954,32-5):$AD1954),"")</f>
        <v>2954954402888</v>
      </c>
      <c r="AI1954" s="48" t="n">
        <f aca="false">IF($U1954&gt;=STRUCT_S,MAX(INDEX($G$1804:$G1954,152-STRUCT_S):$G1954),"")</f>
        <v>13962</v>
      </c>
      <c r="AJ1954" s="48" t="n">
        <f aca="false">IF($U1954&gt;=STRUCT_S,MIN(INDEX($H$1804:$H1954,152-STRUCT_S):$H1954),"")</f>
        <v>12238</v>
      </c>
      <c r="AK1954" s="48" t="n">
        <f aca="false">IF($U1954&gt;=STRUCT_L,MAX(INDEX($G$1704:$G1954,252-STRUCT_L):$G1954),"")</f>
        <v>13962</v>
      </c>
      <c r="AL1954" s="48" t="n">
        <f aca="false">IF($U1954&gt;=STRUCT_L,MIN(INDEX($H$1704:$H1954,252-STRUCT_L):$H1954),"")</f>
        <v>11911</v>
      </c>
      <c r="AM1954" s="46" t="n">
        <f aca="false">IF($A1954&lt;&gt;$A1955,1,0)</f>
        <v>0</v>
      </c>
      <c r="AN1954" s="47" t="str">
        <f aca="false">IF($AM1954=1,$A1954,"")</f>
        <v/>
      </c>
    </row>
    <row r="1955" customFormat="false" ht="15" hidden="false" customHeight="false" outlineLevel="0" collapsed="false">
      <c r="A1955" s="43" t="s">
        <v>167</v>
      </c>
      <c r="B1955" s="44" t="s">
        <v>169</v>
      </c>
      <c r="C1955" s="45" t="n">
        <v>46088</v>
      </c>
      <c r="D1955" s="46" t="n">
        <v>20260307</v>
      </c>
      <c r="E1955" s="47" t="s">
        <v>418</v>
      </c>
      <c r="F1955" s="48" t="n">
        <v>13882</v>
      </c>
      <c r="G1955" s="48" t="n">
        <v>13900</v>
      </c>
      <c r="H1955" s="48" t="n">
        <v>13634</v>
      </c>
      <c r="I1955" s="48" t="n">
        <v>13812</v>
      </c>
      <c r="J1955" s="48" t="n">
        <v>13887</v>
      </c>
      <c r="K1955" s="48" t="n">
        <v>13721</v>
      </c>
      <c r="L1955" s="48" t="n">
        <v>107898948</v>
      </c>
      <c r="M1955" s="48" t="n">
        <v>1490300269776</v>
      </c>
      <c r="N1955" s="48" t="n">
        <v>2537</v>
      </c>
      <c r="O1955" s="48" t="n">
        <v>62915448</v>
      </c>
      <c r="P1955" s="48" t="n">
        <v>53445101</v>
      </c>
      <c r="Q1955" s="48" t="n">
        <v>741</v>
      </c>
      <c r="R1955" s="48" t="n">
        <v>1900</v>
      </c>
      <c r="S1955" s="48" t="n">
        <v>44983500</v>
      </c>
      <c r="T1955" s="48" t="n">
        <v>54453847</v>
      </c>
      <c r="U1955" s="46" t="n">
        <f aca="false">IF($A1955=$A1954,$U1954+1,1)</f>
        <v>131</v>
      </c>
      <c r="V1955" s="48" t="n">
        <f aca="false">IF($U1955&gt;=MA_SHORT,AVERAGE(INDEX($I$1555:$I1955,402-MA_SHORT):$I1955),"")</f>
        <v>12897.85</v>
      </c>
      <c r="W1955" s="48" t="n">
        <f aca="false">IF($U1955&gt;=MA_MED,AVERAGE(INDEX($I$1555:$I1955,402-MA_MED):$I1955),"")</f>
        <v>13019.1</v>
      </c>
      <c r="X1955" s="48" t="n">
        <f aca="false">IF($U1955&gt;=MA_LONG1,AVERAGE(INDEX($I$1555:$I1955,402-MA_LONG1):$I1955),"")</f>
        <v>12479.54</v>
      </c>
      <c r="Y1955" s="48" t="str">
        <f aca="false">IF($U1955&gt;=MA_LONG2,AVERAGE(INDEX($I$1555:$I1955,402-MA_LONG2):$I1955),"")</f>
        <v/>
      </c>
      <c r="Z1955" s="48" t="n">
        <f aca="false">IF($U1955&gt;=MA_SHORT,AVERAGE(INDEX($L$1835:$L1955,122-MA_SHORT):$L1955),"")</f>
        <v>106271099.45</v>
      </c>
      <c r="AA1955" s="48" t="n">
        <f aca="false">IF($U1955=1,$G1955-$H1955,MAX($G1955-$H1955,ABS($G1955-$I1954),ABS($H1955-$I1954)))</f>
        <v>266</v>
      </c>
      <c r="AB1955" s="48" t="n">
        <f aca="false">IF($U1955&gt;=ATR_PER,AVERAGE(INDEX($AA$1835:$AA1955,122-ATR_PER):$AA1955),"")</f>
        <v>422.5</v>
      </c>
      <c r="AC1955" s="48" t="n">
        <f aca="false">$O1955-$P1955</f>
        <v>9470347</v>
      </c>
      <c r="AD1955" s="48" t="n">
        <f aca="false">$AC1955*$I1955</f>
        <v>130804432764</v>
      </c>
      <c r="AE1955" s="49" t="n">
        <f aca="false">IF($Q1955&gt;0,$O1955*$I1955/$Q1955/1000000,"")</f>
        <v>1172.72357324696</v>
      </c>
      <c r="AF1955" s="49" t="n">
        <f aca="false">IF($R1955&gt;0,$P1955*$I1955/$R1955/1000000,"")</f>
        <v>388.517755269474</v>
      </c>
      <c r="AG1955" s="50" t="n">
        <f aca="false">IF(AND(ISNUMBER($AE1955),ISNUMBER($AF1955),$AF1955&gt;0),$AE1955/$AF1955,"")</f>
        <v>3.0184555463458</v>
      </c>
      <c r="AH1955" s="48" t="n">
        <f aca="false">IF($U1955&gt;=5,SUM(INDEX($AD$1925:$AD1955,32-5):$AD1955),"")</f>
        <v>2450466787898</v>
      </c>
      <c r="AI1955" s="48" t="n">
        <f aca="false">IF($U1955&gt;=STRUCT_S,MAX(INDEX($G$1805:$G1955,152-STRUCT_S):$G1955),"")</f>
        <v>13900</v>
      </c>
      <c r="AJ1955" s="48" t="n">
        <f aca="false">IF($U1955&gt;=STRUCT_S,MIN(INDEX($H$1805:$H1955,152-STRUCT_S):$H1955),"")</f>
        <v>12238</v>
      </c>
      <c r="AK1955" s="48" t="n">
        <f aca="false">IF($U1955&gt;=STRUCT_L,MAX(INDEX($G$1705:$G1955,252-STRUCT_L):$G1955),"")</f>
        <v>13962</v>
      </c>
      <c r="AL1955" s="48" t="n">
        <f aca="false">IF($U1955&gt;=STRUCT_L,MIN(INDEX($H$1705:$H1955,252-STRUCT_L):$H1955),"")</f>
        <v>11911</v>
      </c>
      <c r="AM1955" s="46" t="n">
        <f aca="false">IF($A1955&lt;&gt;$A1956,1,0)</f>
        <v>0</v>
      </c>
      <c r="AN1955" s="47" t="str">
        <f aca="false">IF($AM1955=1,$A1955,"")</f>
        <v/>
      </c>
    </row>
    <row r="1956" customFormat="false" ht="15" hidden="false" customHeight="false" outlineLevel="0" collapsed="false">
      <c r="A1956" s="43" t="s">
        <v>167</v>
      </c>
      <c r="B1956" s="44" t="s">
        <v>169</v>
      </c>
      <c r="C1956" s="45" t="n">
        <v>46089</v>
      </c>
      <c r="D1956" s="46" t="n">
        <v>20260308</v>
      </c>
      <c r="E1956" s="47" t="s">
        <v>419</v>
      </c>
      <c r="F1956" s="48" t="n">
        <v>14029</v>
      </c>
      <c r="G1956" s="48" t="n">
        <v>14289</v>
      </c>
      <c r="H1956" s="48" t="n">
        <v>13662</v>
      </c>
      <c r="I1956" s="48" t="n">
        <v>14135</v>
      </c>
      <c r="J1956" s="48" t="n">
        <v>14288</v>
      </c>
      <c r="K1956" s="48" t="n">
        <v>13812</v>
      </c>
      <c r="L1956" s="48" t="n">
        <v>90699756</v>
      </c>
      <c r="M1956" s="48" t="n">
        <v>1282041051060</v>
      </c>
      <c r="N1956" s="48" t="n">
        <v>4908</v>
      </c>
      <c r="O1956" s="48" t="n">
        <v>62853836</v>
      </c>
      <c r="P1956" s="48" t="n">
        <v>30344537</v>
      </c>
      <c r="Q1956" s="48" t="n">
        <v>1153</v>
      </c>
      <c r="R1956" s="48" t="n">
        <v>2332</v>
      </c>
      <c r="S1956" s="48" t="n">
        <v>27845920</v>
      </c>
      <c r="T1956" s="48" t="n">
        <v>60355219</v>
      </c>
      <c r="U1956" s="46" t="n">
        <f aca="false">IF($A1956=$A1955,$U1955+1,1)</f>
        <v>132</v>
      </c>
      <c r="V1956" s="48" t="n">
        <f aca="false">IF($U1956&gt;=MA_SHORT,AVERAGE(INDEX($I$1556:$I1956,402-MA_SHORT):$I1956),"")</f>
        <v>12943.6</v>
      </c>
      <c r="W1956" s="48" t="n">
        <f aca="false">IF($U1956&gt;=MA_MED,AVERAGE(INDEX($I$1556:$I1956,402-MA_MED):$I1956),"")</f>
        <v>13052.28</v>
      </c>
      <c r="X1956" s="48" t="n">
        <f aca="false">IF($U1956&gt;=MA_LONG1,AVERAGE(INDEX($I$1556:$I1956,402-MA_LONG1):$I1956),"")</f>
        <v>12498.03</v>
      </c>
      <c r="Y1956" s="48" t="str">
        <f aca="false">IF($U1956&gt;=MA_LONG2,AVERAGE(INDEX($I$1556:$I1956,402-MA_LONG2):$I1956),"")</f>
        <v/>
      </c>
      <c r="Z1956" s="48" t="n">
        <f aca="false">IF($U1956&gt;=MA_SHORT,AVERAGE(INDEX($L$1836:$L1956,122-MA_SHORT):$L1956),"")</f>
        <v>106618015.75</v>
      </c>
      <c r="AA1956" s="48" t="n">
        <f aca="false">IF($U1956=1,$G1956-$H1956,MAX($G1956-$H1956,ABS($G1956-$I1955),ABS($H1956-$I1955)))</f>
        <v>627</v>
      </c>
      <c r="AB1956" s="48" t="n">
        <f aca="false">IF($U1956&gt;=ATR_PER,AVERAGE(INDEX($AA$1836:$AA1956,122-ATR_PER):$AA1956),"")</f>
        <v>420.642857142857</v>
      </c>
      <c r="AC1956" s="48" t="n">
        <f aca="false">$O1956-$P1956</f>
        <v>32509299</v>
      </c>
      <c r="AD1956" s="48" t="n">
        <f aca="false">$AC1956*$I1956</f>
        <v>459518941365</v>
      </c>
      <c r="AE1956" s="49" t="n">
        <f aca="false">IF($Q1956&gt;0,$O1956*$I1956/$Q1956/1000000,"")</f>
        <v>770.545508985256</v>
      </c>
      <c r="AF1956" s="49" t="n">
        <f aca="false">IF($R1956&gt;0,$P1956*$I1956/$R1956/1000000,"")</f>
        <v>183.927971910377</v>
      </c>
      <c r="AG1956" s="50" t="n">
        <f aca="false">IF(AND(ISNUMBER($AE1956),ISNUMBER($AF1956),$AF1956&gt;0),$AE1956/$AF1956,"")</f>
        <v>4.18938729646146</v>
      </c>
      <c r="AH1956" s="48" t="n">
        <f aca="false">IF($U1956&gt;=5,SUM(INDEX($AD$1926:$AD1956,32-5):$AD1956),"")</f>
        <v>2197241149443</v>
      </c>
      <c r="AI1956" s="48" t="n">
        <f aca="false">IF($U1956&gt;=STRUCT_S,MAX(INDEX($G$1806:$G1956,152-STRUCT_S):$G1956),"")</f>
        <v>14289</v>
      </c>
      <c r="AJ1956" s="48" t="n">
        <f aca="false">IF($U1956&gt;=STRUCT_S,MIN(INDEX($H$1806:$H1956,152-STRUCT_S):$H1956),"")</f>
        <v>12238</v>
      </c>
      <c r="AK1956" s="48" t="n">
        <f aca="false">IF($U1956&gt;=STRUCT_L,MAX(INDEX($G$1706:$G1956,252-STRUCT_L):$G1956),"")</f>
        <v>14289</v>
      </c>
      <c r="AL1956" s="48" t="n">
        <f aca="false">IF($U1956&gt;=STRUCT_L,MIN(INDEX($H$1706:$H1956,252-STRUCT_L):$H1956),"")</f>
        <v>11911</v>
      </c>
      <c r="AM1956" s="46" t="n">
        <f aca="false">IF($A1956&lt;&gt;$A1957,1,0)</f>
        <v>0</v>
      </c>
      <c r="AN1956" s="47" t="str">
        <f aca="false">IF($AM1956=1,$A1956,"")</f>
        <v/>
      </c>
    </row>
    <row r="1957" customFormat="false" ht="15" hidden="false" customHeight="false" outlineLevel="0" collapsed="false">
      <c r="A1957" s="43" t="s">
        <v>167</v>
      </c>
      <c r="B1957" s="44" t="s">
        <v>169</v>
      </c>
      <c r="C1957" s="45" t="n">
        <v>46090</v>
      </c>
      <c r="D1957" s="46" t="n">
        <v>20260309</v>
      </c>
      <c r="E1957" s="47" t="s">
        <v>420</v>
      </c>
      <c r="F1957" s="48" t="n">
        <v>14221</v>
      </c>
      <c r="G1957" s="48" t="n">
        <v>14231</v>
      </c>
      <c r="H1957" s="48" t="n">
        <v>14039</v>
      </c>
      <c r="I1957" s="48" t="n">
        <v>14135</v>
      </c>
      <c r="J1957" s="48" t="n">
        <v>14056</v>
      </c>
      <c r="K1957" s="48" t="n">
        <v>14135</v>
      </c>
      <c r="L1957" s="48" t="n">
        <v>112087713</v>
      </c>
      <c r="M1957" s="48" t="n">
        <v>1584359823255</v>
      </c>
      <c r="N1957" s="48" t="n">
        <v>4881</v>
      </c>
      <c r="O1957" s="48" t="n">
        <v>65719907</v>
      </c>
      <c r="P1957" s="48" t="n">
        <v>54071999</v>
      </c>
      <c r="Q1957" s="48" t="n">
        <v>2665</v>
      </c>
      <c r="R1957" s="48" t="n">
        <v>1155</v>
      </c>
      <c r="S1957" s="48" t="n">
        <v>46367806</v>
      </c>
      <c r="T1957" s="48" t="n">
        <v>58015714</v>
      </c>
      <c r="U1957" s="46" t="n">
        <f aca="false">IF($A1957=$A1956,$U1956+1,1)</f>
        <v>133</v>
      </c>
      <c r="V1957" s="48" t="n">
        <f aca="false">IF($U1957&gt;=MA_SHORT,AVERAGE(INDEX($I$1557:$I1957,402-MA_SHORT):$I1957),"")</f>
        <v>13011.8</v>
      </c>
      <c r="W1957" s="48" t="n">
        <f aca="false">IF($U1957&gt;=MA_MED,AVERAGE(INDEX($I$1557:$I1957,402-MA_MED):$I1957),"")</f>
        <v>13083.22</v>
      </c>
      <c r="X1957" s="48" t="n">
        <f aca="false">IF($U1957&gt;=MA_LONG1,AVERAGE(INDEX($I$1557:$I1957,402-MA_LONG1):$I1957),"")</f>
        <v>12517.93</v>
      </c>
      <c r="Y1957" s="48" t="str">
        <f aca="false">IF($U1957&gt;=MA_LONG2,AVERAGE(INDEX($I$1557:$I1957,402-MA_LONG2):$I1957),"")</f>
        <v/>
      </c>
      <c r="Z1957" s="48" t="n">
        <f aca="false">IF($U1957&gt;=MA_SHORT,AVERAGE(INDEX($L$1837:$L1957,122-MA_SHORT):$L1957),"")</f>
        <v>107434997.9</v>
      </c>
      <c r="AA1957" s="48" t="n">
        <f aca="false">IF($U1957=1,$G1957-$H1957,MAX($G1957-$H1957,ABS($G1957-$I1956),ABS($H1957-$I1956)))</f>
        <v>192</v>
      </c>
      <c r="AB1957" s="48" t="n">
        <f aca="false">IF($U1957&gt;=ATR_PER,AVERAGE(INDEX($AA$1837:$AA1957,122-ATR_PER):$AA1957),"")</f>
        <v>405.5</v>
      </c>
      <c r="AC1957" s="48" t="n">
        <f aca="false">$O1957-$P1957</f>
        <v>11647908</v>
      </c>
      <c r="AD1957" s="48" t="n">
        <f aca="false">$AC1957*$I1957</f>
        <v>164643179580</v>
      </c>
      <c r="AE1957" s="49" t="n">
        <f aca="false">IF($Q1957&gt;0,$O1957*$I1957/$Q1957/1000000,"")</f>
        <v>348.574441067542</v>
      </c>
      <c r="AF1957" s="49" t="n">
        <f aca="false">IF($R1957&gt;0,$P1957*$I1957/$R1957/1000000,"")</f>
        <v>661.73827347619</v>
      </c>
      <c r="AG1957" s="50" t="n">
        <f aca="false">IF(AND(ISNUMBER($AE1957),ISNUMBER($AF1957),$AF1957&gt;0),$AE1957/$AF1957,"")</f>
        <v>0.526755750784126</v>
      </c>
      <c r="AH1957" s="48" t="n">
        <f aca="false">IF($U1957&gt;=5,SUM(INDEX($AD$1927:$AD1957,32-5):$AD1957),"")</f>
        <v>1567579974960</v>
      </c>
      <c r="AI1957" s="48" t="n">
        <f aca="false">IF($U1957&gt;=STRUCT_S,MAX(INDEX($G$1807:$G1957,152-STRUCT_S):$G1957),"")</f>
        <v>14289</v>
      </c>
      <c r="AJ1957" s="48" t="n">
        <f aca="false">IF($U1957&gt;=STRUCT_S,MIN(INDEX($H$1807:$H1957,152-STRUCT_S):$H1957),"")</f>
        <v>12238</v>
      </c>
      <c r="AK1957" s="48" t="n">
        <f aca="false">IF($U1957&gt;=STRUCT_L,MAX(INDEX($G$1707:$G1957,252-STRUCT_L):$G1957),"")</f>
        <v>14289</v>
      </c>
      <c r="AL1957" s="48" t="n">
        <f aca="false">IF($U1957&gt;=STRUCT_L,MIN(INDEX($H$1707:$H1957,252-STRUCT_L):$H1957),"")</f>
        <v>11911</v>
      </c>
      <c r="AM1957" s="46" t="n">
        <f aca="false">IF($A1957&lt;&gt;$A1958,1,0)</f>
        <v>0</v>
      </c>
      <c r="AN1957" s="47" t="str">
        <f aca="false">IF($AM1957=1,$A1957,"")</f>
        <v/>
      </c>
    </row>
    <row r="1958" customFormat="false" ht="15" hidden="false" customHeight="false" outlineLevel="0" collapsed="false">
      <c r="A1958" s="43" t="s">
        <v>167</v>
      </c>
      <c r="B1958" s="44" t="s">
        <v>169</v>
      </c>
      <c r="C1958" s="45" t="n">
        <v>46091</v>
      </c>
      <c r="D1958" s="46" t="n">
        <v>20260310</v>
      </c>
      <c r="E1958" s="47" t="s">
        <v>421</v>
      </c>
      <c r="F1958" s="48" t="n">
        <v>14046</v>
      </c>
      <c r="G1958" s="48" t="n">
        <v>14483</v>
      </c>
      <c r="H1958" s="48" t="n">
        <v>13998</v>
      </c>
      <c r="I1958" s="48" t="n">
        <v>14344</v>
      </c>
      <c r="J1958" s="48" t="n">
        <v>14212</v>
      </c>
      <c r="K1958" s="48" t="n">
        <v>14135</v>
      </c>
      <c r="L1958" s="48" t="n">
        <v>87922946</v>
      </c>
      <c r="M1958" s="48" t="n">
        <v>1261166737424</v>
      </c>
      <c r="N1958" s="48" t="n">
        <v>2244</v>
      </c>
      <c r="O1958" s="48" t="n">
        <v>58181696</v>
      </c>
      <c r="P1958" s="48" t="n">
        <v>23403991</v>
      </c>
      <c r="Q1958" s="48" t="n">
        <v>727</v>
      </c>
      <c r="R1958" s="48" t="n">
        <v>1298</v>
      </c>
      <c r="S1958" s="48" t="n">
        <v>29741250</v>
      </c>
      <c r="T1958" s="48" t="n">
        <v>64518955</v>
      </c>
      <c r="U1958" s="46" t="n">
        <f aca="false">IF($A1958=$A1957,$U1957+1,1)</f>
        <v>134</v>
      </c>
      <c r="V1958" s="48" t="n">
        <f aca="false">IF($U1958&gt;=MA_SHORT,AVERAGE(INDEX($I$1558:$I1958,402-MA_SHORT):$I1958),"")</f>
        <v>13105.6</v>
      </c>
      <c r="W1958" s="48" t="n">
        <f aca="false">IF($U1958&gt;=MA_MED,AVERAGE(INDEX($I$1558:$I1958,402-MA_MED):$I1958),"")</f>
        <v>13117.88</v>
      </c>
      <c r="X1958" s="48" t="n">
        <f aca="false">IF($U1958&gt;=MA_LONG1,AVERAGE(INDEX($I$1558:$I1958,402-MA_LONG1):$I1958),"")</f>
        <v>12540.02</v>
      </c>
      <c r="Y1958" s="48" t="str">
        <f aca="false">IF($U1958&gt;=MA_LONG2,AVERAGE(INDEX($I$1558:$I1958,402-MA_LONG2):$I1958),"")</f>
        <v/>
      </c>
      <c r="Z1958" s="48" t="n">
        <f aca="false">IF($U1958&gt;=MA_SHORT,AVERAGE(INDEX($L$1838:$L1958,122-MA_SHORT):$L1958),"")</f>
        <v>107288040.4</v>
      </c>
      <c r="AA1958" s="48" t="n">
        <f aca="false">IF($U1958=1,$G1958-$H1958,MAX($G1958-$H1958,ABS($G1958-$I1957),ABS($H1958-$I1957)))</f>
        <v>485</v>
      </c>
      <c r="AB1958" s="48" t="n">
        <f aca="false">IF($U1958&gt;=ATR_PER,AVERAGE(INDEX($AA$1838:$AA1958,122-ATR_PER):$AA1958),"")</f>
        <v>430</v>
      </c>
      <c r="AC1958" s="48" t="n">
        <f aca="false">$O1958-$P1958</f>
        <v>34777705</v>
      </c>
      <c r="AD1958" s="48" t="n">
        <f aca="false">$AC1958*$I1958</f>
        <v>498851400520</v>
      </c>
      <c r="AE1958" s="49" t="n">
        <f aca="false">IF($Q1958&gt;0,$O1958*$I1958/$Q1958/1000000,"")</f>
        <v>1147.94807073453</v>
      </c>
      <c r="AF1958" s="49" t="n">
        <f aca="false">IF($R1958&gt;0,$P1958*$I1958/$R1958/1000000,"")</f>
        <v>258.633934440678</v>
      </c>
      <c r="AG1958" s="50" t="n">
        <f aca="false">IF(AND(ISNUMBER($AE1958),ISNUMBER($AF1958),$AF1958&gt;0),$AE1958/$AF1958,"")</f>
        <v>4.43850523024784</v>
      </c>
      <c r="AH1958" s="48" t="n">
        <f aca="false">IF($U1958&gt;=5,SUM(INDEX($AD$1928:$AD1958,32-5):$AD1958),"")</f>
        <v>1891358936644</v>
      </c>
      <c r="AI1958" s="48" t="n">
        <f aca="false">IF($U1958&gt;=STRUCT_S,MAX(INDEX($G$1808:$G1958,152-STRUCT_S):$G1958),"")</f>
        <v>14483</v>
      </c>
      <c r="AJ1958" s="48" t="n">
        <f aca="false">IF($U1958&gt;=STRUCT_S,MIN(INDEX($H$1808:$H1958,152-STRUCT_S):$H1958),"")</f>
        <v>12238</v>
      </c>
      <c r="AK1958" s="48" t="n">
        <f aca="false">IF($U1958&gt;=STRUCT_L,MAX(INDEX($G$1708:$G1958,252-STRUCT_L):$G1958),"")</f>
        <v>14483</v>
      </c>
      <c r="AL1958" s="48" t="n">
        <f aca="false">IF($U1958&gt;=STRUCT_L,MIN(INDEX($H$1708:$H1958,252-STRUCT_L):$H1958),"")</f>
        <v>11911</v>
      </c>
      <c r="AM1958" s="46" t="n">
        <f aca="false">IF($A1958&lt;&gt;$A1959,1,0)</f>
        <v>0</v>
      </c>
      <c r="AN1958" s="47" t="str">
        <f aca="false">IF($AM1958=1,$A1958,"")</f>
        <v/>
      </c>
    </row>
    <row r="1959" customFormat="false" ht="15" hidden="false" customHeight="false" outlineLevel="0" collapsed="false">
      <c r="A1959" s="43" t="s">
        <v>167</v>
      </c>
      <c r="B1959" s="44" t="s">
        <v>169</v>
      </c>
      <c r="C1959" s="45" t="n">
        <v>46092</v>
      </c>
      <c r="D1959" s="46" t="n">
        <v>20260311</v>
      </c>
      <c r="E1959" s="47" t="s">
        <v>422</v>
      </c>
      <c r="F1959" s="48" t="n">
        <v>14157</v>
      </c>
      <c r="G1959" s="48" t="n">
        <v>14470</v>
      </c>
      <c r="H1959" s="48" t="n">
        <v>14028</v>
      </c>
      <c r="I1959" s="48" t="n">
        <v>14153</v>
      </c>
      <c r="J1959" s="48" t="n">
        <v>14080</v>
      </c>
      <c r="K1959" s="48" t="n">
        <v>14344</v>
      </c>
      <c r="L1959" s="48" t="n">
        <v>85894088</v>
      </c>
      <c r="M1959" s="48" t="n">
        <v>1215659027464</v>
      </c>
      <c r="N1959" s="48" t="n">
        <v>4550</v>
      </c>
      <c r="O1959" s="48" t="n">
        <v>43398200</v>
      </c>
      <c r="P1959" s="48" t="n">
        <v>46851783</v>
      </c>
      <c r="Q1959" s="48" t="n">
        <v>3267</v>
      </c>
      <c r="R1959" s="48" t="n">
        <v>1673</v>
      </c>
      <c r="S1959" s="48" t="n">
        <v>42495888</v>
      </c>
      <c r="T1959" s="48" t="n">
        <v>39042305</v>
      </c>
      <c r="U1959" s="46" t="n">
        <f aca="false">IF($A1959=$A1958,$U1958+1,1)</f>
        <v>135</v>
      </c>
      <c r="V1959" s="48" t="n">
        <f aca="false">IF($U1959&gt;=MA_SHORT,AVERAGE(INDEX($I$1559:$I1959,402-MA_SHORT):$I1959),"")</f>
        <v>13185.35</v>
      </c>
      <c r="W1959" s="48" t="n">
        <f aca="false">IF($U1959&gt;=MA_MED,AVERAGE(INDEX($I$1559:$I1959,402-MA_MED):$I1959),"")</f>
        <v>13146.86</v>
      </c>
      <c r="X1959" s="48" t="n">
        <f aca="false">IF($U1959&gt;=MA_LONG1,AVERAGE(INDEX($I$1559:$I1959,402-MA_LONG1):$I1959),"")</f>
        <v>12561.22</v>
      </c>
      <c r="Y1959" s="48" t="str">
        <f aca="false">IF($U1959&gt;=MA_LONG2,AVERAGE(INDEX($I$1559:$I1959,402-MA_LONG2):$I1959),"")</f>
        <v/>
      </c>
      <c r="Z1959" s="48" t="n">
        <f aca="false">IF($U1959&gt;=MA_SHORT,AVERAGE(INDEX($L$1839:$L1959,122-MA_SHORT):$L1959),"")</f>
        <v>105453162.2</v>
      </c>
      <c r="AA1959" s="48" t="n">
        <f aca="false">IF($U1959=1,$G1959-$H1959,MAX($G1959-$H1959,ABS($G1959-$I1958),ABS($H1959-$I1958)))</f>
        <v>442</v>
      </c>
      <c r="AB1959" s="48" t="n">
        <f aca="false">IF($U1959&gt;=ATR_PER,AVERAGE(INDEX($AA$1839:$AA1959,122-ATR_PER):$AA1959),"")</f>
        <v>436.571428571429</v>
      </c>
      <c r="AC1959" s="48" t="n">
        <f aca="false">$O1959-$P1959</f>
        <v>-3453583</v>
      </c>
      <c r="AD1959" s="48" t="n">
        <f aca="false">$AC1959*$I1959</f>
        <v>-48878560199</v>
      </c>
      <c r="AE1959" s="49" t="n">
        <f aca="false">IF($Q1959&gt;0,$O1959*$I1959/$Q1959/1000000,"")</f>
        <v>188.005731435568</v>
      </c>
      <c r="AF1959" s="49" t="n">
        <f aca="false">IF($R1959&gt;0,$P1959*$I1959/$R1959/1000000,"")</f>
        <v>396.349841481769</v>
      </c>
      <c r="AG1959" s="50" t="n">
        <f aca="false">IF(AND(ISNUMBER($AE1959),ISNUMBER($AF1959),$AF1959&gt;0),$AE1959/$AF1959,"")</f>
        <v>0.47434289549026</v>
      </c>
      <c r="AH1959" s="48" t="n">
        <f aca="false">IF($U1959&gt;=5,SUM(INDEX($AD$1929:$AD1959,32-5):$AD1959),"")</f>
        <v>1204939394030</v>
      </c>
      <c r="AI1959" s="48" t="n">
        <f aca="false">IF($U1959&gt;=STRUCT_S,MAX(INDEX($G$1809:$G1959,152-STRUCT_S):$G1959),"")</f>
        <v>14483</v>
      </c>
      <c r="AJ1959" s="48" t="n">
        <f aca="false">IF($U1959&gt;=STRUCT_S,MIN(INDEX($H$1809:$H1959,152-STRUCT_S):$H1959),"")</f>
        <v>12238</v>
      </c>
      <c r="AK1959" s="48" t="n">
        <f aca="false">IF($U1959&gt;=STRUCT_L,MAX(INDEX($G$1709:$G1959,252-STRUCT_L):$G1959),"")</f>
        <v>14483</v>
      </c>
      <c r="AL1959" s="48" t="n">
        <f aca="false">IF($U1959&gt;=STRUCT_L,MIN(INDEX($H$1709:$H1959,252-STRUCT_L):$H1959),"")</f>
        <v>11911</v>
      </c>
      <c r="AM1959" s="46" t="n">
        <f aca="false">IF($A1959&lt;&gt;$A1960,1,0)</f>
        <v>0</v>
      </c>
      <c r="AN1959" s="47" t="str">
        <f aca="false">IF($AM1959=1,$A1959,"")</f>
        <v/>
      </c>
    </row>
    <row r="1960" customFormat="false" ht="15" hidden="false" customHeight="false" outlineLevel="0" collapsed="false">
      <c r="A1960" s="43" t="s">
        <v>167</v>
      </c>
      <c r="B1960" s="44" t="s">
        <v>169</v>
      </c>
      <c r="C1960" s="45" t="n">
        <v>46095</v>
      </c>
      <c r="D1960" s="46" t="n">
        <v>20260314</v>
      </c>
      <c r="E1960" s="47" t="s">
        <v>423</v>
      </c>
      <c r="F1960" s="48" t="n">
        <v>14050</v>
      </c>
      <c r="G1960" s="48" t="n">
        <v>14370</v>
      </c>
      <c r="H1960" s="48" t="n">
        <v>13428</v>
      </c>
      <c r="I1960" s="48" t="n">
        <v>13637</v>
      </c>
      <c r="J1960" s="48" t="n">
        <v>13964</v>
      </c>
      <c r="K1960" s="48" t="n">
        <v>14153</v>
      </c>
      <c r="L1960" s="48" t="n">
        <v>120315262</v>
      </c>
      <c r="M1960" s="48" t="n">
        <v>1640739227894</v>
      </c>
      <c r="N1960" s="48" t="n">
        <v>7095</v>
      </c>
      <c r="O1960" s="48" t="n">
        <v>48047347</v>
      </c>
      <c r="P1960" s="48" t="n">
        <v>61972089</v>
      </c>
      <c r="Q1960" s="48" t="n">
        <v>3334</v>
      </c>
      <c r="R1960" s="48" t="n">
        <v>2115</v>
      </c>
      <c r="S1960" s="48" t="n">
        <v>72267915</v>
      </c>
      <c r="T1960" s="48" t="n">
        <v>58343173</v>
      </c>
      <c r="U1960" s="46" t="n">
        <f aca="false">IF($A1960=$A1959,$U1959+1,1)</f>
        <v>136</v>
      </c>
      <c r="V1960" s="48" t="n">
        <f aca="false">IF($U1960&gt;=MA_SHORT,AVERAGE(INDEX($I$1560:$I1960,402-MA_SHORT):$I1960),"")</f>
        <v>13225.2</v>
      </c>
      <c r="W1960" s="48" t="n">
        <f aca="false">IF($U1960&gt;=MA_MED,AVERAGE(INDEX($I$1560:$I1960,402-MA_MED):$I1960),"")</f>
        <v>13163.46</v>
      </c>
      <c r="X1960" s="48" t="n">
        <f aca="false">IF($U1960&gt;=MA_LONG1,AVERAGE(INDEX($I$1560:$I1960,402-MA_LONG1):$I1960),"")</f>
        <v>12578.87</v>
      </c>
      <c r="Y1960" s="48" t="str">
        <f aca="false">IF($U1960&gt;=MA_LONG2,AVERAGE(INDEX($I$1560:$I1960,402-MA_LONG2):$I1960),"")</f>
        <v/>
      </c>
      <c r="Z1960" s="48" t="n">
        <f aca="false">IF($U1960&gt;=MA_SHORT,AVERAGE(INDEX($L$1840:$L1960,122-MA_SHORT):$L1960),"")</f>
        <v>106407111</v>
      </c>
      <c r="AA1960" s="48" t="n">
        <f aca="false">IF($U1960=1,$G1960-$H1960,MAX($G1960-$H1960,ABS($G1960-$I1959),ABS($H1960-$I1959)))</f>
        <v>942</v>
      </c>
      <c r="AB1960" s="48" t="n">
        <f aca="false">IF($U1960&gt;=ATR_PER,AVERAGE(INDEX($AA$1840:$AA1960,122-ATR_PER):$AA1960),"")</f>
        <v>487.571428571429</v>
      </c>
      <c r="AC1960" s="48" t="n">
        <f aca="false">$O1960-$P1960</f>
        <v>-13924742</v>
      </c>
      <c r="AD1960" s="48" t="n">
        <f aca="false">$AC1960*$I1960</f>
        <v>-189891706654</v>
      </c>
      <c r="AE1960" s="49" t="n">
        <f aca="false">IF($Q1960&gt;0,$O1960*$I1960/$Q1960/1000000,"")</f>
        <v>196.527195872525</v>
      </c>
      <c r="AF1960" s="49" t="n">
        <f aca="false">IF($R1960&gt;0,$P1960*$I1960/$R1960/1000000,"")</f>
        <v>399.580793235461</v>
      </c>
      <c r="AG1960" s="50" t="n">
        <f aca="false">IF(AND(ISNUMBER($AE1960),ISNUMBER($AF1960),$AF1960&gt;0),$AE1960/$AF1960,"")</f>
        <v>0.491833439443417</v>
      </c>
      <c r="AH1960" s="48" t="n">
        <f aca="false">IF($U1960&gt;=5,SUM(INDEX($AD$1930:$AD1960,32-5):$AD1960),"")</f>
        <v>884243254612</v>
      </c>
      <c r="AI1960" s="48" t="n">
        <f aca="false">IF($U1960&gt;=STRUCT_S,MAX(INDEX($G$1810:$G1960,152-STRUCT_S):$G1960),"")</f>
        <v>14483</v>
      </c>
      <c r="AJ1960" s="48" t="n">
        <f aca="false">IF($U1960&gt;=STRUCT_S,MIN(INDEX($H$1810:$H1960,152-STRUCT_S):$H1960),"")</f>
        <v>12238</v>
      </c>
      <c r="AK1960" s="48" t="n">
        <f aca="false">IF($U1960&gt;=STRUCT_L,MAX(INDEX($G$1710:$G1960,252-STRUCT_L):$G1960),"")</f>
        <v>14483</v>
      </c>
      <c r="AL1960" s="48" t="n">
        <f aca="false">IF($U1960&gt;=STRUCT_L,MIN(INDEX($H$1710:$H1960,252-STRUCT_L):$H1960),"")</f>
        <v>11911</v>
      </c>
      <c r="AM1960" s="46" t="n">
        <f aca="false">IF($A1960&lt;&gt;$A1961,1,0)</f>
        <v>0</v>
      </c>
      <c r="AN1960" s="47" t="str">
        <f aca="false">IF($AM1960=1,$A1960,"")</f>
        <v/>
      </c>
    </row>
    <row r="1961" customFormat="false" ht="15" hidden="false" customHeight="false" outlineLevel="0" collapsed="false">
      <c r="A1961" s="43" t="s">
        <v>167</v>
      </c>
      <c r="B1961" s="44" t="s">
        <v>169</v>
      </c>
      <c r="C1961" s="45" t="n">
        <v>46096</v>
      </c>
      <c r="D1961" s="46" t="n">
        <v>20260315</v>
      </c>
      <c r="E1961" s="47" t="s">
        <v>424</v>
      </c>
      <c r="F1961" s="48" t="n">
        <v>13772</v>
      </c>
      <c r="G1961" s="48" t="n">
        <v>14184</v>
      </c>
      <c r="H1961" s="48" t="n">
        <v>13299</v>
      </c>
      <c r="I1961" s="48" t="n">
        <v>13841</v>
      </c>
      <c r="J1961" s="48" t="n">
        <v>14133</v>
      </c>
      <c r="K1961" s="48" t="n">
        <v>13637</v>
      </c>
      <c r="L1961" s="48" t="n">
        <v>161633688</v>
      </c>
      <c r="M1961" s="48" t="n">
        <v>2237171875608</v>
      </c>
      <c r="N1961" s="48" t="n">
        <v>4852</v>
      </c>
      <c r="O1961" s="48" t="n">
        <v>97914890</v>
      </c>
      <c r="P1961" s="48" t="n">
        <v>61898342</v>
      </c>
      <c r="Q1961" s="48" t="n">
        <v>1161</v>
      </c>
      <c r="R1961" s="48" t="n">
        <v>3042</v>
      </c>
      <c r="S1961" s="48" t="n">
        <v>63718798</v>
      </c>
      <c r="T1961" s="48" t="n">
        <v>99735346</v>
      </c>
      <c r="U1961" s="46" t="n">
        <f aca="false">IF($A1961=$A1960,$U1960+1,1)</f>
        <v>137</v>
      </c>
      <c r="V1961" s="48" t="n">
        <f aca="false">IF($U1961&gt;=MA_SHORT,AVERAGE(INDEX($I$1561:$I1961,402-MA_SHORT):$I1961),"")</f>
        <v>13283.25</v>
      </c>
      <c r="W1961" s="48" t="n">
        <f aca="false">IF($U1961&gt;=MA_MED,AVERAGE(INDEX($I$1561:$I1961,402-MA_MED):$I1961),"")</f>
        <v>13185.06</v>
      </c>
      <c r="X1961" s="48" t="n">
        <f aca="false">IF($U1961&gt;=MA_LONG1,AVERAGE(INDEX($I$1561:$I1961,402-MA_LONG1):$I1961),"")</f>
        <v>12595.72</v>
      </c>
      <c r="Y1961" s="48" t="str">
        <f aca="false">IF($U1961&gt;=MA_LONG2,AVERAGE(INDEX($I$1561:$I1961,402-MA_LONG2):$I1961),"")</f>
        <v/>
      </c>
      <c r="Z1961" s="48" t="n">
        <f aca="false">IF($U1961&gt;=MA_SHORT,AVERAGE(INDEX($L$1841:$L1961,122-MA_SHORT):$L1961),"")</f>
        <v>110214483.6</v>
      </c>
      <c r="AA1961" s="48" t="n">
        <f aca="false">IF($U1961=1,$G1961-$H1961,MAX($G1961-$H1961,ABS($G1961-$I1960),ABS($H1961-$I1960)))</f>
        <v>885</v>
      </c>
      <c r="AB1961" s="48" t="n">
        <f aca="false">IF($U1961&gt;=ATR_PER,AVERAGE(INDEX($AA$1841:$AA1961,122-ATR_PER):$AA1961),"")</f>
        <v>524.428571428571</v>
      </c>
      <c r="AC1961" s="48" t="n">
        <f aca="false">$O1961-$P1961</f>
        <v>36016548</v>
      </c>
      <c r="AD1961" s="48" t="n">
        <f aca="false">$AC1961*$I1961</f>
        <v>498505040868</v>
      </c>
      <c r="AE1961" s="49" t="n">
        <f aca="false">IF($Q1961&gt;0,$O1961*$I1961/$Q1961/1000000,"")</f>
        <v>1167.30404176572</v>
      </c>
      <c r="AF1961" s="49" t="n">
        <f aca="false">IF($R1961&gt;0,$P1961*$I1961/$R1961/1000000,"")</f>
        <v>281.635421309007</v>
      </c>
      <c r="AG1961" s="50" t="n">
        <f aca="false">IF(AND(ISNUMBER($AE1961),ISNUMBER($AF1961),$AF1961&gt;0),$AE1961/$AF1961,"")</f>
        <v>4.14473448098337</v>
      </c>
      <c r="AH1961" s="48" t="n">
        <f aca="false">IF($U1961&gt;=5,SUM(INDEX($AD$1931:$AD1961,32-5):$AD1961),"")</f>
        <v>923229354115</v>
      </c>
      <c r="AI1961" s="48" t="n">
        <f aca="false">IF($U1961&gt;=STRUCT_S,MAX(INDEX($G$1811:$G1961,152-STRUCT_S):$G1961),"")</f>
        <v>14483</v>
      </c>
      <c r="AJ1961" s="48" t="n">
        <f aca="false">IF($U1961&gt;=STRUCT_S,MIN(INDEX($H$1811:$H1961,152-STRUCT_S):$H1961),"")</f>
        <v>12238</v>
      </c>
      <c r="AK1961" s="48" t="n">
        <f aca="false">IF($U1961&gt;=STRUCT_L,MAX(INDEX($G$1711:$G1961,252-STRUCT_L):$G1961),"")</f>
        <v>14483</v>
      </c>
      <c r="AL1961" s="48" t="n">
        <f aca="false">IF($U1961&gt;=STRUCT_L,MIN(INDEX($H$1711:$H1961,252-STRUCT_L):$H1961),"")</f>
        <v>11911</v>
      </c>
      <c r="AM1961" s="46" t="n">
        <f aca="false">IF($A1961&lt;&gt;$A1962,1,0)</f>
        <v>0</v>
      </c>
      <c r="AN1961" s="47" t="str">
        <f aca="false">IF($AM1961=1,$A1961,"")</f>
        <v/>
      </c>
    </row>
    <row r="1962" customFormat="false" ht="15" hidden="false" customHeight="false" outlineLevel="0" collapsed="false">
      <c r="A1962" s="43" t="s">
        <v>167</v>
      </c>
      <c r="B1962" s="44" t="s">
        <v>169</v>
      </c>
      <c r="C1962" s="45" t="n">
        <v>46097</v>
      </c>
      <c r="D1962" s="46" t="n">
        <v>20260316</v>
      </c>
      <c r="E1962" s="47" t="s">
        <v>425</v>
      </c>
      <c r="F1962" s="48" t="n">
        <v>13913</v>
      </c>
      <c r="G1962" s="48" t="n">
        <v>13943</v>
      </c>
      <c r="H1962" s="48" t="n">
        <v>13803</v>
      </c>
      <c r="I1962" s="48" t="n">
        <v>13904</v>
      </c>
      <c r="J1962" s="48" t="n">
        <v>13835</v>
      </c>
      <c r="K1962" s="48" t="n">
        <v>13841</v>
      </c>
      <c r="L1962" s="48" t="n">
        <v>81711600</v>
      </c>
      <c r="M1962" s="48" t="n">
        <v>1136118086400</v>
      </c>
      <c r="N1962" s="48" t="n">
        <v>1836</v>
      </c>
      <c r="O1962" s="48" t="n">
        <v>41295083</v>
      </c>
      <c r="P1962" s="48" t="n">
        <v>42215938</v>
      </c>
      <c r="Q1962" s="48" t="n">
        <v>385</v>
      </c>
      <c r="R1962" s="48" t="n">
        <v>948</v>
      </c>
      <c r="S1962" s="48" t="n">
        <v>40416517</v>
      </c>
      <c r="T1962" s="48" t="n">
        <v>39495662</v>
      </c>
      <c r="U1962" s="46" t="n">
        <f aca="false">IF($A1962=$A1961,$U1961+1,1)</f>
        <v>138</v>
      </c>
      <c r="V1962" s="48" t="n">
        <f aca="false">IF($U1962&gt;=MA_SHORT,AVERAGE(INDEX($I$1562:$I1962,402-MA_SHORT):$I1962),"")</f>
        <v>13349.9</v>
      </c>
      <c r="W1962" s="48" t="n">
        <f aca="false">IF($U1962&gt;=MA_MED,AVERAGE(INDEX($I$1562:$I1962,402-MA_MED):$I1962),"")</f>
        <v>13208.98</v>
      </c>
      <c r="X1962" s="48" t="n">
        <f aca="false">IF($U1962&gt;=MA_LONG1,AVERAGE(INDEX($I$1562:$I1962,402-MA_LONG1):$I1962),"")</f>
        <v>12613.36</v>
      </c>
      <c r="Y1962" s="48" t="str">
        <f aca="false">IF($U1962&gt;=MA_LONG2,AVERAGE(INDEX($I$1562:$I1962,402-MA_LONG2):$I1962),"")</f>
        <v/>
      </c>
      <c r="Z1962" s="48" t="n">
        <f aca="false">IF($U1962&gt;=MA_SHORT,AVERAGE(INDEX($L$1842:$L1962,122-MA_SHORT):$L1962),"")</f>
        <v>110117974</v>
      </c>
      <c r="AA1962" s="48" t="n">
        <f aca="false">IF($U1962=1,$G1962-$H1962,MAX($G1962-$H1962,ABS($G1962-$I1961),ABS($H1962-$I1961)))</f>
        <v>140</v>
      </c>
      <c r="AB1962" s="48" t="n">
        <f aca="false">IF($U1962&gt;=ATR_PER,AVERAGE(INDEX($AA$1842:$AA1962,122-ATR_PER):$AA1962),"")</f>
        <v>492.357142857143</v>
      </c>
      <c r="AC1962" s="48" t="n">
        <f aca="false">$O1962-$P1962</f>
        <v>-920855</v>
      </c>
      <c r="AD1962" s="48" t="n">
        <f aca="false">$AC1962*$I1962</f>
        <v>-12803567920</v>
      </c>
      <c r="AE1962" s="49" t="n">
        <f aca="false">IF($Q1962&gt;0,$O1962*$I1962/$Q1962/1000000,"")</f>
        <v>1491.34242605714</v>
      </c>
      <c r="AF1962" s="49" t="n">
        <f aca="false">IF($R1962&gt;0,$P1962*$I1962/$R1962/1000000,"")</f>
        <v>619.167090666667</v>
      </c>
      <c r="AG1962" s="50" t="n">
        <f aca="false">IF(AND(ISNUMBER($AE1962),ISNUMBER($AF1962),$AF1962&gt;0),$AE1962/$AF1962,"")</f>
        <v>2.40862676414438</v>
      </c>
      <c r="AH1962" s="48" t="n">
        <f aca="false">IF($U1962&gt;=5,SUM(INDEX($AD$1932:$AD1962,32-5):$AD1962),"")</f>
        <v>745782606615</v>
      </c>
      <c r="AI1962" s="48" t="n">
        <f aca="false">IF($U1962&gt;=STRUCT_S,MAX(INDEX($G$1812:$G1962,152-STRUCT_S):$G1962),"")</f>
        <v>14483</v>
      </c>
      <c r="AJ1962" s="48" t="n">
        <f aca="false">IF($U1962&gt;=STRUCT_S,MIN(INDEX($H$1812:$H1962,152-STRUCT_S):$H1962),"")</f>
        <v>12238</v>
      </c>
      <c r="AK1962" s="48" t="n">
        <f aca="false">IF($U1962&gt;=STRUCT_L,MAX(INDEX($G$1712:$G1962,252-STRUCT_L):$G1962),"")</f>
        <v>14483</v>
      </c>
      <c r="AL1962" s="48" t="n">
        <f aca="false">IF($U1962&gt;=STRUCT_L,MIN(INDEX($H$1712:$H1962,252-STRUCT_L):$H1962),"")</f>
        <v>11911</v>
      </c>
      <c r="AM1962" s="46" t="n">
        <f aca="false">IF($A1962&lt;&gt;$A1963,1,0)</f>
        <v>0</v>
      </c>
      <c r="AN1962" s="47" t="str">
        <f aca="false">IF($AM1962=1,$A1962,"")</f>
        <v/>
      </c>
    </row>
    <row r="1963" customFormat="false" ht="15" hidden="false" customHeight="false" outlineLevel="0" collapsed="false">
      <c r="A1963" s="43" t="s">
        <v>167</v>
      </c>
      <c r="B1963" s="44" t="s">
        <v>169</v>
      </c>
      <c r="C1963" s="45" t="n">
        <v>46098</v>
      </c>
      <c r="D1963" s="46" t="n">
        <v>20260317</v>
      </c>
      <c r="E1963" s="47" t="s">
        <v>426</v>
      </c>
      <c r="F1963" s="48" t="n">
        <v>13575</v>
      </c>
      <c r="G1963" s="48" t="n">
        <v>14320</v>
      </c>
      <c r="H1963" s="48" t="n">
        <v>13571</v>
      </c>
      <c r="I1963" s="48" t="n">
        <v>13985</v>
      </c>
      <c r="J1963" s="48" t="n">
        <v>13978</v>
      </c>
      <c r="K1963" s="48" t="n">
        <v>13904</v>
      </c>
      <c r="L1963" s="48" t="n">
        <v>122635182</v>
      </c>
      <c r="M1963" s="48" t="n">
        <v>1715053020270</v>
      </c>
      <c r="N1963" s="48" t="n">
        <v>4227</v>
      </c>
      <c r="O1963" s="48" t="n">
        <v>76741729</v>
      </c>
      <c r="P1963" s="48" t="n">
        <v>52987508</v>
      </c>
      <c r="Q1963" s="48" t="n">
        <v>909</v>
      </c>
      <c r="R1963" s="48" t="n">
        <v>2282</v>
      </c>
      <c r="S1963" s="48" t="n">
        <v>45893453</v>
      </c>
      <c r="T1963" s="48" t="n">
        <v>69647674</v>
      </c>
      <c r="U1963" s="46" t="n">
        <f aca="false">IF($A1963=$A1962,$U1962+1,1)</f>
        <v>139</v>
      </c>
      <c r="V1963" s="48" t="n">
        <f aca="false">IF($U1963&gt;=MA_SHORT,AVERAGE(INDEX($I$1563:$I1963,402-MA_SHORT):$I1963),"")</f>
        <v>13404.35</v>
      </c>
      <c r="W1963" s="48" t="n">
        <f aca="false">IF($U1963&gt;=MA_MED,AVERAGE(INDEX($I$1563:$I1963,402-MA_MED):$I1963),"")</f>
        <v>13230.78</v>
      </c>
      <c r="X1963" s="48" t="n">
        <f aca="false">IF($U1963&gt;=MA_LONG1,AVERAGE(INDEX($I$1563:$I1963,402-MA_LONG1):$I1963),"")</f>
        <v>12632.96</v>
      </c>
      <c r="Y1963" s="48" t="str">
        <f aca="false">IF($U1963&gt;=MA_LONG2,AVERAGE(INDEX($I$1563:$I1963,402-MA_LONG2):$I1963),"")</f>
        <v/>
      </c>
      <c r="Z1963" s="48" t="n">
        <f aca="false">IF($U1963&gt;=MA_SHORT,AVERAGE(INDEX($L$1843:$L1963,122-MA_SHORT):$L1963),"")</f>
        <v>111655861.7</v>
      </c>
      <c r="AA1963" s="48" t="n">
        <f aca="false">IF($U1963=1,$G1963-$H1963,MAX($G1963-$H1963,ABS($G1963-$I1962),ABS($H1963-$I1962)))</f>
        <v>749</v>
      </c>
      <c r="AB1963" s="48" t="n">
        <f aca="false">IF($U1963&gt;=ATR_PER,AVERAGE(INDEX($AA$1843:$AA1963,122-ATR_PER):$AA1963),"")</f>
        <v>529</v>
      </c>
      <c r="AC1963" s="48" t="n">
        <f aca="false">$O1963-$P1963</f>
        <v>23754221</v>
      </c>
      <c r="AD1963" s="48" t="n">
        <f aca="false">$AC1963*$I1963</f>
        <v>332202780685</v>
      </c>
      <c r="AE1963" s="49" t="n">
        <f aca="false">IF($Q1963&gt;0,$O1963*$I1963/$Q1963/1000000,"")</f>
        <v>1180.67445551705</v>
      </c>
      <c r="AF1963" s="49" t="n">
        <f aca="false">IF($R1963&gt;0,$P1963*$I1963/$R1963/1000000,"")</f>
        <v>324.728439693252</v>
      </c>
      <c r="AG1963" s="50" t="n">
        <f aca="false">IF(AND(ISNUMBER($AE1963),ISNUMBER($AF1963),$AF1963&gt;0),$AE1963/$AF1963,"")</f>
        <v>3.63588251350067</v>
      </c>
      <c r="AH1963" s="48" t="n">
        <f aca="false">IF($U1963&gt;=5,SUM(INDEX($AD$1933:$AD1963,32-5):$AD1963),"")</f>
        <v>579133986780</v>
      </c>
      <c r="AI1963" s="48" t="n">
        <f aca="false">IF($U1963&gt;=STRUCT_S,MAX(INDEX($G$1813:$G1963,152-STRUCT_S):$G1963),"")</f>
        <v>14483</v>
      </c>
      <c r="AJ1963" s="48" t="n">
        <f aca="false">IF($U1963&gt;=STRUCT_S,MIN(INDEX($H$1813:$H1963,152-STRUCT_S):$H1963),"")</f>
        <v>12238</v>
      </c>
      <c r="AK1963" s="48" t="n">
        <f aca="false">IF($U1963&gt;=STRUCT_L,MAX(INDEX($G$1713:$G1963,252-STRUCT_L):$G1963),"")</f>
        <v>14483</v>
      </c>
      <c r="AL1963" s="48" t="n">
        <f aca="false">IF($U1963&gt;=STRUCT_L,MIN(INDEX($H$1713:$H1963,252-STRUCT_L):$H1963),"")</f>
        <v>12032</v>
      </c>
      <c r="AM1963" s="46" t="n">
        <f aca="false">IF($A1963&lt;&gt;$A1964,1,0)</f>
        <v>0</v>
      </c>
      <c r="AN1963" s="47" t="str">
        <f aca="false">IF($AM1963=1,$A1963,"")</f>
        <v/>
      </c>
    </row>
    <row r="1964" customFormat="false" ht="15" hidden="false" customHeight="false" outlineLevel="0" collapsed="false">
      <c r="A1964" s="43" t="s">
        <v>167</v>
      </c>
      <c r="B1964" s="44" t="s">
        <v>169</v>
      </c>
      <c r="C1964" s="45" t="n">
        <v>46099</v>
      </c>
      <c r="D1964" s="46" t="n">
        <v>20260318</v>
      </c>
      <c r="E1964" s="47" t="s">
        <v>427</v>
      </c>
      <c r="F1964" s="48" t="n">
        <v>14197</v>
      </c>
      <c r="G1964" s="48" t="n">
        <v>14624</v>
      </c>
      <c r="H1964" s="48" t="n">
        <v>13693</v>
      </c>
      <c r="I1964" s="48" t="n">
        <v>14325</v>
      </c>
      <c r="J1964" s="48" t="n">
        <v>14415</v>
      </c>
      <c r="K1964" s="48" t="n">
        <v>13985</v>
      </c>
      <c r="L1964" s="48" t="n">
        <v>91141820</v>
      </c>
      <c r="M1964" s="48" t="n">
        <v>1305606571500</v>
      </c>
      <c r="N1964" s="48" t="n">
        <v>4723</v>
      </c>
      <c r="O1964" s="48" t="n">
        <v>66520224</v>
      </c>
      <c r="P1964" s="48" t="n">
        <v>26154335</v>
      </c>
      <c r="Q1964" s="48" t="n">
        <v>1638</v>
      </c>
      <c r="R1964" s="48" t="n">
        <v>3623</v>
      </c>
      <c r="S1964" s="48" t="n">
        <v>24621596</v>
      </c>
      <c r="T1964" s="48" t="n">
        <v>64987485</v>
      </c>
      <c r="U1964" s="46" t="n">
        <f aca="false">IF($A1964=$A1963,$U1963+1,1)</f>
        <v>140</v>
      </c>
      <c r="V1964" s="48" t="n">
        <f aca="false">IF($U1964&gt;=MA_SHORT,AVERAGE(INDEX($I$1564:$I1964,402-MA_SHORT):$I1964),"")</f>
        <v>13478.6</v>
      </c>
      <c r="W1964" s="48" t="n">
        <f aca="false">IF($U1964&gt;=MA_MED,AVERAGE(INDEX($I$1564:$I1964,402-MA_MED):$I1964),"")</f>
        <v>13260.22</v>
      </c>
      <c r="X1964" s="48" t="n">
        <f aca="false">IF($U1964&gt;=MA_LONG1,AVERAGE(INDEX($I$1564:$I1964,402-MA_LONG1):$I1964),"")</f>
        <v>12657.28</v>
      </c>
      <c r="Y1964" s="48" t="str">
        <f aca="false">IF($U1964&gt;=MA_LONG2,AVERAGE(INDEX($I$1564:$I1964,402-MA_LONG2):$I1964),"")</f>
        <v/>
      </c>
      <c r="Z1964" s="48" t="n">
        <f aca="false">IF($U1964&gt;=MA_SHORT,AVERAGE(INDEX($L$1844:$L1964,122-MA_SHORT):$L1964),"")</f>
        <v>112132366.05</v>
      </c>
      <c r="AA1964" s="48" t="n">
        <f aca="false">IF($U1964=1,$G1964-$H1964,MAX($G1964-$H1964,ABS($G1964-$I1963),ABS($H1964-$I1963)))</f>
        <v>931</v>
      </c>
      <c r="AB1964" s="48" t="n">
        <f aca="false">IF($U1964&gt;=ATR_PER,AVERAGE(INDEX($AA$1844:$AA1964,122-ATR_PER):$AA1964),"")</f>
        <v>563.714285714286</v>
      </c>
      <c r="AC1964" s="48" t="n">
        <f aca="false">$O1964-$P1964</f>
        <v>40365889</v>
      </c>
      <c r="AD1964" s="48" t="n">
        <f aca="false">$AC1964*$I1964</f>
        <v>578241359925</v>
      </c>
      <c r="AE1964" s="49" t="n">
        <f aca="false">IF($Q1964&gt;0,$O1964*$I1964/$Q1964/1000000,"")</f>
        <v>581.74738021978</v>
      </c>
      <c r="AF1964" s="49" t="n">
        <f aca="false">IF($R1964&gt;0,$P1964*$I1964/$R1964/1000000,"")</f>
        <v>103.411771701629</v>
      </c>
      <c r="AG1964" s="50" t="n">
        <f aca="false">IF(AND(ISNUMBER($AE1964),ISNUMBER($AF1964),$AF1964&gt;0),$AE1964/$AF1964,"")</f>
        <v>5.62554311416578</v>
      </c>
      <c r="AH1964" s="48" t="n">
        <f aca="false">IF($U1964&gt;=5,SUM(INDEX($AD$1934:$AD1964,32-5):$AD1964),"")</f>
        <v>1206253906904</v>
      </c>
      <c r="AI1964" s="48" t="n">
        <f aca="false">IF($U1964&gt;=STRUCT_S,MAX(INDEX($G$1814:$G1964,152-STRUCT_S):$G1964),"")</f>
        <v>14624</v>
      </c>
      <c r="AJ1964" s="48" t="n">
        <f aca="false">IF($U1964&gt;=STRUCT_S,MIN(INDEX($H$1814:$H1964,152-STRUCT_S):$H1964),"")</f>
        <v>12238</v>
      </c>
      <c r="AK1964" s="48" t="n">
        <f aca="false">IF($U1964&gt;=STRUCT_L,MAX(INDEX($G$1714:$G1964,252-STRUCT_L):$G1964),"")</f>
        <v>14624</v>
      </c>
      <c r="AL1964" s="48" t="n">
        <f aca="false">IF($U1964&gt;=STRUCT_L,MIN(INDEX($H$1714:$H1964,252-STRUCT_L):$H1964),"")</f>
        <v>12076</v>
      </c>
      <c r="AM1964" s="46" t="n">
        <f aca="false">IF($A1964&lt;&gt;$A1965,1,0)</f>
        <v>0</v>
      </c>
      <c r="AN1964" s="47" t="str">
        <f aca="false">IF($AM1964=1,$A1964,"")</f>
        <v/>
      </c>
    </row>
    <row r="1965" customFormat="false" ht="15" hidden="false" customHeight="false" outlineLevel="0" collapsed="false">
      <c r="A1965" s="43" t="s">
        <v>167</v>
      </c>
      <c r="B1965" s="44" t="s">
        <v>169</v>
      </c>
      <c r="C1965" s="45" t="n">
        <v>46102</v>
      </c>
      <c r="D1965" s="46" t="n">
        <v>20260321</v>
      </c>
      <c r="E1965" s="47" t="s">
        <v>428</v>
      </c>
      <c r="F1965" s="48" t="n">
        <v>13905</v>
      </c>
      <c r="G1965" s="48" t="n">
        <v>14668</v>
      </c>
      <c r="H1965" s="48" t="n">
        <v>13788</v>
      </c>
      <c r="I1965" s="48" t="n">
        <v>14126</v>
      </c>
      <c r="J1965" s="48" t="n">
        <v>14657</v>
      </c>
      <c r="K1965" s="48" t="n">
        <v>14325</v>
      </c>
      <c r="L1965" s="48" t="n">
        <v>86169036</v>
      </c>
      <c r="M1965" s="48" t="n">
        <v>1217223802536</v>
      </c>
      <c r="N1965" s="48" t="n">
        <v>2432</v>
      </c>
      <c r="O1965" s="48" t="n">
        <v>45177761</v>
      </c>
      <c r="P1965" s="48" t="n">
        <v>35266016</v>
      </c>
      <c r="Q1965" s="48" t="n">
        <v>1225</v>
      </c>
      <c r="R1965" s="48" t="n">
        <v>948</v>
      </c>
      <c r="S1965" s="48" t="n">
        <v>40991275</v>
      </c>
      <c r="T1965" s="48" t="n">
        <v>50903020</v>
      </c>
      <c r="U1965" s="46" t="n">
        <f aca="false">IF($A1965=$A1964,$U1964+1,1)</f>
        <v>141</v>
      </c>
      <c r="V1965" s="48" t="n">
        <f aca="false">IF($U1965&gt;=MA_SHORT,AVERAGE(INDEX($I$1565:$I1965,402-MA_SHORT):$I1965),"")</f>
        <v>13537.95</v>
      </c>
      <c r="W1965" s="48" t="n">
        <f aca="false">IF($U1965&gt;=MA_MED,AVERAGE(INDEX($I$1565:$I1965,402-MA_MED):$I1965),"")</f>
        <v>13287.74</v>
      </c>
      <c r="X1965" s="48" t="n">
        <f aca="false">IF($U1965&gt;=MA_LONG1,AVERAGE(INDEX($I$1565:$I1965,402-MA_LONG1):$I1965),"")</f>
        <v>12679.24</v>
      </c>
      <c r="Y1965" s="48" t="str">
        <f aca="false">IF($U1965&gt;=MA_LONG2,AVERAGE(INDEX($I$1565:$I1965,402-MA_LONG2):$I1965),"")</f>
        <v/>
      </c>
      <c r="Z1965" s="48" t="n">
        <f aca="false">IF($U1965&gt;=MA_SHORT,AVERAGE(INDEX($L$1845:$L1965,122-MA_SHORT):$L1965),"")</f>
        <v>112279868.25</v>
      </c>
      <c r="AA1965" s="48" t="n">
        <f aca="false">IF($U1965=1,$G1965-$H1965,MAX($G1965-$H1965,ABS($G1965-$I1964),ABS($H1965-$I1964)))</f>
        <v>880</v>
      </c>
      <c r="AB1965" s="48" t="n">
        <f aca="false">IF($U1965&gt;=ATR_PER,AVERAGE(INDEX($AA$1845:$AA1965,122-ATR_PER):$AA1965),"")</f>
        <v>578.142857142857</v>
      </c>
      <c r="AC1965" s="48" t="n">
        <f aca="false">$O1965-$P1965</f>
        <v>9911745</v>
      </c>
      <c r="AD1965" s="48" t="n">
        <f aca="false">$AC1965*$I1965</f>
        <v>140013309870</v>
      </c>
      <c r="AE1965" s="49" t="n">
        <f aca="false">IF($Q1965&gt;0,$O1965*$I1965/$Q1965/1000000,"")</f>
        <v>520.964123988571</v>
      </c>
      <c r="AF1965" s="49" t="n">
        <f aca="false">IF($R1965&gt;0,$P1965*$I1965/$R1965/1000000,"")</f>
        <v>525.493398751055</v>
      </c>
      <c r="AG1965" s="50" t="n">
        <f aca="false">IF(AND(ISNUMBER($AE1965),ISNUMBER($AF1965),$AF1965&gt;0),$AE1965/$AF1965,"")</f>
        <v>0.991380910258344</v>
      </c>
      <c r="AH1965" s="48" t="n">
        <f aca="false">IF($U1965&gt;=5,SUM(INDEX($AD$1935:$AD1965,32-5):$AD1965),"")</f>
        <v>1536158923428</v>
      </c>
      <c r="AI1965" s="48" t="n">
        <f aca="false">IF($U1965&gt;=STRUCT_S,MAX(INDEX($G$1815:$G1965,152-STRUCT_S):$G1965),"")</f>
        <v>14668</v>
      </c>
      <c r="AJ1965" s="48" t="n">
        <f aca="false">IF($U1965&gt;=STRUCT_S,MIN(INDEX($H$1815:$H1965,152-STRUCT_S):$H1965),"")</f>
        <v>12238</v>
      </c>
      <c r="AK1965" s="48" t="n">
        <f aca="false">IF($U1965&gt;=STRUCT_L,MAX(INDEX($G$1715:$G1965,252-STRUCT_L):$G1965),"")</f>
        <v>14668</v>
      </c>
      <c r="AL1965" s="48" t="n">
        <f aca="false">IF($U1965&gt;=STRUCT_L,MIN(INDEX($H$1715:$H1965,252-STRUCT_L):$H1965),"")</f>
        <v>12082</v>
      </c>
      <c r="AM1965" s="46" t="n">
        <f aca="false">IF($A1965&lt;&gt;$A1966,1,0)</f>
        <v>0</v>
      </c>
      <c r="AN1965" s="47" t="str">
        <f aca="false">IF($AM1965=1,$A1965,"")</f>
        <v/>
      </c>
    </row>
    <row r="1966" customFormat="false" ht="15" hidden="false" customHeight="false" outlineLevel="0" collapsed="false">
      <c r="A1966" s="43" t="s">
        <v>167</v>
      </c>
      <c r="B1966" s="44" t="s">
        <v>169</v>
      </c>
      <c r="C1966" s="45" t="n">
        <v>46103</v>
      </c>
      <c r="D1966" s="46" t="n">
        <v>20260322</v>
      </c>
      <c r="E1966" s="47" t="s">
        <v>429</v>
      </c>
      <c r="F1966" s="48" t="n">
        <v>14096</v>
      </c>
      <c r="G1966" s="48" t="n">
        <v>14380</v>
      </c>
      <c r="H1966" s="48" t="n">
        <v>13842</v>
      </c>
      <c r="I1966" s="48" t="n">
        <v>14096</v>
      </c>
      <c r="J1966" s="48" t="n">
        <v>14293</v>
      </c>
      <c r="K1966" s="48" t="n">
        <v>14126</v>
      </c>
      <c r="L1966" s="48" t="n">
        <v>94768989</v>
      </c>
      <c r="M1966" s="48" t="n">
        <v>1335863668944</v>
      </c>
      <c r="N1966" s="48" t="n">
        <v>2574</v>
      </c>
      <c r="O1966" s="48" t="n">
        <v>53998389</v>
      </c>
      <c r="P1966" s="48" t="n">
        <v>34710716</v>
      </c>
      <c r="Q1966" s="48" t="n">
        <v>1445</v>
      </c>
      <c r="R1966" s="48" t="n">
        <v>613</v>
      </c>
      <c r="S1966" s="48" t="n">
        <v>40770600</v>
      </c>
      <c r="T1966" s="48" t="n">
        <v>60058273</v>
      </c>
      <c r="U1966" s="46" t="n">
        <f aca="false">IF($A1966=$A1965,$U1965+1,1)</f>
        <v>142</v>
      </c>
      <c r="V1966" s="48" t="n">
        <f aca="false">IF($U1966&gt;=MA_SHORT,AVERAGE(INDEX($I$1566:$I1966,402-MA_SHORT):$I1966),"")</f>
        <v>13594</v>
      </c>
      <c r="W1966" s="48" t="n">
        <f aca="false">IF($U1966&gt;=MA_MED,AVERAGE(INDEX($I$1566:$I1966,402-MA_MED):$I1966),"")</f>
        <v>13311.5</v>
      </c>
      <c r="X1966" s="48" t="n">
        <f aca="false">IF($U1966&gt;=MA_LONG1,AVERAGE(INDEX($I$1566:$I1966,402-MA_LONG1):$I1966),"")</f>
        <v>12703.78</v>
      </c>
      <c r="Y1966" s="48" t="str">
        <f aca="false">IF($U1966&gt;=MA_LONG2,AVERAGE(INDEX($I$1566:$I1966,402-MA_LONG2):$I1966),"")</f>
        <v/>
      </c>
      <c r="Z1966" s="48" t="n">
        <f aca="false">IF($U1966&gt;=MA_SHORT,AVERAGE(INDEX($L$1846:$L1966,122-MA_SHORT):$L1966),"")</f>
        <v>111447313.2</v>
      </c>
      <c r="AA1966" s="48" t="n">
        <f aca="false">IF($U1966=1,$G1966-$H1966,MAX($G1966-$H1966,ABS($G1966-$I1965),ABS($H1966-$I1965)))</f>
        <v>538</v>
      </c>
      <c r="AB1966" s="48" t="n">
        <f aca="false">IF($U1966&gt;=ATR_PER,AVERAGE(INDEX($AA$1846:$AA1966,122-ATR_PER):$AA1966),"")</f>
        <v>570.642857142857</v>
      </c>
      <c r="AC1966" s="48" t="n">
        <f aca="false">$O1966-$P1966</f>
        <v>19287673</v>
      </c>
      <c r="AD1966" s="48" t="n">
        <f aca="false">$AC1966*$I1966</f>
        <v>271879038608</v>
      </c>
      <c r="AE1966" s="49" t="n">
        <f aca="false">IF($Q1966&gt;0,$O1966*$I1966/$Q1966/1000000,"")</f>
        <v>526.755218923183</v>
      </c>
      <c r="AF1966" s="49" t="n">
        <f aca="false">IF($R1966&gt;0,$P1966*$I1966/$R1966/1000000,"")</f>
        <v>798.176595001631</v>
      </c>
      <c r="AG1966" s="50" t="n">
        <f aca="false">IF(AND(ISNUMBER($AE1966),ISNUMBER($AF1966),$AF1966&gt;0),$AE1966/$AF1966,"")</f>
        <v>0.659948214745769</v>
      </c>
      <c r="AH1966" s="48" t="n">
        <f aca="false">IF($U1966&gt;=5,SUM(INDEX($AD$1936:$AD1966,32-5):$AD1966),"")</f>
        <v>1309532921168</v>
      </c>
      <c r="AI1966" s="48" t="n">
        <f aca="false">IF($U1966&gt;=STRUCT_S,MAX(INDEX($G$1816:$G1966,152-STRUCT_S):$G1966),"")</f>
        <v>14668</v>
      </c>
      <c r="AJ1966" s="48" t="n">
        <f aca="false">IF($U1966&gt;=STRUCT_S,MIN(INDEX($H$1816:$H1966,152-STRUCT_S):$H1966),"")</f>
        <v>12238</v>
      </c>
      <c r="AK1966" s="48" t="n">
        <f aca="false">IF($U1966&gt;=STRUCT_L,MAX(INDEX($G$1716:$G1966,252-STRUCT_L):$G1966),"")</f>
        <v>14668</v>
      </c>
      <c r="AL1966" s="48" t="n">
        <f aca="false">IF($U1966&gt;=STRUCT_L,MIN(INDEX($H$1716:$H1966,252-STRUCT_L):$H1966),"")</f>
        <v>12238</v>
      </c>
      <c r="AM1966" s="46" t="n">
        <f aca="false">IF($A1966&lt;&gt;$A1967,1,0)</f>
        <v>0</v>
      </c>
      <c r="AN1966" s="47" t="str">
        <f aca="false">IF($AM1966=1,$A1966,"")</f>
        <v/>
      </c>
    </row>
    <row r="1967" customFormat="false" ht="15" hidden="false" customHeight="false" outlineLevel="0" collapsed="false">
      <c r="A1967" s="43" t="s">
        <v>167</v>
      </c>
      <c r="B1967" s="44" t="s">
        <v>169</v>
      </c>
      <c r="C1967" s="45" t="n">
        <v>46104</v>
      </c>
      <c r="D1967" s="46" t="n">
        <v>20260323</v>
      </c>
      <c r="E1967" s="47" t="s">
        <v>430</v>
      </c>
      <c r="F1967" s="48" t="n">
        <v>14126</v>
      </c>
      <c r="G1967" s="48" t="n">
        <v>14166</v>
      </c>
      <c r="H1967" s="48" t="n">
        <v>13919</v>
      </c>
      <c r="I1967" s="48" t="n">
        <v>13988</v>
      </c>
      <c r="J1967" s="48" t="n">
        <v>13974</v>
      </c>
      <c r="K1967" s="48" t="n">
        <v>14096</v>
      </c>
      <c r="L1967" s="48" t="n">
        <v>83195831</v>
      </c>
      <c r="M1967" s="48" t="n">
        <v>1163743284028</v>
      </c>
      <c r="N1967" s="48" t="n">
        <v>2075</v>
      </c>
      <c r="O1967" s="48" t="n">
        <v>42519641</v>
      </c>
      <c r="P1967" s="48" t="n">
        <v>40238369</v>
      </c>
      <c r="Q1967" s="48" t="n">
        <v>881</v>
      </c>
      <c r="R1967" s="48" t="n">
        <v>808</v>
      </c>
      <c r="S1967" s="48" t="n">
        <v>40676190</v>
      </c>
      <c r="T1967" s="48" t="n">
        <v>42957462</v>
      </c>
      <c r="U1967" s="46" t="n">
        <f aca="false">IF($A1967=$A1966,$U1966+1,1)</f>
        <v>143</v>
      </c>
      <c r="V1967" s="48" t="n">
        <f aca="false">IF($U1967&gt;=MA_SHORT,AVERAGE(INDEX($I$1567:$I1967,402-MA_SHORT):$I1967),"")</f>
        <v>13656.05</v>
      </c>
      <c r="W1967" s="48" t="n">
        <f aca="false">IF($U1967&gt;=MA_MED,AVERAGE(INDEX($I$1567:$I1967,402-MA_MED):$I1967),"")</f>
        <v>13327.1</v>
      </c>
      <c r="X1967" s="48" t="n">
        <f aca="false">IF($U1967&gt;=MA_LONG1,AVERAGE(INDEX($I$1567:$I1967,402-MA_LONG1):$I1967),"")</f>
        <v>12726.29</v>
      </c>
      <c r="Y1967" s="48" t="str">
        <f aca="false">IF($U1967&gt;=MA_LONG2,AVERAGE(INDEX($I$1567:$I1967,402-MA_LONG2):$I1967),"")</f>
        <v/>
      </c>
      <c r="Z1967" s="48" t="n">
        <f aca="false">IF($U1967&gt;=MA_SHORT,AVERAGE(INDEX($L$1847:$L1967,122-MA_SHORT):$L1967),"")</f>
        <v>111210830.6</v>
      </c>
      <c r="AA1967" s="48" t="n">
        <f aca="false">IF($U1967=1,$G1967-$H1967,MAX($G1967-$H1967,ABS($G1967-$I1966),ABS($H1967-$I1966)))</f>
        <v>247</v>
      </c>
      <c r="AB1967" s="48" t="n">
        <f aca="false">IF($U1967&gt;=ATR_PER,AVERAGE(INDEX($AA$1847:$AA1967,122-ATR_PER):$AA1967),"")</f>
        <v>569.714285714286</v>
      </c>
      <c r="AC1967" s="48" t="n">
        <f aca="false">$O1967-$P1967</f>
        <v>2281272</v>
      </c>
      <c r="AD1967" s="48" t="n">
        <f aca="false">$AC1967*$I1967</f>
        <v>31910432736</v>
      </c>
      <c r="AE1967" s="49" t="n">
        <f aca="false">IF($Q1967&gt;0,$O1967*$I1967/$Q1967/1000000,"")</f>
        <v>675.101859600454</v>
      </c>
      <c r="AF1967" s="49" t="n">
        <f aca="false">IF($R1967&gt;0,$P1967*$I1967/$R1967/1000000,"")</f>
        <v>696.601863331683</v>
      </c>
      <c r="AG1967" s="50" t="n">
        <f aca="false">IF(AND(ISNUMBER($AE1967),ISNUMBER($AF1967),$AF1967&gt;0),$AE1967/$AF1967,"")</f>
        <v>0.969135879671065</v>
      </c>
      <c r="AH1967" s="48" t="n">
        <f aca="false">IF($U1967&gt;=5,SUM(INDEX($AD$1937:$AD1967,32-5):$AD1967),"")</f>
        <v>1354246921824</v>
      </c>
      <c r="AI1967" s="48" t="n">
        <f aca="false">IF($U1967&gt;=STRUCT_S,MAX(INDEX($G$1817:$G1967,152-STRUCT_S):$G1967),"")</f>
        <v>14668</v>
      </c>
      <c r="AJ1967" s="48" t="n">
        <f aca="false">IF($U1967&gt;=STRUCT_S,MIN(INDEX($H$1817:$H1967,152-STRUCT_S):$H1967),"")</f>
        <v>12238</v>
      </c>
      <c r="AK1967" s="48" t="n">
        <f aca="false">IF($U1967&gt;=STRUCT_L,MAX(INDEX($G$1717:$G1967,252-STRUCT_L):$G1967),"")</f>
        <v>14668</v>
      </c>
      <c r="AL1967" s="48" t="n">
        <f aca="false">IF($U1967&gt;=STRUCT_L,MIN(INDEX($H$1717:$H1967,252-STRUCT_L):$H1967),"")</f>
        <v>12238</v>
      </c>
      <c r="AM1967" s="46" t="n">
        <f aca="false">IF($A1967&lt;&gt;$A1968,1,0)</f>
        <v>0</v>
      </c>
      <c r="AN1967" s="47" t="str">
        <f aca="false">IF($AM1967=1,$A1967,"")</f>
        <v/>
      </c>
    </row>
    <row r="1968" customFormat="false" ht="15" hidden="false" customHeight="false" outlineLevel="0" collapsed="false">
      <c r="A1968" s="43" t="s">
        <v>167</v>
      </c>
      <c r="B1968" s="44" t="s">
        <v>169</v>
      </c>
      <c r="C1968" s="45" t="n">
        <v>46105</v>
      </c>
      <c r="D1968" s="46" t="n">
        <v>20260324</v>
      </c>
      <c r="E1968" s="47" t="s">
        <v>431</v>
      </c>
      <c r="F1968" s="48" t="n">
        <v>14314</v>
      </c>
      <c r="G1968" s="48" t="n">
        <v>14417</v>
      </c>
      <c r="H1968" s="48" t="n">
        <v>13815</v>
      </c>
      <c r="I1968" s="48" t="n">
        <v>14240</v>
      </c>
      <c r="J1968" s="48" t="n">
        <v>14049</v>
      </c>
      <c r="K1968" s="48" t="n">
        <v>13988</v>
      </c>
      <c r="L1968" s="48" t="n">
        <v>88136988</v>
      </c>
      <c r="M1968" s="48" t="n">
        <v>1255070709120</v>
      </c>
      <c r="N1968" s="48" t="n">
        <v>8680</v>
      </c>
      <c r="O1968" s="48" t="n">
        <v>62246168</v>
      </c>
      <c r="P1968" s="48" t="n">
        <v>25987585</v>
      </c>
      <c r="Q1968" s="48" t="n">
        <v>2276</v>
      </c>
      <c r="R1968" s="48" t="n">
        <v>5404</v>
      </c>
      <c r="S1968" s="48" t="n">
        <v>25890820</v>
      </c>
      <c r="T1968" s="48" t="n">
        <v>62149403</v>
      </c>
      <c r="U1968" s="46" t="n">
        <f aca="false">IF($A1968=$A1967,$U1967+1,1)</f>
        <v>144</v>
      </c>
      <c r="V1968" s="48" t="n">
        <f aca="false">IF($U1968&gt;=MA_SHORT,AVERAGE(INDEX($I$1568:$I1968,402-MA_SHORT):$I1968),"")</f>
        <v>13749.7</v>
      </c>
      <c r="W1968" s="48" t="n">
        <f aca="false">IF($U1968&gt;=MA_MED,AVERAGE(INDEX($I$1568:$I1968,402-MA_MED):$I1968),"")</f>
        <v>13347.5</v>
      </c>
      <c r="X1968" s="48" t="n">
        <f aca="false">IF($U1968&gt;=MA_LONG1,AVERAGE(INDEX($I$1568:$I1968,402-MA_LONG1):$I1968),"")</f>
        <v>12754.34</v>
      </c>
      <c r="Y1968" s="48" t="str">
        <f aca="false">IF($U1968&gt;=MA_LONG2,AVERAGE(INDEX($I$1568:$I1968,402-MA_LONG2):$I1968),"")</f>
        <v/>
      </c>
      <c r="Z1968" s="48" t="n">
        <f aca="false">IF($U1968&gt;=MA_SHORT,AVERAGE(INDEX($L$1848:$L1968,122-MA_SHORT):$L1968),"")</f>
        <v>109560948.1</v>
      </c>
      <c r="AA1968" s="48" t="n">
        <f aca="false">IF($U1968=1,$G1968-$H1968,MAX($G1968-$H1968,ABS($G1968-$I1967),ABS($H1968-$I1967)))</f>
        <v>602</v>
      </c>
      <c r="AB1968" s="48" t="n">
        <f aca="false">IF($U1968&gt;=ATR_PER,AVERAGE(INDEX($AA$1848:$AA1968,122-ATR_PER):$AA1968),"")</f>
        <v>566.142857142857</v>
      </c>
      <c r="AC1968" s="48" t="n">
        <f aca="false">$O1968-$P1968</f>
        <v>36258583</v>
      </c>
      <c r="AD1968" s="48" t="n">
        <f aca="false">$AC1968*$I1968</f>
        <v>516322221920</v>
      </c>
      <c r="AE1968" s="49" t="n">
        <f aca="false">IF($Q1968&gt;0,$O1968*$I1968/$Q1968/1000000,"")</f>
        <v>389.448783971881</v>
      </c>
      <c r="AF1968" s="49" t="n">
        <f aca="false">IF($R1968&gt;0,$P1968*$I1968/$R1968/1000000,"")</f>
        <v>68.4794985936344</v>
      </c>
      <c r="AG1968" s="50" t="n">
        <f aca="false">IF(AND(ISNUMBER($AE1968),ISNUMBER($AF1968),$AF1968&gt;0),$AE1968/$AF1968,"")</f>
        <v>5.68708579896177</v>
      </c>
      <c r="AH1968" s="48" t="n">
        <f aca="false">IF($U1968&gt;=5,SUM(INDEX($AD$1938:$AD1968,32-5):$AD1968),"")</f>
        <v>1538366363059</v>
      </c>
      <c r="AI1968" s="48" t="n">
        <f aca="false">IF($U1968&gt;=STRUCT_S,MAX(INDEX($G$1818:$G1968,152-STRUCT_S):$G1968),"")</f>
        <v>14668</v>
      </c>
      <c r="AJ1968" s="48" t="n">
        <f aca="false">IF($U1968&gt;=STRUCT_S,MIN(INDEX($H$1818:$H1968,152-STRUCT_S):$H1968),"")</f>
        <v>12238</v>
      </c>
      <c r="AK1968" s="48" t="n">
        <f aca="false">IF($U1968&gt;=STRUCT_L,MAX(INDEX($G$1718:$G1968,252-STRUCT_L):$G1968),"")</f>
        <v>14668</v>
      </c>
      <c r="AL1968" s="48" t="n">
        <f aca="false">IF($U1968&gt;=STRUCT_L,MIN(INDEX($H$1718:$H1968,252-STRUCT_L):$H1968),"")</f>
        <v>12238</v>
      </c>
      <c r="AM1968" s="46" t="n">
        <f aca="false">IF($A1968&lt;&gt;$A1969,1,0)</f>
        <v>0</v>
      </c>
      <c r="AN1968" s="47" t="str">
        <f aca="false">IF($AM1968=1,$A1968,"")</f>
        <v/>
      </c>
    </row>
    <row r="1969" customFormat="false" ht="15" hidden="false" customHeight="false" outlineLevel="0" collapsed="false">
      <c r="A1969" s="43" t="s">
        <v>167</v>
      </c>
      <c r="B1969" s="44" t="s">
        <v>169</v>
      </c>
      <c r="C1969" s="45" t="n">
        <v>46106</v>
      </c>
      <c r="D1969" s="46" t="n">
        <v>20260325</v>
      </c>
      <c r="E1969" s="47" t="s">
        <v>432</v>
      </c>
      <c r="F1969" s="48" t="n">
        <v>14011</v>
      </c>
      <c r="G1969" s="48" t="n">
        <v>14703</v>
      </c>
      <c r="H1969" s="48" t="n">
        <v>13971</v>
      </c>
      <c r="I1969" s="48" t="n">
        <v>14430</v>
      </c>
      <c r="J1969" s="48" t="n">
        <v>14263</v>
      </c>
      <c r="K1969" s="48" t="n">
        <v>14240</v>
      </c>
      <c r="L1969" s="48" t="n">
        <v>85906985</v>
      </c>
      <c r="M1969" s="48" t="n">
        <v>1239637793550</v>
      </c>
      <c r="N1969" s="48" t="n">
        <v>2673</v>
      </c>
      <c r="O1969" s="48" t="n">
        <v>55263607</v>
      </c>
      <c r="P1969" s="48" t="n">
        <v>29320863</v>
      </c>
      <c r="Q1969" s="48" t="n">
        <v>854</v>
      </c>
      <c r="R1969" s="48" t="n">
        <v>1706</v>
      </c>
      <c r="S1969" s="48" t="n">
        <v>30643378</v>
      </c>
      <c r="T1969" s="48" t="n">
        <v>56586122</v>
      </c>
      <c r="U1969" s="46" t="n">
        <f aca="false">IF($A1969=$A1968,$U1968+1,1)</f>
        <v>145</v>
      </c>
      <c r="V1969" s="48" t="n">
        <f aca="false">IF($U1969&gt;=MA_SHORT,AVERAGE(INDEX($I$1569:$I1969,402-MA_SHORT):$I1969),"")</f>
        <v>13853.95</v>
      </c>
      <c r="W1969" s="48" t="n">
        <f aca="false">IF($U1969&gt;=MA_MED,AVERAGE(INDEX($I$1569:$I1969,402-MA_MED):$I1969),"")</f>
        <v>13374.02</v>
      </c>
      <c r="X1969" s="48" t="n">
        <f aca="false">IF($U1969&gt;=MA_LONG1,AVERAGE(INDEX($I$1569:$I1969,402-MA_LONG1):$I1969),"")</f>
        <v>12786.21</v>
      </c>
      <c r="Y1969" s="48" t="str">
        <f aca="false">IF($U1969&gt;=MA_LONG2,AVERAGE(INDEX($I$1569:$I1969,402-MA_LONG2):$I1969),"")</f>
        <v/>
      </c>
      <c r="Z1969" s="48" t="n">
        <f aca="false">IF($U1969&gt;=MA_SHORT,AVERAGE(INDEX($L$1849:$L1969,122-MA_SHORT):$L1969),"")</f>
        <v>102672915.75</v>
      </c>
      <c r="AA1969" s="48" t="n">
        <f aca="false">IF($U1969=1,$G1969-$H1969,MAX($G1969-$H1969,ABS($G1969-$I1968),ABS($H1969-$I1968)))</f>
        <v>732</v>
      </c>
      <c r="AB1969" s="48" t="n">
        <f aca="false">IF($U1969&gt;=ATR_PER,AVERAGE(INDEX($AA$1849:$AA1969,122-ATR_PER):$AA1969),"")</f>
        <v>599.428571428571</v>
      </c>
      <c r="AC1969" s="48" t="n">
        <f aca="false">$O1969-$P1969</f>
        <v>25942744</v>
      </c>
      <c r="AD1969" s="48" t="n">
        <f aca="false">$AC1969*$I1969</f>
        <v>374353795920</v>
      </c>
      <c r="AE1969" s="49" t="n">
        <f aca="false">IF($Q1969&gt;0,$O1969*$I1969/$Q1969/1000000,"")</f>
        <v>933.786708442623</v>
      </c>
      <c r="AF1969" s="49" t="n">
        <f aca="false">IF($R1969&gt;0,$P1969*$I1969/$R1969/1000000,"")</f>
        <v>248.007065117233</v>
      </c>
      <c r="AG1969" s="50" t="n">
        <f aca="false">IF(AND(ISNUMBER($AE1969),ISNUMBER($AF1969),$AF1969&gt;0),$AE1969/$AF1969,"")</f>
        <v>3.76516172231311</v>
      </c>
      <c r="AH1969" s="48" t="n">
        <f aca="false">IF($U1969&gt;=5,SUM(INDEX($AD$1939:$AD1969,32-5):$AD1969),"")</f>
        <v>1334478799054</v>
      </c>
      <c r="AI1969" s="48" t="n">
        <f aca="false">IF($U1969&gt;=STRUCT_S,MAX(INDEX($G$1819:$G1969,152-STRUCT_S):$G1969),"")</f>
        <v>14703</v>
      </c>
      <c r="AJ1969" s="48" t="n">
        <f aca="false">IF($U1969&gt;=STRUCT_S,MIN(INDEX($H$1819:$H1969,152-STRUCT_S):$H1969),"")</f>
        <v>12282</v>
      </c>
      <c r="AK1969" s="48" t="n">
        <f aca="false">IF($U1969&gt;=STRUCT_L,MAX(INDEX($G$1719:$G1969,252-STRUCT_L):$G1969),"")</f>
        <v>14703</v>
      </c>
      <c r="AL1969" s="48" t="n">
        <f aca="false">IF($U1969&gt;=STRUCT_L,MIN(INDEX($H$1719:$H1969,252-STRUCT_L):$H1969),"")</f>
        <v>12238</v>
      </c>
      <c r="AM1969" s="46" t="n">
        <f aca="false">IF($A1969&lt;&gt;$A1970,1,0)</f>
        <v>0</v>
      </c>
      <c r="AN1969" s="47" t="str">
        <f aca="false">IF($AM1969=1,$A1969,"")</f>
        <v/>
      </c>
    </row>
    <row r="1970" customFormat="false" ht="15" hidden="false" customHeight="false" outlineLevel="0" collapsed="false">
      <c r="A1970" s="43" t="s">
        <v>167</v>
      </c>
      <c r="B1970" s="44" t="s">
        <v>169</v>
      </c>
      <c r="C1970" s="45" t="n">
        <v>46109</v>
      </c>
      <c r="D1970" s="46" t="n">
        <v>20260328</v>
      </c>
      <c r="E1970" s="47" t="s">
        <v>433</v>
      </c>
      <c r="F1970" s="48" t="n">
        <v>14425</v>
      </c>
      <c r="G1970" s="48" t="n">
        <v>14837</v>
      </c>
      <c r="H1970" s="48" t="n">
        <v>14327</v>
      </c>
      <c r="I1970" s="48" t="n">
        <v>14732</v>
      </c>
      <c r="J1970" s="48" t="n">
        <v>14610</v>
      </c>
      <c r="K1970" s="48" t="n">
        <v>14430</v>
      </c>
      <c r="L1970" s="48" t="n">
        <v>129983728</v>
      </c>
      <c r="M1970" s="48" t="n">
        <v>1914920280896</v>
      </c>
      <c r="N1970" s="48" t="n">
        <v>6341</v>
      </c>
      <c r="O1970" s="48" t="n">
        <v>84149976</v>
      </c>
      <c r="P1970" s="48" t="n">
        <v>45608127</v>
      </c>
      <c r="Q1970" s="48" t="n">
        <v>2034</v>
      </c>
      <c r="R1970" s="48" t="n">
        <v>3825</v>
      </c>
      <c r="S1970" s="48" t="n">
        <v>45833752</v>
      </c>
      <c r="T1970" s="48" t="n">
        <v>84375601</v>
      </c>
      <c r="U1970" s="46" t="n">
        <f aca="false">IF($A1970=$A1969,$U1969+1,1)</f>
        <v>146</v>
      </c>
      <c r="V1970" s="48" t="n">
        <f aca="false">IF($U1970&gt;=MA_SHORT,AVERAGE(INDEX($I$1570:$I1970,402-MA_SHORT):$I1970),"")</f>
        <v>13957.4</v>
      </c>
      <c r="W1970" s="48" t="n">
        <f aca="false">IF($U1970&gt;=MA_MED,AVERAGE(INDEX($I$1570:$I1970,402-MA_MED):$I1970),"")</f>
        <v>13405.32</v>
      </c>
      <c r="X1970" s="48" t="n">
        <f aca="false">IF($U1970&gt;=MA_LONG1,AVERAGE(INDEX($I$1570:$I1970,402-MA_LONG1):$I1970),"")</f>
        <v>12824.26</v>
      </c>
      <c r="Y1970" s="48" t="str">
        <f aca="false">IF($U1970&gt;=MA_LONG2,AVERAGE(INDEX($I$1570:$I1970,402-MA_LONG2):$I1970),"")</f>
        <v/>
      </c>
      <c r="Z1970" s="48" t="n">
        <f aca="false">IF($U1970&gt;=MA_SHORT,AVERAGE(INDEX($L$1850:$L1970,122-MA_SHORT):$L1970),"")</f>
        <v>103158991.3</v>
      </c>
      <c r="AA1970" s="48" t="n">
        <f aca="false">IF($U1970=1,$G1970-$H1970,MAX($G1970-$H1970,ABS($G1970-$I1969),ABS($H1970-$I1969)))</f>
        <v>510</v>
      </c>
      <c r="AB1970" s="48" t="n">
        <f aca="false">IF($U1970&gt;=ATR_PER,AVERAGE(INDEX($AA$1850:$AA1970,122-ATR_PER):$AA1970),"")</f>
        <v>591.071428571429</v>
      </c>
      <c r="AC1970" s="48" t="n">
        <f aca="false">$O1970-$P1970</f>
        <v>38541849</v>
      </c>
      <c r="AD1970" s="48" t="n">
        <f aca="false">$AC1970*$I1970</f>
        <v>567798519468</v>
      </c>
      <c r="AE1970" s="49" t="n">
        <f aca="false">IF($Q1970&gt;0,$O1970*$I1970/$Q1970/1000000,"")</f>
        <v>609.487436790561</v>
      </c>
      <c r="AF1970" s="49" t="n">
        <f aca="false">IF($R1970&gt;0,$P1970*$I1970/$R1970/1000000,"")</f>
        <v>175.659850186667</v>
      </c>
      <c r="AG1970" s="50" t="n">
        <f aca="false">IF(AND(ISNUMBER($AE1970),ISNUMBER($AF1970),$AF1970&gt;0),$AE1970/$AF1970,"")</f>
        <v>3.46970258794416</v>
      </c>
      <c r="AH1970" s="48" t="n">
        <f aca="false">IF($U1970&gt;=5,SUM(INDEX($AD$1940:$AD1970,32-5):$AD1970),"")</f>
        <v>1762264008652</v>
      </c>
      <c r="AI1970" s="48" t="n">
        <f aca="false">IF($U1970&gt;=STRUCT_S,MAX(INDEX($G$1820:$G1970,152-STRUCT_S):$G1970),"")</f>
        <v>14837</v>
      </c>
      <c r="AJ1970" s="48" t="n">
        <f aca="false">IF($U1970&gt;=STRUCT_S,MIN(INDEX($H$1820:$H1970,152-STRUCT_S):$H1970),"")</f>
        <v>12477</v>
      </c>
      <c r="AK1970" s="48" t="n">
        <f aca="false">IF($U1970&gt;=STRUCT_L,MAX(INDEX($G$1720:$G1970,252-STRUCT_L):$G1970),"")</f>
        <v>14837</v>
      </c>
      <c r="AL1970" s="48" t="n">
        <f aca="false">IF($U1970&gt;=STRUCT_L,MIN(INDEX($H$1720:$H1970,252-STRUCT_L):$H1970),"")</f>
        <v>12238</v>
      </c>
      <c r="AM1970" s="46" t="n">
        <f aca="false">IF($A1970&lt;&gt;$A1971,1,0)</f>
        <v>0</v>
      </c>
      <c r="AN1970" s="47" t="str">
        <f aca="false">IF($AM1970=1,$A1970,"")</f>
        <v/>
      </c>
    </row>
    <row r="1971" customFormat="false" ht="15" hidden="false" customHeight="false" outlineLevel="0" collapsed="false">
      <c r="A1971" s="43" t="s">
        <v>167</v>
      </c>
      <c r="B1971" s="44" t="s">
        <v>169</v>
      </c>
      <c r="C1971" s="45" t="n">
        <v>46110</v>
      </c>
      <c r="D1971" s="46" t="n">
        <v>20260329</v>
      </c>
      <c r="E1971" s="47" t="s">
        <v>434</v>
      </c>
      <c r="F1971" s="48" t="n">
        <v>14717</v>
      </c>
      <c r="G1971" s="48" t="n">
        <v>14816</v>
      </c>
      <c r="H1971" s="48" t="n">
        <v>14576</v>
      </c>
      <c r="I1971" s="48" t="n">
        <v>14660</v>
      </c>
      <c r="J1971" s="48" t="n">
        <v>14625</v>
      </c>
      <c r="K1971" s="48" t="n">
        <v>14732</v>
      </c>
      <c r="L1971" s="48" t="n">
        <v>81871773</v>
      </c>
      <c r="M1971" s="48" t="n">
        <v>1200240192180</v>
      </c>
      <c r="N1971" s="48" t="n">
        <v>3707</v>
      </c>
      <c r="O1971" s="48" t="n">
        <v>44644812</v>
      </c>
      <c r="P1971" s="48" t="n">
        <v>35381552</v>
      </c>
      <c r="Q1971" s="48" t="n">
        <v>1664</v>
      </c>
      <c r="R1971" s="48" t="n">
        <v>1382</v>
      </c>
      <c r="S1971" s="48" t="n">
        <v>37226961</v>
      </c>
      <c r="T1971" s="48" t="n">
        <v>46490221</v>
      </c>
      <c r="U1971" s="46" t="n">
        <f aca="false">IF($A1971=$A1970,$U1970+1,1)</f>
        <v>147</v>
      </c>
      <c r="V1971" s="48" t="n">
        <f aca="false">IF($U1971&gt;=MA_SHORT,AVERAGE(INDEX($I$1571:$I1971,402-MA_SHORT):$I1971),"")</f>
        <v>14042.2</v>
      </c>
      <c r="W1971" s="48" t="n">
        <f aca="false">IF($U1971&gt;=MA_MED,AVERAGE(INDEX($I$1571:$I1971,402-MA_MED):$I1971),"")</f>
        <v>13431.62</v>
      </c>
      <c r="X1971" s="48" t="n">
        <f aca="false">IF($U1971&gt;=MA_LONG1,AVERAGE(INDEX($I$1571:$I1971,402-MA_LONG1):$I1971),"")</f>
        <v>12862.31</v>
      </c>
      <c r="Y1971" s="48" t="str">
        <f aca="false">IF($U1971&gt;=MA_LONG2,AVERAGE(INDEX($I$1571:$I1971,402-MA_LONG2):$I1971),"")</f>
        <v/>
      </c>
      <c r="Z1971" s="48" t="n">
        <f aca="false">IF($U1971&gt;=MA_SHORT,AVERAGE(INDEX($L$1851:$L1971,122-MA_SHORT):$L1971),"")</f>
        <v>102671017.05</v>
      </c>
      <c r="AA1971" s="48" t="n">
        <f aca="false">IF($U1971=1,$G1971-$H1971,MAX($G1971-$H1971,ABS($G1971-$I1970),ABS($H1971-$I1970)))</f>
        <v>240</v>
      </c>
      <c r="AB1971" s="48" t="n">
        <f aca="false">IF($U1971&gt;=ATR_PER,AVERAGE(INDEX($AA$1851:$AA1971,122-ATR_PER):$AA1971),"")</f>
        <v>594.5</v>
      </c>
      <c r="AC1971" s="48" t="n">
        <f aca="false">$O1971-$P1971</f>
        <v>9263260</v>
      </c>
      <c r="AD1971" s="48" t="n">
        <f aca="false">$AC1971*$I1971</f>
        <v>135799391600</v>
      </c>
      <c r="AE1971" s="49" t="n">
        <f aca="false">IF($Q1971&gt;0,$O1971*$I1971/$Q1971/1000000,"")</f>
        <v>393.325086490385</v>
      </c>
      <c r="AF1971" s="49" t="n">
        <f aca="false">IF($R1971&gt;0,$P1971*$I1971/$R1971/1000000,"")</f>
        <v>375.320949580318</v>
      </c>
      <c r="AG1971" s="50" t="n">
        <f aca="false">IF(AND(ISNUMBER($AE1971),ISNUMBER($AF1971),$AF1971&gt;0),$AE1971/$AF1971,"")</f>
        <v>1.04796997591048</v>
      </c>
      <c r="AH1971" s="48" t="n">
        <f aca="false">IF($U1971&gt;=5,SUM(INDEX($AD$1941:$AD1971,32-5):$AD1971),"")</f>
        <v>1626184361644</v>
      </c>
      <c r="AI1971" s="48" t="n">
        <f aca="false">IF($U1971&gt;=STRUCT_S,MAX(INDEX($G$1821:$G1971,152-STRUCT_S):$G1971),"")</f>
        <v>14837</v>
      </c>
      <c r="AJ1971" s="48" t="n">
        <f aca="false">IF($U1971&gt;=STRUCT_S,MIN(INDEX($H$1821:$H1971,152-STRUCT_S):$H1971),"")</f>
        <v>12779</v>
      </c>
      <c r="AK1971" s="48" t="n">
        <f aca="false">IF($U1971&gt;=STRUCT_L,MAX(INDEX($G$1721:$G1971,252-STRUCT_L):$G1971),"")</f>
        <v>14837</v>
      </c>
      <c r="AL1971" s="48" t="n">
        <f aca="false">IF($U1971&gt;=STRUCT_L,MIN(INDEX($H$1721:$H1971,252-STRUCT_L):$H1971),"")</f>
        <v>12238</v>
      </c>
      <c r="AM1971" s="46" t="n">
        <f aca="false">IF($A1971&lt;&gt;$A1972,1,0)</f>
        <v>0</v>
      </c>
      <c r="AN1971" s="47" t="str">
        <f aca="false">IF($AM1971=1,$A1971,"")</f>
        <v/>
      </c>
    </row>
    <row r="1972" customFormat="false" ht="15" hidden="false" customHeight="false" outlineLevel="0" collapsed="false">
      <c r="A1972" s="43" t="s">
        <v>167</v>
      </c>
      <c r="B1972" s="44" t="s">
        <v>169</v>
      </c>
      <c r="C1972" s="45" t="n">
        <v>46111</v>
      </c>
      <c r="D1972" s="46" t="n">
        <v>20260330</v>
      </c>
      <c r="E1972" s="47" t="s">
        <v>435</v>
      </c>
      <c r="F1972" s="48" t="n">
        <v>14782</v>
      </c>
      <c r="G1972" s="48" t="n">
        <v>14853</v>
      </c>
      <c r="H1972" s="48" t="n">
        <v>14393</v>
      </c>
      <c r="I1972" s="48" t="n">
        <v>14585</v>
      </c>
      <c r="J1972" s="48" t="n">
        <v>14765</v>
      </c>
      <c r="K1972" s="48" t="n">
        <v>14660</v>
      </c>
      <c r="L1972" s="48" t="n">
        <v>81980889</v>
      </c>
      <c r="M1972" s="48" t="n">
        <v>1195691266065</v>
      </c>
      <c r="N1972" s="48" t="n">
        <v>4309</v>
      </c>
      <c r="O1972" s="48" t="n">
        <v>44657433</v>
      </c>
      <c r="P1972" s="48" t="n">
        <v>39631693</v>
      </c>
      <c r="Q1972" s="48" t="n">
        <v>2254</v>
      </c>
      <c r="R1972" s="48" t="n">
        <v>1127</v>
      </c>
      <c r="S1972" s="48" t="n">
        <v>37323456</v>
      </c>
      <c r="T1972" s="48" t="n">
        <v>42349196</v>
      </c>
      <c r="U1972" s="46" t="n">
        <f aca="false">IF($A1972=$A1971,$U1971+1,1)</f>
        <v>148</v>
      </c>
      <c r="V1972" s="48" t="n">
        <f aca="false">IF($U1972&gt;=MA_SHORT,AVERAGE(INDEX($I$1572:$I1972,402-MA_SHORT):$I1972),"")</f>
        <v>14109.8</v>
      </c>
      <c r="W1972" s="48" t="n">
        <f aca="false">IF($U1972&gt;=MA_MED,AVERAGE(INDEX($I$1572:$I1972,402-MA_MED):$I1972),"")</f>
        <v>13453.46</v>
      </c>
      <c r="X1972" s="48" t="n">
        <f aca="false">IF($U1972&gt;=MA_LONG1,AVERAGE(INDEX($I$1572:$I1972,402-MA_LONG1):$I1972),"")</f>
        <v>12898.79</v>
      </c>
      <c r="Y1972" s="48" t="str">
        <f aca="false">IF($U1972&gt;=MA_LONG2,AVERAGE(INDEX($I$1572:$I1972,402-MA_LONG2):$I1972),"")</f>
        <v/>
      </c>
      <c r="Z1972" s="48" t="n">
        <f aca="false">IF($U1972&gt;=MA_SHORT,AVERAGE(INDEX($L$1852:$L1972,122-MA_SHORT):$L1972),"")</f>
        <v>99634488.6</v>
      </c>
      <c r="AA1972" s="48" t="n">
        <f aca="false">IF($U1972=1,$G1972-$H1972,MAX($G1972-$H1972,ABS($G1972-$I1971),ABS($H1972-$I1971)))</f>
        <v>460</v>
      </c>
      <c r="AB1972" s="48" t="n">
        <f aca="false">IF($U1972&gt;=ATR_PER,AVERAGE(INDEX($AA$1852:$AA1972,122-ATR_PER):$AA1972),"")</f>
        <v>592.714285714286</v>
      </c>
      <c r="AC1972" s="48" t="n">
        <f aca="false">$O1972-$P1972</f>
        <v>5025740</v>
      </c>
      <c r="AD1972" s="48" t="n">
        <f aca="false">$AC1972*$I1972</f>
        <v>73300417900</v>
      </c>
      <c r="AE1972" s="49" t="n">
        <f aca="false">IF($Q1972&gt;0,$O1972*$I1972/$Q1972/1000000,"")</f>
        <v>288.965687801686</v>
      </c>
      <c r="AF1972" s="49" t="n">
        <f aca="false">IF($R1972&gt;0,$P1972*$I1972/$R1972/1000000,"")</f>
        <v>512.891075780834</v>
      </c>
      <c r="AG1972" s="50" t="n">
        <f aca="false">IF(AND(ISNUMBER($AE1972),ISNUMBER($AF1972),$AF1972&gt;0),$AE1972/$AF1972,"")</f>
        <v>0.563405567862064</v>
      </c>
      <c r="AH1972" s="48" t="n">
        <f aca="false">IF($U1972&gt;=5,SUM(INDEX($AD$1942:$AD1972,32-5):$AD1972),"")</f>
        <v>1667574346808</v>
      </c>
      <c r="AI1972" s="48" t="n">
        <f aca="false">IF($U1972&gt;=STRUCT_S,MAX(INDEX($G$1822:$G1972,152-STRUCT_S):$G1972),"")</f>
        <v>14853</v>
      </c>
      <c r="AJ1972" s="48" t="n">
        <f aca="false">IF($U1972&gt;=STRUCT_S,MIN(INDEX($H$1822:$H1972,152-STRUCT_S):$H1972),"")</f>
        <v>13160</v>
      </c>
      <c r="AK1972" s="48" t="n">
        <f aca="false">IF($U1972&gt;=STRUCT_L,MAX(INDEX($G$1722:$G1972,252-STRUCT_L):$G1972),"")</f>
        <v>14853</v>
      </c>
      <c r="AL1972" s="48" t="n">
        <f aca="false">IF($U1972&gt;=STRUCT_L,MIN(INDEX($H$1722:$H1972,252-STRUCT_L):$H1972),"")</f>
        <v>12238</v>
      </c>
      <c r="AM1972" s="46" t="n">
        <f aca="false">IF($A1972&lt;&gt;$A1973,1,0)</f>
        <v>0</v>
      </c>
      <c r="AN1972" s="47" t="str">
        <f aca="false">IF($AM1972=1,$A1972,"")</f>
        <v/>
      </c>
    </row>
    <row r="1973" customFormat="false" ht="15" hidden="false" customHeight="false" outlineLevel="0" collapsed="false">
      <c r="A1973" s="43" t="s">
        <v>167</v>
      </c>
      <c r="B1973" s="44" t="s">
        <v>169</v>
      </c>
      <c r="C1973" s="45" t="n">
        <v>46112</v>
      </c>
      <c r="D1973" s="46" t="n">
        <v>20260331</v>
      </c>
      <c r="E1973" s="47" t="s">
        <v>436</v>
      </c>
      <c r="F1973" s="48" t="n">
        <v>14615</v>
      </c>
      <c r="G1973" s="48" t="n">
        <v>14627</v>
      </c>
      <c r="H1973" s="48" t="n">
        <v>14462</v>
      </c>
      <c r="I1973" s="48" t="n">
        <v>14504</v>
      </c>
      <c r="J1973" s="48" t="n">
        <v>14505</v>
      </c>
      <c r="K1973" s="48" t="n">
        <v>14585</v>
      </c>
      <c r="L1973" s="48" t="n">
        <v>82189770</v>
      </c>
      <c r="M1973" s="48" t="n">
        <v>1192080424080</v>
      </c>
      <c r="N1973" s="48" t="n">
        <v>4130</v>
      </c>
      <c r="O1973" s="48" t="n">
        <v>47551902</v>
      </c>
      <c r="P1973" s="48" t="n">
        <v>36658252</v>
      </c>
      <c r="Q1973" s="48" t="n">
        <v>2540</v>
      </c>
      <c r="R1973" s="48" t="n">
        <v>1365</v>
      </c>
      <c r="S1973" s="48" t="n">
        <v>34637868</v>
      </c>
      <c r="T1973" s="48" t="n">
        <v>45531518</v>
      </c>
      <c r="U1973" s="46" t="n">
        <f aca="false">IF($A1973=$A1972,$U1972+1,1)</f>
        <v>149</v>
      </c>
      <c r="V1973" s="48" t="n">
        <f aca="false">IF($U1973&gt;=MA_SHORT,AVERAGE(INDEX($I$1573:$I1973,402-MA_SHORT):$I1973),"")</f>
        <v>14167.65</v>
      </c>
      <c r="W1973" s="48" t="n">
        <f aca="false">IF($U1973&gt;=MA_MED,AVERAGE(INDEX($I$1573:$I1973,402-MA_MED):$I1973),"")</f>
        <v>13472.18</v>
      </c>
      <c r="X1973" s="48" t="n">
        <f aca="false">IF($U1973&gt;=MA_LONG1,AVERAGE(INDEX($I$1573:$I1973,402-MA_LONG1):$I1973),"")</f>
        <v>12932.68</v>
      </c>
      <c r="Y1973" s="48" t="str">
        <f aca="false">IF($U1973&gt;=MA_LONG2,AVERAGE(INDEX($I$1573:$I1973,402-MA_LONG2):$I1973),"")</f>
        <v/>
      </c>
      <c r="Z1973" s="48" t="n">
        <f aca="false">IF($U1973&gt;=MA_SHORT,AVERAGE(INDEX($L$1853:$L1973,122-MA_SHORT):$L1973),"")</f>
        <v>99169174.15</v>
      </c>
      <c r="AA1973" s="48" t="n">
        <f aca="false">IF($U1973=1,$G1973-$H1973,MAX($G1973-$H1973,ABS($G1973-$I1972),ABS($H1973-$I1972)))</f>
        <v>165</v>
      </c>
      <c r="AB1973" s="48" t="n">
        <f aca="false">IF($U1973&gt;=ATR_PER,AVERAGE(INDEX($AA$1853:$AA1973,122-ATR_PER):$AA1973),"")</f>
        <v>572.928571428571</v>
      </c>
      <c r="AC1973" s="48" t="n">
        <f aca="false">$O1973-$P1973</f>
        <v>10893650</v>
      </c>
      <c r="AD1973" s="48" t="n">
        <f aca="false">$AC1973*$I1973</f>
        <v>158001499600</v>
      </c>
      <c r="AE1973" s="49" t="n">
        <f aca="false">IF($Q1973&gt;0,$O1973*$I1973/$Q1973/1000000,"")</f>
        <v>271.532593152756</v>
      </c>
      <c r="AF1973" s="49" t="n">
        <f aca="false">IF($R1973&gt;0,$P1973*$I1973/$R1973/1000000,"")</f>
        <v>389.517426379487</v>
      </c>
      <c r="AG1973" s="50" t="n">
        <f aca="false">IF(AND(ISNUMBER($AE1973),ISNUMBER($AF1973),$AF1973&gt;0),$AE1973/$AF1973,"")</f>
        <v>0.697099987737687</v>
      </c>
      <c r="AH1973" s="48" t="n">
        <f aca="false">IF($U1973&gt;=5,SUM(INDEX($AD$1943:$AD1973,32-5):$AD1973),"")</f>
        <v>1309253624488</v>
      </c>
      <c r="AI1973" s="48" t="n">
        <f aca="false">IF($U1973&gt;=STRUCT_S,MAX(INDEX($G$1823:$G1973,152-STRUCT_S):$G1973),"")</f>
        <v>14853</v>
      </c>
      <c r="AJ1973" s="48" t="n">
        <f aca="false">IF($U1973&gt;=STRUCT_S,MIN(INDEX($H$1823:$H1973,152-STRUCT_S):$H1973),"")</f>
        <v>13210</v>
      </c>
      <c r="AK1973" s="48" t="n">
        <f aca="false">IF($U1973&gt;=STRUCT_L,MAX(INDEX($G$1723:$G1973,252-STRUCT_L):$G1973),"")</f>
        <v>14853</v>
      </c>
      <c r="AL1973" s="48" t="n">
        <f aca="false">IF($U1973&gt;=STRUCT_L,MIN(INDEX($H$1723:$H1973,252-STRUCT_L):$H1973),"")</f>
        <v>12238</v>
      </c>
      <c r="AM1973" s="46" t="n">
        <f aca="false">IF($A1973&lt;&gt;$A1974,1,0)</f>
        <v>0</v>
      </c>
      <c r="AN1973" s="47" t="str">
        <f aca="false">IF($AM1973=1,$A1973,"")</f>
        <v/>
      </c>
    </row>
    <row r="1974" customFormat="false" ht="15" hidden="false" customHeight="false" outlineLevel="0" collapsed="false">
      <c r="A1974" s="43" t="s">
        <v>167</v>
      </c>
      <c r="B1974" s="44" t="s">
        <v>169</v>
      </c>
      <c r="C1974" s="45" t="n">
        <v>46113</v>
      </c>
      <c r="D1974" s="46" t="n">
        <v>20260401</v>
      </c>
      <c r="E1974" s="47" t="s">
        <v>437</v>
      </c>
      <c r="F1974" s="48" t="n">
        <v>14392</v>
      </c>
      <c r="G1974" s="48" t="n">
        <v>14549</v>
      </c>
      <c r="H1974" s="48" t="n">
        <v>14353</v>
      </c>
      <c r="I1974" s="48" t="n">
        <v>14397</v>
      </c>
      <c r="J1974" s="48" t="n">
        <v>14493</v>
      </c>
      <c r="K1974" s="48" t="n">
        <v>14504</v>
      </c>
      <c r="L1974" s="48" t="n">
        <v>83060070</v>
      </c>
      <c r="M1974" s="48" t="n">
        <v>1195815827790</v>
      </c>
      <c r="N1974" s="48" t="n">
        <v>4366</v>
      </c>
      <c r="O1974" s="48" t="n">
        <v>49732825</v>
      </c>
      <c r="P1974" s="48" t="n">
        <v>38032107</v>
      </c>
      <c r="Q1974" s="48" t="n">
        <v>1885</v>
      </c>
      <c r="R1974" s="48" t="n">
        <v>1382</v>
      </c>
      <c r="S1974" s="48" t="n">
        <v>33327245</v>
      </c>
      <c r="T1974" s="48" t="n">
        <v>45027963</v>
      </c>
      <c r="U1974" s="46" t="n">
        <f aca="false">IF($A1974=$A1973,$U1973+1,1)</f>
        <v>150</v>
      </c>
      <c r="V1974" s="48" t="n">
        <f aca="false">IF($U1974&gt;=MA_SHORT,AVERAGE(INDEX($I$1574:$I1974,402-MA_SHORT):$I1974),"")</f>
        <v>14201.45</v>
      </c>
      <c r="W1974" s="48" t="n">
        <f aca="false">IF($U1974&gt;=MA_MED,AVERAGE(INDEX($I$1574:$I1974,402-MA_MED):$I1974),"")</f>
        <v>13495.5</v>
      </c>
      <c r="X1974" s="48" t="n">
        <f aca="false">IF($U1974&gt;=MA_LONG1,AVERAGE(INDEX($I$1574:$I1974,402-MA_LONG1):$I1974),"")</f>
        <v>12962.57</v>
      </c>
      <c r="Y1974" s="48" t="str">
        <f aca="false">IF($U1974&gt;=MA_LONG2,AVERAGE(INDEX($I$1574:$I1974,402-MA_LONG2):$I1974),"")</f>
        <v/>
      </c>
      <c r="Z1974" s="48" t="n">
        <f aca="false">IF($U1974&gt;=MA_SHORT,AVERAGE(INDEX($L$1854:$L1974,122-MA_SHORT):$L1974),"")</f>
        <v>97960253.1</v>
      </c>
      <c r="AA1974" s="48" t="n">
        <f aca="false">IF($U1974=1,$G1974-$H1974,MAX($G1974-$H1974,ABS($G1974-$I1973),ABS($H1974-$I1973)))</f>
        <v>196</v>
      </c>
      <c r="AB1974" s="48" t="n">
        <f aca="false">IF($U1974&gt;=ATR_PER,AVERAGE(INDEX($AA$1854:$AA1974,122-ATR_PER):$AA1974),"")</f>
        <v>519.642857142857</v>
      </c>
      <c r="AC1974" s="48" t="n">
        <f aca="false">$O1974-$P1974</f>
        <v>11700718</v>
      </c>
      <c r="AD1974" s="48" t="n">
        <f aca="false">$AC1974*$I1974</f>
        <v>168455237046</v>
      </c>
      <c r="AE1974" s="49" t="n">
        <f aca="false">IF($Q1974&gt;0,$O1974*$I1974/$Q1974/1000000,"")</f>
        <v>379.842695769231</v>
      </c>
      <c r="AF1974" s="49" t="n">
        <f aca="false">IF($R1974&gt;0,$P1974*$I1974/$R1974/1000000,"")</f>
        <v>396.199887466715</v>
      </c>
      <c r="AG1974" s="50" t="n">
        <f aca="false">IF(AND(ISNUMBER($AE1974),ISNUMBER($AF1974),$AF1974&gt;0),$AE1974/$AF1974,"")</f>
        <v>0.958714799738911</v>
      </c>
      <c r="AH1974" s="48" t="n">
        <f aca="false">IF($U1974&gt;=5,SUM(INDEX($AD$1944:$AD1974,32-5):$AD1974),"")</f>
        <v>1103355065614</v>
      </c>
      <c r="AI1974" s="48" t="n">
        <f aca="false">IF($U1974&gt;=STRUCT_S,MAX(INDEX($G$1824:$G1974,152-STRUCT_S):$G1974),"")</f>
        <v>14853</v>
      </c>
      <c r="AJ1974" s="48" t="n">
        <f aca="false">IF($U1974&gt;=STRUCT_S,MIN(INDEX($H$1824:$H1974,152-STRUCT_S):$H1974),"")</f>
        <v>13299</v>
      </c>
      <c r="AK1974" s="48" t="n">
        <f aca="false">IF($U1974&gt;=STRUCT_L,MAX(INDEX($G$1724:$G1974,252-STRUCT_L):$G1974),"")</f>
        <v>14853</v>
      </c>
      <c r="AL1974" s="48" t="n">
        <f aca="false">IF($U1974&gt;=STRUCT_L,MIN(INDEX($H$1724:$H1974,252-STRUCT_L):$H1974),"")</f>
        <v>12238</v>
      </c>
      <c r="AM1974" s="46" t="n">
        <f aca="false">IF($A1974&lt;&gt;$A1975,1,0)</f>
        <v>0</v>
      </c>
      <c r="AN1974" s="47" t="str">
        <f aca="false">IF($AM1974=1,$A1974,"")</f>
        <v/>
      </c>
    </row>
    <row r="1975" customFormat="false" ht="15" hidden="false" customHeight="false" outlineLevel="0" collapsed="false">
      <c r="A1975" s="43" t="s">
        <v>167</v>
      </c>
      <c r="B1975" s="44" t="s">
        <v>169</v>
      </c>
      <c r="C1975" s="45" t="n">
        <v>46116</v>
      </c>
      <c r="D1975" s="46" t="n">
        <v>20260404</v>
      </c>
      <c r="E1975" s="47" t="s">
        <v>438</v>
      </c>
      <c r="F1975" s="48" t="n">
        <v>14403</v>
      </c>
      <c r="G1975" s="48" t="n">
        <v>14480</v>
      </c>
      <c r="H1975" s="48" t="n">
        <v>14181</v>
      </c>
      <c r="I1975" s="48" t="n">
        <v>14264</v>
      </c>
      <c r="J1975" s="48" t="n">
        <v>14430</v>
      </c>
      <c r="K1975" s="48" t="n">
        <v>14397</v>
      </c>
      <c r="L1975" s="48" t="n">
        <v>92047343</v>
      </c>
      <c r="M1975" s="48" t="n">
        <v>1312963300552</v>
      </c>
      <c r="N1975" s="48" t="n">
        <v>2608</v>
      </c>
      <c r="O1975" s="48" t="n">
        <v>60617541</v>
      </c>
      <c r="P1975" s="48" t="n">
        <v>27103269</v>
      </c>
      <c r="Q1975" s="48" t="n">
        <v>1510</v>
      </c>
      <c r="R1975" s="48" t="n">
        <v>646</v>
      </c>
      <c r="S1975" s="48" t="n">
        <v>31429802</v>
      </c>
      <c r="T1975" s="48" t="n">
        <v>64944074</v>
      </c>
      <c r="U1975" s="46" t="n">
        <f aca="false">IF($A1975=$A1974,$U1974+1,1)</f>
        <v>151</v>
      </c>
      <c r="V1975" s="48" t="n">
        <f aca="false">IF($U1975&gt;=MA_SHORT,AVERAGE(INDEX($I$1575:$I1975,402-MA_SHORT):$I1975),"")</f>
        <v>14224.05</v>
      </c>
      <c r="W1975" s="48" t="n">
        <f aca="false">IF($U1975&gt;=MA_MED,AVERAGE(INDEX($I$1575:$I1975,402-MA_MED):$I1975),"")</f>
        <v>13518.92</v>
      </c>
      <c r="X1975" s="48" t="n">
        <f aca="false">IF($U1975&gt;=MA_LONG1,AVERAGE(INDEX($I$1575:$I1975,402-MA_LONG1):$I1975),"")</f>
        <v>12989.97</v>
      </c>
      <c r="Y1975" s="48" t="str">
        <f aca="false">IF($U1975&gt;=MA_LONG2,AVERAGE(INDEX($I$1575:$I1975,402-MA_LONG2):$I1975),"")</f>
        <v/>
      </c>
      <c r="Z1975" s="48" t="n">
        <f aca="false">IF($U1975&gt;=MA_SHORT,AVERAGE(INDEX($L$1855:$L1975,122-MA_SHORT):$L1975),"")</f>
        <v>97167672.85</v>
      </c>
      <c r="AA1975" s="48" t="n">
        <f aca="false">IF($U1975=1,$G1975-$H1975,MAX($G1975-$H1975,ABS($G1975-$I1974),ABS($H1975-$I1974)))</f>
        <v>299</v>
      </c>
      <c r="AB1975" s="48" t="n">
        <f aca="false">IF($U1975&gt;=ATR_PER,AVERAGE(INDEX($AA$1855:$AA1975,122-ATR_PER):$AA1975),"")</f>
        <v>477.785714285714</v>
      </c>
      <c r="AC1975" s="48" t="n">
        <f aca="false">$O1975-$P1975</f>
        <v>33514272</v>
      </c>
      <c r="AD1975" s="48" t="n">
        <f aca="false">$AC1975*$I1975</f>
        <v>478047575808</v>
      </c>
      <c r="AE1975" s="49" t="n">
        <f aca="false">IF($Q1975&gt;0,$O1975*$I1975/$Q1975/1000000,"")</f>
        <v>572.614970082119</v>
      </c>
      <c r="AF1975" s="49" t="n">
        <f aca="false">IF($R1975&gt;0,$P1975*$I1975/$R1975/1000000,"")</f>
        <v>598.453605287926</v>
      </c>
      <c r="AG1975" s="50" t="n">
        <f aca="false">IF(AND(ISNUMBER($AE1975),ISNUMBER($AF1975),$AF1975&gt;0),$AE1975/$AF1975,"")</f>
        <v>0.956824330278076</v>
      </c>
      <c r="AH1975" s="48" t="n">
        <f aca="false">IF($U1975&gt;=5,SUM(INDEX($AD$1945:$AD1975,32-5):$AD1975),"")</f>
        <v>1013604121954</v>
      </c>
      <c r="AI1975" s="48" t="n">
        <f aca="false">IF($U1975&gt;=STRUCT_S,MAX(INDEX($G$1825:$G1975,152-STRUCT_S):$G1975),"")</f>
        <v>14853</v>
      </c>
      <c r="AJ1975" s="48" t="n">
        <f aca="false">IF($U1975&gt;=STRUCT_S,MIN(INDEX($H$1825:$H1975,152-STRUCT_S):$H1975),"")</f>
        <v>13299</v>
      </c>
      <c r="AK1975" s="48" t="n">
        <f aca="false">IF($U1975&gt;=STRUCT_L,MAX(INDEX($G$1725:$G1975,252-STRUCT_L):$G1975),"")</f>
        <v>14853</v>
      </c>
      <c r="AL1975" s="48" t="n">
        <f aca="false">IF($U1975&gt;=STRUCT_L,MIN(INDEX($H$1725:$H1975,252-STRUCT_L):$H1975),"")</f>
        <v>12238</v>
      </c>
      <c r="AM1975" s="46" t="n">
        <f aca="false">IF($A1975&lt;&gt;$A1976,1,0)</f>
        <v>0</v>
      </c>
      <c r="AN1975" s="47" t="str">
        <f aca="false">IF($AM1975=1,$A1975,"")</f>
        <v/>
      </c>
    </row>
    <row r="1976" customFormat="false" ht="15" hidden="false" customHeight="false" outlineLevel="0" collapsed="false">
      <c r="A1976" s="43" t="s">
        <v>167</v>
      </c>
      <c r="B1976" s="44" t="s">
        <v>169</v>
      </c>
      <c r="C1976" s="45" t="n">
        <v>46117</v>
      </c>
      <c r="D1976" s="46" t="n">
        <v>20260405</v>
      </c>
      <c r="E1976" s="47" t="s">
        <v>439</v>
      </c>
      <c r="F1976" s="48" t="n">
        <v>13848</v>
      </c>
      <c r="G1976" s="48" t="n">
        <v>14495</v>
      </c>
      <c r="H1976" s="48" t="n">
        <v>13709</v>
      </c>
      <c r="I1976" s="48" t="n">
        <v>13934</v>
      </c>
      <c r="J1976" s="48" t="n">
        <v>14156</v>
      </c>
      <c r="K1976" s="48" t="n">
        <v>14264</v>
      </c>
      <c r="L1976" s="48" t="n">
        <v>90580306</v>
      </c>
      <c r="M1976" s="48" t="n">
        <v>1262145983804</v>
      </c>
      <c r="N1976" s="48" t="n">
        <v>2042</v>
      </c>
      <c r="O1976" s="48" t="n">
        <v>42033204</v>
      </c>
      <c r="P1976" s="48" t="n">
        <v>43122253</v>
      </c>
      <c r="Q1976" s="48" t="n">
        <v>836</v>
      </c>
      <c r="R1976" s="48" t="n">
        <v>463</v>
      </c>
      <c r="S1976" s="48" t="n">
        <v>48547102</v>
      </c>
      <c r="T1976" s="48" t="n">
        <v>47458053</v>
      </c>
      <c r="U1976" s="46" t="n">
        <f aca="false">IF($A1976=$A1975,$U1975+1,1)</f>
        <v>152</v>
      </c>
      <c r="V1976" s="48" t="n">
        <f aca="false">IF($U1976&gt;=MA_SHORT,AVERAGE(INDEX($I$1576:$I1976,402-MA_SHORT):$I1976),"")</f>
        <v>14214</v>
      </c>
      <c r="W1976" s="48" t="n">
        <f aca="false">IF($U1976&gt;=MA_MED,AVERAGE(INDEX($I$1576:$I1976,402-MA_MED):$I1976),"")</f>
        <v>13531.26</v>
      </c>
      <c r="X1976" s="48" t="n">
        <f aca="false">IF($U1976&gt;=MA_LONG1,AVERAGE(INDEX($I$1576:$I1976,402-MA_LONG1):$I1976),"")</f>
        <v>13013.91</v>
      </c>
      <c r="Y1976" s="48" t="str">
        <f aca="false">IF($U1976&gt;=MA_LONG2,AVERAGE(INDEX($I$1576:$I1976,402-MA_LONG2):$I1976),"")</f>
        <v/>
      </c>
      <c r="Z1976" s="48" t="n">
        <f aca="false">IF($U1976&gt;=MA_SHORT,AVERAGE(INDEX($L$1856:$L1976,122-MA_SHORT):$L1976),"")</f>
        <v>97161700.35</v>
      </c>
      <c r="AA1976" s="48" t="n">
        <f aca="false">IF($U1976=1,$G1976-$H1976,MAX($G1976-$H1976,ABS($G1976-$I1975),ABS($H1976-$I1975)))</f>
        <v>786</v>
      </c>
      <c r="AB1976" s="48" t="n">
        <f aca="false">IF($U1976&gt;=ATR_PER,AVERAGE(INDEX($AA$1856:$AA1976,122-ATR_PER):$AA1976),"")</f>
        <v>523.928571428571</v>
      </c>
      <c r="AC1976" s="48" t="n">
        <f aca="false">$O1976-$P1976</f>
        <v>-1089049</v>
      </c>
      <c r="AD1976" s="48" t="n">
        <f aca="false">$AC1976*$I1976</f>
        <v>-15174808766</v>
      </c>
      <c r="AE1976" s="49" t="n">
        <f aca="false">IF($Q1976&gt;0,$O1976*$I1976/$Q1976/1000000,"")</f>
        <v>700.586919301435</v>
      </c>
      <c r="AF1976" s="49" t="n">
        <f aca="false">IF($R1976&gt;0,$P1976*$I1976/$R1976/1000000,"")</f>
        <v>1297.76560108423</v>
      </c>
      <c r="AG1976" s="50" t="n">
        <f aca="false">IF(AND(ISNUMBER($AE1976),ISNUMBER($AF1976),$AF1976&gt;0),$AE1976/$AF1976,"")</f>
        <v>0.539840876284687</v>
      </c>
      <c r="AH1976" s="48" t="n">
        <f aca="false">IF($U1976&gt;=5,SUM(INDEX($AD$1946:$AD1976,32-5):$AD1976),"")</f>
        <v>862629921588</v>
      </c>
      <c r="AI1976" s="48" t="n">
        <f aca="false">IF($U1976&gt;=STRUCT_S,MAX(INDEX($G$1826:$G1976,152-STRUCT_S):$G1976),"")</f>
        <v>14853</v>
      </c>
      <c r="AJ1976" s="48" t="n">
        <f aca="false">IF($U1976&gt;=STRUCT_S,MIN(INDEX($H$1826:$H1976,152-STRUCT_S):$H1976),"")</f>
        <v>13299</v>
      </c>
      <c r="AK1976" s="48" t="n">
        <f aca="false">IF($U1976&gt;=STRUCT_L,MAX(INDEX($G$1726:$G1976,252-STRUCT_L):$G1976),"")</f>
        <v>14853</v>
      </c>
      <c r="AL1976" s="48" t="n">
        <f aca="false">IF($U1976&gt;=STRUCT_L,MIN(INDEX($H$1726:$H1976,252-STRUCT_L):$H1976),"")</f>
        <v>12238</v>
      </c>
      <c r="AM1976" s="46" t="n">
        <f aca="false">IF($A1976&lt;&gt;$A1977,1,0)</f>
        <v>0</v>
      </c>
      <c r="AN1976" s="47" t="str">
        <f aca="false">IF($AM1976=1,$A1976,"")</f>
        <v/>
      </c>
    </row>
    <row r="1977" customFormat="false" ht="15" hidden="false" customHeight="false" outlineLevel="0" collapsed="false">
      <c r="A1977" s="43" t="s">
        <v>167</v>
      </c>
      <c r="B1977" s="44" t="s">
        <v>169</v>
      </c>
      <c r="C1977" s="45" t="n">
        <v>46118</v>
      </c>
      <c r="D1977" s="46" t="n">
        <v>20260406</v>
      </c>
      <c r="E1977" s="47" t="s">
        <v>440</v>
      </c>
      <c r="F1977" s="48" t="n">
        <v>13911</v>
      </c>
      <c r="G1977" s="48" t="n">
        <v>13971</v>
      </c>
      <c r="H1977" s="48" t="n">
        <v>13537</v>
      </c>
      <c r="I1977" s="48" t="n">
        <v>13573</v>
      </c>
      <c r="J1977" s="48" t="n">
        <v>13598</v>
      </c>
      <c r="K1977" s="48" t="n">
        <v>13934</v>
      </c>
      <c r="L1977" s="48" t="n">
        <v>91903532</v>
      </c>
      <c r="M1977" s="48" t="n">
        <v>1247406639836</v>
      </c>
      <c r="N1977" s="48" t="n">
        <v>2063</v>
      </c>
      <c r="O1977" s="48" t="n">
        <v>46344251</v>
      </c>
      <c r="P1977" s="48" t="n">
        <v>43681264</v>
      </c>
      <c r="Q1977" s="48" t="n">
        <v>1189</v>
      </c>
      <c r="R1977" s="48" t="n">
        <v>644</v>
      </c>
      <c r="S1977" s="48" t="n">
        <v>45559281</v>
      </c>
      <c r="T1977" s="48" t="n">
        <v>48222268</v>
      </c>
      <c r="U1977" s="46" t="n">
        <f aca="false">IF($A1977=$A1976,$U1976+1,1)</f>
        <v>153</v>
      </c>
      <c r="V1977" s="48" t="n">
        <f aca="false">IF($U1977&gt;=MA_SHORT,AVERAGE(INDEX($I$1577:$I1977,402-MA_SHORT):$I1977),"")</f>
        <v>14185.9</v>
      </c>
      <c r="W1977" s="48" t="n">
        <f aca="false">IF($U1977&gt;=MA_MED,AVERAGE(INDEX($I$1577:$I1977,402-MA_MED):$I1977),"")</f>
        <v>13543.18</v>
      </c>
      <c r="X1977" s="48" t="n">
        <f aca="false">IF($U1977&gt;=MA_LONG1,AVERAGE(INDEX($I$1577:$I1977,402-MA_LONG1):$I1977),"")</f>
        <v>13033.29</v>
      </c>
      <c r="Y1977" s="48" t="str">
        <f aca="false">IF($U1977&gt;=MA_LONG2,AVERAGE(INDEX($I$1577:$I1977,402-MA_LONG2):$I1977),"")</f>
        <v/>
      </c>
      <c r="Z1977" s="48" t="n">
        <f aca="false">IF($U1977&gt;=MA_SHORT,AVERAGE(INDEX($L$1857:$L1977,122-MA_SHORT):$L1977),"")</f>
        <v>96152491.3</v>
      </c>
      <c r="AA1977" s="48" t="n">
        <f aca="false">IF($U1977=1,$G1977-$H1977,MAX($G1977-$H1977,ABS($G1977-$I1976),ABS($H1977-$I1976)))</f>
        <v>434</v>
      </c>
      <c r="AB1977" s="48" t="n">
        <f aca="false">IF($U1977&gt;=ATR_PER,AVERAGE(INDEX($AA$1857:$AA1977,122-ATR_PER):$AA1977),"")</f>
        <v>501.428571428571</v>
      </c>
      <c r="AC1977" s="48" t="n">
        <f aca="false">$O1977-$P1977</f>
        <v>2662987</v>
      </c>
      <c r="AD1977" s="48" t="n">
        <f aca="false">$AC1977*$I1977</f>
        <v>36144722551</v>
      </c>
      <c r="AE1977" s="49" t="n">
        <f aca="false">IF($Q1977&gt;0,$O1977*$I1977/$Q1977/1000000,"")</f>
        <v>529.041647454163</v>
      </c>
      <c r="AF1977" s="49" t="n">
        <f aca="false">IF($R1977&gt;0,$P1977*$I1977/$R1977/1000000,"")</f>
        <v>920.630118434783</v>
      </c>
      <c r="AG1977" s="50" t="n">
        <f aca="false">IF(AND(ISNUMBER($AE1977),ISNUMBER($AF1977),$AF1977&gt;0),$AE1977/$AF1977,"")</f>
        <v>0.574651683516088</v>
      </c>
      <c r="AH1977" s="48" t="n">
        <f aca="false">IF($U1977&gt;=5,SUM(INDEX($AD$1947:$AD1977,32-5):$AD1977),"")</f>
        <v>825474226239</v>
      </c>
      <c r="AI1977" s="48" t="n">
        <f aca="false">IF($U1977&gt;=STRUCT_S,MAX(INDEX($G$1827:$G1977,152-STRUCT_S):$G1977),"")</f>
        <v>14853</v>
      </c>
      <c r="AJ1977" s="48" t="n">
        <f aca="false">IF($U1977&gt;=STRUCT_S,MIN(INDEX($H$1827:$H1977,152-STRUCT_S):$H1977),"")</f>
        <v>13299</v>
      </c>
      <c r="AK1977" s="48" t="n">
        <f aca="false">IF($U1977&gt;=STRUCT_L,MAX(INDEX($G$1727:$G1977,252-STRUCT_L):$G1977),"")</f>
        <v>14853</v>
      </c>
      <c r="AL1977" s="48" t="n">
        <f aca="false">IF($U1977&gt;=STRUCT_L,MIN(INDEX($H$1727:$H1977,252-STRUCT_L):$H1977),"")</f>
        <v>12238</v>
      </c>
      <c r="AM1977" s="46" t="n">
        <f aca="false">IF($A1977&lt;&gt;$A1978,1,0)</f>
        <v>0</v>
      </c>
      <c r="AN1977" s="47" t="str">
        <f aca="false">IF($AM1977=1,$A1977,"")</f>
        <v/>
      </c>
    </row>
    <row r="1978" customFormat="false" ht="15" hidden="false" customHeight="false" outlineLevel="0" collapsed="false">
      <c r="A1978" s="43" t="s">
        <v>167</v>
      </c>
      <c r="B1978" s="44" t="s">
        <v>169</v>
      </c>
      <c r="C1978" s="45" t="n">
        <v>46119</v>
      </c>
      <c r="D1978" s="46" t="n">
        <v>20260407</v>
      </c>
      <c r="E1978" s="47" t="s">
        <v>441</v>
      </c>
      <c r="F1978" s="48" t="n">
        <v>13633</v>
      </c>
      <c r="G1978" s="48" t="n">
        <v>13936</v>
      </c>
      <c r="H1978" s="48" t="n">
        <v>13454</v>
      </c>
      <c r="I1978" s="48" t="n">
        <v>13815</v>
      </c>
      <c r="J1978" s="48" t="n">
        <v>13921</v>
      </c>
      <c r="K1978" s="48" t="n">
        <v>13573</v>
      </c>
      <c r="L1978" s="48" t="n">
        <v>88048257</v>
      </c>
      <c r="M1978" s="48" t="n">
        <v>1216386670455</v>
      </c>
      <c r="N1978" s="48" t="n">
        <v>7863</v>
      </c>
      <c r="O1978" s="48" t="n">
        <v>51966473</v>
      </c>
      <c r="P1978" s="48" t="n">
        <v>36756606</v>
      </c>
      <c r="Q1978" s="48" t="n">
        <v>2291</v>
      </c>
      <c r="R1978" s="48" t="n">
        <v>5145</v>
      </c>
      <c r="S1978" s="48" t="n">
        <v>36081784</v>
      </c>
      <c r="T1978" s="48" t="n">
        <v>51291651</v>
      </c>
      <c r="U1978" s="46" t="n">
        <f aca="false">IF($A1978=$A1977,$U1977+1,1)</f>
        <v>154</v>
      </c>
      <c r="V1978" s="48" t="n">
        <f aca="false">IF($U1978&gt;=MA_SHORT,AVERAGE(INDEX($I$1578:$I1978,402-MA_SHORT):$I1978),"")</f>
        <v>14159.45</v>
      </c>
      <c r="W1978" s="48" t="n">
        <f aca="false">IF($U1978&gt;=MA_MED,AVERAGE(INDEX($I$1578:$I1978,402-MA_MED):$I1978),"")</f>
        <v>13555.68</v>
      </c>
      <c r="X1978" s="48" t="n">
        <f aca="false">IF($U1978&gt;=MA_LONG1,AVERAGE(INDEX($I$1578:$I1978,402-MA_LONG1):$I1978),"")</f>
        <v>13052.51</v>
      </c>
      <c r="Y1978" s="48" t="str">
        <f aca="false">IF($U1978&gt;=MA_LONG2,AVERAGE(INDEX($I$1578:$I1978,402-MA_LONG2):$I1978),"")</f>
        <v/>
      </c>
      <c r="Z1978" s="48" t="n">
        <f aca="false">IF($U1978&gt;=MA_SHORT,AVERAGE(INDEX($L$1858:$L1978,122-MA_SHORT):$L1978),"")</f>
        <v>96158756.85</v>
      </c>
      <c r="AA1978" s="48" t="n">
        <f aca="false">IF($U1978=1,$G1978-$H1978,MAX($G1978-$H1978,ABS($G1978-$I1977),ABS($H1978-$I1977)))</f>
        <v>482</v>
      </c>
      <c r="AB1978" s="48" t="n">
        <f aca="false">IF($U1978&gt;=ATR_PER,AVERAGE(INDEX($AA$1858:$AA1978,122-ATR_PER):$AA1978),"")</f>
        <v>469.357142857143</v>
      </c>
      <c r="AC1978" s="48" t="n">
        <f aca="false">$O1978-$P1978</f>
        <v>15209867</v>
      </c>
      <c r="AD1978" s="48" t="n">
        <f aca="false">$AC1978*$I1978</f>
        <v>210124312605</v>
      </c>
      <c r="AE1978" s="49" t="n">
        <f aca="false">IF($Q1978&gt;0,$O1978*$I1978/$Q1978/1000000,"")</f>
        <v>313.363956567001</v>
      </c>
      <c r="AF1978" s="49" t="n">
        <f aca="false">IF($R1978&gt;0,$P1978*$I1978/$R1978/1000000,"")</f>
        <v>98.6963094052478</v>
      </c>
      <c r="AG1978" s="50" t="n">
        <f aca="false">IF(AND(ISNUMBER($AE1978),ISNUMBER($AF1978),$AF1978&gt;0),$AE1978/$AF1978,"")</f>
        <v>3.17503216133773</v>
      </c>
      <c r="AH1978" s="48" t="n">
        <f aca="false">IF($U1978&gt;=5,SUM(INDEX($AD$1948:$AD1978,32-5):$AD1978),"")</f>
        <v>877597039244</v>
      </c>
      <c r="AI1978" s="48" t="n">
        <f aca="false">IF($U1978&gt;=STRUCT_S,MAX(INDEX($G$1828:$G1978,152-STRUCT_S):$G1978),"")</f>
        <v>14853</v>
      </c>
      <c r="AJ1978" s="48" t="n">
        <f aca="false">IF($U1978&gt;=STRUCT_S,MIN(INDEX($H$1828:$H1978,152-STRUCT_S):$H1978),"")</f>
        <v>13299</v>
      </c>
      <c r="AK1978" s="48" t="n">
        <f aca="false">IF($U1978&gt;=STRUCT_L,MAX(INDEX($G$1728:$G1978,252-STRUCT_L):$G1978),"")</f>
        <v>14853</v>
      </c>
      <c r="AL1978" s="48" t="n">
        <f aca="false">IF($U1978&gt;=STRUCT_L,MIN(INDEX($H$1728:$H1978,252-STRUCT_L):$H1978),"")</f>
        <v>12238</v>
      </c>
      <c r="AM1978" s="46" t="n">
        <f aca="false">IF($A1978&lt;&gt;$A1979,1,0)</f>
        <v>0</v>
      </c>
      <c r="AN1978" s="47" t="str">
        <f aca="false">IF($AM1978=1,$A1978,"")</f>
        <v/>
      </c>
    </row>
    <row r="1979" customFormat="false" ht="15" hidden="false" customHeight="false" outlineLevel="0" collapsed="false">
      <c r="A1979" s="43" t="s">
        <v>167</v>
      </c>
      <c r="B1979" s="44" t="s">
        <v>169</v>
      </c>
      <c r="C1979" s="45" t="n">
        <v>46120</v>
      </c>
      <c r="D1979" s="46" t="n">
        <v>20260408</v>
      </c>
      <c r="E1979" s="47" t="s">
        <v>442</v>
      </c>
      <c r="F1979" s="48" t="n">
        <v>13675</v>
      </c>
      <c r="G1979" s="48" t="n">
        <v>13861</v>
      </c>
      <c r="H1979" s="48" t="n">
        <v>13644</v>
      </c>
      <c r="I1979" s="48" t="n">
        <v>13689</v>
      </c>
      <c r="J1979" s="48" t="n">
        <v>13790</v>
      </c>
      <c r="K1979" s="48" t="n">
        <v>13815</v>
      </c>
      <c r="L1979" s="48" t="n">
        <v>125872710</v>
      </c>
      <c r="M1979" s="48" t="n">
        <v>1723071527190</v>
      </c>
      <c r="N1979" s="48" t="n">
        <v>3126</v>
      </c>
      <c r="O1979" s="48" t="n">
        <v>63003899</v>
      </c>
      <c r="P1979" s="48" t="n">
        <v>61883727</v>
      </c>
      <c r="Q1979" s="48" t="n">
        <v>2268</v>
      </c>
      <c r="R1979" s="48" t="n">
        <v>968</v>
      </c>
      <c r="S1979" s="48" t="n">
        <v>62868811</v>
      </c>
      <c r="T1979" s="48" t="n">
        <v>63988983</v>
      </c>
      <c r="U1979" s="46" t="n">
        <f aca="false">IF($A1979=$A1978,$U1978+1,1)</f>
        <v>155</v>
      </c>
      <c r="V1979" s="48" t="n">
        <f aca="false">IF($U1979&gt;=MA_SHORT,AVERAGE(INDEX($I$1579:$I1979,402-MA_SHORT):$I1979),"")</f>
        <v>14136.25</v>
      </c>
      <c r="W1979" s="48" t="n">
        <f aca="false">IF($U1979&gt;=MA_MED,AVERAGE(INDEX($I$1579:$I1979,402-MA_MED):$I1979),"")</f>
        <v>13567.56</v>
      </c>
      <c r="X1979" s="48" t="n">
        <f aca="false">IF($U1979&gt;=MA_LONG1,AVERAGE(INDEX($I$1579:$I1979,402-MA_LONG1):$I1979),"")</f>
        <v>13068.53</v>
      </c>
      <c r="Y1979" s="48" t="str">
        <f aca="false">IF($U1979&gt;=MA_LONG2,AVERAGE(INDEX($I$1579:$I1979,402-MA_LONG2):$I1979),"")</f>
        <v/>
      </c>
      <c r="Z1979" s="48" t="n">
        <f aca="false">IF($U1979&gt;=MA_SHORT,AVERAGE(INDEX($L$1859:$L1979,122-MA_SHORT):$L1979),"")</f>
        <v>98157687.95</v>
      </c>
      <c r="AA1979" s="48" t="n">
        <f aca="false">IF($U1979=1,$G1979-$H1979,MAX($G1979-$H1979,ABS($G1979-$I1978),ABS($H1979-$I1978)))</f>
        <v>217</v>
      </c>
      <c r="AB1979" s="48" t="n">
        <f aca="false">IF($U1979&gt;=ATR_PER,AVERAGE(INDEX($AA$1859:$AA1979,122-ATR_PER):$AA1979),"")</f>
        <v>422</v>
      </c>
      <c r="AC1979" s="48" t="n">
        <f aca="false">$O1979-$P1979</f>
        <v>1120172</v>
      </c>
      <c r="AD1979" s="48" t="n">
        <f aca="false">$AC1979*$I1979</f>
        <v>15334034508</v>
      </c>
      <c r="AE1979" s="49" t="n">
        <f aca="false">IF($Q1979&gt;0,$O1979*$I1979/$Q1979/1000000,"")</f>
        <v>380.27353325</v>
      </c>
      <c r="AF1979" s="49" t="n">
        <f aca="false">IF($R1979&gt;0,$P1979*$I1979/$R1979/1000000,"")</f>
        <v>875.130515395661</v>
      </c>
      <c r="AG1979" s="50" t="n">
        <f aca="false">IF(AND(ISNUMBER($AE1979),ISNUMBER($AF1979),$AF1979&gt;0),$AE1979/$AF1979,"")</f>
        <v>0.434533508499669</v>
      </c>
      <c r="AH1979" s="48" t="n">
        <f aca="false">IF($U1979&gt;=5,SUM(INDEX($AD$1949:$AD1979,32-5):$AD1979),"")</f>
        <v>724475836706</v>
      </c>
      <c r="AI1979" s="48" t="n">
        <f aca="false">IF($U1979&gt;=STRUCT_S,MAX(INDEX($G$1829:$G1979,152-STRUCT_S):$G1979),"")</f>
        <v>14853</v>
      </c>
      <c r="AJ1979" s="48" t="n">
        <f aca="false">IF($U1979&gt;=STRUCT_S,MIN(INDEX($H$1829:$H1979,152-STRUCT_S):$H1979),"")</f>
        <v>13299</v>
      </c>
      <c r="AK1979" s="48" t="n">
        <f aca="false">IF($U1979&gt;=STRUCT_L,MAX(INDEX($G$1729:$G1979,252-STRUCT_L):$G1979),"")</f>
        <v>14853</v>
      </c>
      <c r="AL1979" s="48" t="n">
        <f aca="false">IF($U1979&gt;=STRUCT_L,MIN(INDEX($H$1729:$H1979,252-STRUCT_L):$H1979),"")</f>
        <v>12238</v>
      </c>
      <c r="AM1979" s="46" t="n">
        <f aca="false">IF($A1979&lt;&gt;$A1980,1,0)</f>
        <v>0</v>
      </c>
      <c r="AN1979" s="47" t="str">
        <f aca="false">IF($AM1979=1,$A1979,"")</f>
        <v/>
      </c>
    </row>
    <row r="1980" customFormat="false" ht="15" hidden="false" customHeight="false" outlineLevel="0" collapsed="false">
      <c r="A1980" s="43" t="s">
        <v>167</v>
      </c>
      <c r="B1980" s="44" t="s">
        <v>169</v>
      </c>
      <c r="C1980" s="45" t="n">
        <v>46123</v>
      </c>
      <c r="D1980" s="46" t="n">
        <v>20260411</v>
      </c>
      <c r="E1980" s="47" t="s">
        <v>443</v>
      </c>
      <c r="F1980" s="48" t="n">
        <v>13690</v>
      </c>
      <c r="G1980" s="48" t="n">
        <v>13730</v>
      </c>
      <c r="H1980" s="48" t="n">
        <v>13594</v>
      </c>
      <c r="I1980" s="48" t="n">
        <v>13635</v>
      </c>
      <c r="J1980" s="48" t="n">
        <v>13675</v>
      </c>
      <c r="K1980" s="48" t="n">
        <v>13689</v>
      </c>
      <c r="L1980" s="48" t="n">
        <v>120123387</v>
      </c>
      <c r="M1980" s="48" t="n">
        <v>1637882381745</v>
      </c>
      <c r="N1980" s="48" t="n">
        <v>3505</v>
      </c>
      <c r="O1980" s="48" t="n">
        <v>47555948</v>
      </c>
      <c r="P1980" s="48" t="n">
        <v>68182935</v>
      </c>
      <c r="Q1980" s="48" t="n">
        <v>2419</v>
      </c>
      <c r="R1980" s="48" t="n">
        <v>1205</v>
      </c>
      <c r="S1980" s="48" t="n">
        <v>72567439</v>
      </c>
      <c r="T1980" s="48" t="n">
        <v>51940452</v>
      </c>
      <c r="U1980" s="46" t="n">
        <f aca="false">IF($A1980=$A1979,$U1979+1,1)</f>
        <v>156</v>
      </c>
      <c r="V1980" s="48" t="n">
        <f aca="false">IF($U1980&gt;=MA_SHORT,AVERAGE(INDEX($I$1580:$I1980,402-MA_SHORT):$I1980),"")</f>
        <v>14136.15</v>
      </c>
      <c r="W1980" s="48" t="n">
        <f aca="false">IF($U1980&gt;=MA_MED,AVERAGE(INDEX($I$1580:$I1980,402-MA_MED):$I1980),"")</f>
        <v>13570.06</v>
      </c>
      <c r="X1980" s="48" t="n">
        <f aca="false">IF($U1980&gt;=MA_LONG1,AVERAGE(INDEX($I$1580:$I1980,402-MA_LONG1):$I1980),"")</f>
        <v>13086.21</v>
      </c>
      <c r="Y1980" s="48" t="str">
        <f aca="false">IF($U1980&gt;=MA_LONG2,AVERAGE(INDEX($I$1580:$I1980,402-MA_LONG2):$I1980),"")</f>
        <v/>
      </c>
      <c r="Z1980" s="48" t="n">
        <f aca="false">IF($U1980&gt;=MA_SHORT,AVERAGE(INDEX($L$1860:$L1980,122-MA_SHORT):$L1980),"")</f>
        <v>98148094.2</v>
      </c>
      <c r="AA1980" s="48" t="n">
        <f aca="false">IF($U1980=1,$G1980-$H1980,MAX($G1980-$H1980,ABS($G1980-$I1979),ABS($H1980-$I1979)))</f>
        <v>136</v>
      </c>
      <c r="AB1980" s="48" t="n">
        <f aca="false">IF($U1980&gt;=ATR_PER,AVERAGE(INDEX($AA$1860:$AA1980,122-ATR_PER):$AA1980),"")</f>
        <v>393.285714285714</v>
      </c>
      <c r="AC1980" s="48" t="n">
        <f aca="false">$O1980-$P1980</f>
        <v>-20626987</v>
      </c>
      <c r="AD1980" s="48" t="n">
        <f aca="false">$AC1980*$I1980</f>
        <v>-281248967745</v>
      </c>
      <c r="AE1980" s="49" t="n">
        <f aca="false">IF($Q1980&gt;0,$O1980*$I1980/$Q1980/1000000,"")</f>
        <v>268.055126490285</v>
      </c>
      <c r="AF1980" s="49" t="n">
        <f aca="false">IF($R1980&gt;0,$P1980*$I1980/$R1980/1000000,"")</f>
        <v>771.513957448133</v>
      </c>
      <c r="AG1980" s="50" t="n">
        <f aca="false">IF(AND(ISNUMBER($AE1980),ISNUMBER($AF1980),$AF1980&gt;0),$AE1980/$AF1980,"")</f>
        <v>0.347440411028865</v>
      </c>
      <c r="AH1980" s="48" t="n">
        <f aca="false">IF($U1980&gt;=5,SUM(INDEX($AD$1950:$AD1980,32-5):$AD1980),"")</f>
        <v>-34820706847</v>
      </c>
      <c r="AI1980" s="48" t="n">
        <f aca="false">IF($U1980&gt;=STRUCT_S,MAX(INDEX($G$1830:$G1980,152-STRUCT_S):$G1980),"")</f>
        <v>14853</v>
      </c>
      <c r="AJ1980" s="48" t="n">
        <f aca="false">IF($U1980&gt;=STRUCT_S,MIN(INDEX($H$1830:$H1980,152-STRUCT_S):$H1980),"")</f>
        <v>13299</v>
      </c>
      <c r="AK1980" s="48" t="n">
        <f aca="false">IF($U1980&gt;=STRUCT_L,MAX(INDEX($G$1730:$G1980,252-STRUCT_L):$G1980),"")</f>
        <v>14853</v>
      </c>
      <c r="AL1980" s="48" t="n">
        <f aca="false">IF($U1980&gt;=STRUCT_L,MIN(INDEX($H$1730:$H1980,252-STRUCT_L):$H1980),"")</f>
        <v>12238</v>
      </c>
      <c r="AM1980" s="46" t="n">
        <f aca="false">IF($A1980&lt;&gt;$A1981,1,0)</f>
        <v>0</v>
      </c>
      <c r="AN1980" s="47" t="str">
        <f aca="false">IF($AM1980=1,$A1980,"")</f>
        <v/>
      </c>
    </row>
    <row r="1981" customFormat="false" ht="15" hidden="false" customHeight="false" outlineLevel="0" collapsed="false">
      <c r="A1981" s="43" t="s">
        <v>167</v>
      </c>
      <c r="B1981" s="44" t="s">
        <v>169</v>
      </c>
      <c r="C1981" s="45" t="n">
        <v>46124</v>
      </c>
      <c r="D1981" s="46" t="n">
        <v>20260412</v>
      </c>
      <c r="E1981" s="47" t="s">
        <v>444</v>
      </c>
      <c r="F1981" s="48" t="n">
        <v>13477</v>
      </c>
      <c r="G1981" s="48" t="n">
        <v>13838</v>
      </c>
      <c r="H1981" s="48" t="n">
        <v>12992</v>
      </c>
      <c r="I1981" s="48" t="n">
        <v>13189</v>
      </c>
      <c r="J1981" s="48" t="n">
        <v>13519</v>
      </c>
      <c r="K1981" s="48" t="n">
        <v>13635</v>
      </c>
      <c r="L1981" s="48" t="n">
        <v>110538113</v>
      </c>
      <c r="M1981" s="48" t="n">
        <v>1457887172357</v>
      </c>
      <c r="N1981" s="48" t="n">
        <v>5075</v>
      </c>
      <c r="O1981" s="48" t="n">
        <v>56675832</v>
      </c>
      <c r="P1981" s="48" t="n">
        <v>50745710</v>
      </c>
      <c r="Q1981" s="48" t="n">
        <v>3207</v>
      </c>
      <c r="R1981" s="48" t="n">
        <v>1703</v>
      </c>
      <c r="S1981" s="48" t="n">
        <v>53862281</v>
      </c>
      <c r="T1981" s="48" t="n">
        <v>59792403</v>
      </c>
      <c r="U1981" s="46" t="n">
        <f aca="false">IF($A1981=$A1980,$U1980+1,1)</f>
        <v>157</v>
      </c>
      <c r="V1981" s="48" t="n">
        <f aca="false">IF($U1981&gt;=MA_SHORT,AVERAGE(INDEX($I$1581:$I1981,402-MA_SHORT):$I1981),"")</f>
        <v>14103.55</v>
      </c>
      <c r="W1981" s="48" t="n">
        <f aca="false">IF($U1981&gt;=MA_MED,AVERAGE(INDEX($I$1581:$I1981,402-MA_MED):$I1981),"")</f>
        <v>13562.14</v>
      </c>
      <c r="X1981" s="48" t="n">
        <f aca="false">IF($U1981&gt;=MA_LONG1,AVERAGE(INDEX($I$1581:$I1981,402-MA_LONG1):$I1981),"")</f>
        <v>13097.41</v>
      </c>
      <c r="Y1981" s="48" t="str">
        <f aca="false">IF($U1981&gt;=MA_LONG2,AVERAGE(INDEX($I$1581:$I1981,402-MA_LONG2):$I1981),"")</f>
        <v/>
      </c>
      <c r="Z1981" s="48" t="n">
        <f aca="false">IF($U1981&gt;=MA_SHORT,AVERAGE(INDEX($L$1861:$L1981,122-MA_SHORT):$L1981),"")</f>
        <v>95593315.45</v>
      </c>
      <c r="AA1981" s="48" t="n">
        <f aca="false">IF($U1981=1,$G1981-$H1981,MAX($G1981-$H1981,ABS($G1981-$I1980),ABS($H1981-$I1980)))</f>
        <v>846</v>
      </c>
      <c r="AB1981" s="48" t="n">
        <f aca="false">IF($U1981&gt;=ATR_PER,AVERAGE(INDEX($AA$1861:$AA1981,122-ATR_PER):$AA1981),"")</f>
        <v>436.071428571429</v>
      </c>
      <c r="AC1981" s="48" t="n">
        <f aca="false">$O1981-$P1981</f>
        <v>5930122</v>
      </c>
      <c r="AD1981" s="48" t="n">
        <f aca="false">$AC1981*$I1981</f>
        <v>78212379058</v>
      </c>
      <c r="AE1981" s="49" t="n">
        <f aca="false">IF($Q1981&gt;0,$O1981*$I1981/$Q1981/1000000,"")</f>
        <v>233.0831145145</v>
      </c>
      <c r="AF1981" s="49" t="n">
        <f aca="false">IF($R1981&gt;0,$P1981*$I1981/$R1981/1000000,"")</f>
        <v>393.003622542572</v>
      </c>
      <c r="AG1981" s="50" t="n">
        <f aca="false">IF(AND(ISNUMBER($AE1981),ISNUMBER($AF1981),$AF1981&gt;0),$AE1981/$AF1981,"")</f>
        <v>0.593081338554967</v>
      </c>
      <c r="AH1981" s="48" t="n">
        <f aca="false">IF($U1981&gt;=5,SUM(INDEX($AD$1951:$AD1981,32-5):$AD1981),"")</f>
        <v>58566480977</v>
      </c>
      <c r="AI1981" s="48" t="n">
        <f aca="false">IF($U1981&gt;=STRUCT_S,MAX(INDEX($G$1831:$G1981,152-STRUCT_S):$G1981),"")</f>
        <v>14853</v>
      </c>
      <c r="AJ1981" s="48" t="n">
        <f aca="false">IF($U1981&gt;=STRUCT_S,MIN(INDEX($H$1831:$H1981,152-STRUCT_S):$H1981),"")</f>
        <v>12992</v>
      </c>
      <c r="AK1981" s="48" t="n">
        <f aca="false">IF($U1981&gt;=STRUCT_L,MAX(INDEX($G$1731:$G1981,252-STRUCT_L):$G1981),"")</f>
        <v>14853</v>
      </c>
      <c r="AL1981" s="48" t="n">
        <f aca="false">IF($U1981&gt;=STRUCT_L,MIN(INDEX($H$1731:$H1981,252-STRUCT_L):$H1981),"")</f>
        <v>12238</v>
      </c>
      <c r="AM1981" s="46" t="n">
        <f aca="false">IF($A1981&lt;&gt;$A1982,1,0)</f>
        <v>0</v>
      </c>
      <c r="AN1981" s="47" t="str">
        <f aca="false">IF($AM1981=1,$A1981,"")</f>
        <v/>
      </c>
    </row>
    <row r="1982" customFormat="false" ht="15" hidden="false" customHeight="false" outlineLevel="0" collapsed="false">
      <c r="A1982" s="43" t="s">
        <v>167</v>
      </c>
      <c r="B1982" s="44" t="s">
        <v>169</v>
      </c>
      <c r="C1982" s="45" t="n">
        <v>46125</v>
      </c>
      <c r="D1982" s="46" t="n">
        <v>20260413</v>
      </c>
      <c r="E1982" s="47" t="s">
        <v>445</v>
      </c>
      <c r="F1982" s="48" t="n">
        <v>13213</v>
      </c>
      <c r="G1982" s="48" t="n">
        <v>13796</v>
      </c>
      <c r="H1982" s="48" t="n">
        <v>12821</v>
      </c>
      <c r="I1982" s="48" t="n">
        <v>13421</v>
      </c>
      <c r="J1982" s="48" t="n">
        <v>13044</v>
      </c>
      <c r="K1982" s="48" t="n">
        <v>13189</v>
      </c>
      <c r="L1982" s="48" t="n">
        <v>144781187</v>
      </c>
      <c r="M1982" s="48" t="n">
        <v>1943108310727</v>
      </c>
      <c r="N1982" s="48" t="n">
        <v>5627</v>
      </c>
      <c r="O1982" s="48" t="n">
        <v>102098963</v>
      </c>
      <c r="P1982" s="48" t="n">
        <v>40227767</v>
      </c>
      <c r="Q1982" s="48" t="n">
        <v>1168</v>
      </c>
      <c r="R1982" s="48" t="n">
        <v>2654</v>
      </c>
      <c r="S1982" s="48" t="n">
        <v>42682224</v>
      </c>
      <c r="T1982" s="48" t="n">
        <v>104553420</v>
      </c>
      <c r="U1982" s="46" t="n">
        <f aca="false">IF($A1982=$A1981,$U1981+1,1)</f>
        <v>158</v>
      </c>
      <c r="V1982" s="48" t="n">
        <f aca="false">IF($U1982&gt;=MA_SHORT,AVERAGE(INDEX($I$1582:$I1982,402-MA_SHORT):$I1982),"")</f>
        <v>14079.4</v>
      </c>
      <c r="W1982" s="48" t="n">
        <f aca="false">IF($U1982&gt;=MA_MED,AVERAGE(INDEX($I$1582:$I1982,402-MA_MED):$I1982),"")</f>
        <v>13561.94</v>
      </c>
      <c r="X1982" s="48" t="n">
        <f aca="false">IF($U1982&gt;=MA_LONG1,AVERAGE(INDEX($I$1582:$I1982,402-MA_LONG1):$I1982),"")</f>
        <v>13111.72</v>
      </c>
      <c r="Y1982" s="48" t="str">
        <f aca="false">IF($U1982&gt;=MA_LONG2,AVERAGE(INDEX($I$1582:$I1982,402-MA_LONG2):$I1982),"")</f>
        <v/>
      </c>
      <c r="Z1982" s="48" t="n">
        <f aca="false">IF($U1982&gt;=MA_SHORT,AVERAGE(INDEX($L$1862:$L1982,122-MA_SHORT):$L1982),"")</f>
        <v>98746794.8</v>
      </c>
      <c r="AA1982" s="48" t="n">
        <f aca="false">IF($U1982=1,$G1982-$H1982,MAX($G1982-$H1982,ABS($G1982-$I1981),ABS($H1982-$I1981)))</f>
        <v>975</v>
      </c>
      <c r="AB1982" s="48" t="n">
        <f aca="false">IF($U1982&gt;=ATR_PER,AVERAGE(INDEX($AA$1862:$AA1982,122-ATR_PER):$AA1982),"")</f>
        <v>462.714285714286</v>
      </c>
      <c r="AC1982" s="48" t="n">
        <f aca="false">$O1982-$P1982</f>
        <v>61871196</v>
      </c>
      <c r="AD1982" s="48" t="n">
        <f aca="false">$AC1982*$I1982</f>
        <v>830373321516</v>
      </c>
      <c r="AE1982" s="49" t="n">
        <f aca="false">IF($Q1982&gt;0,$O1982*$I1982/$Q1982/1000000,"")</f>
        <v>1173.17652604709</v>
      </c>
      <c r="AF1982" s="49" t="n">
        <f aca="false">IF($R1982&gt;0,$P1982*$I1982/$R1982/1000000,"")</f>
        <v>203.42760395893</v>
      </c>
      <c r="AG1982" s="50" t="n">
        <f aca="false">IF(AND(ISNUMBER($AE1982),ISNUMBER($AF1982),$AF1982&gt;0),$AE1982/$AF1982,"")</f>
        <v>5.76704686687428</v>
      </c>
      <c r="AH1982" s="48" t="n">
        <f aca="false">IF($U1982&gt;=5,SUM(INDEX($AD$1952:$AD1982,32-5):$AD1982),"")</f>
        <v>852795079942</v>
      </c>
      <c r="AI1982" s="48" t="n">
        <f aca="false">IF($U1982&gt;=STRUCT_S,MAX(INDEX($G$1832:$G1982,152-STRUCT_S):$G1982),"")</f>
        <v>14853</v>
      </c>
      <c r="AJ1982" s="48" t="n">
        <f aca="false">IF($U1982&gt;=STRUCT_S,MIN(INDEX($H$1832:$H1982,152-STRUCT_S):$H1982),"")</f>
        <v>12821</v>
      </c>
      <c r="AK1982" s="48" t="n">
        <f aca="false">IF($U1982&gt;=STRUCT_L,MAX(INDEX($G$1732:$G1982,252-STRUCT_L):$G1982),"")</f>
        <v>14853</v>
      </c>
      <c r="AL1982" s="48" t="n">
        <f aca="false">IF($U1982&gt;=STRUCT_L,MIN(INDEX($H$1732:$H1982,252-STRUCT_L):$H1982),"")</f>
        <v>12238</v>
      </c>
      <c r="AM1982" s="46" t="n">
        <f aca="false">IF($A1982&lt;&gt;$A1983,1,0)</f>
        <v>0</v>
      </c>
      <c r="AN1982" s="47" t="str">
        <f aca="false">IF($AM1982=1,$A1982,"")</f>
        <v/>
      </c>
    </row>
    <row r="1983" customFormat="false" ht="15" hidden="false" customHeight="false" outlineLevel="0" collapsed="false">
      <c r="A1983" s="43" t="s">
        <v>167</v>
      </c>
      <c r="B1983" s="44" t="s">
        <v>169</v>
      </c>
      <c r="C1983" s="45" t="n">
        <v>46126</v>
      </c>
      <c r="D1983" s="46" t="n">
        <v>20260414</v>
      </c>
      <c r="E1983" s="47" t="s">
        <v>446</v>
      </c>
      <c r="F1983" s="48" t="n">
        <v>13907</v>
      </c>
      <c r="G1983" s="48" t="n">
        <v>14012</v>
      </c>
      <c r="H1983" s="48" t="n">
        <v>13374</v>
      </c>
      <c r="I1983" s="48" t="n">
        <v>13963</v>
      </c>
      <c r="J1983" s="48" t="n">
        <v>13926</v>
      </c>
      <c r="K1983" s="48" t="n">
        <v>13421</v>
      </c>
      <c r="L1983" s="48" t="n">
        <v>126552521</v>
      </c>
      <c r="M1983" s="48" t="n">
        <v>1767052850723</v>
      </c>
      <c r="N1983" s="48" t="n">
        <v>8239</v>
      </c>
      <c r="O1983" s="48" t="n">
        <v>101242016</v>
      </c>
      <c r="P1983" s="48" t="n">
        <v>26645024</v>
      </c>
      <c r="Q1983" s="48" t="n">
        <v>2805</v>
      </c>
      <c r="R1983" s="48" t="n">
        <v>3927</v>
      </c>
      <c r="S1983" s="48" t="n">
        <v>25310505</v>
      </c>
      <c r="T1983" s="48" t="n">
        <v>99907497</v>
      </c>
      <c r="U1983" s="46" t="n">
        <f aca="false">IF($A1983=$A1982,$U1982+1,1)</f>
        <v>159</v>
      </c>
      <c r="V1983" s="48" t="n">
        <f aca="false">IF($U1983&gt;=MA_SHORT,AVERAGE(INDEX($I$1583:$I1983,402-MA_SHORT):$I1983),"")</f>
        <v>14078.3</v>
      </c>
      <c r="W1983" s="48" t="n">
        <f aca="false">IF($U1983&gt;=MA_MED,AVERAGE(INDEX($I$1583:$I1983,402-MA_MED):$I1983),"")</f>
        <v>13571.28</v>
      </c>
      <c r="X1983" s="48" t="n">
        <f aca="false">IF($U1983&gt;=MA_LONG1,AVERAGE(INDEX($I$1583:$I1983,402-MA_LONG1):$I1983),"")</f>
        <v>13130.73</v>
      </c>
      <c r="Y1983" s="48" t="str">
        <f aca="false">IF($U1983&gt;=MA_LONG2,AVERAGE(INDEX($I$1583:$I1983,402-MA_LONG2):$I1983),"")</f>
        <v/>
      </c>
      <c r="Z1983" s="48" t="n">
        <f aca="false">IF($U1983&gt;=MA_SHORT,AVERAGE(INDEX($L$1863:$L1983,122-MA_SHORT):$L1983),"")</f>
        <v>98942661.75</v>
      </c>
      <c r="AA1983" s="48" t="n">
        <f aca="false">IF($U1983=1,$G1983-$H1983,MAX($G1983-$H1983,ABS($G1983-$I1982),ABS($H1983-$I1982)))</f>
        <v>638</v>
      </c>
      <c r="AB1983" s="48" t="n">
        <f aca="false">IF($U1983&gt;=ATR_PER,AVERAGE(INDEX($AA$1863:$AA1983,122-ATR_PER):$AA1983),"")</f>
        <v>456</v>
      </c>
      <c r="AC1983" s="48" t="n">
        <f aca="false">$O1983-$P1983</f>
        <v>74596992</v>
      </c>
      <c r="AD1983" s="48" t="n">
        <f aca="false">$AC1983*$I1983</f>
        <v>1041597799296</v>
      </c>
      <c r="AE1983" s="49" t="n">
        <f aca="false">IF($Q1983&gt;0,$O1983*$I1983/$Q1983/1000000,"")</f>
        <v>503.972288559002</v>
      </c>
      <c r="AF1983" s="49" t="n">
        <f aca="false">IF($R1983&gt;0,$P1983*$I1983/$R1983/1000000,"")</f>
        <v>94.7401248057041</v>
      </c>
      <c r="AG1983" s="50" t="n">
        <f aca="false">IF(AND(ISNUMBER($AE1983),ISNUMBER($AF1983),$AF1983&gt;0),$AE1983/$AF1983,"")</f>
        <v>5.31952316500072</v>
      </c>
      <c r="AH1983" s="48" t="n">
        <f aca="false">IF($U1983&gt;=5,SUM(INDEX($AD$1953:$AD1983,32-5):$AD1983),"")</f>
        <v>1684268566633</v>
      </c>
      <c r="AI1983" s="48" t="n">
        <f aca="false">IF($U1983&gt;=STRUCT_S,MAX(INDEX($G$1833:$G1983,152-STRUCT_S):$G1983),"")</f>
        <v>14853</v>
      </c>
      <c r="AJ1983" s="48" t="n">
        <f aca="false">IF($U1983&gt;=STRUCT_S,MIN(INDEX($H$1833:$H1983,152-STRUCT_S):$H1983),"")</f>
        <v>12821</v>
      </c>
      <c r="AK1983" s="48" t="n">
        <f aca="false">IF($U1983&gt;=STRUCT_L,MAX(INDEX($G$1733:$G1983,252-STRUCT_L):$G1983),"")</f>
        <v>14853</v>
      </c>
      <c r="AL1983" s="48" t="n">
        <f aca="false">IF($U1983&gt;=STRUCT_L,MIN(INDEX($H$1733:$H1983,252-STRUCT_L):$H1983),"")</f>
        <v>12238</v>
      </c>
      <c r="AM1983" s="46" t="n">
        <f aca="false">IF($A1983&lt;&gt;$A1984,1,0)</f>
        <v>0</v>
      </c>
      <c r="AN1983" s="47" t="str">
        <f aca="false">IF($AM1983=1,$A1983,"")</f>
        <v/>
      </c>
    </row>
    <row r="1984" customFormat="false" ht="15" hidden="false" customHeight="false" outlineLevel="0" collapsed="false">
      <c r="A1984" s="43" t="s">
        <v>167</v>
      </c>
      <c r="B1984" s="44" t="s">
        <v>169</v>
      </c>
      <c r="C1984" s="45" t="n">
        <v>46127</v>
      </c>
      <c r="D1984" s="46" t="n">
        <v>20260415</v>
      </c>
      <c r="E1984" s="47" t="s">
        <v>447</v>
      </c>
      <c r="F1984" s="48" t="n">
        <v>13928</v>
      </c>
      <c r="G1984" s="48" t="n">
        <v>14037</v>
      </c>
      <c r="H1984" s="48" t="n">
        <v>13731</v>
      </c>
      <c r="I1984" s="48" t="n">
        <v>13804</v>
      </c>
      <c r="J1984" s="48" t="n">
        <v>13770</v>
      </c>
      <c r="K1984" s="48" t="n">
        <v>13963</v>
      </c>
      <c r="L1984" s="48" t="n">
        <v>84973769</v>
      </c>
      <c r="M1984" s="48" t="n">
        <v>1172977907276</v>
      </c>
      <c r="N1984" s="48" t="n">
        <v>2410</v>
      </c>
      <c r="O1984" s="48" t="n">
        <v>46661147</v>
      </c>
      <c r="P1984" s="48" t="n">
        <v>33498173</v>
      </c>
      <c r="Q1984" s="48" t="n">
        <v>1669</v>
      </c>
      <c r="R1984" s="48" t="n">
        <v>582</v>
      </c>
      <c r="S1984" s="48" t="n">
        <v>38312622</v>
      </c>
      <c r="T1984" s="48" t="n">
        <v>51475596</v>
      </c>
      <c r="U1984" s="46" t="n">
        <f aca="false">IF($A1984=$A1983,$U1983+1,1)</f>
        <v>160</v>
      </c>
      <c r="V1984" s="48" t="n">
        <f aca="false">IF($U1984&gt;=MA_SHORT,AVERAGE(INDEX($I$1584:$I1984,402-MA_SHORT):$I1984),"")</f>
        <v>14052.25</v>
      </c>
      <c r="W1984" s="48" t="n">
        <f aca="false">IF($U1984&gt;=MA_MED,AVERAGE(INDEX($I$1584:$I1984,402-MA_MED):$I1984),"")</f>
        <v>13575.98</v>
      </c>
      <c r="X1984" s="48" t="n">
        <f aca="false">IF($U1984&gt;=MA_LONG1,AVERAGE(INDEX($I$1584:$I1984,402-MA_LONG1):$I1984),"")</f>
        <v>13149.28</v>
      </c>
      <c r="Y1984" s="48" t="str">
        <f aca="false">IF($U1984&gt;=MA_LONG2,AVERAGE(INDEX($I$1584:$I1984,402-MA_LONG2):$I1984),"")</f>
        <v/>
      </c>
      <c r="Z1984" s="48" t="n">
        <f aca="false">IF($U1984&gt;=MA_SHORT,AVERAGE(INDEX($L$1864:$L1984,122-MA_SHORT):$L1984),"")</f>
        <v>98634259.2</v>
      </c>
      <c r="AA1984" s="48" t="n">
        <f aca="false">IF($U1984=1,$G1984-$H1984,MAX($G1984-$H1984,ABS($G1984-$I1983),ABS($H1984-$I1983)))</f>
        <v>306</v>
      </c>
      <c r="AB1984" s="48" t="n">
        <f aca="false">IF($U1984&gt;=ATR_PER,AVERAGE(INDEX($AA$1864:$AA1984,122-ATR_PER):$AA1984),"")</f>
        <v>441.428571428571</v>
      </c>
      <c r="AC1984" s="48" t="n">
        <f aca="false">$O1984-$P1984</f>
        <v>13162974</v>
      </c>
      <c r="AD1984" s="48" t="n">
        <f aca="false">$AC1984*$I1984</f>
        <v>181701693096</v>
      </c>
      <c r="AE1984" s="49" t="n">
        <f aca="false">IF($Q1984&gt;0,$O1984*$I1984/$Q1984/1000000,"")</f>
        <v>385.925987530258</v>
      </c>
      <c r="AF1984" s="49" t="n">
        <f aca="false">IF($R1984&gt;0,$P1984*$I1984/$R1984/1000000,"")</f>
        <v>794.516804281787</v>
      </c>
      <c r="AG1984" s="50" t="n">
        <f aca="false">IF(AND(ISNUMBER($AE1984),ISNUMBER($AF1984),$AF1984&gt;0),$AE1984/$AF1984,"")</f>
        <v>0.485736721300842</v>
      </c>
      <c r="AH1984" s="48" t="n">
        <f aca="false">IF($U1984&gt;=5,SUM(INDEX($AD$1954:$AD1984,32-5):$AD1984),"")</f>
        <v>1850636225221</v>
      </c>
      <c r="AI1984" s="48" t="n">
        <f aca="false">IF($U1984&gt;=STRUCT_S,MAX(INDEX($G$1834:$G1984,152-STRUCT_S):$G1984),"")</f>
        <v>14853</v>
      </c>
      <c r="AJ1984" s="48" t="n">
        <f aca="false">IF($U1984&gt;=STRUCT_S,MIN(INDEX($H$1834:$H1984,152-STRUCT_S):$H1984),"")</f>
        <v>12821</v>
      </c>
      <c r="AK1984" s="48" t="n">
        <f aca="false">IF($U1984&gt;=STRUCT_L,MAX(INDEX($G$1734:$G1984,252-STRUCT_L):$G1984),"")</f>
        <v>14853</v>
      </c>
      <c r="AL1984" s="48" t="n">
        <f aca="false">IF($U1984&gt;=STRUCT_L,MIN(INDEX($H$1734:$H1984,252-STRUCT_L):$H1984),"")</f>
        <v>12238</v>
      </c>
      <c r="AM1984" s="46" t="n">
        <f aca="false">IF($A1984&lt;&gt;$A1985,1,0)</f>
        <v>0</v>
      </c>
      <c r="AN1984" s="47" t="str">
        <f aca="false">IF($AM1984=1,$A1984,"")</f>
        <v/>
      </c>
    </row>
    <row r="1985" customFormat="false" ht="15" hidden="false" customHeight="false" outlineLevel="0" collapsed="false">
      <c r="A1985" s="43" t="s">
        <v>167</v>
      </c>
      <c r="B1985" s="44" t="s">
        <v>169</v>
      </c>
      <c r="C1985" s="45" t="n">
        <v>46130</v>
      </c>
      <c r="D1985" s="46" t="n">
        <v>20260418</v>
      </c>
      <c r="E1985" s="47" t="s">
        <v>448</v>
      </c>
      <c r="F1985" s="48" t="n">
        <v>13672</v>
      </c>
      <c r="G1985" s="48" t="n">
        <v>13991</v>
      </c>
      <c r="H1985" s="48" t="n">
        <v>13579</v>
      </c>
      <c r="I1985" s="48" t="n">
        <v>13765</v>
      </c>
      <c r="J1985" s="48" t="n">
        <v>13962</v>
      </c>
      <c r="K1985" s="48" t="n">
        <v>13804</v>
      </c>
      <c r="L1985" s="48" t="n">
        <v>80887687</v>
      </c>
      <c r="M1985" s="48" t="n">
        <v>1113419011555</v>
      </c>
      <c r="N1985" s="48" t="n">
        <v>1899</v>
      </c>
      <c r="O1985" s="48" t="n">
        <v>47955886</v>
      </c>
      <c r="P1985" s="48" t="n">
        <v>27179595</v>
      </c>
      <c r="Q1985" s="48" t="n">
        <v>1379</v>
      </c>
      <c r="R1985" s="48" t="n">
        <v>750</v>
      </c>
      <c r="S1985" s="48" t="n">
        <v>32931801</v>
      </c>
      <c r="T1985" s="48" t="n">
        <v>53708092</v>
      </c>
      <c r="U1985" s="46" t="n">
        <f aca="false">IF($A1985=$A1984,$U1984+1,1)</f>
        <v>161</v>
      </c>
      <c r="V1985" s="48" t="n">
        <f aca="false">IF($U1985&gt;=MA_SHORT,AVERAGE(INDEX($I$1585:$I1985,402-MA_SHORT):$I1985),"")</f>
        <v>14034.2</v>
      </c>
      <c r="W1985" s="48" t="n">
        <f aca="false">IF($U1985&gt;=MA_MED,AVERAGE(INDEX($I$1585:$I1985,402-MA_MED):$I1985),"")</f>
        <v>13584.52</v>
      </c>
      <c r="X1985" s="48" t="n">
        <f aca="false">IF($U1985&gt;=MA_LONG1,AVERAGE(INDEX($I$1585:$I1985,402-MA_LONG1):$I1985),"")</f>
        <v>13169.24</v>
      </c>
      <c r="Y1985" s="48" t="str">
        <f aca="false">IF($U1985&gt;=MA_LONG2,AVERAGE(INDEX($I$1585:$I1985,402-MA_LONG2):$I1985),"")</f>
        <v/>
      </c>
      <c r="Z1985" s="48" t="n">
        <f aca="false">IF($U1985&gt;=MA_SHORT,AVERAGE(INDEX($L$1865:$L1985,122-MA_SHORT):$L1985),"")</f>
        <v>98370191.75</v>
      </c>
      <c r="AA1985" s="48" t="n">
        <f aca="false">IF($U1985=1,$G1985-$H1985,MAX($G1985-$H1985,ABS($G1985-$I1984),ABS($H1985-$I1984)))</f>
        <v>412</v>
      </c>
      <c r="AB1985" s="48" t="n">
        <f aca="false">IF($U1985&gt;=ATR_PER,AVERAGE(INDEX($AA$1865:$AA1985,122-ATR_PER):$AA1985),"")</f>
        <v>453.714285714286</v>
      </c>
      <c r="AC1985" s="48" t="n">
        <f aca="false">$O1985-$P1985</f>
        <v>20776291</v>
      </c>
      <c r="AD1985" s="48" t="n">
        <f aca="false">$AC1985*$I1985</f>
        <v>285985645615</v>
      </c>
      <c r="AE1985" s="49" t="n">
        <f aca="false">IF($Q1985&gt;0,$O1985*$I1985/$Q1985/1000000,"")</f>
        <v>478.689463952139</v>
      </c>
      <c r="AF1985" s="49" t="n">
        <f aca="false">IF($R1985&gt;0,$P1985*$I1985/$R1985/1000000,"")</f>
        <v>498.8361669</v>
      </c>
      <c r="AG1985" s="50" t="n">
        <f aca="false">IF(AND(ISNUMBER($AE1985),ISNUMBER($AF1985),$AF1985&gt;0),$AE1985/$AF1985,"")</f>
        <v>0.959612585685072</v>
      </c>
      <c r="AH1985" s="48" t="n">
        <f aca="false">IF($U1985&gt;=5,SUM(INDEX($AD$1955:$AD1985,32-5):$AD1985),"")</f>
        <v>2417870838581</v>
      </c>
      <c r="AI1985" s="48" t="n">
        <f aca="false">IF($U1985&gt;=STRUCT_S,MAX(INDEX($G$1835:$G1985,152-STRUCT_S):$G1985),"")</f>
        <v>14853</v>
      </c>
      <c r="AJ1985" s="48" t="n">
        <f aca="false">IF($U1985&gt;=STRUCT_S,MIN(INDEX($H$1835:$H1985,152-STRUCT_S):$H1985),"")</f>
        <v>12821</v>
      </c>
      <c r="AK1985" s="48" t="n">
        <f aca="false">IF($U1985&gt;=STRUCT_L,MAX(INDEX($G$1735:$G1985,252-STRUCT_L):$G1985),"")</f>
        <v>14853</v>
      </c>
      <c r="AL1985" s="48" t="n">
        <f aca="false">IF($U1985&gt;=STRUCT_L,MIN(INDEX($H$1735:$H1985,252-STRUCT_L):$H1985),"")</f>
        <v>12238</v>
      </c>
      <c r="AM1985" s="46" t="n">
        <f aca="false">IF($A1985&lt;&gt;$A1986,1,0)</f>
        <v>0</v>
      </c>
      <c r="AN1985" s="47" t="str">
        <f aca="false">IF($AM1985=1,$A1985,"")</f>
        <v/>
      </c>
    </row>
    <row r="1986" customFormat="false" ht="15" hidden="false" customHeight="false" outlineLevel="0" collapsed="false">
      <c r="A1986" s="43" t="s">
        <v>167</v>
      </c>
      <c r="B1986" s="44" t="s">
        <v>169</v>
      </c>
      <c r="C1986" s="45" t="n">
        <v>46131</v>
      </c>
      <c r="D1986" s="46" t="n">
        <v>20260419</v>
      </c>
      <c r="E1986" s="47" t="s">
        <v>449</v>
      </c>
      <c r="F1986" s="48" t="n">
        <v>14107</v>
      </c>
      <c r="G1986" s="48" t="n">
        <v>14152</v>
      </c>
      <c r="H1986" s="48" t="n">
        <v>13580</v>
      </c>
      <c r="I1986" s="48" t="n">
        <v>13965</v>
      </c>
      <c r="J1986" s="48" t="n">
        <v>13772</v>
      </c>
      <c r="K1986" s="48" t="n">
        <v>13765</v>
      </c>
      <c r="L1986" s="48" t="n">
        <v>86473420</v>
      </c>
      <c r="M1986" s="48" t="n">
        <v>1207601310300</v>
      </c>
      <c r="N1986" s="48" t="n">
        <v>6058</v>
      </c>
      <c r="O1986" s="48" t="n">
        <v>61424198</v>
      </c>
      <c r="P1986" s="48" t="n">
        <v>29782016</v>
      </c>
      <c r="Q1986" s="48" t="n">
        <v>1837</v>
      </c>
      <c r="R1986" s="48" t="n">
        <v>4718</v>
      </c>
      <c r="S1986" s="48" t="n">
        <v>25049222</v>
      </c>
      <c r="T1986" s="48" t="n">
        <v>56691404</v>
      </c>
      <c r="U1986" s="46" t="n">
        <f aca="false">IF($A1986=$A1985,$U1985+1,1)</f>
        <v>162</v>
      </c>
      <c r="V1986" s="48" t="n">
        <f aca="false">IF($U1986&gt;=MA_SHORT,AVERAGE(INDEX($I$1586:$I1986,402-MA_SHORT):$I1986),"")</f>
        <v>14027.65</v>
      </c>
      <c r="W1986" s="48" t="n">
        <f aca="false">IF($U1986&gt;=MA_MED,AVERAGE(INDEX($I$1586:$I1986,402-MA_MED):$I1986),"")</f>
        <v>13599.42</v>
      </c>
      <c r="X1986" s="48" t="n">
        <f aca="false">IF($U1986&gt;=MA_LONG1,AVERAGE(INDEX($I$1586:$I1986,402-MA_LONG1):$I1986),"")</f>
        <v>13190.39</v>
      </c>
      <c r="Y1986" s="48" t="str">
        <f aca="false">IF($U1986&gt;=MA_LONG2,AVERAGE(INDEX($I$1586:$I1986,402-MA_LONG2):$I1986),"")</f>
        <v/>
      </c>
      <c r="Z1986" s="48" t="n">
        <f aca="false">IF($U1986&gt;=MA_SHORT,AVERAGE(INDEX($L$1866:$L1986,122-MA_SHORT):$L1986),"")</f>
        <v>97955413.3</v>
      </c>
      <c r="AA1986" s="48" t="n">
        <f aca="false">IF($U1986=1,$G1986-$H1986,MAX($G1986-$H1986,ABS($G1986-$I1985),ABS($H1986-$I1985)))</f>
        <v>572</v>
      </c>
      <c r="AB1986" s="48" t="n">
        <f aca="false">IF($U1986&gt;=ATR_PER,AVERAGE(INDEX($AA$1866:$AA1986,122-ATR_PER):$AA1986),"")</f>
        <v>461.714285714286</v>
      </c>
      <c r="AC1986" s="48" t="n">
        <f aca="false">$O1986-$P1986</f>
        <v>31642182</v>
      </c>
      <c r="AD1986" s="48" t="n">
        <f aca="false">$AC1986*$I1986</f>
        <v>441883071630</v>
      </c>
      <c r="AE1986" s="49" t="n">
        <f aca="false">IF($Q1986&gt;0,$O1986*$I1986/$Q1986/1000000,"")</f>
        <v>466.950966287425</v>
      </c>
      <c r="AF1986" s="49" t="n">
        <f aca="false">IF($R1986&gt;0,$P1986*$I1986/$R1986/1000000,"")</f>
        <v>88.1529998813056</v>
      </c>
      <c r="AG1986" s="50" t="n">
        <f aca="false">IF(AND(ISNUMBER($AE1986),ISNUMBER($AF1986),$AF1986&gt;0),$AE1986/$AF1986,"")</f>
        <v>5.29705134160103</v>
      </c>
      <c r="AH1986" s="48" t="n">
        <f aca="false">IF($U1986&gt;=5,SUM(INDEX($AD$1956:$AD1986,32-5):$AD1986),"")</f>
        <v>2781541531153</v>
      </c>
      <c r="AI1986" s="48" t="n">
        <f aca="false">IF($U1986&gt;=STRUCT_S,MAX(INDEX($G$1836:$G1986,152-STRUCT_S):$G1986),"")</f>
        <v>14853</v>
      </c>
      <c r="AJ1986" s="48" t="n">
        <f aca="false">IF($U1986&gt;=STRUCT_S,MIN(INDEX($H$1836:$H1986,152-STRUCT_S):$H1986),"")</f>
        <v>12821</v>
      </c>
      <c r="AK1986" s="48" t="n">
        <f aca="false">IF($U1986&gt;=STRUCT_L,MAX(INDEX($G$1736:$G1986,252-STRUCT_L):$G1986),"")</f>
        <v>14853</v>
      </c>
      <c r="AL1986" s="48" t="n">
        <f aca="false">IF($U1986&gt;=STRUCT_L,MIN(INDEX($H$1736:$H1986,252-STRUCT_L):$H1986),"")</f>
        <v>12238</v>
      </c>
      <c r="AM1986" s="46" t="n">
        <f aca="false">IF($A1986&lt;&gt;$A1987,1,0)</f>
        <v>0</v>
      </c>
      <c r="AN1986" s="47" t="str">
        <f aca="false">IF($AM1986=1,$A1986,"")</f>
        <v/>
      </c>
    </row>
    <row r="1987" customFormat="false" ht="15" hidden="false" customHeight="false" outlineLevel="0" collapsed="false">
      <c r="A1987" s="43" t="s">
        <v>167</v>
      </c>
      <c r="B1987" s="44" t="s">
        <v>169</v>
      </c>
      <c r="C1987" s="45" t="n">
        <v>46132</v>
      </c>
      <c r="D1987" s="46" t="n">
        <v>20260420</v>
      </c>
      <c r="E1987" s="47" t="s">
        <v>450</v>
      </c>
      <c r="F1987" s="48" t="n">
        <v>14016</v>
      </c>
      <c r="G1987" s="48" t="n">
        <v>14295</v>
      </c>
      <c r="H1987" s="48" t="n">
        <v>13730</v>
      </c>
      <c r="I1987" s="48" t="n">
        <v>14059</v>
      </c>
      <c r="J1987" s="48" t="n">
        <v>14038</v>
      </c>
      <c r="K1987" s="48" t="n">
        <v>13965</v>
      </c>
      <c r="L1987" s="48" t="n">
        <v>150120889</v>
      </c>
      <c r="M1987" s="48" t="n">
        <v>2110549578451</v>
      </c>
      <c r="N1987" s="48" t="n">
        <v>5206</v>
      </c>
      <c r="O1987" s="48" t="n">
        <v>92099191</v>
      </c>
      <c r="P1987" s="48" t="n">
        <v>55431108</v>
      </c>
      <c r="Q1987" s="48" t="n">
        <v>1742</v>
      </c>
      <c r="R1987" s="48" t="n">
        <v>3030</v>
      </c>
      <c r="S1987" s="48" t="n">
        <v>58021698</v>
      </c>
      <c r="T1987" s="48" t="n">
        <v>94689781</v>
      </c>
      <c r="U1987" s="46" t="n">
        <f aca="false">IF($A1987=$A1986,$U1986+1,1)</f>
        <v>163</v>
      </c>
      <c r="V1987" s="48" t="n">
        <f aca="false">IF($U1987&gt;=MA_SHORT,AVERAGE(INDEX($I$1587:$I1987,402-MA_SHORT):$I1987),"")</f>
        <v>14031.2</v>
      </c>
      <c r="W1987" s="48" t="n">
        <f aca="false">IF($U1987&gt;=MA_MED,AVERAGE(INDEX($I$1587:$I1987,402-MA_MED):$I1987),"")</f>
        <v>13625.18</v>
      </c>
      <c r="X1987" s="48" t="n">
        <f aca="false">IF($U1987&gt;=MA_LONG1,AVERAGE(INDEX($I$1587:$I1987,402-MA_LONG1):$I1987),"")</f>
        <v>13211.7</v>
      </c>
      <c r="Y1987" s="48" t="str">
        <f aca="false">IF($U1987&gt;=MA_LONG2,AVERAGE(INDEX($I$1587:$I1987,402-MA_LONG2):$I1987),"")</f>
        <v/>
      </c>
      <c r="Z1987" s="48" t="n">
        <f aca="false">IF($U1987&gt;=MA_SHORT,AVERAGE(INDEX($L$1867:$L1987,122-MA_SHORT):$L1987),"")</f>
        <v>101301666.2</v>
      </c>
      <c r="AA1987" s="48" t="n">
        <f aca="false">IF($U1987=1,$G1987-$H1987,MAX($G1987-$H1987,ABS($G1987-$I1986),ABS($H1987-$I1986)))</f>
        <v>565</v>
      </c>
      <c r="AB1987" s="48" t="n">
        <f aca="false">IF($U1987&gt;=ATR_PER,AVERAGE(INDEX($AA$1867:$AA1987,122-ATR_PER):$AA1987),"")</f>
        <v>490.285714285714</v>
      </c>
      <c r="AC1987" s="48" t="n">
        <f aca="false">$O1987-$P1987</f>
        <v>36668083</v>
      </c>
      <c r="AD1987" s="48" t="n">
        <f aca="false">$AC1987*$I1987</f>
        <v>515516578897</v>
      </c>
      <c r="AE1987" s="49" t="n">
        <f aca="false">IF($Q1987&gt;0,$O1987*$I1987/$Q1987/1000000,"")</f>
        <v>743.296513357635</v>
      </c>
      <c r="AF1987" s="49" t="n">
        <f aca="false">IF($R1987&gt;0,$P1987*$I1987/$R1987/1000000,"")</f>
        <v>257.19668230099</v>
      </c>
      <c r="AG1987" s="50" t="n">
        <f aca="false">IF(AND(ISNUMBER($AE1987),ISNUMBER($AF1987),$AF1987&gt;0),$AE1987/$AF1987,"")</f>
        <v>2.88999261851977</v>
      </c>
      <c r="AH1987" s="48" t="n">
        <f aca="false">IF($U1987&gt;=5,SUM(INDEX($AD$1957:$AD1987,32-5):$AD1987),"")</f>
        <v>2466684788534</v>
      </c>
      <c r="AI1987" s="48" t="n">
        <f aca="false">IF($U1987&gt;=STRUCT_S,MAX(INDEX($G$1837:$G1987,152-STRUCT_S):$G1987),"")</f>
        <v>14853</v>
      </c>
      <c r="AJ1987" s="48" t="n">
        <f aca="false">IF($U1987&gt;=STRUCT_S,MIN(INDEX($H$1837:$H1987,152-STRUCT_S):$H1987),"")</f>
        <v>12821</v>
      </c>
      <c r="AK1987" s="48" t="n">
        <f aca="false">IF($U1987&gt;=STRUCT_L,MAX(INDEX($G$1737:$G1987,252-STRUCT_L):$G1987),"")</f>
        <v>14853</v>
      </c>
      <c r="AL1987" s="48" t="n">
        <f aca="false">IF($U1987&gt;=STRUCT_L,MIN(INDEX($H$1737:$H1987,252-STRUCT_L):$H1987),"")</f>
        <v>12238</v>
      </c>
      <c r="AM1987" s="46" t="n">
        <f aca="false">IF($A1987&lt;&gt;$A1988,1,0)</f>
        <v>0</v>
      </c>
      <c r="AN1987" s="47" t="str">
        <f aca="false">IF($AM1987=1,$A1987,"")</f>
        <v/>
      </c>
    </row>
    <row r="1988" customFormat="false" ht="15" hidden="false" customHeight="false" outlineLevel="0" collapsed="false">
      <c r="A1988" s="43" t="s">
        <v>167</v>
      </c>
      <c r="B1988" s="44" t="s">
        <v>169</v>
      </c>
      <c r="C1988" s="45" t="n">
        <v>46133</v>
      </c>
      <c r="D1988" s="46" t="n">
        <v>20260421</v>
      </c>
      <c r="E1988" s="47" t="s">
        <v>451</v>
      </c>
      <c r="F1988" s="48" t="n">
        <v>13957</v>
      </c>
      <c r="G1988" s="48" t="n">
        <v>14231</v>
      </c>
      <c r="H1988" s="48" t="n">
        <v>13812</v>
      </c>
      <c r="I1988" s="48" t="n">
        <v>13983</v>
      </c>
      <c r="J1988" s="48" t="n">
        <v>14074</v>
      </c>
      <c r="K1988" s="48" t="n">
        <v>14059</v>
      </c>
      <c r="L1988" s="48" t="n">
        <v>85902246</v>
      </c>
      <c r="M1988" s="48" t="n">
        <v>1201171105818</v>
      </c>
      <c r="N1988" s="48" t="n">
        <v>3779</v>
      </c>
      <c r="O1988" s="48" t="n">
        <v>44788613</v>
      </c>
      <c r="P1988" s="48" t="n">
        <v>41120803</v>
      </c>
      <c r="Q1988" s="48" t="n">
        <v>2104</v>
      </c>
      <c r="R1988" s="48" t="n">
        <v>1157</v>
      </c>
      <c r="S1988" s="48" t="n">
        <v>41113633</v>
      </c>
      <c r="T1988" s="48" t="n">
        <v>44781443</v>
      </c>
      <c r="U1988" s="46" t="n">
        <f aca="false">IF($A1988=$A1987,$U1987+1,1)</f>
        <v>164</v>
      </c>
      <c r="V1988" s="48" t="n">
        <f aca="false">IF($U1988&gt;=MA_SHORT,AVERAGE(INDEX($I$1588:$I1988,402-MA_SHORT):$I1988),"")</f>
        <v>14018.35</v>
      </c>
      <c r="W1988" s="48" t="n">
        <f aca="false">IF($U1988&gt;=MA_MED,AVERAGE(INDEX($I$1588:$I1988,402-MA_MED):$I1988),"")</f>
        <v>13655.48</v>
      </c>
      <c r="X1988" s="48" t="n">
        <f aca="false">IF($U1988&gt;=MA_LONG1,AVERAGE(INDEX($I$1588:$I1988,402-MA_LONG1):$I1988),"")</f>
        <v>13232.61</v>
      </c>
      <c r="Y1988" s="48" t="str">
        <f aca="false">IF($U1988&gt;=MA_LONG2,AVERAGE(INDEX($I$1588:$I1988,402-MA_LONG2):$I1988),"")</f>
        <v/>
      </c>
      <c r="Z1988" s="48" t="n">
        <f aca="false">IF($U1988&gt;=MA_SHORT,AVERAGE(INDEX($L$1868:$L1988,122-MA_SHORT):$L1988),"")</f>
        <v>101189929.1</v>
      </c>
      <c r="AA1988" s="48" t="n">
        <f aca="false">IF($U1988=1,$G1988-$H1988,MAX($G1988-$H1988,ABS($G1988-$I1987),ABS($H1988-$I1987)))</f>
        <v>419</v>
      </c>
      <c r="AB1988" s="48" t="n">
        <f aca="false">IF($U1988&gt;=ATR_PER,AVERAGE(INDEX($AA$1868:$AA1988,122-ATR_PER):$AA1988),"")</f>
        <v>506.214285714286</v>
      </c>
      <c r="AC1988" s="48" t="n">
        <f aca="false">$O1988-$P1988</f>
        <v>3667810</v>
      </c>
      <c r="AD1988" s="48" t="n">
        <f aca="false">$AC1988*$I1988</f>
        <v>51286987230</v>
      </c>
      <c r="AE1988" s="49" t="n">
        <f aca="false">IF($Q1988&gt;0,$O1988*$I1988/$Q1988/1000000,"")</f>
        <v>297.661205123099</v>
      </c>
      <c r="AF1988" s="49" t="n">
        <f aca="false">IF($R1988&gt;0,$P1988*$I1988/$R1988/1000000,"")</f>
        <v>496.96818353414</v>
      </c>
      <c r="AG1988" s="50" t="n">
        <f aca="false">IF(AND(ISNUMBER($AE1988),ISNUMBER($AF1988),$AF1988&gt;0),$AE1988/$AF1988,"")</f>
        <v>0.598954248954753</v>
      </c>
      <c r="AH1988" s="48" t="n">
        <f aca="false">IF($U1988&gt;=5,SUM(INDEX($AD$1958:$AD1988,32-5):$AD1988),"")</f>
        <v>1476373976468</v>
      </c>
      <c r="AI1988" s="48" t="n">
        <f aca="false">IF($U1988&gt;=STRUCT_S,MAX(INDEX($G$1838:$G1988,152-STRUCT_S):$G1988),"")</f>
        <v>14853</v>
      </c>
      <c r="AJ1988" s="48" t="n">
        <f aca="false">IF($U1988&gt;=STRUCT_S,MIN(INDEX($H$1838:$H1988,152-STRUCT_S):$H1988),"")</f>
        <v>12821</v>
      </c>
      <c r="AK1988" s="48" t="n">
        <f aca="false">IF($U1988&gt;=STRUCT_L,MAX(INDEX($G$1738:$G1988,252-STRUCT_L):$G1988),"")</f>
        <v>14853</v>
      </c>
      <c r="AL1988" s="48" t="n">
        <f aca="false">IF($U1988&gt;=STRUCT_L,MIN(INDEX($H$1738:$H1988,252-STRUCT_L):$H1988),"")</f>
        <v>12238</v>
      </c>
      <c r="AM1988" s="46" t="n">
        <f aca="false">IF($A1988&lt;&gt;$A1989,1,0)</f>
        <v>0</v>
      </c>
      <c r="AN1988" s="47" t="str">
        <f aca="false">IF($AM1988=1,$A1988,"")</f>
        <v/>
      </c>
    </row>
    <row r="1989" customFormat="false" ht="15" hidden="false" customHeight="false" outlineLevel="0" collapsed="false">
      <c r="A1989" s="43" t="s">
        <v>167</v>
      </c>
      <c r="B1989" s="44" t="s">
        <v>169</v>
      </c>
      <c r="C1989" s="45" t="n">
        <v>46134</v>
      </c>
      <c r="D1989" s="46" t="n">
        <v>20260422</v>
      </c>
      <c r="E1989" s="47" t="s">
        <v>452</v>
      </c>
      <c r="F1989" s="48" t="n">
        <v>14021</v>
      </c>
      <c r="G1989" s="48" t="n">
        <v>14110</v>
      </c>
      <c r="H1989" s="48" t="n">
        <v>13709</v>
      </c>
      <c r="I1989" s="48" t="n">
        <v>13835</v>
      </c>
      <c r="J1989" s="48" t="n">
        <v>14063</v>
      </c>
      <c r="K1989" s="48" t="n">
        <v>13983</v>
      </c>
      <c r="L1989" s="48" t="n">
        <v>84590569</v>
      </c>
      <c r="M1989" s="48" t="n">
        <v>1170310522115</v>
      </c>
      <c r="N1989" s="48" t="n">
        <v>4913</v>
      </c>
      <c r="O1989" s="48" t="n">
        <v>37375507</v>
      </c>
      <c r="P1989" s="48" t="n">
        <v>49107975</v>
      </c>
      <c r="Q1989" s="48" t="n">
        <v>2621</v>
      </c>
      <c r="R1989" s="48" t="n">
        <v>2005</v>
      </c>
      <c r="S1989" s="48" t="n">
        <v>47215062</v>
      </c>
      <c r="T1989" s="48" t="n">
        <v>35482594</v>
      </c>
      <c r="U1989" s="46" t="n">
        <f aca="false">IF($A1989=$A1988,$U1988+1,1)</f>
        <v>165</v>
      </c>
      <c r="V1989" s="48" t="n">
        <f aca="false">IF($U1989&gt;=MA_SHORT,AVERAGE(INDEX($I$1589:$I1989,402-MA_SHORT):$I1989),"")</f>
        <v>13988.6</v>
      </c>
      <c r="W1989" s="48" t="n">
        <f aca="false">IF($U1989&gt;=MA_MED,AVERAGE(INDEX($I$1589:$I1989,402-MA_MED):$I1989),"")</f>
        <v>13681.02</v>
      </c>
      <c r="X1989" s="48" t="n">
        <f aca="false">IF($U1989&gt;=MA_LONG1,AVERAGE(INDEX($I$1589:$I1989,402-MA_LONG1):$I1989),"")</f>
        <v>13250.08</v>
      </c>
      <c r="Y1989" s="48" t="str">
        <f aca="false">IF($U1989&gt;=MA_LONG2,AVERAGE(INDEX($I$1589:$I1989,402-MA_LONG2):$I1989),"")</f>
        <v/>
      </c>
      <c r="Z1989" s="48" t="n">
        <f aca="false">IF($U1989&gt;=MA_SHORT,AVERAGE(INDEX($L$1869:$L1989,122-MA_SHORT):$L1989),"")</f>
        <v>101124108.3</v>
      </c>
      <c r="AA1989" s="48" t="n">
        <f aca="false">IF($U1989=1,$G1989-$H1989,MAX($G1989-$H1989,ABS($G1989-$I1988),ABS($H1989-$I1988)))</f>
        <v>401</v>
      </c>
      <c r="AB1989" s="48" t="n">
        <f aca="false">IF($U1989&gt;=ATR_PER,AVERAGE(INDEX($AA$1869:$AA1989,122-ATR_PER):$AA1989),"")</f>
        <v>513.5</v>
      </c>
      <c r="AC1989" s="48" t="n">
        <f aca="false">$O1989-$P1989</f>
        <v>-11732468</v>
      </c>
      <c r="AD1989" s="48" t="n">
        <f aca="false">$AC1989*$I1989</f>
        <v>-162318694780</v>
      </c>
      <c r="AE1989" s="49" t="n">
        <f aca="false">IF($Q1989&gt;0,$O1989*$I1989/$Q1989/1000000,"")</f>
        <v>197.287348090424</v>
      </c>
      <c r="AF1989" s="49" t="n">
        <f aca="false">IF($R1989&gt;0,$P1989*$I1989/$R1989/1000000,"")</f>
        <v>338.857273877806</v>
      </c>
      <c r="AG1989" s="50" t="n">
        <f aca="false">IF(AND(ISNUMBER($AE1989),ISNUMBER($AF1989),$AF1989&gt;0),$AE1989/$AF1989,"")</f>
        <v>0.582213702638613</v>
      </c>
      <c r="AH1989" s="48" t="n">
        <f aca="false">IF($U1989&gt;=5,SUM(INDEX($AD$1959:$AD1989,32-5):$AD1989),"")</f>
        <v>1132353588592</v>
      </c>
      <c r="AI1989" s="48" t="n">
        <f aca="false">IF($U1989&gt;=STRUCT_S,MAX(INDEX($G$1839:$G1989,152-STRUCT_S):$G1989),"")</f>
        <v>14853</v>
      </c>
      <c r="AJ1989" s="48" t="n">
        <f aca="false">IF($U1989&gt;=STRUCT_S,MIN(INDEX($H$1839:$H1989,152-STRUCT_S):$H1989),"")</f>
        <v>12821</v>
      </c>
      <c r="AK1989" s="48" t="n">
        <f aca="false">IF($U1989&gt;=STRUCT_L,MAX(INDEX($G$1739:$G1989,252-STRUCT_L):$G1989),"")</f>
        <v>14853</v>
      </c>
      <c r="AL1989" s="48" t="n">
        <f aca="false">IF($U1989&gt;=STRUCT_L,MIN(INDEX($H$1739:$H1989,252-STRUCT_L):$H1989),"")</f>
        <v>12238</v>
      </c>
      <c r="AM1989" s="46" t="n">
        <f aca="false">IF($A1989&lt;&gt;$A1990,1,0)</f>
        <v>0</v>
      </c>
      <c r="AN1989" s="47" t="str">
        <f aca="false">IF($AM1989=1,$A1989,"")</f>
        <v/>
      </c>
    </row>
    <row r="1990" customFormat="false" ht="15" hidden="false" customHeight="false" outlineLevel="0" collapsed="false">
      <c r="A1990" s="43" t="s">
        <v>167</v>
      </c>
      <c r="B1990" s="44" t="s">
        <v>169</v>
      </c>
      <c r="C1990" s="45" t="n">
        <v>46137</v>
      </c>
      <c r="D1990" s="46" t="n">
        <v>20260425</v>
      </c>
      <c r="E1990" s="47" t="s">
        <v>453</v>
      </c>
      <c r="F1990" s="48" t="n">
        <v>13796</v>
      </c>
      <c r="G1990" s="48" t="n">
        <v>14295</v>
      </c>
      <c r="H1990" s="48" t="n">
        <v>13770</v>
      </c>
      <c r="I1990" s="48" t="n">
        <v>14228</v>
      </c>
      <c r="J1990" s="48" t="n">
        <v>14193</v>
      </c>
      <c r="K1990" s="48" t="n">
        <v>13835</v>
      </c>
      <c r="L1990" s="48" t="n">
        <v>240719670</v>
      </c>
      <c r="M1990" s="48" t="n">
        <v>3424959464760</v>
      </c>
      <c r="N1990" s="48" t="n">
        <v>7383</v>
      </c>
      <c r="O1990" s="48" t="n">
        <v>150647337</v>
      </c>
      <c r="P1990" s="48" t="n">
        <v>92756827</v>
      </c>
      <c r="Q1990" s="48" t="n">
        <v>1767</v>
      </c>
      <c r="R1990" s="48" t="n">
        <v>3786</v>
      </c>
      <c r="S1990" s="48" t="n">
        <v>90072333</v>
      </c>
      <c r="T1990" s="48" t="n">
        <v>147962843</v>
      </c>
      <c r="U1990" s="46" t="n">
        <f aca="false">IF($A1990=$A1989,$U1989+1,1)</f>
        <v>166</v>
      </c>
      <c r="V1990" s="48" t="n">
        <f aca="false">IF($U1990&gt;=MA_SHORT,AVERAGE(INDEX($I$1590:$I1990,402-MA_SHORT):$I1990),"")</f>
        <v>13963.4</v>
      </c>
      <c r="W1990" s="48" t="n">
        <f aca="false">IF($U1990&gt;=MA_MED,AVERAGE(INDEX($I$1590:$I1990,402-MA_MED):$I1990),"")</f>
        <v>13708.78</v>
      </c>
      <c r="X1990" s="48" t="n">
        <f aca="false">IF($U1990&gt;=MA_LONG1,AVERAGE(INDEX($I$1590:$I1990,402-MA_LONG1):$I1990),"")</f>
        <v>13267.85</v>
      </c>
      <c r="Y1990" s="48" t="str">
        <f aca="false">IF($U1990&gt;=MA_LONG2,AVERAGE(INDEX($I$1590:$I1990,402-MA_LONG2):$I1990),"")</f>
        <v/>
      </c>
      <c r="Z1990" s="48" t="n">
        <f aca="false">IF($U1990&gt;=MA_SHORT,AVERAGE(INDEX($L$1870:$L1990,122-MA_SHORT):$L1990),"")</f>
        <v>106660905.4</v>
      </c>
      <c r="AA1990" s="48" t="n">
        <f aca="false">IF($U1990=1,$G1990-$H1990,MAX($G1990-$H1990,ABS($G1990-$I1989),ABS($H1990-$I1989)))</f>
        <v>525</v>
      </c>
      <c r="AB1990" s="48" t="n">
        <f aca="false">IF($U1990&gt;=ATR_PER,AVERAGE(INDEX($AA$1870:$AA1990,122-ATR_PER):$AA1990),"")</f>
        <v>494.857142857143</v>
      </c>
      <c r="AC1990" s="48" t="n">
        <f aca="false">$O1990-$P1990</f>
        <v>57890510</v>
      </c>
      <c r="AD1990" s="48" t="n">
        <f aca="false">$AC1990*$I1990</f>
        <v>823666176280</v>
      </c>
      <c r="AE1990" s="49" t="n">
        <f aca="false">IF($Q1990&gt;0,$O1990*$I1990/$Q1990/1000000,"")</f>
        <v>1213.02224721902</v>
      </c>
      <c r="AF1990" s="49" t="n">
        <f aca="false">IF($R1990&gt;0,$P1990*$I1990/$R1990/1000000,"")</f>
        <v>348.585349856313</v>
      </c>
      <c r="AG1990" s="50" t="n">
        <f aca="false">IF(AND(ISNUMBER($AE1990),ISNUMBER($AF1990),$AF1990&gt;0),$AE1990/$AF1990,"")</f>
        <v>3.47984287841995</v>
      </c>
      <c r="AH1990" s="48" t="n">
        <f aca="false">IF($U1990&gt;=5,SUM(INDEX($AD$1960:$AD1990,32-5):$AD1990),"")</f>
        <v>1670034119257</v>
      </c>
      <c r="AI1990" s="48" t="n">
        <f aca="false">IF($U1990&gt;=STRUCT_S,MAX(INDEX($G$1840:$G1990,152-STRUCT_S):$G1990),"")</f>
        <v>14853</v>
      </c>
      <c r="AJ1990" s="48" t="n">
        <f aca="false">IF($U1990&gt;=STRUCT_S,MIN(INDEX($H$1840:$H1990,152-STRUCT_S):$H1990),"")</f>
        <v>12821</v>
      </c>
      <c r="AK1990" s="48" t="n">
        <f aca="false">IF($U1990&gt;=STRUCT_L,MAX(INDEX($G$1740:$G1990,252-STRUCT_L):$G1990),"")</f>
        <v>14853</v>
      </c>
      <c r="AL1990" s="48" t="n">
        <f aca="false">IF($U1990&gt;=STRUCT_L,MIN(INDEX($H$1740:$H1990,252-STRUCT_L):$H1990),"")</f>
        <v>12238</v>
      </c>
      <c r="AM1990" s="46" t="n">
        <f aca="false">IF($A1990&lt;&gt;$A1991,1,0)</f>
        <v>0</v>
      </c>
      <c r="AN1990" s="47" t="str">
        <f aca="false">IF($AM1990=1,$A1990,"")</f>
        <v/>
      </c>
    </row>
    <row r="1991" customFormat="false" ht="15" hidden="false" customHeight="false" outlineLevel="0" collapsed="false">
      <c r="A1991" s="43" t="s">
        <v>167</v>
      </c>
      <c r="B1991" s="44" t="s">
        <v>169</v>
      </c>
      <c r="C1991" s="45" t="n">
        <v>46138</v>
      </c>
      <c r="D1991" s="46" t="n">
        <v>20260426</v>
      </c>
      <c r="E1991" s="47" t="s">
        <v>454</v>
      </c>
      <c r="F1991" s="48" t="n">
        <v>14176</v>
      </c>
      <c r="G1991" s="48" t="n">
        <v>14284</v>
      </c>
      <c r="H1991" s="48" t="n">
        <v>14062</v>
      </c>
      <c r="I1991" s="48" t="n">
        <v>14118</v>
      </c>
      <c r="J1991" s="48" t="n">
        <v>14195</v>
      </c>
      <c r="K1991" s="48" t="n">
        <v>14228</v>
      </c>
      <c r="L1991" s="48" t="n">
        <v>134183950</v>
      </c>
      <c r="M1991" s="48" t="n">
        <v>1894409006100</v>
      </c>
      <c r="N1991" s="48" t="n">
        <v>10313</v>
      </c>
      <c r="O1991" s="48" t="n">
        <v>88890899</v>
      </c>
      <c r="P1991" s="48" t="n">
        <v>39088022</v>
      </c>
      <c r="Q1991" s="48" t="n">
        <v>5334</v>
      </c>
      <c r="R1991" s="48" t="n">
        <v>3661</v>
      </c>
      <c r="S1991" s="48" t="n">
        <v>45293051</v>
      </c>
      <c r="T1991" s="48" t="n">
        <v>95095928</v>
      </c>
      <c r="U1991" s="46" t="n">
        <f aca="false">IF($A1991=$A1990,$U1990+1,1)</f>
        <v>167</v>
      </c>
      <c r="V1991" s="48" t="n">
        <f aca="false">IF($U1991&gt;=MA_SHORT,AVERAGE(INDEX($I$1591:$I1991,402-MA_SHORT):$I1991),"")</f>
        <v>13936.3</v>
      </c>
      <c r="W1991" s="48" t="n">
        <f aca="false">IF($U1991&gt;=MA_MED,AVERAGE(INDEX($I$1591:$I1991,402-MA_MED):$I1991),"")</f>
        <v>13737.54</v>
      </c>
      <c r="X1991" s="48" t="n">
        <f aca="false">IF($U1991&gt;=MA_LONG1,AVERAGE(INDEX($I$1591:$I1991,402-MA_LONG1):$I1991),"")</f>
        <v>13284.49</v>
      </c>
      <c r="Y1991" s="48" t="str">
        <f aca="false">IF($U1991&gt;=MA_LONG2,AVERAGE(INDEX($I$1591:$I1991,402-MA_LONG2):$I1991),"")</f>
        <v/>
      </c>
      <c r="Z1991" s="48" t="n">
        <f aca="false">IF($U1991&gt;=MA_SHORT,AVERAGE(INDEX($L$1871:$L1991,122-MA_SHORT):$L1991),"")</f>
        <v>109276514.25</v>
      </c>
      <c r="AA1991" s="48" t="n">
        <f aca="false">IF($U1991=1,$G1991-$H1991,MAX($G1991-$H1991,ABS($G1991-$I1990),ABS($H1991-$I1990)))</f>
        <v>222</v>
      </c>
      <c r="AB1991" s="48" t="n">
        <f aca="false">IF($U1991&gt;=ATR_PER,AVERAGE(INDEX($AA$1871:$AA1991,122-ATR_PER):$AA1991),"")</f>
        <v>479.714285714286</v>
      </c>
      <c r="AC1991" s="48" t="n">
        <f aca="false">$O1991-$P1991</f>
        <v>49802877</v>
      </c>
      <c r="AD1991" s="48" t="n">
        <f aca="false">$AC1991*$I1991</f>
        <v>703117017486</v>
      </c>
      <c r="AE1991" s="49" t="n">
        <f aca="false">IF($Q1991&gt;0,$O1991*$I1991/$Q1991/1000000,"")</f>
        <v>235.275911526434</v>
      </c>
      <c r="AF1991" s="49" t="n">
        <f aca="false">IF($R1991&gt;0,$P1991*$I1991/$R1991/1000000,"")</f>
        <v>150.736054246381</v>
      </c>
      <c r="AG1991" s="50" t="n">
        <f aca="false">IF(AND(ISNUMBER($AE1991),ISNUMBER($AF1991),$AF1991&gt;0),$AE1991/$AF1991,"")</f>
        <v>1.56084695664032</v>
      </c>
      <c r="AH1991" s="48" t="n">
        <f aca="false">IF($U1991&gt;=5,SUM(INDEX($AD$1961:$AD1991,32-5):$AD1991),"")</f>
        <v>1931268065113</v>
      </c>
      <c r="AI1991" s="48" t="n">
        <f aca="false">IF($U1991&gt;=STRUCT_S,MAX(INDEX($G$1841:$G1991,152-STRUCT_S):$G1991),"")</f>
        <v>14853</v>
      </c>
      <c r="AJ1991" s="48" t="n">
        <f aca="false">IF($U1991&gt;=STRUCT_S,MIN(INDEX($H$1841:$H1991,152-STRUCT_S):$H1991),"")</f>
        <v>12821</v>
      </c>
      <c r="AK1991" s="48" t="n">
        <f aca="false">IF($U1991&gt;=STRUCT_L,MAX(INDEX($G$1741:$G1991,252-STRUCT_L):$G1991),"")</f>
        <v>14853</v>
      </c>
      <c r="AL1991" s="48" t="n">
        <f aca="false">IF($U1991&gt;=STRUCT_L,MIN(INDEX($H$1741:$H1991,252-STRUCT_L):$H1991),"")</f>
        <v>12238</v>
      </c>
      <c r="AM1991" s="46" t="n">
        <f aca="false">IF($A1991&lt;&gt;$A1992,1,0)</f>
        <v>0</v>
      </c>
      <c r="AN1991" s="47" t="str">
        <f aca="false">IF($AM1991=1,$A1991,"")</f>
        <v/>
      </c>
    </row>
    <row r="1992" customFormat="false" ht="15" hidden="false" customHeight="false" outlineLevel="0" collapsed="false">
      <c r="A1992" s="43" t="s">
        <v>167</v>
      </c>
      <c r="B1992" s="44" t="s">
        <v>169</v>
      </c>
      <c r="C1992" s="45" t="n">
        <v>46139</v>
      </c>
      <c r="D1992" s="46" t="n">
        <v>20260427</v>
      </c>
      <c r="E1992" s="47" t="s">
        <v>455</v>
      </c>
      <c r="F1992" s="48" t="n">
        <v>14103</v>
      </c>
      <c r="G1992" s="48" t="n">
        <v>14308</v>
      </c>
      <c r="H1992" s="48" t="n">
        <v>13977</v>
      </c>
      <c r="I1992" s="48" t="n">
        <v>14166</v>
      </c>
      <c r="J1992" s="48" t="n">
        <v>14304</v>
      </c>
      <c r="K1992" s="48" t="n">
        <v>14118</v>
      </c>
      <c r="L1992" s="48" t="n">
        <v>81161930</v>
      </c>
      <c r="M1992" s="48" t="n">
        <v>1149739900380</v>
      </c>
      <c r="N1992" s="48" t="n">
        <v>2954</v>
      </c>
      <c r="O1992" s="48" t="n">
        <v>53722017</v>
      </c>
      <c r="P1992" s="48" t="n">
        <v>22056011</v>
      </c>
      <c r="Q1992" s="48" t="n">
        <v>912</v>
      </c>
      <c r="R1992" s="48" t="n">
        <v>1611</v>
      </c>
      <c r="S1992" s="48" t="n">
        <v>27439913</v>
      </c>
      <c r="T1992" s="48" t="n">
        <v>59105919</v>
      </c>
      <c r="U1992" s="46" t="n">
        <f aca="false">IF($A1992=$A1991,$U1991+1,1)</f>
        <v>168</v>
      </c>
      <c r="V1992" s="48" t="n">
        <f aca="false">IF($U1992&gt;=MA_SHORT,AVERAGE(INDEX($I$1592:$I1992,402-MA_SHORT):$I1992),"")</f>
        <v>13915.35</v>
      </c>
      <c r="W1992" s="48" t="n">
        <f aca="false">IF($U1992&gt;=MA_MED,AVERAGE(INDEX($I$1592:$I1992,402-MA_MED):$I1992),"")</f>
        <v>13769.44</v>
      </c>
      <c r="X1992" s="48" t="n">
        <f aca="false">IF($U1992&gt;=MA_LONG1,AVERAGE(INDEX($I$1592:$I1992,402-MA_LONG1):$I1992),"")</f>
        <v>13301.38</v>
      </c>
      <c r="Y1992" s="48" t="str">
        <f aca="false">IF($U1992&gt;=MA_LONG2,AVERAGE(INDEX($I$1592:$I1992,402-MA_LONG2):$I1992),"")</f>
        <v/>
      </c>
      <c r="Z1992" s="48" t="n">
        <f aca="false">IF($U1992&gt;=MA_SHORT,AVERAGE(INDEX($L$1872:$L1992,122-MA_SHORT):$L1992),"")</f>
        <v>109235566.3</v>
      </c>
      <c r="AA1992" s="48" t="n">
        <f aca="false">IF($U1992=1,$G1992-$H1992,MAX($G1992-$H1992,ABS($G1992-$I1991),ABS($H1992-$I1991)))</f>
        <v>331</v>
      </c>
      <c r="AB1992" s="48" t="n">
        <f aca="false">IF($U1992&gt;=ATR_PER,AVERAGE(INDEX($AA$1872:$AA1992,122-ATR_PER):$AA1992),"")</f>
        <v>468.928571428571</v>
      </c>
      <c r="AC1992" s="48" t="n">
        <f aca="false">$O1992-$P1992</f>
        <v>31666006</v>
      </c>
      <c r="AD1992" s="48" t="n">
        <f aca="false">$AC1992*$I1992</f>
        <v>448580640996</v>
      </c>
      <c r="AE1992" s="49" t="n">
        <f aca="false">IF($Q1992&gt;0,$O1992*$I1992/$Q1992/1000000,"")</f>
        <v>834.458435111842</v>
      </c>
      <c r="AF1992" s="49" t="n">
        <f aca="false">IF($R1992&gt;0,$P1992*$I1992/$R1992/1000000,"")</f>
        <v>193.945035273743</v>
      </c>
      <c r="AG1992" s="50" t="n">
        <f aca="false">IF(AND(ISNUMBER($AE1992),ISNUMBER($AF1992),$AF1992&gt;0),$AE1992/$AF1992,"")</f>
        <v>4.30255115287715</v>
      </c>
      <c r="AH1992" s="48" t="n">
        <f aca="false">IF($U1992&gt;=5,SUM(INDEX($AD$1962:$AD1992,32-5):$AD1992),"")</f>
        <v>1864332127212</v>
      </c>
      <c r="AI1992" s="48" t="n">
        <f aca="false">IF($U1992&gt;=STRUCT_S,MAX(INDEX($G$1842:$G1992,152-STRUCT_S):$G1992),"")</f>
        <v>14627</v>
      </c>
      <c r="AJ1992" s="48" t="n">
        <f aca="false">IF($U1992&gt;=STRUCT_S,MIN(INDEX($H$1842:$H1992,152-STRUCT_S):$H1992),"")</f>
        <v>12821</v>
      </c>
      <c r="AK1992" s="48" t="n">
        <f aca="false">IF($U1992&gt;=STRUCT_L,MAX(INDEX($G$1742:$G1992,252-STRUCT_L):$G1992),"")</f>
        <v>14853</v>
      </c>
      <c r="AL1992" s="48" t="n">
        <f aca="false">IF($U1992&gt;=STRUCT_L,MIN(INDEX($H$1742:$H1992,252-STRUCT_L):$H1992),"")</f>
        <v>12238</v>
      </c>
      <c r="AM1992" s="46" t="n">
        <f aca="false">IF($A1992&lt;&gt;$A1993,1,0)</f>
        <v>0</v>
      </c>
      <c r="AN1992" s="47" t="str">
        <f aca="false">IF($AM1992=1,$A1992,"")</f>
        <v/>
      </c>
    </row>
    <row r="1993" customFormat="false" ht="15" hidden="false" customHeight="false" outlineLevel="0" collapsed="false">
      <c r="A1993" s="43" t="s">
        <v>167</v>
      </c>
      <c r="B1993" s="44" t="s">
        <v>169</v>
      </c>
      <c r="C1993" s="45" t="n">
        <v>46140</v>
      </c>
      <c r="D1993" s="46" t="n">
        <v>20260428</v>
      </c>
      <c r="E1993" s="47" t="s">
        <v>456</v>
      </c>
      <c r="F1993" s="48" t="n">
        <v>14203</v>
      </c>
      <c r="G1993" s="48" t="n">
        <v>14415</v>
      </c>
      <c r="H1993" s="48" t="n">
        <v>13799</v>
      </c>
      <c r="I1993" s="48" t="n">
        <v>14046</v>
      </c>
      <c r="J1993" s="48" t="n">
        <v>14188</v>
      </c>
      <c r="K1993" s="48" t="n">
        <v>14166</v>
      </c>
      <c r="L1993" s="48" t="n">
        <v>122623568</v>
      </c>
      <c r="M1993" s="48" t="n">
        <v>1722370636128</v>
      </c>
      <c r="N1993" s="48" t="n">
        <v>4557</v>
      </c>
      <c r="O1993" s="48" t="n">
        <v>71918568</v>
      </c>
      <c r="P1993" s="48" t="n">
        <v>55267800</v>
      </c>
      <c r="Q1993" s="48" t="n">
        <v>2373</v>
      </c>
      <c r="R1993" s="48" t="n">
        <v>1272</v>
      </c>
      <c r="S1993" s="48" t="n">
        <v>50705000</v>
      </c>
      <c r="T1993" s="48" t="n">
        <v>67355768</v>
      </c>
      <c r="U1993" s="46" t="n">
        <f aca="false">IF($A1993=$A1992,$U1992+1,1)</f>
        <v>169</v>
      </c>
      <c r="V1993" s="48" t="n">
        <f aca="false">IF($U1993&gt;=MA_SHORT,AVERAGE(INDEX($I$1593:$I1993,402-MA_SHORT):$I1993),"")</f>
        <v>13892.45</v>
      </c>
      <c r="W1993" s="48" t="n">
        <f aca="false">IF($U1993&gt;=MA_MED,AVERAGE(INDEX($I$1593:$I1993,402-MA_MED):$I1993),"")</f>
        <v>13792.44</v>
      </c>
      <c r="X1993" s="48" t="n">
        <f aca="false">IF($U1993&gt;=MA_LONG1,AVERAGE(INDEX($I$1593:$I1993,402-MA_LONG1):$I1993),"")</f>
        <v>13318.64</v>
      </c>
      <c r="Y1993" s="48" t="str">
        <f aca="false">IF($U1993&gt;=MA_LONG2,AVERAGE(INDEX($I$1593:$I1993,402-MA_LONG2):$I1993),"")</f>
        <v/>
      </c>
      <c r="Z1993" s="48" t="n">
        <f aca="false">IF($U1993&gt;=MA_SHORT,AVERAGE(INDEX($L$1873:$L1993,122-MA_SHORT):$L1993),"")</f>
        <v>111257256.2</v>
      </c>
      <c r="AA1993" s="48" t="n">
        <f aca="false">IF($U1993=1,$G1993-$H1993,MAX($G1993-$H1993,ABS($G1993-$I1992),ABS($H1993-$I1992)))</f>
        <v>616</v>
      </c>
      <c r="AB1993" s="48" t="n">
        <f aca="false">IF($U1993&gt;=ATR_PER,AVERAGE(INDEX($AA$1873:$AA1993,122-ATR_PER):$AA1993),"")</f>
        <v>497.428571428571</v>
      </c>
      <c r="AC1993" s="48" t="n">
        <f aca="false">$O1993-$P1993</f>
        <v>16650768</v>
      </c>
      <c r="AD1993" s="48" t="n">
        <f aca="false">$AC1993*$I1993</f>
        <v>233876687328</v>
      </c>
      <c r="AE1993" s="49" t="n">
        <f aca="false">IF($Q1993&gt;0,$O1993*$I1993/$Q1993/1000000,"")</f>
        <v>425.692459388116</v>
      </c>
      <c r="AF1993" s="49" t="n">
        <f aca="false">IF($R1993&gt;0,$P1993*$I1993/$R1993/1000000,"")</f>
        <v>610.292074528302</v>
      </c>
      <c r="AG1993" s="50" t="n">
        <f aca="false">IF(AND(ISNUMBER($AE1993),ISNUMBER($AF1993),$AF1993&gt;0),$AE1993/$AF1993,"")</f>
        <v>0.697522509557635</v>
      </c>
      <c r="AH1993" s="48" t="n">
        <f aca="false">IF($U1993&gt;=5,SUM(INDEX($AD$1963:$AD1993,32-5):$AD1993),"")</f>
        <v>2046921827310</v>
      </c>
      <c r="AI1993" s="48" t="n">
        <f aca="false">IF($U1993&gt;=STRUCT_S,MAX(INDEX($G$1843:$G1993,152-STRUCT_S):$G1993),"")</f>
        <v>14549</v>
      </c>
      <c r="AJ1993" s="48" t="n">
        <f aca="false">IF($U1993&gt;=STRUCT_S,MIN(INDEX($H$1843:$H1993,152-STRUCT_S):$H1993),"")</f>
        <v>12821</v>
      </c>
      <c r="AK1993" s="48" t="n">
        <f aca="false">IF($U1993&gt;=STRUCT_L,MAX(INDEX($G$1743:$G1993,252-STRUCT_L):$G1993),"")</f>
        <v>14853</v>
      </c>
      <c r="AL1993" s="48" t="n">
        <f aca="false">IF($U1993&gt;=STRUCT_L,MIN(INDEX($H$1743:$H1993,252-STRUCT_L):$H1993),"")</f>
        <v>12238</v>
      </c>
      <c r="AM1993" s="46" t="n">
        <f aca="false">IF($A1993&lt;&gt;$A1994,1,0)</f>
        <v>0</v>
      </c>
      <c r="AN1993" s="47" t="str">
        <f aca="false">IF($AM1993=1,$A1993,"")</f>
        <v/>
      </c>
    </row>
    <row r="1994" customFormat="false" ht="15" hidden="false" customHeight="false" outlineLevel="0" collapsed="false">
      <c r="A1994" s="43" t="s">
        <v>167</v>
      </c>
      <c r="B1994" s="44" t="s">
        <v>169</v>
      </c>
      <c r="C1994" s="45" t="n">
        <v>46141</v>
      </c>
      <c r="D1994" s="46" t="n">
        <v>20260429</v>
      </c>
      <c r="E1994" s="47" t="s">
        <v>457</v>
      </c>
      <c r="F1994" s="48" t="n">
        <v>13760</v>
      </c>
      <c r="G1994" s="48" t="n">
        <v>14496</v>
      </c>
      <c r="H1994" s="48" t="n">
        <v>13709</v>
      </c>
      <c r="I1994" s="48" t="n">
        <v>14156</v>
      </c>
      <c r="J1994" s="48" t="n">
        <v>13996</v>
      </c>
      <c r="K1994" s="48" t="n">
        <v>14046</v>
      </c>
      <c r="L1994" s="48" t="n">
        <v>165151636</v>
      </c>
      <c r="M1994" s="48" t="n">
        <v>2337886559216</v>
      </c>
      <c r="N1994" s="48" t="n">
        <v>7511</v>
      </c>
      <c r="O1994" s="48" t="n">
        <v>115628032</v>
      </c>
      <c r="P1994" s="48" t="n">
        <v>47830981</v>
      </c>
      <c r="Q1994" s="48" t="n">
        <v>2647</v>
      </c>
      <c r="R1994" s="48" t="n">
        <v>5396</v>
      </c>
      <c r="S1994" s="48" t="n">
        <v>49523604</v>
      </c>
      <c r="T1994" s="48" t="n">
        <v>117320655</v>
      </c>
      <c r="U1994" s="46" t="n">
        <f aca="false">IF($A1994=$A1993,$U1993+1,1)</f>
        <v>170</v>
      </c>
      <c r="V1994" s="48" t="n">
        <f aca="false">IF($U1994&gt;=MA_SHORT,AVERAGE(INDEX($I$1594:$I1994,402-MA_SHORT):$I1994),"")</f>
        <v>13880.4</v>
      </c>
      <c r="W1994" s="48" t="n">
        <f aca="false">IF($U1994&gt;=MA_MED,AVERAGE(INDEX($I$1594:$I1994,402-MA_MED):$I1994),"")</f>
        <v>13818.76</v>
      </c>
      <c r="X1994" s="48" t="n">
        <f aca="false">IF($U1994&gt;=MA_LONG1,AVERAGE(INDEX($I$1594:$I1994,402-MA_LONG1):$I1994),"")</f>
        <v>13335.55</v>
      </c>
      <c r="Y1994" s="48" t="str">
        <f aca="false">IF($U1994&gt;=MA_LONG2,AVERAGE(INDEX($I$1594:$I1994,402-MA_LONG2):$I1994),"")</f>
        <v/>
      </c>
      <c r="Z1994" s="48" t="n">
        <f aca="false">IF($U1994&gt;=MA_SHORT,AVERAGE(INDEX($L$1874:$L1994,122-MA_SHORT):$L1994),"")</f>
        <v>115361834.5</v>
      </c>
      <c r="AA1994" s="48" t="n">
        <f aca="false">IF($U1994=1,$G1994-$H1994,MAX($G1994-$H1994,ABS($G1994-$I1993),ABS($H1994-$I1993)))</f>
        <v>787</v>
      </c>
      <c r="AB1994" s="48" t="n">
        <f aca="false">IF($U1994&gt;=ATR_PER,AVERAGE(INDEX($AA$1874:$AA1994,122-ATR_PER):$AA1994),"")</f>
        <v>543.928571428571</v>
      </c>
      <c r="AC1994" s="48" t="n">
        <f aca="false">$O1994-$P1994</f>
        <v>67797051</v>
      </c>
      <c r="AD1994" s="48" t="n">
        <f aca="false">$AC1994*$I1994</f>
        <v>959735053956</v>
      </c>
      <c r="AE1994" s="49" t="n">
        <f aca="false">IF($Q1994&gt;0,$O1994*$I1994/$Q1994/1000000,"")</f>
        <v>618.371900639214</v>
      </c>
      <c r="AF1994" s="49" t="n">
        <f aca="false">IF($R1994&gt;0,$P1994*$I1994/$R1994/1000000,"")</f>
        <v>125.480979806523</v>
      </c>
      <c r="AG1994" s="50" t="n">
        <f aca="false">IF(AND(ISNUMBER($AE1994),ISNUMBER($AF1994),$AF1994&gt;0),$AE1994/$AF1994,"")</f>
        <v>4.92801300717184</v>
      </c>
      <c r="AH1994" s="48" t="n">
        <f aca="false">IF($U1994&gt;=5,SUM(INDEX($AD$1964:$AD1994,32-5):$AD1994),"")</f>
        <v>3168975576046</v>
      </c>
      <c r="AI1994" s="48" t="n">
        <f aca="false">IF($U1994&gt;=STRUCT_S,MAX(INDEX($G$1844:$G1994,152-STRUCT_S):$G1994),"")</f>
        <v>14496</v>
      </c>
      <c r="AJ1994" s="48" t="n">
        <f aca="false">IF($U1994&gt;=STRUCT_S,MIN(INDEX($H$1844:$H1994,152-STRUCT_S):$H1994),"")</f>
        <v>12821</v>
      </c>
      <c r="AK1994" s="48" t="n">
        <f aca="false">IF($U1994&gt;=STRUCT_L,MAX(INDEX($G$1744:$G1994,252-STRUCT_L):$G1994),"")</f>
        <v>14853</v>
      </c>
      <c r="AL1994" s="48" t="n">
        <f aca="false">IF($U1994&gt;=STRUCT_L,MIN(INDEX($H$1744:$H1994,252-STRUCT_L):$H1994),"")</f>
        <v>12238</v>
      </c>
      <c r="AM1994" s="46" t="n">
        <f aca="false">IF($A1994&lt;&gt;$A1995,1,0)</f>
        <v>0</v>
      </c>
      <c r="AN1994" s="47" t="str">
        <f aca="false">IF($AM1994=1,$A1994,"")</f>
        <v/>
      </c>
    </row>
    <row r="1995" customFormat="false" ht="15" hidden="false" customHeight="false" outlineLevel="0" collapsed="false">
      <c r="A1995" s="43" t="s">
        <v>167</v>
      </c>
      <c r="B1995" s="44" t="s">
        <v>169</v>
      </c>
      <c r="C1995" s="45" t="n">
        <v>46144</v>
      </c>
      <c r="D1995" s="46" t="n">
        <v>20260502</v>
      </c>
      <c r="E1995" s="47" t="s">
        <v>458</v>
      </c>
      <c r="F1995" s="48" t="n">
        <v>14326</v>
      </c>
      <c r="G1995" s="48" t="n">
        <v>14441</v>
      </c>
      <c r="H1995" s="48" t="n">
        <v>14034</v>
      </c>
      <c r="I1995" s="48" t="n">
        <v>14318</v>
      </c>
      <c r="J1995" s="48" t="n">
        <v>14341</v>
      </c>
      <c r="K1995" s="48" t="n">
        <v>14156</v>
      </c>
      <c r="L1995" s="48" t="n">
        <v>143711828</v>
      </c>
      <c r="M1995" s="48" t="n">
        <v>2057665953304</v>
      </c>
      <c r="N1995" s="48" t="n">
        <v>4452</v>
      </c>
      <c r="O1995" s="48" t="n">
        <v>91849190</v>
      </c>
      <c r="P1995" s="48" t="n">
        <v>57650197</v>
      </c>
      <c r="Q1995" s="48" t="n">
        <v>1092</v>
      </c>
      <c r="R1995" s="48" t="n">
        <v>2503</v>
      </c>
      <c r="S1995" s="48" t="n">
        <v>51862638</v>
      </c>
      <c r="T1995" s="48" t="n">
        <v>86061631</v>
      </c>
      <c r="U1995" s="46" t="n">
        <f aca="false">IF($A1995=$A1994,$U1994+1,1)</f>
        <v>171</v>
      </c>
      <c r="V1995" s="48" t="n">
        <f aca="false">IF($U1995&gt;=MA_SHORT,AVERAGE(INDEX($I$1595:$I1995,402-MA_SHORT):$I1995),"")</f>
        <v>13883.1</v>
      </c>
      <c r="W1995" s="48" t="n">
        <f aca="false">IF($U1995&gt;=MA_MED,AVERAGE(INDEX($I$1595:$I1995,402-MA_MED):$I1995),"")</f>
        <v>13846.34</v>
      </c>
      <c r="X1995" s="48" t="n">
        <f aca="false">IF($U1995&gt;=MA_LONG1,AVERAGE(INDEX($I$1595:$I1995,402-MA_LONG1):$I1995),"")</f>
        <v>13355.35</v>
      </c>
      <c r="Y1995" s="48" t="str">
        <f aca="false">IF($U1995&gt;=MA_LONG2,AVERAGE(INDEX($I$1595:$I1995,402-MA_LONG2):$I1995),"")</f>
        <v/>
      </c>
      <c r="Z1995" s="48" t="n">
        <f aca="false">IF($U1995&gt;=MA_SHORT,AVERAGE(INDEX($L$1875:$L1995,122-MA_SHORT):$L1995),"")</f>
        <v>117945058.75</v>
      </c>
      <c r="AA1995" s="48" t="n">
        <f aca="false">IF($U1995=1,$G1995-$H1995,MAX($G1995-$H1995,ABS($G1995-$I1994),ABS($H1995-$I1994)))</f>
        <v>407</v>
      </c>
      <c r="AB1995" s="48" t="n">
        <f aca="false">IF($U1995&gt;=ATR_PER,AVERAGE(INDEX($AA$1875:$AA1995,122-ATR_PER):$AA1995),"")</f>
        <v>512.571428571429</v>
      </c>
      <c r="AC1995" s="48" t="n">
        <f aca="false">$O1995-$P1995</f>
        <v>34198993</v>
      </c>
      <c r="AD1995" s="48" t="n">
        <f aca="false">$AC1995*$I1995</f>
        <v>489661181774</v>
      </c>
      <c r="AE1995" s="49" t="n">
        <f aca="false">IF($Q1995&gt;0,$O1995*$I1995/$Q1995/1000000,"")</f>
        <v>1204.30100954212</v>
      </c>
      <c r="AF1995" s="49" t="n">
        <f aca="false">IF($R1995&gt;0,$P1995*$I1995/$R1995/1000000,"")</f>
        <v>329.778474089493</v>
      </c>
      <c r="AG1995" s="50" t="n">
        <f aca="false">IF(AND(ISNUMBER($AE1995),ISNUMBER($AF1995),$AF1995&gt;0),$AE1995/$AF1995,"")</f>
        <v>3.65184845028821</v>
      </c>
      <c r="AH1995" s="48" t="n">
        <f aca="false">IF($U1995&gt;=5,SUM(INDEX($AD$1965:$AD1995,32-5):$AD1995),"")</f>
        <v>2834970581540</v>
      </c>
      <c r="AI1995" s="48" t="n">
        <f aca="false">IF($U1995&gt;=STRUCT_S,MAX(INDEX($G$1845:$G1995,152-STRUCT_S):$G1995),"")</f>
        <v>14496</v>
      </c>
      <c r="AJ1995" s="48" t="n">
        <f aca="false">IF($U1995&gt;=STRUCT_S,MIN(INDEX($H$1845:$H1995,152-STRUCT_S):$H1995),"")</f>
        <v>12821</v>
      </c>
      <c r="AK1995" s="48" t="n">
        <f aca="false">IF($U1995&gt;=STRUCT_L,MAX(INDEX($G$1745:$G1995,252-STRUCT_L):$G1995),"")</f>
        <v>14853</v>
      </c>
      <c r="AL1995" s="48" t="n">
        <f aca="false">IF($U1995&gt;=STRUCT_L,MIN(INDEX($H$1745:$H1995,252-STRUCT_L):$H1995),"")</f>
        <v>12238</v>
      </c>
      <c r="AM1995" s="46" t="n">
        <f aca="false">IF($A1995&lt;&gt;$A1996,1,0)</f>
        <v>0</v>
      </c>
      <c r="AN1995" s="47" t="str">
        <f aca="false">IF($AM1995=1,$A1995,"")</f>
        <v/>
      </c>
    </row>
    <row r="1996" customFormat="false" ht="15" hidden="false" customHeight="false" outlineLevel="0" collapsed="false">
      <c r="A1996" s="43" t="s">
        <v>167</v>
      </c>
      <c r="B1996" s="44" t="s">
        <v>169</v>
      </c>
      <c r="C1996" s="45" t="n">
        <v>46145</v>
      </c>
      <c r="D1996" s="46" t="n">
        <v>20260503</v>
      </c>
      <c r="E1996" s="47" t="s">
        <v>459</v>
      </c>
      <c r="F1996" s="48" t="n">
        <v>14468</v>
      </c>
      <c r="G1996" s="48" t="n">
        <v>14663</v>
      </c>
      <c r="H1996" s="48" t="n">
        <v>14213</v>
      </c>
      <c r="I1996" s="48" t="n">
        <v>14557</v>
      </c>
      <c r="J1996" s="48" t="n">
        <v>14476</v>
      </c>
      <c r="K1996" s="48" t="n">
        <v>14318</v>
      </c>
      <c r="L1996" s="48" t="n">
        <v>107534668</v>
      </c>
      <c r="M1996" s="48" t="n">
        <v>1565382162076</v>
      </c>
      <c r="N1996" s="48" t="n">
        <v>4451</v>
      </c>
      <c r="O1996" s="48" t="n">
        <v>75953590</v>
      </c>
      <c r="P1996" s="48" t="n">
        <v>30573593</v>
      </c>
      <c r="Q1996" s="48" t="n">
        <v>1203</v>
      </c>
      <c r="R1996" s="48" t="n">
        <v>3365</v>
      </c>
      <c r="S1996" s="48" t="n">
        <v>31581078</v>
      </c>
      <c r="T1996" s="48" t="n">
        <v>76961075</v>
      </c>
      <c r="U1996" s="46" t="n">
        <f aca="false">IF($A1996=$A1995,$U1995+1,1)</f>
        <v>172</v>
      </c>
      <c r="V1996" s="48" t="n">
        <f aca="false">IF($U1996&gt;=MA_SHORT,AVERAGE(INDEX($I$1596:$I1996,402-MA_SHORT):$I1996),"")</f>
        <v>13914.25</v>
      </c>
      <c r="W1996" s="48" t="n">
        <f aca="false">IF($U1996&gt;=MA_MED,AVERAGE(INDEX($I$1596:$I1996,402-MA_MED):$I1996),"")</f>
        <v>13877.98</v>
      </c>
      <c r="X1996" s="48" t="n">
        <f aca="false">IF($U1996&gt;=MA_LONG1,AVERAGE(INDEX($I$1596:$I1996,402-MA_LONG1):$I1996),"")</f>
        <v>13377.29</v>
      </c>
      <c r="Y1996" s="48" t="str">
        <f aca="false">IF($U1996&gt;=MA_LONG2,AVERAGE(INDEX($I$1596:$I1996,402-MA_LONG2):$I1996),"")</f>
        <v/>
      </c>
      <c r="Z1996" s="48" t="n">
        <f aca="false">IF($U1996&gt;=MA_SHORT,AVERAGE(INDEX($L$1876:$L1996,122-MA_SHORT):$L1996),"")</f>
        <v>118792776.85</v>
      </c>
      <c r="AA1996" s="48" t="n">
        <f aca="false">IF($U1996=1,$G1996-$H1996,MAX($G1996-$H1996,ABS($G1996-$I1995),ABS($H1996-$I1995)))</f>
        <v>450</v>
      </c>
      <c r="AB1996" s="48" t="n">
        <f aca="false">IF($U1996&gt;=ATR_PER,AVERAGE(INDEX($AA$1876:$AA1996,122-ATR_PER):$AA1996),"")</f>
        <v>475.071428571429</v>
      </c>
      <c r="AC1996" s="48" t="n">
        <f aca="false">$O1996-$P1996</f>
        <v>45379997</v>
      </c>
      <c r="AD1996" s="48" t="n">
        <f aca="false">$AC1996*$I1996</f>
        <v>660596616329</v>
      </c>
      <c r="AE1996" s="49" t="n">
        <f aca="false">IF($Q1996&gt;0,$O1996*$I1996/$Q1996/1000000,"")</f>
        <v>919.082634771405</v>
      </c>
      <c r="AF1996" s="49" t="n">
        <f aca="false">IF($R1996&gt;0,$P1996*$I1996/$R1996/1000000,"")</f>
        <v>132.261454175631</v>
      </c>
      <c r="AG1996" s="50" t="n">
        <f aca="false">IF(AND(ISNUMBER($AE1996),ISNUMBER($AF1996),$AF1996&gt;0),$AE1996/$AF1996,"")</f>
        <v>6.94898328844128</v>
      </c>
      <c r="AH1996" s="48" t="n">
        <f aca="false">IF($U1996&gt;=5,SUM(INDEX($AD$1966:$AD1996,32-5):$AD1996),"")</f>
        <v>2792450180383</v>
      </c>
      <c r="AI1996" s="48" t="n">
        <f aca="false">IF($U1996&gt;=STRUCT_S,MAX(INDEX($G$1846:$G1996,152-STRUCT_S):$G1996),"")</f>
        <v>14663</v>
      </c>
      <c r="AJ1996" s="48" t="n">
        <f aca="false">IF($U1996&gt;=STRUCT_S,MIN(INDEX($H$1846:$H1996,152-STRUCT_S):$H1996),"")</f>
        <v>12821</v>
      </c>
      <c r="AK1996" s="48" t="n">
        <f aca="false">IF($U1996&gt;=STRUCT_L,MAX(INDEX($G$1746:$G1996,252-STRUCT_L):$G1996),"")</f>
        <v>14853</v>
      </c>
      <c r="AL1996" s="48" t="n">
        <f aca="false">IF($U1996&gt;=STRUCT_L,MIN(INDEX($H$1746:$H1996,252-STRUCT_L):$H1996),"")</f>
        <v>12238</v>
      </c>
      <c r="AM1996" s="46" t="n">
        <f aca="false">IF($A1996&lt;&gt;$A1997,1,0)</f>
        <v>0</v>
      </c>
      <c r="AN1996" s="47" t="str">
        <f aca="false">IF($AM1996=1,$A1996,"")</f>
        <v/>
      </c>
    </row>
    <row r="1997" customFormat="false" ht="15" hidden="false" customHeight="false" outlineLevel="0" collapsed="false">
      <c r="A1997" s="43" t="s">
        <v>167</v>
      </c>
      <c r="B1997" s="44" t="s">
        <v>169</v>
      </c>
      <c r="C1997" s="45" t="n">
        <v>46146</v>
      </c>
      <c r="D1997" s="46" t="n">
        <v>20260504</v>
      </c>
      <c r="E1997" s="47" t="s">
        <v>460</v>
      </c>
      <c r="F1997" s="48" t="n">
        <v>14582</v>
      </c>
      <c r="G1997" s="48" t="n">
        <v>14776</v>
      </c>
      <c r="H1997" s="48" t="n">
        <v>14327</v>
      </c>
      <c r="I1997" s="48" t="n">
        <v>14545</v>
      </c>
      <c r="J1997" s="48" t="n">
        <v>14400</v>
      </c>
      <c r="K1997" s="48" t="n">
        <v>14557</v>
      </c>
      <c r="L1997" s="48" t="n">
        <v>103656644</v>
      </c>
      <c r="M1997" s="48" t="n">
        <v>1507685886980</v>
      </c>
      <c r="N1997" s="48" t="n">
        <v>5931</v>
      </c>
      <c r="O1997" s="48" t="n">
        <v>64672798</v>
      </c>
      <c r="P1997" s="48" t="n">
        <v>35216190</v>
      </c>
      <c r="Q1997" s="48" t="n">
        <v>2742</v>
      </c>
      <c r="R1997" s="48" t="n">
        <v>1754</v>
      </c>
      <c r="S1997" s="48" t="n">
        <v>38983846</v>
      </c>
      <c r="T1997" s="48" t="n">
        <v>68440454</v>
      </c>
      <c r="U1997" s="46" t="n">
        <f aca="false">IF($A1997=$A1996,$U1996+1,1)</f>
        <v>173</v>
      </c>
      <c r="V1997" s="48" t="n">
        <f aca="false">IF($U1997&gt;=MA_SHORT,AVERAGE(INDEX($I$1597:$I1997,402-MA_SHORT):$I1997),"")</f>
        <v>13962.85</v>
      </c>
      <c r="W1997" s="48" t="n">
        <f aca="false">IF($U1997&gt;=MA_MED,AVERAGE(INDEX($I$1597:$I1997,402-MA_MED):$I1997),"")</f>
        <v>13913.94</v>
      </c>
      <c r="X1997" s="48" t="n">
        <f aca="false">IF($U1997&gt;=MA_LONG1,AVERAGE(INDEX($I$1597:$I1997,402-MA_LONG1):$I1997),"")</f>
        <v>13399.39</v>
      </c>
      <c r="Y1997" s="48" t="str">
        <f aca="false">IF($U1997&gt;=MA_LONG2,AVERAGE(INDEX($I$1597:$I1997,402-MA_LONG2):$I1997),"")</f>
        <v/>
      </c>
      <c r="Z1997" s="48" t="n">
        <f aca="false">IF($U1997&gt;=MA_SHORT,AVERAGE(INDEX($L$1877:$L1997,122-MA_SHORT):$L1997),"")</f>
        <v>119380432.45</v>
      </c>
      <c r="AA1997" s="48" t="n">
        <f aca="false">IF($U1997=1,$G1997-$H1997,MAX($G1997-$H1997,ABS($G1997-$I1996),ABS($H1997-$I1996)))</f>
        <v>449</v>
      </c>
      <c r="AB1997" s="48" t="n">
        <f aca="false">IF($U1997&gt;=ATR_PER,AVERAGE(INDEX($AA$1877:$AA1997,122-ATR_PER):$AA1997),"")</f>
        <v>461.571428571429</v>
      </c>
      <c r="AC1997" s="48" t="n">
        <f aca="false">$O1997-$P1997</f>
        <v>29456608</v>
      </c>
      <c r="AD1997" s="48" t="n">
        <f aca="false">$AC1997*$I1997</f>
        <v>428446363360</v>
      </c>
      <c r="AE1997" s="49" t="n">
        <f aca="false">IF($Q1997&gt;0,$O1997*$I1997/$Q1997/1000000,"")</f>
        <v>343.058295736689</v>
      </c>
      <c r="AF1997" s="49" t="n">
        <f aca="false">IF($R1997&gt;0,$P1997*$I1997/$R1997/1000000,"")</f>
        <v>292.029352080958</v>
      </c>
      <c r="AG1997" s="50" t="n">
        <f aca="false">IF(AND(ISNUMBER($AE1997),ISNUMBER($AF1997),$AF1997&gt;0),$AE1997/$AF1997,"")</f>
        <v>1.17473909143758</v>
      </c>
      <c r="AH1997" s="48" t="n">
        <f aca="false">IF($U1997&gt;=5,SUM(INDEX($AD$1967:$AD1997,32-5):$AD1997),"")</f>
        <v>2772315902747</v>
      </c>
      <c r="AI1997" s="48" t="n">
        <f aca="false">IF($U1997&gt;=STRUCT_S,MAX(INDEX($G$1847:$G1997,152-STRUCT_S):$G1997),"")</f>
        <v>14776</v>
      </c>
      <c r="AJ1997" s="48" t="n">
        <f aca="false">IF($U1997&gt;=STRUCT_S,MIN(INDEX($H$1847:$H1997,152-STRUCT_S):$H1997),"")</f>
        <v>12821</v>
      </c>
      <c r="AK1997" s="48" t="n">
        <f aca="false">IF($U1997&gt;=STRUCT_L,MAX(INDEX($G$1747:$G1997,252-STRUCT_L):$G1997),"")</f>
        <v>14853</v>
      </c>
      <c r="AL1997" s="48" t="n">
        <f aca="false">IF($U1997&gt;=STRUCT_L,MIN(INDEX($H$1747:$H1997,252-STRUCT_L):$H1997),"")</f>
        <v>12238</v>
      </c>
      <c r="AM1997" s="46" t="n">
        <f aca="false">IF($A1997&lt;&gt;$A1998,1,0)</f>
        <v>0</v>
      </c>
      <c r="AN1997" s="47" t="str">
        <f aca="false">IF($AM1997=1,$A1997,"")</f>
        <v/>
      </c>
    </row>
    <row r="1998" customFormat="false" ht="15" hidden="false" customHeight="false" outlineLevel="0" collapsed="false">
      <c r="A1998" s="43" t="s">
        <v>167</v>
      </c>
      <c r="B1998" s="44" t="s">
        <v>169</v>
      </c>
      <c r="C1998" s="45" t="n">
        <v>46147</v>
      </c>
      <c r="D1998" s="46" t="n">
        <v>20260505</v>
      </c>
      <c r="E1998" s="47" t="s">
        <v>461</v>
      </c>
      <c r="F1998" s="48" t="n">
        <v>14411</v>
      </c>
      <c r="G1998" s="48" t="n">
        <v>14893</v>
      </c>
      <c r="H1998" s="48" t="n">
        <v>14364</v>
      </c>
      <c r="I1998" s="48" t="n">
        <v>14710</v>
      </c>
      <c r="J1998" s="48" t="n">
        <v>14669</v>
      </c>
      <c r="K1998" s="48" t="n">
        <v>14545</v>
      </c>
      <c r="L1998" s="48" t="n">
        <v>84953185</v>
      </c>
      <c r="M1998" s="48" t="n">
        <v>1249661351350</v>
      </c>
      <c r="N1998" s="48" t="n">
        <v>2718</v>
      </c>
      <c r="O1998" s="48" t="n">
        <v>56978057</v>
      </c>
      <c r="P1998" s="48" t="n">
        <v>29270913</v>
      </c>
      <c r="Q1998" s="48" t="n">
        <v>590</v>
      </c>
      <c r="R1998" s="48" t="n">
        <v>1839</v>
      </c>
      <c r="S1998" s="48" t="n">
        <v>27975128</v>
      </c>
      <c r="T1998" s="48" t="n">
        <v>55682272</v>
      </c>
      <c r="U1998" s="46" t="n">
        <f aca="false">IF($A1998=$A1997,$U1997+1,1)</f>
        <v>174</v>
      </c>
      <c r="V1998" s="48" t="n">
        <f aca="false">IF($U1998&gt;=MA_SHORT,AVERAGE(INDEX($I$1598:$I1998,402-MA_SHORT):$I1998),"")</f>
        <v>14007.6</v>
      </c>
      <c r="W1998" s="48" t="n">
        <f aca="false">IF($U1998&gt;=MA_MED,AVERAGE(INDEX($I$1598:$I1998,402-MA_MED):$I1998),"")</f>
        <v>13960.8</v>
      </c>
      <c r="X1998" s="48" t="n">
        <f aca="false">IF($U1998&gt;=MA_LONG1,AVERAGE(INDEX($I$1598:$I1998,402-MA_LONG1):$I1998),"")</f>
        <v>13422.63</v>
      </c>
      <c r="Y1998" s="48" t="str">
        <f aca="false">IF($U1998&gt;=MA_LONG2,AVERAGE(INDEX($I$1598:$I1998,402-MA_LONG2):$I1998),"")</f>
        <v/>
      </c>
      <c r="Z1998" s="48" t="n">
        <f aca="false">IF($U1998&gt;=MA_SHORT,AVERAGE(INDEX($L$1878:$L1998,122-MA_SHORT):$L1998),"")</f>
        <v>119225678.85</v>
      </c>
      <c r="AA1998" s="48" t="n">
        <f aca="false">IF($U1998=1,$G1998-$H1998,MAX($G1998-$H1998,ABS($G1998-$I1997),ABS($H1998-$I1997)))</f>
        <v>529</v>
      </c>
      <c r="AB1998" s="48" t="n">
        <f aca="false">IF($U1998&gt;=ATR_PER,AVERAGE(INDEX($AA$1878:$AA1998,122-ATR_PER):$AA1998),"")</f>
        <v>477.5</v>
      </c>
      <c r="AC1998" s="48" t="n">
        <f aca="false">$O1998-$P1998</f>
        <v>27707144</v>
      </c>
      <c r="AD1998" s="48" t="n">
        <f aca="false">$AC1998*$I1998</f>
        <v>407572088240</v>
      </c>
      <c r="AE1998" s="49" t="n">
        <f aca="false">IF($Q1998&gt;0,$O1998*$I1998/$Q1998/1000000,"")</f>
        <v>1420.58850588136</v>
      </c>
      <c r="AF1998" s="49" t="n">
        <f aca="false">IF($R1998&gt;0,$P1998*$I1998/$R1998/1000000,"")</f>
        <v>234.135470489396</v>
      </c>
      <c r="AG1998" s="50" t="n">
        <f aca="false">IF(AND(ISNUMBER($AE1998),ISNUMBER($AF1998),$AF1998&gt;0),$AE1998/$AF1998,"")</f>
        <v>6.06737844083172</v>
      </c>
      <c r="AH1998" s="48" t="n">
        <f aca="false">IF($U1998&gt;=5,SUM(INDEX($AD$1968:$AD1998,32-5):$AD1998),"")</f>
        <v>2946011303659</v>
      </c>
      <c r="AI1998" s="48" t="n">
        <f aca="false">IF($U1998&gt;=STRUCT_S,MAX(INDEX($G$1848:$G1998,152-STRUCT_S):$G1998),"")</f>
        <v>14893</v>
      </c>
      <c r="AJ1998" s="48" t="n">
        <f aca="false">IF($U1998&gt;=STRUCT_S,MIN(INDEX($H$1848:$H1998,152-STRUCT_S):$H1998),"")</f>
        <v>12821</v>
      </c>
      <c r="AK1998" s="48" t="n">
        <f aca="false">IF($U1998&gt;=STRUCT_L,MAX(INDEX($G$1748:$G1998,252-STRUCT_L):$G1998),"")</f>
        <v>14893</v>
      </c>
      <c r="AL1998" s="48" t="n">
        <f aca="false">IF($U1998&gt;=STRUCT_L,MIN(INDEX($H$1748:$H1998,252-STRUCT_L):$H1998),"")</f>
        <v>12238</v>
      </c>
      <c r="AM1998" s="46" t="n">
        <f aca="false">IF($A1998&lt;&gt;$A1999,1,0)</f>
        <v>0</v>
      </c>
      <c r="AN1998" s="47" t="str">
        <f aca="false">IF($AM1998=1,$A1998,"")</f>
        <v/>
      </c>
    </row>
    <row r="1999" customFormat="false" ht="15" hidden="false" customHeight="false" outlineLevel="0" collapsed="false">
      <c r="A1999" s="43" t="s">
        <v>167</v>
      </c>
      <c r="B1999" s="44" t="s">
        <v>169</v>
      </c>
      <c r="C1999" s="45" t="n">
        <v>46148</v>
      </c>
      <c r="D1999" s="46" t="n">
        <v>20260506</v>
      </c>
      <c r="E1999" s="47" t="s">
        <v>462</v>
      </c>
      <c r="F1999" s="48" t="n">
        <v>14822</v>
      </c>
      <c r="G1999" s="48" t="n">
        <v>14876</v>
      </c>
      <c r="H1999" s="48" t="n">
        <v>14331</v>
      </c>
      <c r="I1999" s="48" t="n">
        <v>14494</v>
      </c>
      <c r="J1999" s="48" t="n">
        <v>14766</v>
      </c>
      <c r="K1999" s="48" t="n">
        <v>14710</v>
      </c>
      <c r="L1999" s="48" t="n">
        <v>86547050</v>
      </c>
      <c r="M1999" s="48" t="n">
        <v>1254412942700</v>
      </c>
      <c r="N1999" s="48" t="n">
        <v>7103</v>
      </c>
      <c r="O1999" s="48" t="n">
        <v>42987197</v>
      </c>
      <c r="P1999" s="48" t="n">
        <v>41885921</v>
      </c>
      <c r="Q1999" s="48" t="n">
        <v>3766</v>
      </c>
      <c r="R1999" s="48" t="n">
        <v>1827</v>
      </c>
      <c r="S1999" s="48" t="n">
        <v>43559853</v>
      </c>
      <c r="T1999" s="48" t="n">
        <v>44661129</v>
      </c>
      <c r="U1999" s="46" t="n">
        <f aca="false">IF($A1999=$A1998,$U1998+1,1)</f>
        <v>175</v>
      </c>
      <c r="V1999" s="48" t="n">
        <f aca="false">IF($U1999&gt;=MA_SHORT,AVERAGE(INDEX($I$1599:$I1999,402-MA_SHORT):$I1999),"")</f>
        <v>14047.85</v>
      </c>
      <c r="W1999" s="48" t="n">
        <f aca="false">IF($U1999&gt;=MA_MED,AVERAGE(INDEX($I$1599:$I1999,402-MA_MED):$I1999),"")</f>
        <v>14003.78</v>
      </c>
      <c r="X1999" s="48" t="n">
        <f aca="false">IF($U1999&gt;=MA_LONG1,AVERAGE(INDEX($I$1599:$I1999,402-MA_LONG1):$I1999),"")</f>
        <v>13444.42</v>
      </c>
      <c r="Y1999" s="48" t="str">
        <f aca="false">IF($U1999&gt;=MA_LONG2,AVERAGE(INDEX($I$1599:$I1999,402-MA_LONG2):$I1999),"")</f>
        <v/>
      </c>
      <c r="Z1999" s="48" t="n">
        <f aca="false">IF($U1999&gt;=MA_SHORT,AVERAGE(INDEX($L$1879:$L1999,122-MA_SHORT):$L1999),"")</f>
        <v>117259395.85</v>
      </c>
      <c r="AA1999" s="48" t="n">
        <f aca="false">IF($U1999=1,$G1999-$H1999,MAX($G1999-$H1999,ABS($G1999-$I1998),ABS($H1999-$I1998)))</f>
        <v>545</v>
      </c>
      <c r="AB1999" s="48" t="n">
        <f aca="false">IF($U1999&gt;=ATR_PER,AVERAGE(INDEX($AA$1879:$AA1999,122-ATR_PER):$AA1999),"")</f>
        <v>487</v>
      </c>
      <c r="AC1999" s="48" t="n">
        <f aca="false">$O1999-$P1999</f>
        <v>1101276</v>
      </c>
      <c r="AD1999" s="48" t="n">
        <f aca="false">$AC1999*$I1999</f>
        <v>15961894344</v>
      </c>
      <c r="AE1999" s="49" t="n">
        <f aca="false">IF($Q1999&gt;0,$O1999*$I1999/$Q1999/1000000,"")</f>
        <v>165.442494242698</v>
      </c>
      <c r="AF1999" s="49" t="n">
        <f aca="false">IF($R1999&gt;0,$P1999*$I1999/$R1999/1000000,"")</f>
        <v>332.29038805364</v>
      </c>
      <c r="AG1999" s="50" t="n">
        <f aca="false">IF(AND(ISNUMBER($AE1999),ISNUMBER($AF1999),$AF1999&gt;0),$AE1999/$AF1999,"")</f>
        <v>0.497885284048575</v>
      </c>
      <c r="AH1999" s="48" t="n">
        <f aca="false">IF($U1999&gt;=5,SUM(INDEX($AD$1969:$AD1999,32-5):$AD1999),"")</f>
        <v>2002238144047</v>
      </c>
      <c r="AI1999" s="48" t="n">
        <f aca="false">IF($U1999&gt;=STRUCT_S,MAX(INDEX($G$1849:$G1999,152-STRUCT_S):$G1999),"")</f>
        <v>14893</v>
      </c>
      <c r="AJ1999" s="48" t="n">
        <f aca="false">IF($U1999&gt;=STRUCT_S,MIN(INDEX($H$1849:$H1999,152-STRUCT_S):$H1999),"")</f>
        <v>12821</v>
      </c>
      <c r="AK1999" s="48" t="n">
        <f aca="false">IF($U1999&gt;=STRUCT_L,MAX(INDEX($G$1749:$G1999,252-STRUCT_L):$G1999),"")</f>
        <v>14893</v>
      </c>
      <c r="AL1999" s="48" t="n">
        <f aca="false">IF($U1999&gt;=STRUCT_L,MIN(INDEX($H$1749:$H1999,252-STRUCT_L):$H1999),"")</f>
        <v>12238</v>
      </c>
      <c r="AM1999" s="46" t="n">
        <f aca="false">IF($A1999&lt;&gt;$A2000,1,0)</f>
        <v>0</v>
      </c>
      <c r="AN1999" s="47" t="str">
        <f aca="false">IF($AM1999=1,$A1999,"")</f>
        <v/>
      </c>
    </row>
    <row r="2000" customFormat="false" ht="15" hidden="false" customHeight="false" outlineLevel="0" collapsed="false">
      <c r="A2000" s="43" t="s">
        <v>167</v>
      </c>
      <c r="B2000" s="44" t="s">
        <v>169</v>
      </c>
      <c r="C2000" s="45" t="n">
        <v>46151</v>
      </c>
      <c r="D2000" s="46" t="n">
        <v>20260509</v>
      </c>
      <c r="E2000" s="47" t="s">
        <v>463</v>
      </c>
      <c r="F2000" s="48" t="n">
        <v>14922</v>
      </c>
      <c r="G2000" s="48" t="n">
        <v>14941</v>
      </c>
      <c r="H2000" s="48" t="n">
        <v>14320</v>
      </c>
      <c r="I2000" s="48" t="n">
        <v>14763</v>
      </c>
      <c r="J2000" s="48" t="n">
        <v>14766</v>
      </c>
      <c r="K2000" s="48" t="n">
        <v>14494</v>
      </c>
      <c r="L2000" s="48" t="n">
        <v>148819123</v>
      </c>
      <c r="M2000" s="48" t="n">
        <v>2197016712849</v>
      </c>
      <c r="N2000" s="48" t="n">
        <v>5895</v>
      </c>
      <c r="O2000" s="48" t="n">
        <v>111010264</v>
      </c>
      <c r="P2000" s="48" t="n">
        <v>31138819</v>
      </c>
      <c r="Q2000" s="48" t="n">
        <v>1579</v>
      </c>
      <c r="R2000" s="48" t="n">
        <v>3607</v>
      </c>
      <c r="S2000" s="48" t="n">
        <v>37808859</v>
      </c>
      <c r="T2000" s="48" t="n">
        <v>117680304</v>
      </c>
      <c r="U2000" s="46" t="n">
        <f aca="false">IF($A2000=$A1999,$U1999+1,1)</f>
        <v>176</v>
      </c>
      <c r="V2000" s="48" t="n">
        <f aca="false">IF($U2000&gt;=MA_SHORT,AVERAGE(INDEX($I$1600:$I2000,402-MA_SHORT):$I2000),"")</f>
        <v>14104.25</v>
      </c>
      <c r="W2000" s="48" t="n">
        <f aca="false">IF($U2000&gt;=MA_MED,AVERAGE(INDEX($I$1600:$I2000,402-MA_MED):$I2000),"")</f>
        <v>14045.78</v>
      </c>
      <c r="X2000" s="48" t="n">
        <f aca="false">IF($U2000&gt;=MA_LONG1,AVERAGE(INDEX($I$1600:$I2000,402-MA_LONG1):$I2000),"")</f>
        <v>13470.34</v>
      </c>
      <c r="Y2000" s="48" t="str">
        <f aca="false">IF($U2000&gt;=MA_LONG2,AVERAGE(INDEX($I$1600:$I2000,402-MA_LONG2):$I2000),"")</f>
        <v/>
      </c>
      <c r="Z2000" s="48" t="n">
        <f aca="false">IF($U2000&gt;=MA_SHORT,AVERAGE(INDEX($L$1880:$L2000,122-MA_SHORT):$L2000),"")</f>
        <v>118694182.65</v>
      </c>
      <c r="AA2000" s="48" t="n">
        <f aca="false">IF($U2000=1,$G2000-$H2000,MAX($G2000-$H2000,ABS($G2000-$I1999),ABS($H2000-$I1999)))</f>
        <v>621</v>
      </c>
      <c r="AB2000" s="48" t="n">
        <f aca="false">IF($U2000&gt;=ATR_PER,AVERAGE(INDEX($AA$1880:$AA2000,122-ATR_PER):$AA2000),"")</f>
        <v>490.5</v>
      </c>
      <c r="AC2000" s="48" t="n">
        <f aca="false">$O2000-$P2000</f>
        <v>79871445</v>
      </c>
      <c r="AD2000" s="48" t="n">
        <f aca="false">$AC2000*$I2000</f>
        <v>1179142142535</v>
      </c>
      <c r="AE2000" s="49" t="n">
        <f aca="false">IF($Q2000&gt;0,$O2000*$I2000/$Q2000/1000000,"")</f>
        <v>1037.90027069791</v>
      </c>
      <c r="AF2000" s="49" t="n">
        <f aca="false">IF($R2000&gt;0,$P2000*$I2000/$R2000/1000000,"")</f>
        <v>127.447292735514</v>
      </c>
      <c r="AG2000" s="50" t="n">
        <f aca="false">IF(AND(ISNUMBER($AE2000),ISNUMBER($AF2000),$AF2000&gt;0),$AE2000/$AF2000,"")</f>
        <v>8.14376083179592</v>
      </c>
      <c r="AH2000" s="48" t="n">
        <f aca="false">IF($U2000&gt;=5,SUM(INDEX($AD$1970:$AD2000,32-5):$AD2000),"")</f>
        <v>2691719104808</v>
      </c>
      <c r="AI2000" s="48" t="n">
        <f aca="false">IF($U2000&gt;=STRUCT_S,MAX(INDEX($G$1850:$G2000,152-STRUCT_S):$G2000),"")</f>
        <v>14941</v>
      </c>
      <c r="AJ2000" s="48" t="n">
        <f aca="false">IF($U2000&gt;=STRUCT_S,MIN(INDEX($H$1850:$H2000,152-STRUCT_S):$H2000),"")</f>
        <v>12821</v>
      </c>
      <c r="AK2000" s="48" t="n">
        <f aca="false">IF($U2000&gt;=STRUCT_L,MAX(INDEX($G$1750:$G2000,252-STRUCT_L):$G2000),"")</f>
        <v>14941</v>
      </c>
      <c r="AL2000" s="48" t="n">
        <f aca="false">IF($U2000&gt;=STRUCT_L,MIN(INDEX($H$1750:$H2000,252-STRUCT_L):$H2000),"")</f>
        <v>12238</v>
      </c>
      <c r="AM2000" s="46" t="n">
        <f aca="false">IF($A2000&lt;&gt;$A2001,1,0)</f>
        <v>0</v>
      </c>
      <c r="AN2000" s="47" t="str">
        <f aca="false">IF($AM2000=1,$A2000,"")</f>
        <v/>
      </c>
    </row>
    <row r="2001" customFormat="false" ht="15" hidden="false" customHeight="false" outlineLevel="0" collapsed="false">
      <c r="A2001" s="43" t="s">
        <v>167</v>
      </c>
      <c r="B2001" s="44" t="s">
        <v>169</v>
      </c>
      <c r="C2001" s="45" t="n">
        <v>46152</v>
      </c>
      <c r="D2001" s="46" t="n">
        <v>20260510</v>
      </c>
      <c r="E2001" s="47" t="s">
        <v>464</v>
      </c>
      <c r="F2001" s="48" t="n">
        <v>14880</v>
      </c>
      <c r="G2001" s="48" t="n">
        <v>14900</v>
      </c>
      <c r="H2001" s="48" t="n">
        <v>14519</v>
      </c>
      <c r="I2001" s="48" t="n">
        <v>14655</v>
      </c>
      <c r="J2001" s="48" t="n">
        <v>14831</v>
      </c>
      <c r="K2001" s="48" t="n">
        <v>14763</v>
      </c>
      <c r="L2001" s="48" t="n">
        <v>83030630</v>
      </c>
      <c r="M2001" s="48" t="n">
        <v>1216813882650</v>
      </c>
      <c r="N2001" s="48" t="n">
        <v>1886</v>
      </c>
      <c r="O2001" s="48" t="n">
        <v>57724837</v>
      </c>
      <c r="P2001" s="48" t="n">
        <v>23769491</v>
      </c>
      <c r="Q2001" s="48" t="n">
        <v>928</v>
      </c>
      <c r="R2001" s="48" t="n">
        <v>573</v>
      </c>
      <c r="S2001" s="48" t="n">
        <v>25305793</v>
      </c>
      <c r="T2001" s="48" t="n">
        <v>59261139</v>
      </c>
      <c r="U2001" s="46" t="n">
        <f aca="false">IF($A2001=$A2000,$U2000+1,1)</f>
        <v>177</v>
      </c>
      <c r="V2001" s="48" t="n">
        <f aca="false">IF($U2001&gt;=MA_SHORT,AVERAGE(INDEX($I$1601:$I2001,402-MA_SHORT):$I2001),"")</f>
        <v>14177.55</v>
      </c>
      <c r="W2001" s="48" t="n">
        <f aca="false">IF($U2001&gt;=MA_MED,AVERAGE(INDEX($I$1601:$I2001,402-MA_MED):$I2001),"")</f>
        <v>14079.6</v>
      </c>
      <c r="X2001" s="48" t="n">
        <f aca="false">IF($U2001&gt;=MA_LONG1,AVERAGE(INDEX($I$1601:$I2001,402-MA_LONG1):$I2001),"")</f>
        <v>13494.95</v>
      </c>
      <c r="Y2001" s="48" t="str">
        <f aca="false">IF($U2001&gt;=MA_LONG2,AVERAGE(INDEX($I$1601:$I2001,402-MA_LONG2):$I2001),"")</f>
        <v/>
      </c>
      <c r="Z2001" s="48" t="n">
        <f aca="false">IF($U2001&gt;=MA_SHORT,AVERAGE(INDEX($L$1881:$L2001,122-MA_SHORT):$L2001),"")</f>
        <v>117318808.5</v>
      </c>
      <c r="AA2001" s="48" t="n">
        <f aca="false">IF($U2001=1,$G2001-$H2001,MAX($G2001-$H2001,ABS($G2001-$I2000),ABS($H2001-$I2000)))</f>
        <v>381</v>
      </c>
      <c r="AB2001" s="48" t="n">
        <f aca="false">IF($U2001&gt;=ATR_PER,AVERAGE(INDEX($AA$1881:$AA2001,122-ATR_PER):$AA2001),"")</f>
        <v>477.357142857143</v>
      </c>
      <c r="AC2001" s="48" t="n">
        <f aca="false">$O2001-$P2001</f>
        <v>33955346</v>
      </c>
      <c r="AD2001" s="48" t="n">
        <f aca="false">$AC2001*$I2001</f>
        <v>497615595630</v>
      </c>
      <c r="AE2001" s="49" t="n">
        <f aca="false">IF($Q2001&gt;0,$O2001*$I2001/$Q2001/1000000,"")</f>
        <v>911.592118787716</v>
      </c>
      <c r="AF2001" s="49" t="n">
        <f aca="false">IF($R2001&gt;0,$P2001*$I2001/$R2001/1000000,"")</f>
        <v>607.92651065445</v>
      </c>
      <c r="AG2001" s="50" t="n">
        <f aca="false">IF(AND(ISNUMBER($AE2001),ISNUMBER($AF2001),$AF2001&gt;0),$AE2001/$AF2001,"")</f>
        <v>1.49951038951462</v>
      </c>
      <c r="AH2001" s="48" t="n">
        <f aca="false">IF($U2001&gt;=5,SUM(INDEX($AD$1971:$AD2001,32-5):$AD2001),"")</f>
        <v>2528738084109</v>
      </c>
      <c r="AI2001" s="48" t="n">
        <f aca="false">IF($U2001&gt;=STRUCT_S,MAX(INDEX($G$1851:$G2001,152-STRUCT_S):$G2001),"")</f>
        <v>14941</v>
      </c>
      <c r="AJ2001" s="48" t="n">
        <f aca="false">IF($U2001&gt;=STRUCT_S,MIN(INDEX($H$1851:$H2001,152-STRUCT_S):$H2001),"")</f>
        <v>12821</v>
      </c>
      <c r="AK2001" s="48" t="n">
        <f aca="false">IF($U2001&gt;=STRUCT_L,MAX(INDEX($G$1751:$G2001,252-STRUCT_L):$G2001),"")</f>
        <v>14941</v>
      </c>
      <c r="AL2001" s="48" t="n">
        <f aca="false">IF($U2001&gt;=STRUCT_L,MIN(INDEX($H$1751:$H2001,252-STRUCT_L):$H2001),"")</f>
        <v>12238</v>
      </c>
      <c r="AM2001" s="46" t="n">
        <f aca="false">IF($A2001&lt;&gt;$A2002,1,0)</f>
        <v>0</v>
      </c>
      <c r="AN2001" s="47" t="str">
        <f aca="false">IF($AM2001=1,$A2001,"")</f>
        <v/>
      </c>
    </row>
    <row r="2002" customFormat="false" ht="15" hidden="false" customHeight="false" outlineLevel="0" collapsed="false">
      <c r="A2002" s="43" t="s">
        <v>167</v>
      </c>
      <c r="B2002" s="44" t="s">
        <v>169</v>
      </c>
      <c r="C2002" s="45" t="n">
        <v>46153</v>
      </c>
      <c r="D2002" s="46" t="n">
        <v>20260511</v>
      </c>
      <c r="E2002" s="47" t="s">
        <v>465</v>
      </c>
      <c r="F2002" s="48" t="n">
        <v>14922</v>
      </c>
      <c r="G2002" s="48" t="n">
        <v>14949</v>
      </c>
      <c r="H2002" s="48" t="n">
        <v>14243</v>
      </c>
      <c r="I2002" s="48" t="n">
        <v>14535</v>
      </c>
      <c r="J2002" s="48" t="n">
        <v>14438</v>
      </c>
      <c r="K2002" s="48" t="n">
        <v>14655</v>
      </c>
      <c r="L2002" s="48" t="n">
        <v>119189923</v>
      </c>
      <c r="M2002" s="48" t="n">
        <v>1732425530805</v>
      </c>
      <c r="N2002" s="48" t="n">
        <v>10884</v>
      </c>
      <c r="O2002" s="48" t="n">
        <v>71767621</v>
      </c>
      <c r="P2002" s="48" t="n">
        <v>45030006</v>
      </c>
      <c r="Q2002" s="48" t="n">
        <v>4914</v>
      </c>
      <c r="R2002" s="48" t="n">
        <v>3249</v>
      </c>
      <c r="S2002" s="48" t="n">
        <v>47422302</v>
      </c>
      <c r="T2002" s="48" t="n">
        <v>74159917</v>
      </c>
      <c r="U2002" s="46" t="n">
        <f aca="false">IF($A2002=$A2001,$U2001+1,1)</f>
        <v>178</v>
      </c>
      <c r="V2002" s="48" t="n">
        <f aca="false">IF($U2002&gt;=MA_SHORT,AVERAGE(INDEX($I$1602:$I2002,402-MA_SHORT):$I2002),"")</f>
        <v>14233.25</v>
      </c>
      <c r="W2002" s="48" t="n">
        <f aca="false">IF($U2002&gt;=MA_MED,AVERAGE(INDEX($I$1602:$I2002,402-MA_MED):$I2002),"")</f>
        <v>14105.64</v>
      </c>
      <c r="X2002" s="48" t="n">
        <f aca="false">IF($U2002&gt;=MA_LONG1,AVERAGE(INDEX($I$1602:$I2002,402-MA_LONG1):$I2002),"")</f>
        <v>13517.74</v>
      </c>
      <c r="Y2002" s="48" t="str">
        <f aca="false">IF($U2002&gt;=MA_LONG2,AVERAGE(INDEX($I$1602:$I2002,402-MA_LONG2):$I2002),"")</f>
        <v/>
      </c>
      <c r="Z2002" s="48" t="n">
        <f aca="false">IF($U2002&gt;=MA_SHORT,AVERAGE(INDEX($L$1882:$L2002,122-MA_SHORT):$L2002),"")</f>
        <v>116039245.3</v>
      </c>
      <c r="AA2002" s="48" t="n">
        <f aca="false">IF($U2002=1,$G2002-$H2002,MAX($G2002-$H2002,ABS($G2002-$I2001),ABS($H2002-$I2001)))</f>
        <v>706</v>
      </c>
      <c r="AB2002" s="48" t="n">
        <f aca="false">IF($U2002&gt;=ATR_PER,AVERAGE(INDEX($AA$1882:$AA2002,122-ATR_PER):$AA2002),"")</f>
        <v>497.857142857143</v>
      </c>
      <c r="AC2002" s="48" t="n">
        <f aca="false">$O2002-$P2002</f>
        <v>26737615</v>
      </c>
      <c r="AD2002" s="48" t="n">
        <f aca="false">$AC2002*$I2002</f>
        <v>388631234025</v>
      </c>
      <c r="AE2002" s="49" t="n">
        <f aca="false">IF($Q2002&gt;0,$O2002*$I2002/$Q2002/1000000,"")</f>
        <v>212.279684826007</v>
      </c>
      <c r="AF2002" s="49" t="n">
        <f aca="false">IF($R2002&gt;0,$P2002*$I2002/$R2002/1000000,"")</f>
        <v>201.450026842105</v>
      </c>
      <c r="AG2002" s="50" t="n">
        <f aca="false">IF(AND(ISNUMBER($AE2002),ISNUMBER($AF2002),$AF2002&gt;0),$AE2002/$AF2002,"")</f>
        <v>1.05375853333785</v>
      </c>
      <c r="AH2002" s="48" t="n">
        <f aca="false">IF($U2002&gt;=5,SUM(INDEX($AD$1972:$AD2002,32-5):$AD2002),"")</f>
        <v>2488922954774</v>
      </c>
      <c r="AI2002" s="48" t="n">
        <f aca="false">IF($U2002&gt;=STRUCT_S,MAX(INDEX($G$1852:$G2002,152-STRUCT_S):$G2002),"")</f>
        <v>14949</v>
      </c>
      <c r="AJ2002" s="48" t="n">
        <f aca="false">IF($U2002&gt;=STRUCT_S,MIN(INDEX($H$1852:$H2002,152-STRUCT_S):$H2002),"")</f>
        <v>13374</v>
      </c>
      <c r="AK2002" s="48" t="n">
        <f aca="false">IF($U2002&gt;=STRUCT_L,MAX(INDEX($G$1752:$G2002,252-STRUCT_L):$G2002),"")</f>
        <v>14949</v>
      </c>
      <c r="AL2002" s="48" t="n">
        <f aca="false">IF($U2002&gt;=STRUCT_L,MIN(INDEX($H$1752:$H2002,252-STRUCT_L):$H2002),"")</f>
        <v>12238</v>
      </c>
      <c r="AM2002" s="46" t="n">
        <f aca="false">IF($A2002&lt;&gt;$A2003,1,0)</f>
        <v>0</v>
      </c>
      <c r="AN2002" s="47" t="str">
        <f aca="false">IF($AM2002=1,$A2002,"")</f>
        <v/>
      </c>
    </row>
    <row r="2003" customFormat="false" ht="15" hidden="false" customHeight="false" outlineLevel="0" collapsed="false">
      <c r="A2003" s="43" t="s">
        <v>167</v>
      </c>
      <c r="B2003" s="44" t="s">
        <v>169</v>
      </c>
      <c r="C2003" s="45" t="n">
        <v>46154</v>
      </c>
      <c r="D2003" s="46" t="n">
        <v>20260512</v>
      </c>
      <c r="E2003" s="47" t="s">
        <v>466</v>
      </c>
      <c r="F2003" s="48" t="n">
        <v>14959</v>
      </c>
      <c r="G2003" s="48" t="n">
        <v>14973</v>
      </c>
      <c r="H2003" s="48" t="n">
        <v>14274</v>
      </c>
      <c r="I2003" s="48" t="n">
        <v>14709</v>
      </c>
      <c r="J2003" s="48" t="n">
        <v>14655</v>
      </c>
      <c r="K2003" s="48" t="n">
        <v>14535</v>
      </c>
      <c r="L2003" s="48" t="n">
        <v>91840817</v>
      </c>
      <c r="M2003" s="48" t="n">
        <v>1350886577253</v>
      </c>
      <c r="N2003" s="48" t="n">
        <v>2114</v>
      </c>
      <c r="O2003" s="48" t="n">
        <v>57474853</v>
      </c>
      <c r="P2003" s="48" t="n">
        <v>35600263</v>
      </c>
      <c r="Q2003" s="48" t="n">
        <v>429</v>
      </c>
      <c r="R2003" s="48" t="n">
        <v>1651</v>
      </c>
      <c r="S2003" s="48" t="n">
        <v>34365964</v>
      </c>
      <c r="T2003" s="48" t="n">
        <v>56240554</v>
      </c>
      <c r="U2003" s="46" t="n">
        <f aca="false">IF($A2003=$A2002,$U2002+1,1)</f>
        <v>179</v>
      </c>
      <c r="V2003" s="48" t="n">
        <f aca="false">IF($U2003&gt;=MA_SHORT,AVERAGE(INDEX($I$1603:$I2003,402-MA_SHORT):$I2003),"")</f>
        <v>14270.55</v>
      </c>
      <c r="W2003" s="48" t="n">
        <f aca="false">IF($U2003&gt;=MA_MED,AVERAGE(INDEX($I$1603:$I2003,402-MA_MED):$I2003),"")</f>
        <v>14132.88</v>
      </c>
      <c r="X2003" s="48" t="n">
        <f aca="false">IF($U2003&gt;=MA_LONG1,AVERAGE(INDEX($I$1603:$I2003,402-MA_LONG1):$I2003),"")</f>
        <v>13543.63</v>
      </c>
      <c r="Y2003" s="48" t="str">
        <f aca="false">IF($U2003&gt;=MA_LONG2,AVERAGE(INDEX($I$1603:$I2003,402-MA_LONG2):$I2003),"")</f>
        <v/>
      </c>
      <c r="Z2003" s="48" t="n">
        <f aca="false">IF($U2003&gt;=MA_SHORT,AVERAGE(INDEX($L$1883:$L2003,122-MA_SHORT):$L2003),"")</f>
        <v>114303660.1</v>
      </c>
      <c r="AA2003" s="48" t="n">
        <f aca="false">IF($U2003=1,$G2003-$H2003,MAX($G2003-$H2003,ABS($G2003-$I2002),ABS($H2003-$I2002)))</f>
        <v>699</v>
      </c>
      <c r="AB2003" s="48" t="n">
        <f aca="false">IF($U2003&gt;=ATR_PER,AVERAGE(INDEX($AA$1883:$AA2003,122-ATR_PER):$AA2003),"")</f>
        <v>519.142857142857</v>
      </c>
      <c r="AC2003" s="48" t="n">
        <f aca="false">$O2003-$P2003</f>
        <v>21874590</v>
      </c>
      <c r="AD2003" s="48" t="n">
        <f aca="false">$AC2003*$I2003</f>
        <v>321753344310</v>
      </c>
      <c r="AE2003" s="49" t="n">
        <f aca="false">IF($Q2003&gt;0,$O2003*$I2003/$Q2003/1000000,"")</f>
        <v>1970.62380600699</v>
      </c>
      <c r="AF2003" s="49" t="n">
        <f aca="false">IF($R2003&gt;0,$P2003*$I2003/$R2003/1000000,"")</f>
        <v>317.167939713507</v>
      </c>
      <c r="AG2003" s="50" t="n">
        <f aca="false">IF(AND(ISNUMBER($AE2003),ISNUMBER($AF2003),$AF2003&gt;0),$AE2003/$AF2003,"")</f>
        <v>6.21318727166128</v>
      </c>
      <c r="AH2003" s="48" t="n">
        <f aca="false">IF($U2003&gt;=5,SUM(INDEX($AD$1973:$AD2003,32-5):$AD2003),"")</f>
        <v>2403104210844</v>
      </c>
      <c r="AI2003" s="48" t="n">
        <f aca="false">IF($U2003&gt;=STRUCT_S,MAX(INDEX($G$1853:$G2003,152-STRUCT_S):$G2003),"")</f>
        <v>14973</v>
      </c>
      <c r="AJ2003" s="48" t="n">
        <f aca="false">IF($U2003&gt;=STRUCT_S,MIN(INDEX($H$1853:$H2003,152-STRUCT_S):$H2003),"")</f>
        <v>13579</v>
      </c>
      <c r="AK2003" s="48" t="n">
        <f aca="false">IF($U2003&gt;=STRUCT_L,MAX(INDEX($G$1753:$G2003,252-STRUCT_L):$G2003),"")</f>
        <v>14973</v>
      </c>
      <c r="AL2003" s="48" t="n">
        <f aca="false">IF($U2003&gt;=STRUCT_L,MIN(INDEX($H$1753:$H2003,252-STRUCT_L):$H2003),"")</f>
        <v>12238</v>
      </c>
      <c r="AM2003" s="46" t="n">
        <f aca="false">IF($A2003&lt;&gt;$A2004,1,0)</f>
        <v>0</v>
      </c>
      <c r="AN2003" s="47" t="str">
        <f aca="false">IF($AM2003=1,$A2003,"")</f>
        <v/>
      </c>
    </row>
    <row r="2004" customFormat="false" ht="15" hidden="false" customHeight="false" outlineLevel="0" collapsed="false">
      <c r="A2004" s="43" t="s">
        <v>167</v>
      </c>
      <c r="B2004" s="44" t="s">
        <v>169</v>
      </c>
      <c r="C2004" s="45" t="n">
        <v>46155</v>
      </c>
      <c r="D2004" s="46" t="n">
        <v>20260513</v>
      </c>
      <c r="E2004" s="47" t="s">
        <v>467</v>
      </c>
      <c r="F2004" s="48" t="n">
        <v>14794</v>
      </c>
      <c r="G2004" s="48" t="n">
        <v>14951</v>
      </c>
      <c r="H2004" s="48" t="n">
        <v>14663</v>
      </c>
      <c r="I2004" s="48" t="n">
        <v>14904</v>
      </c>
      <c r="J2004" s="48" t="n">
        <v>14663</v>
      </c>
      <c r="K2004" s="48" t="n">
        <v>14709</v>
      </c>
      <c r="L2004" s="48" t="n">
        <v>85866178</v>
      </c>
      <c r="M2004" s="48" t="n">
        <v>1279749516912</v>
      </c>
      <c r="N2004" s="48" t="n">
        <v>6382</v>
      </c>
      <c r="O2004" s="48" t="n">
        <v>54404445</v>
      </c>
      <c r="P2004" s="48" t="n">
        <v>27436080</v>
      </c>
      <c r="Q2004" s="48" t="n">
        <v>1749</v>
      </c>
      <c r="R2004" s="48" t="n">
        <v>4936</v>
      </c>
      <c r="S2004" s="48" t="n">
        <v>31461733</v>
      </c>
      <c r="T2004" s="48" t="n">
        <v>58430098</v>
      </c>
      <c r="U2004" s="46" t="n">
        <f aca="false">IF($A2004=$A2003,$U2003+1,1)</f>
        <v>180</v>
      </c>
      <c r="V2004" s="48" t="n">
        <f aca="false">IF($U2004&gt;=MA_SHORT,AVERAGE(INDEX($I$1604:$I2004,402-MA_SHORT):$I2004),"")</f>
        <v>14325.55</v>
      </c>
      <c r="W2004" s="48" t="n">
        <f aca="false">IF($U2004&gt;=MA_MED,AVERAGE(INDEX($I$1604:$I2004,402-MA_MED):$I2004),"")</f>
        <v>14156.54</v>
      </c>
      <c r="X2004" s="48" t="n">
        <f aca="false">IF($U2004&gt;=MA_LONG1,AVERAGE(INDEX($I$1604:$I2004,402-MA_LONG1):$I2004),"")</f>
        <v>13571.33</v>
      </c>
      <c r="Y2004" s="48" t="str">
        <f aca="false">IF($U2004&gt;=MA_LONG2,AVERAGE(INDEX($I$1604:$I2004,402-MA_LONG2):$I2004),"")</f>
        <v/>
      </c>
      <c r="Z2004" s="48" t="n">
        <f aca="false">IF($U2004&gt;=MA_SHORT,AVERAGE(INDEX($L$1884:$L2004,122-MA_SHORT):$L2004),"")</f>
        <v>114348280.55</v>
      </c>
      <c r="AA2004" s="48" t="n">
        <f aca="false">IF($U2004=1,$G2004-$H2004,MAX($G2004-$H2004,ABS($G2004-$I2003),ABS($H2004-$I2003)))</f>
        <v>288</v>
      </c>
      <c r="AB2004" s="48" t="n">
        <f aca="false">IF($U2004&gt;=ATR_PER,AVERAGE(INDEX($AA$1884:$AA2004,122-ATR_PER):$AA2004),"")</f>
        <v>502.214285714286</v>
      </c>
      <c r="AC2004" s="48" t="n">
        <f aca="false">$O2004-$P2004</f>
        <v>26968365</v>
      </c>
      <c r="AD2004" s="48" t="n">
        <f aca="false">$AC2004*$I2004</f>
        <v>401936511960</v>
      </c>
      <c r="AE2004" s="49" t="n">
        <f aca="false">IF($Q2004&gt;0,$O2004*$I2004/$Q2004/1000000,"")</f>
        <v>463.604258593482</v>
      </c>
      <c r="AF2004" s="49" t="n">
        <f aca="false">IF($R2004&gt;0,$P2004*$I2004/$R2004/1000000,"")</f>
        <v>82.8418428525121</v>
      </c>
      <c r="AG2004" s="50" t="n">
        <f aca="false">IF(AND(ISNUMBER($AE2004),ISNUMBER($AF2004),$AF2004&gt;0),$AE2004/$AF2004,"")</f>
        <v>5.59625718875982</v>
      </c>
      <c r="AH2004" s="48" t="n">
        <f aca="false">IF($U2004&gt;=5,SUM(INDEX($AD$1974:$AD2004,32-5):$AD2004),"")</f>
        <v>2789078828460</v>
      </c>
      <c r="AI2004" s="48" t="n">
        <f aca="false">IF($U2004&gt;=STRUCT_S,MAX(INDEX($G$1854:$G2004,152-STRUCT_S):$G2004),"")</f>
        <v>14973</v>
      </c>
      <c r="AJ2004" s="48" t="n">
        <f aca="false">IF($U2004&gt;=STRUCT_S,MIN(INDEX($H$1854:$H2004,152-STRUCT_S):$H2004),"")</f>
        <v>13579</v>
      </c>
      <c r="AK2004" s="48" t="n">
        <f aca="false">IF($U2004&gt;=STRUCT_L,MAX(INDEX($G$1754:$G2004,252-STRUCT_L):$G2004),"")</f>
        <v>14973</v>
      </c>
      <c r="AL2004" s="48" t="n">
        <f aca="false">IF($U2004&gt;=STRUCT_L,MIN(INDEX($H$1754:$H2004,252-STRUCT_L):$H2004),"")</f>
        <v>12238</v>
      </c>
      <c r="AM2004" s="46" t="n">
        <f aca="false">IF($A2004&lt;&gt;$A2005,1,0)</f>
        <v>0</v>
      </c>
      <c r="AN2004" s="47" t="str">
        <f aca="false">IF($AM2004=1,$A2004,"")</f>
        <v/>
      </c>
    </row>
    <row r="2005" customFormat="false" ht="15" hidden="false" customHeight="false" outlineLevel="0" collapsed="false">
      <c r="A2005" s="43" t="s">
        <v>167</v>
      </c>
      <c r="B2005" s="44" t="s">
        <v>169</v>
      </c>
      <c r="C2005" s="45" t="n">
        <v>46158</v>
      </c>
      <c r="D2005" s="46" t="n">
        <v>20260516</v>
      </c>
      <c r="E2005" s="47" t="s">
        <v>468</v>
      </c>
      <c r="F2005" s="48" t="n">
        <v>15028</v>
      </c>
      <c r="G2005" s="48" t="n">
        <v>15156</v>
      </c>
      <c r="H2005" s="48" t="n">
        <v>14855</v>
      </c>
      <c r="I2005" s="48" t="n">
        <v>15107</v>
      </c>
      <c r="J2005" s="48" t="n">
        <v>15061</v>
      </c>
      <c r="K2005" s="48" t="n">
        <v>14904</v>
      </c>
      <c r="L2005" s="48" t="n">
        <v>103467870</v>
      </c>
      <c r="M2005" s="48" t="n">
        <v>1563089112090</v>
      </c>
      <c r="N2005" s="48" t="n">
        <v>4399</v>
      </c>
      <c r="O2005" s="48" t="n">
        <v>71235584</v>
      </c>
      <c r="P2005" s="48" t="n">
        <v>32999888</v>
      </c>
      <c r="Q2005" s="48" t="n">
        <v>1554</v>
      </c>
      <c r="R2005" s="48" t="n">
        <v>3570</v>
      </c>
      <c r="S2005" s="48" t="n">
        <v>32232286</v>
      </c>
      <c r="T2005" s="48" t="n">
        <v>70467982</v>
      </c>
      <c r="U2005" s="46" t="n">
        <f aca="false">IF($A2005=$A2004,$U2004+1,1)</f>
        <v>181</v>
      </c>
      <c r="V2005" s="48" t="n">
        <f aca="false">IF($U2005&gt;=MA_SHORT,AVERAGE(INDEX($I$1605:$I2005,402-MA_SHORT):$I2005),"")</f>
        <v>14392.65</v>
      </c>
      <c r="W2005" s="48" t="n">
        <f aca="false">IF($U2005&gt;=MA_MED,AVERAGE(INDEX($I$1605:$I2005,402-MA_MED):$I2005),"")</f>
        <v>14182.44</v>
      </c>
      <c r="X2005" s="48" t="n">
        <f aca="false">IF($U2005&gt;=MA_LONG1,AVERAGE(INDEX($I$1605:$I2005,402-MA_LONG1):$I2005),"")</f>
        <v>13600.77</v>
      </c>
      <c r="Y2005" s="48" t="str">
        <f aca="false">IF($U2005&gt;=MA_LONG2,AVERAGE(INDEX($I$1605:$I2005,402-MA_LONG2):$I2005),"")</f>
        <v/>
      </c>
      <c r="Z2005" s="48" t="n">
        <f aca="false">IF($U2005&gt;=MA_SHORT,AVERAGE(INDEX($L$1885:$L2005,122-MA_SHORT):$L2005),"")</f>
        <v>115477289.7</v>
      </c>
      <c r="AA2005" s="48" t="n">
        <f aca="false">IF($U2005=1,$G2005-$H2005,MAX($G2005-$H2005,ABS($G2005-$I2004),ABS($H2005-$I2004)))</f>
        <v>301</v>
      </c>
      <c r="AB2005" s="48" t="n">
        <f aca="false">IF($U2005&gt;=ATR_PER,AVERAGE(INDEX($AA$1885:$AA2005,122-ATR_PER):$AA2005),"")</f>
        <v>507.857142857143</v>
      </c>
      <c r="AC2005" s="48" t="n">
        <f aca="false">$O2005-$P2005</f>
        <v>38235696</v>
      </c>
      <c r="AD2005" s="48" t="n">
        <f aca="false">$AC2005*$I2005</f>
        <v>577626659472</v>
      </c>
      <c r="AE2005" s="49" t="n">
        <f aca="false">IF($Q2005&gt;0,$O2005*$I2005/$Q2005/1000000,"")</f>
        <v>692.507057585586</v>
      </c>
      <c r="AF2005" s="49" t="n">
        <f aca="false">IF($R2005&gt;0,$P2005*$I2005/$R2005/1000000,"")</f>
        <v>139.644063870028</v>
      </c>
      <c r="AG2005" s="50" t="n">
        <f aca="false">IF(AND(ISNUMBER($AE2005),ISNUMBER($AF2005),$AF2005&gt;0),$AE2005/$AF2005,"")</f>
        <v>4.95908697007076</v>
      </c>
      <c r="AH2005" s="48" t="n">
        <f aca="false">IF($U2005&gt;=5,SUM(INDEX($AD$1975:$AD2005,32-5):$AD2005),"")</f>
        <v>2187563345397</v>
      </c>
      <c r="AI2005" s="48" t="n">
        <f aca="false">IF($U2005&gt;=STRUCT_S,MAX(INDEX($G$1855:$G2005,152-STRUCT_S):$G2005),"")</f>
        <v>15156</v>
      </c>
      <c r="AJ2005" s="48" t="n">
        <f aca="false">IF($U2005&gt;=STRUCT_S,MIN(INDEX($H$1855:$H2005,152-STRUCT_S):$H2005),"")</f>
        <v>13580</v>
      </c>
      <c r="AK2005" s="48" t="n">
        <f aca="false">IF($U2005&gt;=STRUCT_L,MAX(INDEX($G$1755:$G2005,252-STRUCT_L):$G2005),"")</f>
        <v>15156</v>
      </c>
      <c r="AL2005" s="48" t="n">
        <f aca="false">IF($U2005&gt;=STRUCT_L,MIN(INDEX($H$1755:$H2005,252-STRUCT_L):$H2005),"")</f>
        <v>12238</v>
      </c>
      <c r="AM2005" s="46" t="n">
        <f aca="false">IF($A2005&lt;&gt;$A2006,1,0)</f>
        <v>0</v>
      </c>
      <c r="AN2005" s="47" t="str">
        <f aca="false">IF($AM2005=1,$A2005,"")</f>
        <v/>
      </c>
    </row>
    <row r="2006" customFormat="false" ht="15" hidden="false" customHeight="false" outlineLevel="0" collapsed="false">
      <c r="A2006" s="43" t="s">
        <v>167</v>
      </c>
      <c r="B2006" s="44" t="s">
        <v>169</v>
      </c>
      <c r="C2006" s="45" t="n">
        <v>46159</v>
      </c>
      <c r="D2006" s="46" t="n">
        <v>20260517</v>
      </c>
      <c r="E2006" s="47" t="s">
        <v>469</v>
      </c>
      <c r="F2006" s="48" t="n">
        <v>15223</v>
      </c>
      <c r="G2006" s="48" t="n">
        <v>15398</v>
      </c>
      <c r="H2006" s="48" t="n">
        <v>14980</v>
      </c>
      <c r="I2006" s="48" t="n">
        <v>15269</v>
      </c>
      <c r="J2006" s="48" t="n">
        <v>15197</v>
      </c>
      <c r="K2006" s="48" t="n">
        <v>15107</v>
      </c>
      <c r="L2006" s="48" t="n">
        <v>84657012</v>
      </c>
      <c r="M2006" s="48" t="n">
        <v>1292627916228</v>
      </c>
      <c r="N2006" s="48" t="n">
        <v>2520</v>
      </c>
      <c r="O2006" s="48" t="n">
        <v>55861480</v>
      </c>
      <c r="P2006" s="48" t="n">
        <v>28915372</v>
      </c>
      <c r="Q2006" s="48" t="n">
        <v>831</v>
      </c>
      <c r="R2006" s="48" t="n">
        <v>1483</v>
      </c>
      <c r="S2006" s="48" t="n">
        <v>28795532</v>
      </c>
      <c r="T2006" s="48" t="n">
        <v>55741640</v>
      </c>
      <c r="U2006" s="46" t="n">
        <f aca="false">IF($A2006=$A2005,$U2005+1,1)</f>
        <v>182</v>
      </c>
      <c r="V2006" s="48" t="n">
        <f aca="false">IF($U2006&gt;=MA_SHORT,AVERAGE(INDEX($I$1606:$I2006,402-MA_SHORT):$I2006),"")</f>
        <v>14457.85</v>
      </c>
      <c r="W2006" s="48" t="n">
        <f aca="false">IF($U2006&gt;=MA_MED,AVERAGE(INDEX($I$1606:$I2006,402-MA_MED):$I2006),"")</f>
        <v>14205.12</v>
      </c>
      <c r="X2006" s="48" t="n">
        <f aca="false">IF($U2006&gt;=MA_LONG1,AVERAGE(INDEX($I$1606:$I2006,402-MA_LONG1):$I2006),"")</f>
        <v>13628.7</v>
      </c>
      <c r="Y2006" s="48" t="str">
        <f aca="false">IF($U2006&gt;=MA_LONG2,AVERAGE(INDEX($I$1606:$I2006,402-MA_LONG2):$I2006),"")</f>
        <v/>
      </c>
      <c r="Z2006" s="48" t="n">
        <f aca="false">IF($U2006&gt;=MA_SHORT,AVERAGE(INDEX($L$1886:$L2006,122-MA_SHORT):$L2006),"")</f>
        <v>115386469.3</v>
      </c>
      <c r="AA2006" s="48" t="n">
        <f aca="false">IF($U2006=1,$G2006-$H2006,MAX($G2006-$H2006,ABS($G2006-$I2005),ABS($H2006-$I2005)))</f>
        <v>418</v>
      </c>
      <c r="AB2006" s="48" t="n">
        <f aca="false">IF($U2006&gt;=ATR_PER,AVERAGE(INDEX($AA$1886:$AA2006,122-ATR_PER):$AA2006),"")</f>
        <v>514.071428571429</v>
      </c>
      <c r="AC2006" s="48" t="n">
        <f aca="false">$O2006-$P2006</f>
        <v>26946108</v>
      </c>
      <c r="AD2006" s="48" t="n">
        <f aca="false">$AC2006*$I2006</f>
        <v>411440123052</v>
      </c>
      <c r="AE2006" s="49" t="n">
        <f aca="false">IF($Q2006&gt;0,$O2006*$I2006/$Q2006/1000000,"")</f>
        <v>1026.4126812515</v>
      </c>
      <c r="AF2006" s="49" t="n">
        <f aca="false">IF($R2006&gt;0,$P2006*$I2006/$R2006/1000000,"")</f>
        <v>297.713294044504</v>
      </c>
      <c r="AG2006" s="50" t="n">
        <f aca="false">IF(AND(ISNUMBER($AE2006),ISNUMBER($AF2006),$AF2006&gt;0),$AE2006/$AF2006,"")</f>
        <v>3.44765484707602</v>
      </c>
      <c r="AH2006" s="48" t="n">
        <f aca="false">IF($U2006&gt;=5,SUM(INDEX($AD$1976:$AD2006,32-5):$AD2006),"")</f>
        <v>2101387872819</v>
      </c>
      <c r="AI2006" s="48" t="n">
        <f aca="false">IF($U2006&gt;=STRUCT_S,MAX(INDEX($G$1856:$G2006,152-STRUCT_S):$G2006),"")</f>
        <v>15398</v>
      </c>
      <c r="AJ2006" s="48" t="n">
        <f aca="false">IF($U2006&gt;=STRUCT_S,MIN(INDEX($H$1856:$H2006,152-STRUCT_S):$H2006),"")</f>
        <v>13709</v>
      </c>
      <c r="AK2006" s="48" t="n">
        <f aca="false">IF($U2006&gt;=STRUCT_L,MAX(INDEX($G$1756:$G2006,252-STRUCT_L):$G2006),"")</f>
        <v>15398</v>
      </c>
      <c r="AL2006" s="48" t="n">
        <f aca="false">IF($U2006&gt;=STRUCT_L,MIN(INDEX($H$1756:$H2006,252-STRUCT_L):$H2006),"")</f>
        <v>12238</v>
      </c>
      <c r="AM2006" s="46" t="n">
        <f aca="false">IF($A2006&lt;&gt;$A2007,1,0)</f>
        <v>0</v>
      </c>
      <c r="AN2006" s="47" t="str">
        <f aca="false">IF($AM2006=1,$A2006,"")</f>
        <v/>
      </c>
    </row>
    <row r="2007" customFormat="false" ht="15" hidden="false" customHeight="false" outlineLevel="0" collapsed="false">
      <c r="A2007" s="43" t="s">
        <v>167</v>
      </c>
      <c r="B2007" s="44" t="s">
        <v>169</v>
      </c>
      <c r="C2007" s="45" t="n">
        <v>46160</v>
      </c>
      <c r="D2007" s="46" t="n">
        <v>20260518</v>
      </c>
      <c r="E2007" s="47" t="s">
        <v>470</v>
      </c>
      <c r="F2007" s="48" t="n">
        <v>15410</v>
      </c>
      <c r="G2007" s="48" t="n">
        <v>15431</v>
      </c>
      <c r="H2007" s="48" t="n">
        <v>15201</v>
      </c>
      <c r="I2007" s="48" t="n">
        <v>15363</v>
      </c>
      <c r="J2007" s="48" t="n">
        <v>15358</v>
      </c>
      <c r="K2007" s="48" t="n">
        <v>15269</v>
      </c>
      <c r="L2007" s="48" t="n">
        <v>82477359</v>
      </c>
      <c r="M2007" s="48" t="n">
        <v>1267099666317</v>
      </c>
      <c r="N2007" s="48" t="n">
        <v>7155</v>
      </c>
      <c r="O2007" s="48" t="n">
        <v>52416808</v>
      </c>
      <c r="P2007" s="48" t="n">
        <v>27991446</v>
      </c>
      <c r="Q2007" s="48" t="n">
        <v>1902</v>
      </c>
      <c r="R2007" s="48" t="n">
        <v>3985</v>
      </c>
      <c r="S2007" s="48" t="n">
        <v>30060551</v>
      </c>
      <c r="T2007" s="48" t="n">
        <v>54485913</v>
      </c>
      <c r="U2007" s="46" t="n">
        <f aca="false">IF($A2007=$A2006,$U2006+1,1)</f>
        <v>183</v>
      </c>
      <c r="V2007" s="48" t="n">
        <f aca="false">IF($U2007&gt;=MA_SHORT,AVERAGE(INDEX($I$1607:$I2007,402-MA_SHORT):$I2007),"")</f>
        <v>14523.05</v>
      </c>
      <c r="W2007" s="48" t="n">
        <f aca="false">IF($U2007&gt;=MA_MED,AVERAGE(INDEX($I$1607:$I2007,402-MA_MED):$I2007),"")</f>
        <v>14229.68</v>
      </c>
      <c r="X2007" s="48" t="n">
        <f aca="false">IF($U2007&gt;=MA_LONG1,AVERAGE(INDEX($I$1607:$I2007,402-MA_LONG1):$I2007),"")</f>
        <v>13656.45</v>
      </c>
      <c r="Y2007" s="48" t="str">
        <f aca="false">IF($U2007&gt;=MA_LONG2,AVERAGE(INDEX($I$1607:$I2007,402-MA_LONG2):$I2007),"")</f>
        <v/>
      </c>
      <c r="Z2007" s="48" t="n">
        <f aca="false">IF($U2007&gt;=MA_SHORT,AVERAGE(INDEX($L$1887:$L2007,122-MA_SHORT):$L2007),"")</f>
        <v>112004292.8</v>
      </c>
      <c r="AA2007" s="48" t="n">
        <f aca="false">IF($U2007=1,$G2007-$H2007,MAX($G2007-$H2007,ABS($G2007-$I2006),ABS($H2007-$I2006)))</f>
        <v>230</v>
      </c>
      <c r="AB2007" s="48" t="n">
        <f aca="false">IF($U2007&gt;=ATR_PER,AVERAGE(INDEX($AA$1887:$AA2007,122-ATR_PER):$AA2007),"")</f>
        <v>486.5</v>
      </c>
      <c r="AC2007" s="48" t="n">
        <f aca="false">$O2007-$P2007</f>
        <v>24425362</v>
      </c>
      <c r="AD2007" s="48" t="n">
        <f aca="false">$AC2007*$I2007</f>
        <v>375246836406</v>
      </c>
      <c r="AE2007" s="49" t="n">
        <f aca="false">IF($Q2007&gt;0,$O2007*$I2007/$Q2007/1000000,"")</f>
        <v>423.385605312303</v>
      </c>
      <c r="AF2007" s="49" t="n">
        <f aca="false">IF($R2007&gt;0,$P2007*$I2007/$R2007/1000000,"")</f>
        <v>107.912819296863</v>
      </c>
      <c r="AG2007" s="50" t="n">
        <f aca="false">IF(AND(ISNUMBER($AE2007),ISNUMBER($AF2007),$AF2007&gt;0),$AE2007/$AF2007,"")</f>
        <v>3.92340417080188</v>
      </c>
      <c r="AH2007" s="48" t="n">
        <f aca="false">IF($U2007&gt;=5,SUM(INDEX($AD$1977:$AD2007,32-5):$AD2007),"")</f>
        <v>2088003475200</v>
      </c>
      <c r="AI2007" s="48" t="n">
        <f aca="false">IF($U2007&gt;=STRUCT_S,MAX(INDEX($G$1857:$G2007,152-STRUCT_S):$G2007),"")</f>
        <v>15431</v>
      </c>
      <c r="AJ2007" s="48" t="n">
        <f aca="false">IF($U2007&gt;=STRUCT_S,MIN(INDEX($H$1857:$H2007,152-STRUCT_S):$H2007),"")</f>
        <v>13709</v>
      </c>
      <c r="AK2007" s="48" t="n">
        <f aca="false">IF($U2007&gt;=STRUCT_L,MAX(INDEX($G$1757:$G2007,252-STRUCT_L):$G2007),"")</f>
        <v>15431</v>
      </c>
      <c r="AL2007" s="48" t="n">
        <f aca="false">IF($U2007&gt;=STRUCT_L,MIN(INDEX($H$1757:$H2007,252-STRUCT_L):$H2007),"")</f>
        <v>12238</v>
      </c>
      <c r="AM2007" s="46" t="n">
        <f aca="false">IF($A2007&lt;&gt;$A2008,1,0)</f>
        <v>0</v>
      </c>
      <c r="AN2007" s="47" t="str">
        <f aca="false">IF($AM2007=1,$A2007,"")</f>
        <v/>
      </c>
    </row>
    <row r="2008" customFormat="false" ht="15" hidden="false" customHeight="false" outlineLevel="0" collapsed="false">
      <c r="A2008" s="43" t="s">
        <v>167</v>
      </c>
      <c r="B2008" s="44" t="s">
        <v>169</v>
      </c>
      <c r="C2008" s="45" t="n">
        <v>46161</v>
      </c>
      <c r="D2008" s="46" t="n">
        <v>20260519</v>
      </c>
      <c r="E2008" s="47" t="s">
        <v>471</v>
      </c>
      <c r="F2008" s="48" t="n">
        <v>15470</v>
      </c>
      <c r="G2008" s="48" t="n">
        <v>15591</v>
      </c>
      <c r="H2008" s="48" t="n">
        <v>15263</v>
      </c>
      <c r="I2008" s="48" t="n">
        <v>15491</v>
      </c>
      <c r="J2008" s="48" t="n">
        <v>15433</v>
      </c>
      <c r="K2008" s="48" t="n">
        <v>15363</v>
      </c>
      <c r="L2008" s="48" t="n">
        <v>83515559</v>
      </c>
      <c r="M2008" s="48" t="n">
        <v>1293739524469</v>
      </c>
      <c r="N2008" s="48" t="n">
        <v>2190</v>
      </c>
      <c r="O2008" s="48" t="n">
        <v>50368152</v>
      </c>
      <c r="P2008" s="48" t="n">
        <v>39141200</v>
      </c>
      <c r="Q2008" s="48" t="n">
        <v>777</v>
      </c>
      <c r="R2008" s="48" t="n">
        <v>1753</v>
      </c>
      <c r="S2008" s="48" t="n">
        <v>33147407</v>
      </c>
      <c r="T2008" s="48" t="n">
        <v>44374359</v>
      </c>
      <c r="U2008" s="46" t="n">
        <f aca="false">IF($A2008=$A2007,$U2007+1,1)</f>
        <v>184</v>
      </c>
      <c r="V2008" s="48" t="n">
        <f aca="false">IF($U2008&gt;=MA_SHORT,AVERAGE(INDEX($I$1608:$I2008,402-MA_SHORT):$I2008),"")</f>
        <v>14598.45</v>
      </c>
      <c r="W2008" s="48" t="n">
        <f aca="false">IF($U2008&gt;=MA_MED,AVERAGE(INDEX($I$1608:$I2008,402-MA_MED):$I2008),"")</f>
        <v>14252.62</v>
      </c>
      <c r="X2008" s="48" t="n">
        <f aca="false">IF($U2008&gt;=MA_LONG1,AVERAGE(INDEX($I$1608:$I2008,402-MA_LONG1):$I2008),"")</f>
        <v>13685.25</v>
      </c>
      <c r="Y2008" s="48" t="str">
        <f aca="false">IF($U2008&gt;=MA_LONG2,AVERAGE(INDEX($I$1608:$I2008,402-MA_LONG2):$I2008),"")</f>
        <v/>
      </c>
      <c r="Z2008" s="48" t="n">
        <f aca="false">IF($U2008&gt;=MA_SHORT,AVERAGE(INDEX($L$1888:$L2008,122-MA_SHORT):$L2008),"")</f>
        <v>111884958.45</v>
      </c>
      <c r="AA2008" s="48" t="n">
        <f aca="false">IF($U2008=1,$G2008-$H2008,MAX($G2008-$H2008,ABS($G2008-$I2007),ABS($H2008-$I2007)))</f>
        <v>328</v>
      </c>
      <c r="AB2008" s="48" t="n">
        <f aca="false">IF($U2008&gt;=ATR_PER,AVERAGE(INDEX($AA$1888:$AA2008,122-ATR_PER):$AA2008),"")</f>
        <v>453.714285714286</v>
      </c>
      <c r="AC2008" s="48" t="n">
        <f aca="false">$O2008-$P2008</f>
        <v>11226952</v>
      </c>
      <c r="AD2008" s="48" t="n">
        <f aca="false">$AC2008*$I2008</f>
        <v>173916713432</v>
      </c>
      <c r="AE2008" s="49" t="n">
        <f aca="false">IF($Q2008&gt;0,$O2008*$I2008/$Q2008/1000000,"")</f>
        <v>1004.18667005405</v>
      </c>
      <c r="AF2008" s="49" t="n">
        <f aca="false">IF($R2008&gt;0,$P2008*$I2008/$R2008/1000000,"")</f>
        <v>345.88495675984</v>
      </c>
      <c r="AG2008" s="50" t="n">
        <f aca="false">IF(AND(ISNUMBER($AE2008),ISNUMBER($AF2008),$AF2008&gt;0),$AE2008/$AF2008,"")</f>
        <v>2.90323892504899</v>
      </c>
      <c r="AH2008" s="48" t="n">
        <f aca="false">IF($U2008&gt;=5,SUM(INDEX($AD$1978:$AD2008,32-5):$AD2008),"")</f>
        <v>1940166844322</v>
      </c>
      <c r="AI2008" s="48" t="n">
        <f aca="false">IF($U2008&gt;=STRUCT_S,MAX(INDEX($G$1858:$G2008,152-STRUCT_S):$G2008),"")</f>
        <v>15591</v>
      </c>
      <c r="AJ2008" s="48" t="n">
        <f aca="false">IF($U2008&gt;=STRUCT_S,MIN(INDEX($H$1858:$H2008,152-STRUCT_S):$H2008),"")</f>
        <v>13709</v>
      </c>
      <c r="AK2008" s="48" t="n">
        <f aca="false">IF($U2008&gt;=STRUCT_L,MAX(INDEX($G$1758:$G2008,252-STRUCT_L):$G2008),"")</f>
        <v>15591</v>
      </c>
      <c r="AL2008" s="48" t="n">
        <f aca="false">IF($U2008&gt;=STRUCT_L,MIN(INDEX($H$1758:$H2008,252-STRUCT_L):$H2008),"")</f>
        <v>12238</v>
      </c>
      <c r="AM2008" s="46" t="n">
        <f aca="false">IF($A2008&lt;&gt;$A2009,1,0)</f>
        <v>0</v>
      </c>
      <c r="AN2008" s="47" t="str">
        <f aca="false">IF($AM2008=1,$A2008,"")</f>
        <v/>
      </c>
    </row>
    <row r="2009" customFormat="false" ht="15" hidden="false" customHeight="false" outlineLevel="0" collapsed="false">
      <c r="A2009" s="43" t="s">
        <v>167</v>
      </c>
      <c r="B2009" s="44" t="s">
        <v>169</v>
      </c>
      <c r="C2009" s="45" t="n">
        <v>46162</v>
      </c>
      <c r="D2009" s="46" t="n">
        <v>20260520</v>
      </c>
      <c r="E2009" s="47" t="s">
        <v>472</v>
      </c>
      <c r="F2009" s="48" t="n">
        <v>15352</v>
      </c>
      <c r="G2009" s="48" t="n">
        <v>15597</v>
      </c>
      <c r="H2009" s="48" t="n">
        <v>15337</v>
      </c>
      <c r="I2009" s="48" t="n">
        <v>15443</v>
      </c>
      <c r="J2009" s="48" t="n">
        <v>15477</v>
      </c>
      <c r="K2009" s="48" t="n">
        <v>15491</v>
      </c>
      <c r="L2009" s="48" t="n">
        <v>101722116</v>
      </c>
      <c r="M2009" s="48" t="n">
        <v>1570894637388</v>
      </c>
      <c r="N2009" s="48" t="n">
        <v>2644</v>
      </c>
      <c r="O2009" s="48" t="n">
        <v>60707152</v>
      </c>
      <c r="P2009" s="48" t="n">
        <v>40455200</v>
      </c>
      <c r="Q2009" s="48" t="n">
        <v>1495</v>
      </c>
      <c r="R2009" s="48" t="n">
        <v>1025</v>
      </c>
      <c r="S2009" s="48" t="n">
        <v>41014964</v>
      </c>
      <c r="T2009" s="48" t="n">
        <v>61266916</v>
      </c>
      <c r="U2009" s="46" t="n">
        <f aca="false">IF($A2009=$A2008,$U2008+1,1)</f>
        <v>185</v>
      </c>
      <c r="V2009" s="48" t="n">
        <f aca="false">IF($U2009&gt;=MA_SHORT,AVERAGE(INDEX($I$1609:$I2009,402-MA_SHORT):$I2009),"")</f>
        <v>14678.85</v>
      </c>
      <c r="W2009" s="48" t="n">
        <f aca="false">IF($U2009&gt;=MA_MED,AVERAGE(INDEX($I$1609:$I2009,402-MA_MED):$I2009),"")</f>
        <v>14278.42</v>
      </c>
      <c r="X2009" s="48" t="n">
        <f aca="false">IF($U2009&gt;=MA_LONG1,AVERAGE(INDEX($I$1609:$I2009,402-MA_LONG1):$I2009),"")</f>
        <v>13712.64</v>
      </c>
      <c r="Y2009" s="48" t="str">
        <f aca="false">IF($U2009&gt;=MA_LONG2,AVERAGE(INDEX($I$1609:$I2009,402-MA_LONG2):$I2009),"")</f>
        <v/>
      </c>
      <c r="Z2009" s="48" t="n">
        <f aca="false">IF($U2009&gt;=MA_SHORT,AVERAGE(INDEX($L$1889:$L2009,122-MA_SHORT):$L2009),"")</f>
        <v>112741535.8</v>
      </c>
      <c r="AA2009" s="48" t="n">
        <f aca="false">IF($U2009=1,$G2009-$H2009,MAX($G2009-$H2009,ABS($G2009-$I2008),ABS($H2009-$I2008)))</f>
        <v>260</v>
      </c>
      <c r="AB2009" s="48" t="n">
        <f aca="false">IF($U2009&gt;=ATR_PER,AVERAGE(INDEX($AA$1889:$AA2009,122-ATR_PER):$AA2009),"")</f>
        <v>443.214285714286</v>
      </c>
      <c r="AC2009" s="48" t="n">
        <f aca="false">$O2009-$P2009</f>
        <v>20251952</v>
      </c>
      <c r="AD2009" s="48" t="n">
        <f aca="false">$AC2009*$I2009</f>
        <v>312750894736</v>
      </c>
      <c r="AE2009" s="49" t="n">
        <f aca="false">IF($Q2009&gt;0,$O2009*$I2009/$Q2009/1000000,"")</f>
        <v>627.090667783278</v>
      </c>
      <c r="AF2009" s="49" t="n">
        <f aca="false">IF($R2009&gt;0,$P2009*$I2009/$R2009/1000000,"")</f>
        <v>609.511857170732</v>
      </c>
      <c r="AG2009" s="50" t="n">
        <f aca="false">IF(AND(ISNUMBER($AE2009),ISNUMBER($AF2009),$AF2009&gt;0),$AE2009/$AF2009,"")</f>
        <v>1.02884080170999</v>
      </c>
      <c r="AH2009" s="48" t="n">
        <f aca="false">IF($U2009&gt;=5,SUM(INDEX($AD$1979:$AD2009,32-5):$AD2009),"")</f>
        <v>1850981227098</v>
      </c>
      <c r="AI2009" s="48" t="n">
        <f aca="false">IF($U2009&gt;=STRUCT_S,MAX(INDEX($G$1859:$G2009,152-STRUCT_S):$G2009),"")</f>
        <v>15597</v>
      </c>
      <c r="AJ2009" s="48" t="n">
        <f aca="false">IF($U2009&gt;=STRUCT_S,MIN(INDEX($H$1859:$H2009,152-STRUCT_S):$H2009),"")</f>
        <v>13709</v>
      </c>
      <c r="AK2009" s="48" t="n">
        <f aca="false">IF($U2009&gt;=STRUCT_L,MAX(INDEX($G$1759:$G2009,252-STRUCT_L):$G2009),"")</f>
        <v>15597</v>
      </c>
      <c r="AL2009" s="48" t="n">
        <f aca="false">IF($U2009&gt;=STRUCT_L,MIN(INDEX($H$1759:$H2009,252-STRUCT_L):$H2009),"")</f>
        <v>12282</v>
      </c>
      <c r="AM2009" s="46" t="n">
        <f aca="false">IF($A2009&lt;&gt;$A2010,1,0)</f>
        <v>0</v>
      </c>
      <c r="AN2009" s="47" t="str">
        <f aca="false">IF($AM2009=1,$A2009,"")</f>
        <v/>
      </c>
    </row>
    <row r="2010" customFormat="false" ht="15" hidden="false" customHeight="false" outlineLevel="0" collapsed="false">
      <c r="A2010" s="43" t="s">
        <v>167</v>
      </c>
      <c r="B2010" s="44" t="s">
        <v>169</v>
      </c>
      <c r="C2010" s="45" t="n">
        <v>46165</v>
      </c>
      <c r="D2010" s="46" t="n">
        <v>20260523</v>
      </c>
      <c r="E2010" s="47" t="s">
        <v>473</v>
      </c>
      <c r="F2010" s="48" t="n">
        <v>15164</v>
      </c>
      <c r="G2010" s="48" t="n">
        <v>15639</v>
      </c>
      <c r="H2010" s="48" t="n">
        <v>15100</v>
      </c>
      <c r="I2010" s="48" t="n">
        <v>15294</v>
      </c>
      <c r="J2010" s="48" t="n">
        <v>15317</v>
      </c>
      <c r="K2010" s="48" t="n">
        <v>15443</v>
      </c>
      <c r="L2010" s="48" t="n">
        <v>84143925</v>
      </c>
      <c r="M2010" s="48" t="n">
        <v>1286897188950</v>
      </c>
      <c r="N2010" s="48" t="n">
        <v>2049</v>
      </c>
      <c r="O2010" s="48" t="n">
        <v>43794354</v>
      </c>
      <c r="P2010" s="48" t="n">
        <v>37022152</v>
      </c>
      <c r="Q2010" s="48" t="n">
        <v>961</v>
      </c>
      <c r="R2010" s="48" t="n">
        <v>638</v>
      </c>
      <c r="S2010" s="48" t="n">
        <v>40349571</v>
      </c>
      <c r="T2010" s="48" t="n">
        <v>47121773</v>
      </c>
      <c r="U2010" s="46" t="n">
        <f aca="false">IF($A2010=$A2009,$U2009+1,1)</f>
        <v>186</v>
      </c>
      <c r="V2010" s="48" t="n">
        <f aca="false">IF($U2010&gt;=MA_SHORT,AVERAGE(INDEX($I$1610:$I2010,402-MA_SHORT):$I2010),"")</f>
        <v>14732.15</v>
      </c>
      <c r="W2010" s="48" t="n">
        <f aca="false">IF($U2010&gt;=MA_MED,AVERAGE(INDEX($I$1610:$I2010,402-MA_MED):$I2010),"")</f>
        <v>14311.56</v>
      </c>
      <c r="X2010" s="48" t="n">
        <f aca="false">IF($U2010&gt;=MA_LONG1,AVERAGE(INDEX($I$1610:$I2010,402-MA_LONG1):$I2010),"")</f>
        <v>13737.51</v>
      </c>
      <c r="Y2010" s="48" t="str">
        <f aca="false">IF($U2010&gt;=MA_LONG2,AVERAGE(INDEX($I$1610:$I2010,402-MA_LONG2):$I2010),"")</f>
        <v/>
      </c>
      <c r="Z2010" s="48" t="n">
        <f aca="false">IF($U2010&gt;=MA_SHORT,AVERAGE(INDEX($L$1890:$L2010,122-MA_SHORT):$L2010),"")</f>
        <v>104912748.55</v>
      </c>
      <c r="AA2010" s="48" t="n">
        <f aca="false">IF($U2010=1,$G2010-$H2010,MAX($G2010-$H2010,ABS($G2010-$I2009),ABS($H2010-$I2009)))</f>
        <v>539</v>
      </c>
      <c r="AB2010" s="48" t="n">
        <f aca="false">IF($U2010&gt;=ATR_PER,AVERAGE(INDEX($AA$1890:$AA2010,122-ATR_PER):$AA2010),"")</f>
        <v>449.571428571429</v>
      </c>
      <c r="AC2010" s="48" t="n">
        <f aca="false">$O2010-$P2010</f>
        <v>6772202</v>
      </c>
      <c r="AD2010" s="48" t="n">
        <f aca="false">$AC2010*$I2010</f>
        <v>103574057388</v>
      </c>
      <c r="AE2010" s="49" t="n">
        <f aca="false">IF($Q2010&gt;0,$O2010*$I2010/$Q2010/1000000,"")</f>
        <v>696.972788840791</v>
      </c>
      <c r="AF2010" s="49" t="n">
        <f aca="false">IF($R2010&gt;0,$P2010*$I2010/$R2010/1000000,"")</f>
        <v>887.487135874608</v>
      </c>
      <c r="AG2010" s="50" t="n">
        <f aca="false">IF(AND(ISNUMBER($AE2010),ISNUMBER($AF2010),$AF2010&gt;0),$AE2010/$AF2010,"")</f>
        <v>0.785332835448857</v>
      </c>
      <c r="AH2010" s="48" t="n">
        <f aca="false">IF($U2010&gt;=5,SUM(INDEX($AD$1980:$AD2010,32-5):$AD2010),"")</f>
        <v>1376928625014</v>
      </c>
      <c r="AI2010" s="48" t="n">
        <f aca="false">IF($U2010&gt;=STRUCT_S,MAX(INDEX($G$1860:$G2010,152-STRUCT_S):$G2010),"")</f>
        <v>15639</v>
      </c>
      <c r="AJ2010" s="48" t="n">
        <f aca="false">IF($U2010&gt;=STRUCT_S,MIN(INDEX($H$1860:$H2010,152-STRUCT_S):$H2010),"")</f>
        <v>13709</v>
      </c>
      <c r="AK2010" s="48" t="n">
        <f aca="false">IF($U2010&gt;=STRUCT_L,MAX(INDEX($G$1760:$G2010,252-STRUCT_L):$G2010),"")</f>
        <v>15639</v>
      </c>
      <c r="AL2010" s="48" t="n">
        <f aca="false">IF($U2010&gt;=STRUCT_L,MIN(INDEX($H$1760:$H2010,252-STRUCT_L):$H2010),"")</f>
        <v>12477</v>
      </c>
      <c r="AM2010" s="46" t="n">
        <f aca="false">IF($A2010&lt;&gt;$A2011,1,0)</f>
        <v>0</v>
      </c>
      <c r="AN2010" s="47" t="str">
        <f aca="false">IF($AM2010=1,$A2010,"")</f>
        <v/>
      </c>
    </row>
    <row r="2011" customFormat="false" ht="15" hidden="false" customHeight="false" outlineLevel="0" collapsed="false">
      <c r="A2011" s="43" t="s">
        <v>167</v>
      </c>
      <c r="B2011" s="44" t="s">
        <v>169</v>
      </c>
      <c r="C2011" s="45" t="n">
        <v>46166</v>
      </c>
      <c r="D2011" s="46" t="n">
        <v>20260524</v>
      </c>
      <c r="E2011" s="47" t="s">
        <v>474</v>
      </c>
      <c r="F2011" s="48" t="n">
        <v>15025</v>
      </c>
      <c r="G2011" s="48" t="n">
        <v>15359</v>
      </c>
      <c r="H2011" s="48" t="n">
        <v>14861</v>
      </c>
      <c r="I2011" s="48" t="n">
        <v>14924</v>
      </c>
      <c r="J2011" s="48" t="n">
        <v>15167</v>
      </c>
      <c r="K2011" s="48" t="n">
        <v>15294</v>
      </c>
      <c r="L2011" s="48" t="n">
        <v>103150717</v>
      </c>
      <c r="M2011" s="48" t="n">
        <v>1539421300508</v>
      </c>
      <c r="N2011" s="48" t="n">
        <v>3422</v>
      </c>
      <c r="O2011" s="48" t="n">
        <v>50590556</v>
      </c>
      <c r="P2011" s="48" t="n">
        <v>58848570</v>
      </c>
      <c r="Q2011" s="48" t="n">
        <v>1513</v>
      </c>
      <c r="R2011" s="48" t="n">
        <v>1277</v>
      </c>
      <c r="S2011" s="48" t="n">
        <v>52560161</v>
      </c>
      <c r="T2011" s="48" t="n">
        <v>44302147</v>
      </c>
      <c r="U2011" s="46" t="n">
        <f aca="false">IF($A2011=$A2010,$U2010+1,1)</f>
        <v>187</v>
      </c>
      <c r="V2011" s="48" t="n">
        <f aca="false">IF($U2011&gt;=MA_SHORT,AVERAGE(INDEX($I$1611:$I2011,402-MA_SHORT):$I2011),"")</f>
        <v>14772.45</v>
      </c>
      <c r="W2011" s="48" t="n">
        <f aca="false">IF($U2011&gt;=MA_MED,AVERAGE(INDEX($I$1611:$I2011,402-MA_MED):$I2011),"")</f>
        <v>14333.22</v>
      </c>
      <c r="X2011" s="48" t="n">
        <f aca="false">IF($U2011&gt;=MA_LONG1,AVERAGE(INDEX($I$1611:$I2011,402-MA_LONG1):$I2011),"")</f>
        <v>13759.14</v>
      </c>
      <c r="Y2011" s="48" t="str">
        <f aca="false">IF($U2011&gt;=MA_LONG2,AVERAGE(INDEX($I$1611:$I2011,402-MA_LONG2):$I2011),"")</f>
        <v/>
      </c>
      <c r="Z2011" s="48" t="n">
        <f aca="false">IF($U2011&gt;=MA_SHORT,AVERAGE(INDEX($L$1891:$L2011,122-MA_SHORT):$L2011),"")</f>
        <v>103361086.9</v>
      </c>
      <c r="AA2011" s="48" t="n">
        <f aca="false">IF($U2011=1,$G2011-$H2011,MAX($G2011-$H2011,ABS($G2011-$I2010),ABS($H2011-$I2010)))</f>
        <v>498</v>
      </c>
      <c r="AB2011" s="48" t="n">
        <f aca="false">IF($U2011&gt;=ATR_PER,AVERAGE(INDEX($AA$1891:$AA2011,122-ATR_PER):$AA2011),"")</f>
        <v>453.071428571429</v>
      </c>
      <c r="AC2011" s="48" t="n">
        <f aca="false">$O2011-$P2011</f>
        <v>-8258014</v>
      </c>
      <c r="AD2011" s="48" t="n">
        <f aca="false">$AC2011*$I2011</f>
        <v>-123242600936</v>
      </c>
      <c r="AE2011" s="49" t="n">
        <f aca="false">IF($Q2011&gt;0,$O2011*$I2011/$Q2011/1000000,"")</f>
        <v>499.017486942498</v>
      </c>
      <c r="AF2011" s="49" t="n">
        <f aca="false">IF($R2011&gt;0,$P2011*$I2011/$R2011/1000000,"")</f>
        <v>687.749458637432</v>
      </c>
      <c r="AG2011" s="50" t="n">
        <f aca="false">IF(AND(ISNUMBER($AE2011),ISNUMBER($AF2011),$AF2011&gt;0),$AE2011/$AF2011,"")</f>
        <v>0.72558034132248</v>
      </c>
      <c r="AH2011" s="48" t="n">
        <f aca="false">IF($U2011&gt;=5,SUM(INDEX($AD$1981:$AD2011,32-5):$AD2011),"")</f>
        <v>842245901026</v>
      </c>
      <c r="AI2011" s="48" t="n">
        <f aca="false">IF($U2011&gt;=STRUCT_S,MAX(INDEX($G$1861:$G2011,152-STRUCT_S):$G2011),"")</f>
        <v>15639</v>
      </c>
      <c r="AJ2011" s="48" t="n">
        <f aca="false">IF($U2011&gt;=STRUCT_S,MIN(INDEX($H$1861:$H2011,152-STRUCT_S):$H2011),"")</f>
        <v>13709</v>
      </c>
      <c r="AK2011" s="48" t="n">
        <f aca="false">IF($U2011&gt;=STRUCT_L,MAX(INDEX($G$1761:$G2011,252-STRUCT_L):$G2011),"")</f>
        <v>15639</v>
      </c>
      <c r="AL2011" s="48" t="n">
        <f aca="false">IF($U2011&gt;=STRUCT_L,MIN(INDEX($H$1761:$H2011,252-STRUCT_L):$H2011),"")</f>
        <v>12779</v>
      </c>
      <c r="AM2011" s="46" t="n">
        <f aca="false">IF($A2011&lt;&gt;$A2012,1,0)</f>
        <v>0</v>
      </c>
      <c r="AN2011" s="47" t="str">
        <f aca="false">IF($AM2011=1,$A2011,"")</f>
        <v/>
      </c>
    </row>
    <row r="2012" customFormat="false" ht="15" hidden="false" customHeight="false" outlineLevel="0" collapsed="false">
      <c r="A2012" s="43" t="s">
        <v>167</v>
      </c>
      <c r="B2012" s="44" t="s">
        <v>169</v>
      </c>
      <c r="C2012" s="45" t="n">
        <v>46167</v>
      </c>
      <c r="D2012" s="46" t="n">
        <v>20260525</v>
      </c>
      <c r="E2012" s="47" t="s">
        <v>475</v>
      </c>
      <c r="F2012" s="48" t="n">
        <v>15162</v>
      </c>
      <c r="G2012" s="48" t="n">
        <v>15252</v>
      </c>
      <c r="H2012" s="48" t="n">
        <v>14825</v>
      </c>
      <c r="I2012" s="48" t="n">
        <v>15151</v>
      </c>
      <c r="J2012" s="48" t="n">
        <v>15036</v>
      </c>
      <c r="K2012" s="48" t="n">
        <v>14924</v>
      </c>
      <c r="L2012" s="48" t="n">
        <v>91111629</v>
      </c>
      <c r="M2012" s="48" t="n">
        <v>1380432290979</v>
      </c>
      <c r="N2012" s="48" t="n">
        <v>4360</v>
      </c>
      <c r="O2012" s="48" t="n">
        <v>64707693</v>
      </c>
      <c r="P2012" s="48" t="n">
        <v>20707641</v>
      </c>
      <c r="Q2012" s="48" t="n">
        <v>1342</v>
      </c>
      <c r="R2012" s="48" t="n">
        <v>2953</v>
      </c>
      <c r="S2012" s="48" t="n">
        <v>26403936</v>
      </c>
      <c r="T2012" s="48" t="n">
        <v>70403988</v>
      </c>
      <c r="U2012" s="46" t="n">
        <f aca="false">IF($A2012=$A2011,$U2011+1,1)</f>
        <v>188</v>
      </c>
      <c r="V2012" s="48" t="n">
        <f aca="false">IF($U2012&gt;=MA_SHORT,AVERAGE(INDEX($I$1612:$I2012,402-MA_SHORT):$I2012),"")</f>
        <v>14821.7</v>
      </c>
      <c r="W2012" s="48" t="n">
        <f aca="false">IF($U2012&gt;=MA_MED,AVERAGE(INDEX($I$1612:$I2012,402-MA_MED):$I2012),"")</f>
        <v>14358.16</v>
      </c>
      <c r="X2012" s="48" t="n">
        <f aca="false">IF($U2012&gt;=MA_LONG1,AVERAGE(INDEX($I$1612:$I2012,402-MA_LONG1):$I2012),"")</f>
        <v>13783.57</v>
      </c>
      <c r="Y2012" s="48" t="str">
        <f aca="false">IF($U2012&gt;=MA_LONG2,AVERAGE(INDEX($I$1612:$I2012,402-MA_LONG2):$I2012),"")</f>
        <v/>
      </c>
      <c r="Z2012" s="48" t="n">
        <f aca="false">IF($U2012&gt;=MA_SHORT,AVERAGE(INDEX($L$1892:$L2012,122-MA_SHORT):$L2012),"")</f>
        <v>103858571.85</v>
      </c>
      <c r="AA2012" s="48" t="n">
        <f aca="false">IF($U2012=1,$G2012-$H2012,MAX($G2012-$H2012,ABS($G2012-$I2011),ABS($H2012-$I2011)))</f>
        <v>427</v>
      </c>
      <c r="AB2012" s="48" t="n">
        <f aca="false">IF($U2012&gt;=ATR_PER,AVERAGE(INDEX($AA$1892:$AA2012,122-ATR_PER):$AA2012),"")</f>
        <v>445.785714285714</v>
      </c>
      <c r="AC2012" s="48" t="n">
        <f aca="false">$O2012-$P2012</f>
        <v>44000052</v>
      </c>
      <c r="AD2012" s="48" t="n">
        <f aca="false">$AC2012*$I2012</f>
        <v>666644787852</v>
      </c>
      <c r="AE2012" s="49" t="n">
        <f aca="false">IF($Q2012&gt;0,$O2012*$I2012/$Q2012/1000000,"")</f>
        <v>730.541174845753</v>
      </c>
      <c r="AF2012" s="49" t="n">
        <f aca="false">IF($R2012&gt;0,$P2012*$I2012/$R2012/1000000,"")</f>
        <v>106.244994511006</v>
      </c>
      <c r="AG2012" s="50" t="n">
        <f aca="false">IF(AND(ISNUMBER($AE2012),ISNUMBER($AF2012),$AF2012&gt;0),$AE2012/$AF2012,"")</f>
        <v>6.87600557756231</v>
      </c>
      <c r="AH2012" s="48" t="n">
        <f aca="false">IF($U2012&gt;=5,SUM(INDEX($AD$1982:$AD2012,32-5):$AD2012),"")</f>
        <v>1133643852472</v>
      </c>
      <c r="AI2012" s="48" t="n">
        <f aca="false">IF($U2012&gt;=STRUCT_S,MAX(INDEX($G$1862:$G2012,152-STRUCT_S):$G2012),"")</f>
        <v>15639</v>
      </c>
      <c r="AJ2012" s="48" t="n">
        <f aca="false">IF($U2012&gt;=STRUCT_S,MIN(INDEX($H$1862:$H2012,152-STRUCT_S):$H2012),"")</f>
        <v>13709</v>
      </c>
      <c r="AK2012" s="48" t="n">
        <f aca="false">IF($U2012&gt;=STRUCT_L,MAX(INDEX($G$1762:$G2012,252-STRUCT_L):$G2012),"")</f>
        <v>15639</v>
      </c>
      <c r="AL2012" s="48" t="n">
        <f aca="false">IF($U2012&gt;=STRUCT_L,MIN(INDEX($H$1762:$H2012,252-STRUCT_L):$H2012),"")</f>
        <v>12821</v>
      </c>
      <c r="AM2012" s="46" t="n">
        <f aca="false">IF($A2012&lt;&gt;$A2013,1,0)</f>
        <v>0</v>
      </c>
      <c r="AN2012" s="47" t="str">
        <f aca="false">IF($AM2012=1,$A2012,"")</f>
        <v/>
      </c>
    </row>
    <row r="2013" customFormat="false" ht="15" hidden="false" customHeight="false" outlineLevel="0" collapsed="false">
      <c r="A2013" s="43" t="s">
        <v>167</v>
      </c>
      <c r="B2013" s="44" t="s">
        <v>169</v>
      </c>
      <c r="C2013" s="45" t="n">
        <v>46168</v>
      </c>
      <c r="D2013" s="46" t="n">
        <v>20260526</v>
      </c>
      <c r="E2013" s="47" t="s">
        <v>476</v>
      </c>
      <c r="F2013" s="48" t="n">
        <v>15282</v>
      </c>
      <c r="G2013" s="48" t="n">
        <v>15381</v>
      </c>
      <c r="H2013" s="48" t="n">
        <v>14671</v>
      </c>
      <c r="I2013" s="48" t="n">
        <v>14897</v>
      </c>
      <c r="J2013" s="48" t="n">
        <v>14917</v>
      </c>
      <c r="K2013" s="48" t="n">
        <v>15151</v>
      </c>
      <c r="L2013" s="48" t="n">
        <v>144314753</v>
      </c>
      <c r="M2013" s="48" t="n">
        <v>2149856875441</v>
      </c>
      <c r="N2013" s="48" t="n">
        <v>6487</v>
      </c>
      <c r="O2013" s="48" t="n">
        <v>72581965</v>
      </c>
      <c r="P2013" s="48" t="n">
        <v>63313208</v>
      </c>
      <c r="Q2013" s="48" t="n">
        <v>4088</v>
      </c>
      <c r="R2013" s="48" t="n">
        <v>2179</v>
      </c>
      <c r="S2013" s="48" t="n">
        <v>71732788</v>
      </c>
      <c r="T2013" s="48" t="n">
        <v>81001545</v>
      </c>
      <c r="U2013" s="46" t="n">
        <f aca="false">IF($A2013=$A2012,$U2012+1,1)</f>
        <v>189</v>
      </c>
      <c r="V2013" s="48" t="n">
        <f aca="false">IF($U2013&gt;=MA_SHORT,AVERAGE(INDEX($I$1613:$I2013,402-MA_SHORT):$I2013),"")</f>
        <v>14864.25</v>
      </c>
      <c r="W2013" s="48" t="n">
        <f aca="false">IF($U2013&gt;=MA_MED,AVERAGE(INDEX($I$1613:$I2013,402-MA_MED):$I2013),"")</f>
        <v>14376.4</v>
      </c>
      <c r="X2013" s="48" t="n">
        <f aca="false">IF($U2013&gt;=MA_LONG1,AVERAGE(INDEX($I$1613:$I2013,402-MA_LONG1):$I2013),"")</f>
        <v>13803.59</v>
      </c>
      <c r="Y2013" s="48" t="str">
        <f aca="false">IF($U2013&gt;=MA_LONG2,AVERAGE(INDEX($I$1613:$I2013,402-MA_LONG2):$I2013),"")</f>
        <v/>
      </c>
      <c r="Z2013" s="48" t="n">
        <f aca="false">IF($U2013&gt;=MA_SHORT,AVERAGE(INDEX($L$1893:$L2013,122-MA_SHORT):$L2013),"")</f>
        <v>104943131.1</v>
      </c>
      <c r="AA2013" s="48" t="n">
        <f aca="false">IF($U2013=1,$G2013-$H2013,MAX($G2013-$H2013,ABS($G2013-$I2012),ABS($H2013-$I2012)))</f>
        <v>710</v>
      </c>
      <c r="AB2013" s="48" t="n">
        <f aca="false">IF($U2013&gt;=ATR_PER,AVERAGE(INDEX($AA$1893:$AA2013,122-ATR_PER):$AA2013),"")</f>
        <v>457.571428571429</v>
      </c>
      <c r="AC2013" s="48" t="n">
        <f aca="false">$O2013-$P2013</f>
        <v>9268757</v>
      </c>
      <c r="AD2013" s="48" t="n">
        <f aca="false">$AC2013*$I2013</f>
        <v>138076673029</v>
      </c>
      <c r="AE2013" s="49" t="n">
        <f aca="false">IF($Q2013&gt;0,$O2013*$I2013/$Q2013/1000000,"")</f>
        <v>264.494504061888</v>
      </c>
      <c r="AF2013" s="49" t="n">
        <f aca="false">IF($R2013&gt;0,$P2013*$I2013/$R2013/1000000,"")</f>
        <v>432.848489938504</v>
      </c>
      <c r="AG2013" s="50" t="n">
        <f aca="false">IF(AND(ISNUMBER($AE2013),ISNUMBER($AF2013),$AF2013&gt;0),$AE2013/$AF2013,"")</f>
        <v>0.611055623873069</v>
      </c>
      <c r="AH2013" s="48" t="n">
        <f aca="false">IF($U2013&gt;=5,SUM(INDEX($AD$1983:$AD2013,32-5):$AD2013),"")</f>
        <v>1097803812069</v>
      </c>
      <c r="AI2013" s="48" t="n">
        <f aca="false">IF($U2013&gt;=STRUCT_S,MAX(INDEX($G$1863:$G2013,152-STRUCT_S):$G2013),"")</f>
        <v>15639</v>
      </c>
      <c r="AJ2013" s="48" t="n">
        <f aca="false">IF($U2013&gt;=STRUCT_S,MIN(INDEX($H$1863:$H2013,152-STRUCT_S):$H2013),"")</f>
        <v>13709</v>
      </c>
      <c r="AK2013" s="48" t="n">
        <f aca="false">IF($U2013&gt;=STRUCT_L,MAX(INDEX($G$1763:$G2013,252-STRUCT_L):$G2013),"")</f>
        <v>15639</v>
      </c>
      <c r="AL2013" s="48" t="n">
        <f aca="false">IF($U2013&gt;=STRUCT_L,MIN(INDEX($H$1763:$H2013,252-STRUCT_L):$H2013),"")</f>
        <v>12821</v>
      </c>
      <c r="AM2013" s="46" t="n">
        <f aca="false">IF($A2013&lt;&gt;$A2014,1,0)</f>
        <v>0</v>
      </c>
      <c r="AN2013" s="47" t="str">
        <f aca="false">IF($AM2013=1,$A2013,"")</f>
        <v/>
      </c>
    </row>
    <row r="2014" customFormat="false" ht="15" hidden="false" customHeight="false" outlineLevel="0" collapsed="false">
      <c r="A2014" s="43" t="s">
        <v>167</v>
      </c>
      <c r="B2014" s="44" t="s">
        <v>169</v>
      </c>
      <c r="C2014" s="45" t="n">
        <v>46169</v>
      </c>
      <c r="D2014" s="46" t="n">
        <v>20260527</v>
      </c>
      <c r="E2014" s="47" t="s">
        <v>477</v>
      </c>
      <c r="F2014" s="48" t="n">
        <v>14788</v>
      </c>
      <c r="G2014" s="48" t="n">
        <v>15036</v>
      </c>
      <c r="H2014" s="48" t="n">
        <v>14695</v>
      </c>
      <c r="I2014" s="48" t="n">
        <v>14834</v>
      </c>
      <c r="J2014" s="48" t="n">
        <v>14845</v>
      </c>
      <c r="K2014" s="48" t="n">
        <v>14897</v>
      </c>
      <c r="L2014" s="48" t="n">
        <v>81557618</v>
      </c>
      <c r="M2014" s="48" t="n">
        <v>1209825705412</v>
      </c>
      <c r="N2014" s="48" t="n">
        <v>3920</v>
      </c>
      <c r="O2014" s="48" t="n">
        <v>44142749</v>
      </c>
      <c r="P2014" s="48" t="n">
        <v>33251126</v>
      </c>
      <c r="Q2014" s="48" t="n">
        <v>1889</v>
      </c>
      <c r="R2014" s="48" t="n">
        <v>1434</v>
      </c>
      <c r="S2014" s="48" t="n">
        <v>37414869</v>
      </c>
      <c r="T2014" s="48" t="n">
        <v>48306492</v>
      </c>
      <c r="U2014" s="46" t="n">
        <f aca="false">IF($A2014=$A2013,$U2013+1,1)</f>
        <v>190</v>
      </c>
      <c r="V2014" s="48" t="n">
        <f aca="false">IF($U2014&gt;=MA_SHORT,AVERAGE(INDEX($I$1614:$I2014,402-MA_SHORT):$I2014),"")</f>
        <v>14898.15</v>
      </c>
      <c r="W2014" s="48" t="n">
        <f aca="false">IF($U2014&gt;=MA_MED,AVERAGE(INDEX($I$1614:$I2014,402-MA_MED):$I2014),"")</f>
        <v>14386.58</v>
      </c>
      <c r="X2014" s="48" t="n">
        <f aca="false">IF($U2014&gt;=MA_LONG1,AVERAGE(INDEX($I$1614:$I2014,402-MA_LONG1):$I2014),"")</f>
        <v>13823.4</v>
      </c>
      <c r="Y2014" s="48" t="str">
        <f aca="false">IF($U2014&gt;=MA_LONG2,AVERAGE(INDEX($I$1614:$I2014,402-MA_LONG2):$I2014),"")</f>
        <v/>
      </c>
      <c r="Z2014" s="48" t="n">
        <f aca="false">IF($U2014&gt;=MA_SHORT,AVERAGE(INDEX($L$1894:$L2014,122-MA_SHORT):$L2014),"")</f>
        <v>100763430.2</v>
      </c>
      <c r="AA2014" s="48" t="n">
        <f aca="false">IF($U2014=1,$G2014-$H2014,MAX($G2014-$H2014,ABS($G2014-$I2013),ABS($H2014-$I2013)))</f>
        <v>341</v>
      </c>
      <c r="AB2014" s="48" t="n">
        <f aca="false">IF($U2014&gt;=ATR_PER,AVERAGE(INDEX($AA$1894:$AA2014,122-ATR_PER):$AA2014),"")</f>
        <v>437.571428571429</v>
      </c>
      <c r="AC2014" s="48" t="n">
        <f aca="false">$O2014-$P2014</f>
        <v>10891623</v>
      </c>
      <c r="AD2014" s="48" t="n">
        <f aca="false">$AC2014*$I2014</f>
        <v>161566335582</v>
      </c>
      <c r="AE2014" s="49" t="n">
        <f aca="false">IF($Q2014&gt;0,$O2014*$I2014/$Q2014/1000000,"")</f>
        <v>346.645600140815</v>
      </c>
      <c r="AF2014" s="49" t="n">
        <f aca="false">IF($R2014&gt;0,$P2014*$I2014/$R2014/1000000,"")</f>
        <v>343.965971467225</v>
      </c>
      <c r="AG2014" s="50" t="n">
        <f aca="false">IF(AND(ISNUMBER($AE2014),ISNUMBER($AF2014),$AF2014&gt;0),$AE2014/$AF2014,"")</f>
        <v>1.00779038886364</v>
      </c>
      <c r="AH2014" s="48" t="n">
        <f aca="false">IF($U2014&gt;=5,SUM(INDEX($AD$1984:$AD2014,32-5):$AD2014),"")</f>
        <v>946619252915</v>
      </c>
      <c r="AI2014" s="48" t="n">
        <f aca="false">IF($U2014&gt;=STRUCT_S,MAX(INDEX($G$1864:$G2014,152-STRUCT_S):$G2014),"")</f>
        <v>15639</v>
      </c>
      <c r="AJ2014" s="48" t="n">
        <f aca="false">IF($U2014&gt;=STRUCT_S,MIN(INDEX($H$1864:$H2014,152-STRUCT_S):$H2014),"")</f>
        <v>14034</v>
      </c>
      <c r="AK2014" s="48" t="n">
        <f aca="false">IF($U2014&gt;=STRUCT_L,MAX(INDEX($G$1764:$G2014,252-STRUCT_L):$G2014),"")</f>
        <v>15639</v>
      </c>
      <c r="AL2014" s="48" t="n">
        <f aca="false">IF($U2014&gt;=STRUCT_L,MIN(INDEX($H$1764:$H2014,252-STRUCT_L):$H2014),"")</f>
        <v>12821</v>
      </c>
      <c r="AM2014" s="46" t="n">
        <f aca="false">IF($A2014&lt;&gt;$A2015,1,0)</f>
        <v>0</v>
      </c>
      <c r="AN2014" s="47" t="str">
        <f aca="false">IF($AM2014=1,$A2014,"")</f>
        <v/>
      </c>
    </row>
    <row r="2015" customFormat="false" ht="15" hidden="false" customHeight="false" outlineLevel="0" collapsed="false">
      <c r="A2015" s="43" t="s">
        <v>167</v>
      </c>
      <c r="B2015" s="44" t="s">
        <v>169</v>
      </c>
      <c r="C2015" s="45" t="n">
        <v>46172</v>
      </c>
      <c r="D2015" s="46" t="n">
        <v>20260530</v>
      </c>
      <c r="E2015" s="47" t="s">
        <v>478</v>
      </c>
      <c r="F2015" s="48" t="n">
        <v>15056</v>
      </c>
      <c r="G2015" s="48" t="n">
        <v>15534</v>
      </c>
      <c r="H2015" s="48" t="n">
        <v>14713</v>
      </c>
      <c r="I2015" s="48" t="n">
        <v>15408</v>
      </c>
      <c r="J2015" s="48" t="n">
        <v>14875</v>
      </c>
      <c r="K2015" s="48" t="n">
        <v>14834</v>
      </c>
      <c r="L2015" s="48" t="n">
        <v>294781820</v>
      </c>
      <c r="M2015" s="48" t="n">
        <v>4541998282560</v>
      </c>
      <c r="N2015" s="48" t="n">
        <v>24905</v>
      </c>
      <c r="O2015" s="48" t="n">
        <v>214008373</v>
      </c>
      <c r="P2015" s="48" t="n">
        <v>82892681</v>
      </c>
      <c r="Q2015" s="48" t="n">
        <v>7514</v>
      </c>
      <c r="R2015" s="48" t="n">
        <v>16188</v>
      </c>
      <c r="S2015" s="48" t="n">
        <v>80773447</v>
      </c>
      <c r="T2015" s="48" t="n">
        <v>211889139</v>
      </c>
      <c r="U2015" s="46" t="n">
        <f aca="false">IF($A2015=$A2014,$U2014+1,1)</f>
        <v>191</v>
      </c>
      <c r="V2015" s="48" t="n">
        <f aca="false">IF($U2015&gt;=MA_SHORT,AVERAGE(INDEX($I$1615:$I2015,402-MA_SHORT):$I2015),"")</f>
        <v>14952.65</v>
      </c>
      <c r="W2015" s="48" t="n">
        <f aca="false">IF($U2015&gt;=MA_MED,AVERAGE(INDEX($I$1615:$I2015,402-MA_MED):$I2015),"")</f>
        <v>14412.22</v>
      </c>
      <c r="X2015" s="48" t="n">
        <f aca="false">IF($U2015&gt;=MA_LONG1,AVERAGE(INDEX($I$1615:$I2015,402-MA_LONG1):$I2015),"")</f>
        <v>13849.98</v>
      </c>
      <c r="Y2015" s="48" t="str">
        <f aca="false">IF($U2015&gt;=MA_LONG2,AVERAGE(INDEX($I$1615:$I2015,402-MA_LONG2):$I2015),"")</f>
        <v/>
      </c>
      <c r="Z2015" s="48" t="n">
        <f aca="false">IF($U2015&gt;=MA_SHORT,AVERAGE(INDEX($L$1895:$L2015,122-MA_SHORT):$L2015),"")</f>
        <v>108316929.8</v>
      </c>
      <c r="AA2015" s="48" t="n">
        <f aca="false">IF($U2015=1,$G2015-$H2015,MAX($G2015-$H2015,ABS($G2015-$I2014),ABS($H2015-$I2014)))</f>
        <v>821</v>
      </c>
      <c r="AB2015" s="48" t="n">
        <f aca="false">IF($U2015&gt;=ATR_PER,AVERAGE(INDEX($AA$1895:$AA2015,122-ATR_PER):$AA2015),"")</f>
        <v>469</v>
      </c>
      <c r="AC2015" s="48" t="n">
        <f aca="false">$O2015-$P2015</f>
        <v>131115692</v>
      </c>
      <c r="AD2015" s="48" t="n">
        <f aca="false">$AC2015*$I2015</f>
        <v>2020230582336</v>
      </c>
      <c r="AE2015" s="49" t="n">
        <f aca="false">IF($Q2015&gt;0,$O2015*$I2015/$Q2015/1000000,"")</f>
        <v>438.839634174075</v>
      </c>
      <c r="AF2015" s="49" t="n">
        <f aca="false">IF($R2015&gt;0,$P2015*$I2015/$R2015/1000000,"")</f>
        <v>78.8985933313566</v>
      </c>
      <c r="AG2015" s="50" t="n">
        <f aca="false">IF(AND(ISNUMBER($AE2015),ISNUMBER($AF2015),$AF2015&gt;0),$AE2015/$AF2015,"")</f>
        <v>5.56207171312987</v>
      </c>
      <c r="AH2015" s="48" t="n">
        <f aca="false">IF($U2015&gt;=5,SUM(INDEX($AD$1985:$AD2015,32-5):$AD2015),"")</f>
        <v>2863275777863</v>
      </c>
      <c r="AI2015" s="48" t="n">
        <f aca="false">IF($U2015&gt;=STRUCT_S,MAX(INDEX($G$1865:$G2015,152-STRUCT_S):$G2015),"")</f>
        <v>15639</v>
      </c>
      <c r="AJ2015" s="48" t="n">
        <f aca="false">IF($U2015&gt;=STRUCT_S,MIN(INDEX($H$1865:$H2015,152-STRUCT_S):$H2015),"")</f>
        <v>14213</v>
      </c>
      <c r="AK2015" s="48" t="n">
        <f aca="false">IF($U2015&gt;=STRUCT_L,MAX(INDEX($G$1765:$G2015,252-STRUCT_L):$G2015),"")</f>
        <v>15639</v>
      </c>
      <c r="AL2015" s="48" t="n">
        <f aca="false">IF($U2015&gt;=STRUCT_L,MIN(INDEX($H$1765:$H2015,252-STRUCT_L):$H2015),"")</f>
        <v>12821</v>
      </c>
      <c r="AM2015" s="46" t="n">
        <f aca="false">IF($A2015&lt;&gt;$A2016,1,0)</f>
        <v>0</v>
      </c>
      <c r="AN2015" s="47" t="str">
        <f aca="false">IF($AM2015=1,$A2015,"")</f>
        <v/>
      </c>
    </row>
    <row r="2016" customFormat="false" ht="15" hidden="false" customHeight="false" outlineLevel="0" collapsed="false">
      <c r="A2016" s="43" t="s">
        <v>167</v>
      </c>
      <c r="B2016" s="44" t="s">
        <v>169</v>
      </c>
      <c r="C2016" s="45" t="n">
        <v>46173</v>
      </c>
      <c r="D2016" s="46" t="n">
        <v>20260531</v>
      </c>
      <c r="E2016" s="47" t="s">
        <v>479</v>
      </c>
      <c r="F2016" s="48" t="n">
        <v>15837</v>
      </c>
      <c r="G2016" s="48" t="n">
        <v>16096</v>
      </c>
      <c r="H2016" s="48" t="n">
        <v>15162</v>
      </c>
      <c r="I2016" s="48" t="n">
        <v>15843</v>
      </c>
      <c r="J2016" s="48" t="n">
        <v>15797</v>
      </c>
      <c r="K2016" s="48" t="n">
        <v>15408</v>
      </c>
      <c r="L2016" s="48" t="n">
        <v>93012741</v>
      </c>
      <c r="M2016" s="48" t="n">
        <v>1473600855663</v>
      </c>
      <c r="N2016" s="48" t="n">
        <v>2536</v>
      </c>
      <c r="O2016" s="48" t="n">
        <v>74410192</v>
      </c>
      <c r="P2016" s="48" t="n">
        <v>20559761</v>
      </c>
      <c r="Q2016" s="48" t="n">
        <v>552</v>
      </c>
      <c r="R2016" s="48" t="n">
        <v>1416</v>
      </c>
      <c r="S2016" s="48" t="n">
        <v>18602549</v>
      </c>
      <c r="T2016" s="48" t="n">
        <v>72452980</v>
      </c>
      <c r="U2016" s="46" t="n">
        <f aca="false">IF($A2016=$A2015,$U2015+1,1)</f>
        <v>192</v>
      </c>
      <c r="V2016" s="48" t="n">
        <f aca="false">IF($U2016&gt;=MA_SHORT,AVERAGE(INDEX($I$1616:$I2016,402-MA_SHORT):$I2016),"")</f>
        <v>15016.95</v>
      </c>
      <c r="W2016" s="48" t="n">
        <f aca="false">IF($U2016&gt;=MA_MED,AVERAGE(INDEX($I$1616:$I2016,402-MA_MED):$I2016),"")</f>
        <v>14447.16</v>
      </c>
      <c r="X2016" s="48" t="n">
        <f aca="false">IF($U2016&gt;=MA_LONG1,AVERAGE(INDEX($I$1616:$I2016,402-MA_LONG1):$I2016),"")</f>
        <v>13879.33</v>
      </c>
      <c r="Y2016" s="48" t="str">
        <f aca="false">IF($U2016&gt;=MA_LONG2,AVERAGE(INDEX($I$1616:$I2016,402-MA_LONG2):$I2016),"")</f>
        <v/>
      </c>
      <c r="Z2016" s="48" t="n">
        <f aca="false">IF($U2016&gt;=MA_SHORT,AVERAGE(INDEX($L$1896:$L2016,122-MA_SHORT):$L2016),"")</f>
        <v>107590833.45</v>
      </c>
      <c r="AA2016" s="48" t="n">
        <f aca="false">IF($U2016=1,$G2016-$H2016,MAX($G2016-$H2016,ABS($G2016-$I2015),ABS($H2016-$I2015)))</f>
        <v>934</v>
      </c>
      <c r="AB2016" s="48" t="n">
        <f aca="false">IF($U2016&gt;=ATR_PER,AVERAGE(INDEX($AA$1896:$AA2016,122-ATR_PER):$AA2016),"")</f>
        <v>485.285714285714</v>
      </c>
      <c r="AC2016" s="48" t="n">
        <f aca="false">$O2016-$P2016</f>
        <v>53850431</v>
      </c>
      <c r="AD2016" s="48" t="n">
        <f aca="false">$AC2016*$I2016</f>
        <v>853152378333</v>
      </c>
      <c r="AE2016" s="49" t="n">
        <f aca="false">IF($Q2016&gt;0,$O2016*$I2016/$Q2016/1000000,"")</f>
        <v>2135.65339104348</v>
      </c>
      <c r="AF2016" s="49" t="n">
        <f aca="false">IF($R2016&gt;0,$P2016*$I2016/$R2016/1000000,"")</f>
        <v>230.034105595339</v>
      </c>
      <c r="AG2016" s="50" t="n">
        <f aca="false">IF(AND(ISNUMBER($AE2016),ISNUMBER($AF2016),$AF2016&gt;0),$AE2016/$AF2016,"")</f>
        <v>9.28407283570542</v>
      </c>
      <c r="AH2016" s="48" t="n">
        <f aca="false">IF($U2016&gt;=5,SUM(INDEX($AD$1986:$AD2016,32-5):$AD2016),"")</f>
        <v>3839670757132</v>
      </c>
      <c r="AI2016" s="48" t="n">
        <f aca="false">IF($U2016&gt;=STRUCT_S,MAX(INDEX($G$1866:$G2016,152-STRUCT_S):$G2016),"")</f>
        <v>16096</v>
      </c>
      <c r="AJ2016" s="48" t="n">
        <f aca="false">IF($U2016&gt;=STRUCT_S,MIN(INDEX($H$1866:$H2016,152-STRUCT_S):$H2016),"")</f>
        <v>14243</v>
      </c>
      <c r="AK2016" s="48" t="n">
        <f aca="false">IF($U2016&gt;=STRUCT_L,MAX(INDEX($G$1766:$G2016,252-STRUCT_L):$G2016),"")</f>
        <v>16096</v>
      </c>
      <c r="AL2016" s="48" t="n">
        <f aca="false">IF($U2016&gt;=STRUCT_L,MIN(INDEX($H$1766:$H2016,252-STRUCT_L):$H2016),"")</f>
        <v>12821</v>
      </c>
      <c r="AM2016" s="46" t="n">
        <f aca="false">IF($A2016&lt;&gt;$A2017,1,0)</f>
        <v>0</v>
      </c>
      <c r="AN2016" s="47" t="str">
        <f aca="false">IF($AM2016=1,$A2016,"")</f>
        <v/>
      </c>
    </row>
    <row r="2017" customFormat="false" ht="15" hidden="false" customHeight="false" outlineLevel="0" collapsed="false">
      <c r="A2017" s="43" t="s">
        <v>167</v>
      </c>
      <c r="B2017" s="44" t="s">
        <v>169</v>
      </c>
      <c r="C2017" s="45" t="n">
        <v>46174</v>
      </c>
      <c r="D2017" s="46" t="n">
        <v>20260601</v>
      </c>
      <c r="E2017" s="47" t="s">
        <v>480</v>
      </c>
      <c r="F2017" s="48" t="n">
        <v>15920</v>
      </c>
      <c r="G2017" s="48" t="n">
        <v>16059</v>
      </c>
      <c r="H2017" s="48" t="n">
        <v>15385</v>
      </c>
      <c r="I2017" s="48" t="n">
        <v>15598</v>
      </c>
      <c r="J2017" s="48" t="n">
        <v>15480</v>
      </c>
      <c r="K2017" s="48" t="n">
        <v>15843</v>
      </c>
      <c r="L2017" s="48" t="n">
        <v>133544717</v>
      </c>
      <c r="M2017" s="48" t="n">
        <v>2083030495766</v>
      </c>
      <c r="N2017" s="48" t="n">
        <v>3371</v>
      </c>
      <c r="O2017" s="48" t="n">
        <v>69318821</v>
      </c>
      <c r="P2017" s="48" t="n">
        <v>55575170</v>
      </c>
      <c r="Q2017" s="48" t="n">
        <v>1951</v>
      </c>
      <c r="R2017" s="48" t="n">
        <v>1174</v>
      </c>
      <c r="S2017" s="48" t="n">
        <v>64225896</v>
      </c>
      <c r="T2017" s="48" t="n">
        <v>77969547</v>
      </c>
      <c r="U2017" s="46" t="n">
        <f aca="false">IF($A2017=$A2016,$U2016+1,1)</f>
        <v>193</v>
      </c>
      <c r="V2017" s="48" t="n">
        <f aca="false">IF($U2017&gt;=MA_SHORT,AVERAGE(INDEX($I$1617:$I2017,402-MA_SHORT):$I2017),"")</f>
        <v>15069.6</v>
      </c>
      <c r="W2017" s="48" t="n">
        <f aca="false">IF($U2017&gt;=MA_MED,AVERAGE(INDEX($I$1617:$I2017,402-MA_MED):$I2017),"")</f>
        <v>14479.36</v>
      </c>
      <c r="X2017" s="48" t="n">
        <f aca="false">IF($U2017&gt;=MA_LONG1,AVERAGE(INDEX($I$1617:$I2017,402-MA_LONG1):$I2017),"")</f>
        <v>13903.23</v>
      </c>
      <c r="Y2017" s="48" t="str">
        <f aca="false">IF($U2017&gt;=MA_LONG2,AVERAGE(INDEX($I$1617:$I2017,402-MA_LONG2):$I2017),"")</f>
        <v/>
      </c>
      <c r="Z2017" s="48" t="n">
        <f aca="false">IF($U2017&gt;=MA_SHORT,AVERAGE(INDEX($L$1897:$L2017,122-MA_SHORT):$L2017),"")</f>
        <v>109085237.1</v>
      </c>
      <c r="AA2017" s="48" t="n">
        <f aca="false">IF($U2017=1,$G2017-$H2017,MAX($G2017-$H2017,ABS($G2017-$I2016),ABS($H2017-$I2016)))</f>
        <v>674</v>
      </c>
      <c r="AB2017" s="48" t="n">
        <f aca="false">IF($U2017&gt;=ATR_PER,AVERAGE(INDEX($AA$1897:$AA2017,122-ATR_PER):$AA2017),"")</f>
        <v>483.5</v>
      </c>
      <c r="AC2017" s="48" t="n">
        <f aca="false">$O2017-$P2017</f>
        <v>13743651</v>
      </c>
      <c r="AD2017" s="48" t="n">
        <f aca="false">$AC2017*$I2017</f>
        <v>214373468298</v>
      </c>
      <c r="AE2017" s="49" t="n">
        <f aca="false">IF($Q2017&gt;0,$O2017*$I2017/$Q2017/1000000,"")</f>
        <v>554.195269071246</v>
      </c>
      <c r="AF2017" s="49" t="n">
        <f aca="false">IF($R2017&gt;0,$P2017*$I2017/$R2017/1000000,"")</f>
        <v>738.382880459966</v>
      </c>
      <c r="AG2017" s="50" t="n">
        <f aca="false">IF(AND(ISNUMBER($AE2017),ISNUMBER($AF2017),$AF2017&gt;0),$AE2017/$AF2017,"")</f>
        <v>0.75055270610556</v>
      </c>
      <c r="AH2017" s="48" t="n">
        <f aca="false">IF($U2017&gt;=5,SUM(INDEX($AD$1987:$AD2017,32-5):$AD2017),"")</f>
        <v>3387399437578</v>
      </c>
      <c r="AI2017" s="48" t="n">
        <f aca="false">IF($U2017&gt;=STRUCT_S,MAX(INDEX($G$1867:$G2017,152-STRUCT_S):$G2017),"")</f>
        <v>16096</v>
      </c>
      <c r="AJ2017" s="48" t="n">
        <f aca="false">IF($U2017&gt;=STRUCT_S,MIN(INDEX($H$1867:$H2017,152-STRUCT_S):$H2017),"")</f>
        <v>14243</v>
      </c>
      <c r="AK2017" s="48" t="n">
        <f aca="false">IF($U2017&gt;=STRUCT_L,MAX(INDEX($G$1767:$G2017,252-STRUCT_L):$G2017),"")</f>
        <v>16096</v>
      </c>
      <c r="AL2017" s="48" t="n">
        <f aca="false">IF($U2017&gt;=STRUCT_L,MIN(INDEX($H$1767:$H2017,252-STRUCT_L):$H2017),"")</f>
        <v>12821</v>
      </c>
      <c r="AM2017" s="46" t="n">
        <f aca="false">IF($A2017&lt;&gt;$A2018,1,0)</f>
        <v>0</v>
      </c>
      <c r="AN2017" s="47" t="str">
        <f aca="false">IF($AM2017=1,$A2017,"")</f>
        <v/>
      </c>
    </row>
    <row r="2018" customFormat="false" ht="15" hidden="false" customHeight="false" outlineLevel="0" collapsed="false">
      <c r="A2018" s="43" t="s">
        <v>167</v>
      </c>
      <c r="B2018" s="44" t="s">
        <v>169</v>
      </c>
      <c r="C2018" s="45" t="n">
        <v>46175</v>
      </c>
      <c r="D2018" s="46" t="n">
        <v>20260602</v>
      </c>
      <c r="E2018" s="47" t="s">
        <v>481</v>
      </c>
      <c r="F2018" s="48" t="n">
        <v>15709</v>
      </c>
      <c r="G2018" s="48" t="n">
        <v>15989</v>
      </c>
      <c r="H2018" s="48" t="n">
        <v>15341</v>
      </c>
      <c r="I2018" s="48" t="n">
        <v>15730</v>
      </c>
      <c r="J2018" s="48" t="n">
        <v>15953</v>
      </c>
      <c r="K2018" s="48" t="n">
        <v>15598</v>
      </c>
      <c r="L2018" s="48" t="n">
        <v>83578037</v>
      </c>
      <c r="M2018" s="48" t="n">
        <v>1314682522010</v>
      </c>
      <c r="N2018" s="48" t="n">
        <v>3075</v>
      </c>
      <c r="O2018" s="48" t="n">
        <v>48276705</v>
      </c>
      <c r="P2018" s="48" t="n">
        <v>39197314</v>
      </c>
      <c r="Q2018" s="48" t="n">
        <v>839</v>
      </c>
      <c r="R2018" s="48" t="n">
        <v>1544</v>
      </c>
      <c r="S2018" s="48" t="n">
        <v>35301332</v>
      </c>
      <c r="T2018" s="48" t="n">
        <v>44380723</v>
      </c>
      <c r="U2018" s="46" t="n">
        <f aca="false">IF($A2018=$A2017,$U2017+1,1)</f>
        <v>194</v>
      </c>
      <c r="V2018" s="48" t="n">
        <f aca="false">IF($U2018&gt;=MA_SHORT,AVERAGE(INDEX($I$1618:$I2018,402-MA_SHORT):$I2018),"")</f>
        <v>15120.6</v>
      </c>
      <c r="W2018" s="48" t="n">
        <f aca="false">IF($U2018&gt;=MA_MED,AVERAGE(INDEX($I$1618:$I2018,402-MA_MED):$I2018),"")</f>
        <v>14509.16</v>
      </c>
      <c r="X2018" s="48" t="n">
        <f aca="false">IF($U2018&gt;=MA_LONG1,AVERAGE(INDEX($I$1618:$I2018,402-MA_LONG1):$I2018),"")</f>
        <v>13928.33</v>
      </c>
      <c r="Y2018" s="48" t="str">
        <f aca="false">IF($U2018&gt;=MA_LONG2,AVERAGE(INDEX($I$1618:$I2018,402-MA_LONG2):$I2018),"")</f>
        <v/>
      </c>
      <c r="Z2018" s="48" t="n">
        <f aca="false">IF($U2018&gt;=MA_SHORT,AVERAGE(INDEX($L$1898:$L2018,122-MA_SHORT):$L2018),"")</f>
        <v>109016479.7</v>
      </c>
      <c r="AA2018" s="48" t="n">
        <f aca="false">IF($U2018=1,$G2018-$H2018,MAX($G2018-$H2018,ABS($G2018-$I2017),ABS($H2018-$I2017)))</f>
        <v>648</v>
      </c>
      <c r="AB2018" s="48" t="n">
        <f aca="false">IF($U2018&gt;=ATR_PER,AVERAGE(INDEX($AA$1898:$AA2018,122-ATR_PER):$AA2018),"")</f>
        <v>509.214285714286</v>
      </c>
      <c r="AC2018" s="48" t="n">
        <f aca="false">$O2018-$P2018</f>
        <v>9079391</v>
      </c>
      <c r="AD2018" s="48" t="n">
        <f aca="false">$AC2018*$I2018</f>
        <v>142818820430</v>
      </c>
      <c r="AE2018" s="49" t="n">
        <f aca="false">IF($Q2018&gt;0,$O2018*$I2018/$Q2018/1000000,"")</f>
        <v>905.116292789035</v>
      </c>
      <c r="AF2018" s="49" t="n">
        <f aca="false">IF($R2018&gt;0,$P2018*$I2018/$R2018/1000000,"")</f>
        <v>399.3353298057</v>
      </c>
      <c r="AG2018" s="50" t="n">
        <f aca="false">IF(AND(ISNUMBER($AE2018),ISNUMBER($AF2018),$AF2018&gt;0),$AE2018/$AF2018,"")</f>
        <v>2.26655701420014</v>
      </c>
      <c r="AH2018" s="48" t="n">
        <f aca="false">IF($U2018&gt;=5,SUM(INDEX($AD$1988:$AD2018,32-5):$AD2018),"")</f>
        <v>3392141584979</v>
      </c>
      <c r="AI2018" s="48" t="n">
        <f aca="false">IF($U2018&gt;=STRUCT_S,MAX(INDEX($G$1868:$G2018,152-STRUCT_S):$G2018),"")</f>
        <v>16096</v>
      </c>
      <c r="AJ2018" s="48" t="n">
        <f aca="false">IF($U2018&gt;=STRUCT_S,MIN(INDEX($H$1868:$H2018,152-STRUCT_S):$H2018),"")</f>
        <v>14243</v>
      </c>
      <c r="AK2018" s="48" t="n">
        <f aca="false">IF($U2018&gt;=STRUCT_L,MAX(INDEX($G$1768:$G2018,252-STRUCT_L):$G2018),"")</f>
        <v>16096</v>
      </c>
      <c r="AL2018" s="48" t="n">
        <f aca="false">IF($U2018&gt;=STRUCT_L,MIN(INDEX($H$1768:$H2018,252-STRUCT_L):$H2018),"")</f>
        <v>12821</v>
      </c>
      <c r="AM2018" s="46" t="n">
        <f aca="false">IF($A2018&lt;&gt;$A2019,1,0)</f>
        <v>0</v>
      </c>
      <c r="AN2018" s="47" t="str">
        <f aca="false">IF($AM2018=1,$A2018,"")</f>
        <v/>
      </c>
    </row>
    <row r="2019" customFormat="false" ht="15" hidden="false" customHeight="false" outlineLevel="0" collapsed="false">
      <c r="A2019" s="43" t="s">
        <v>167</v>
      </c>
      <c r="B2019" s="44" t="s">
        <v>169</v>
      </c>
      <c r="C2019" s="45" t="n">
        <v>46176</v>
      </c>
      <c r="D2019" s="46" t="n">
        <v>20260603</v>
      </c>
      <c r="E2019" s="47" t="s">
        <v>482</v>
      </c>
      <c r="F2019" s="48" t="n">
        <v>15753</v>
      </c>
      <c r="G2019" s="48" t="n">
        <v>15966</v>
      </c>
      <c r="H2019" s="48" t="n">
        <v>15573</v>
      </c>
      <c r="I2019" s="48" t="n">
        <v>15808</v>
      </c>
      <c r="J2019" s="48" t="n">
        <v>15770</v>
      </c>
      <c r="K2019" s="48" t="n">
        <v>15730</v>
      </c>
      <c r="L2019" s="48" t="n">
        <v>102751634</v>
      </c>
      <c r="M2019" s="48" t="n">
        <v>1624297830272</v>
      </c>
      <c r="N2019" s="48" t="n">
        <v>9727</v>
      </c>
      <c r="O2019" s="48" t="n">
        <v>64157037</v>
      </c>
      <c r="P2019" s="48" t="n">
        <v>39582055</v>
      </c>
      <c r="Q2019" s="48" t="n">
        <v>2137</v>
      </c>
      <c r="R2019" s="48" t="n">
        <v>4820</v>
      </c>
      <c r="S2019" s="48" t="n">
        <v>38594597</v>
      </c>
      <c r="T2019" s="48" t="n">
        <v>63169579</v>
      </c>
      <c r="U2019" s="46" t="n">
        <f aca="false">IF($A2019=$A2018,$U2018+1,1)</f>
        <v>195</v>
      </c>
      <c r="V2019" s="48" t="n">
        <f aca="false">IF($U2019&gt;=MA_SHORT,AVERAGE(INDEX($I$1619:$I2019,402-MA_SHORT):$I2019),"")</f>
        <v>15186.3</v>
      </c>
      <c r="W2019" s="48" t="n">
        <f aca="false">IF($U2019&gt;=MA_MED,AVERAGE(INDEX($I$1619:$I2019,402-MA_MED):$I2019),"")</f>
        <v>14536.72</v>
      </c>
      <c r="X2019" s="48" t="n">
        <f aca="false">IF($U2019&gt;=MA_LONG1,AVERAGE(INDEX($I$1619:$I2019,402-MA_LONG1):$I2019),"")</f>
        <v>13955.37</v>
      </c>
      <c r="Y2019" s="48" t="str">
        <f aca="false">IF($U2019&gt;=MA_LONG2,AVERAGE(INDEX($I$1619:$I2019,402-MA_LONG2):$I2019),"")</f>
        <v/>
      </c>
      <c r="Z2019" s="48" t="n">
        <f aca="false">IF($U2019&gt;=MA_SHORT,AVERAGE(INDEX($L$1899:$L2019,122-MA_SHORT):$L2019),"")</f>
        <v>109826708.9</v>
      </c>
      <c r="AA2019" s="48" t="n">
        <f aca="false">IF($U2019=1,$G2019-$H2019,MAX($G2019-$H2019,ABS($G2019-$I2018),ABS($H2019-$I2018)))</f>
        <v>393</v>
      </c>
      <c r="AB2019" s="48" t="n">
        <f aca="false">IF($U2019&gt;=ATR_PER,AVERAGE(INDEX($AA$1899:$AA2019,122-ATR_PER):$AA2019),"")</f>
        <v>515.785714285714</v>
      </c>
      <c r="AC2019" s="48" t="n">
        <f aca="false">$O2019-$P2019</f>
        <v>24574982</v>
      </c>
      <c r="AD2019" s="48" t="n">
        <f aca="false">$AC2019*$I2019</f>
        <v>388481315456</v>
      </c>
      <c r="AE2019" s="49" t="n">
        <f aca="false">IF($Q2019&gt;0,$O2019*$I2019/$Q2019/1000000,"")</f>
        <v>474.587946137576</v>
      </c>
      <c r="AF2019" s="49" t="n">
        <f aca="false">IF($R2019&gt;0,$P2019*$I2019/$R2019/1000000,"")</f>
        <v>129.816001128631</v>
      </c>
      <c r="AG2019" s="50" t="n">
        <f aca="false">IF(AND(ISNUMBER($AE2019),ISNUMBER($AF2019),$AF2019&gt;0),$AE2019/$AF2019,"")</f>
        <v>3.65585091214851</v>
      </c>
      <c r="AH2019" s="48" t="n">
        <f aca="false">IF($U2019&gt;=5,SUM(INDEX($AD$1989:$AD2019,32-5):$AD2019),"")</f>
        <v>3619056564853</v>
      </c>
      <c r="AI2019" s="48" t="n">
        <f aca="false">IF($U2019&gt;=STRUCT_S,MAX(INDEX($G$1869:$G2019,152-STRUCT_S):$G2019),"")</f>
        <v>16096</v>
      </c>
      <c r="AJ2019" s="48" t="n">
        <f aca="false">IF($U2019&gt;=STRUCT_S,MIN(INDEX($H$1869:$H2019,152-STRUCT_S):$H2019),"")</f>
        <v>14243</v>
      </c>
      <c r="AK2019" s="48" t="n">
        <f aca="false">IF($U2019&gt;=STRUCT_L,MAX(INDEX($G$1769:$G2019,252-STRUCT_L):$G2019),"")</f>
        <v>16096</v>
      </c>
      <c r="AL2019" s="48" t="n">
        <f aca="false">IF($U2019&gt;=STRUCT_L,MIN(INDEX($H$1769:$H2019,252-STRUCT_L):$H2019),"")</f>
        <v>12821</v>
      </c>
      <c r="AM2019" s="46" t="n">
        <f aca="false">IF($A2019&lt;&gt;$A2020,1,0)</f>
        <v>0</v>
      </c>
      <c r="AN2019" s="47" t="str">
        <f aca="false">IF($AM2019=1,$A2019,"")</f>
        <v/>
      </c>
    </row>
    <row r="2020" customFormat="false" ht="15" hidden="false" customHeight="false" outlineLevel="0" collapsed="false">
      <c r="A2020" s="43" t="s">
        <v>167</v>
      </c>
      <c r="B2020" s="44" t="s">
        <v>169</v>
      </c>
      <c r="C2020" s="45" t="n">
        <v>46179</v>
      </c>
      <c r="D2020" s="46" t="n">
        <v>20260606</v>
      </c>
      <c r="E2020" s="47" t="s">
        <v>483</v>
      </c>
      <c r="F2020" s="48" t="n">
        <v>15596</v>
      </c>
      <c r="G2020" s="48" t="n">
        <v>15884</v>
      </c>
      <c r="H2020" s="48" t="n">
        <v>15534</v>
      </c>
      <c r="I2020" s="48" t="n">
        <v>15609</v>
      </c>
      <c r="J2020" s="48" t="n">
        <v>15839</v>
      </c>
      <c r="K2020" s="48" t="n">
        <v>15808</v>
      </c>
      <c r="L2020" s="48" t="n">
        <v>85547085</v>
      </c>
      <c r="M2020" s="48" t="n">
        <v>1335304449765</v>
      </c>
      <c r="N2020" s="48" t="n">
        <v>2258</v>
      </c>
      <c r="O2020" s="48" t="n">
        <v>43480102</v>
      </c>
      <c r="P2020" s="48" t="n">
        <v>44625414</v>
      </c>
      <c r="Q2020" s="48" t="n">
        <v>1447</v>
      </c>
      <c r="R2020" s="48" t="n">
        <v>555</v>
      </c>
      <c r="S2020" s="48" t="n">
        <v>42066983</v>
      </c>
      <c r="T2020" s="48" t="n">
        <v>40921671</v>
      </c>
      <c r="U2020" s="46" t="n">
        <f aca="false">IF($A2020=$A2019,$U2019+1,1)</f>
        <v>196</v>
      </c>
      <c r="V2020" s="48" t="n">
        <f aca="false">IF($U2020&gt;=MA_SHORT,AVERAGE(INDEX($I$1620:$I2020,402-MA_SHORT):$I2020),"")</f>
        <v>15228.6</v>
      </c>
      <c r="W2020" s="48" t="n">
        <f aca="false">IF($U2020&gt;=MA_MED,AVERAGE(INDEX($I$1620:$I2020,402-MA_MED):$I2020),"")</f>
        <v>14554.26</v>
      </c>
      <c r="X2020" s="48" t="n">
        <f aca="false">IF($U2020&gt;=MA_LONG1,AVERAGE(INDEX($I$1620:$I2020,402-MA_LONG1):$I2020),"")</f>
        <v>13979.79</v>
      </c>
      <c r="Y2020" s="48" t="str">
        <f aca="false">IF($U2020&gt;=MA_LONG2,AVERAGE(INDEX($I$1620:$I2020,402-MA_LONG2):$I2020),"")</f>
        <v/>
      </c>
      <c r="Z2020" s="48" t="n">
        <f aca="false">IF($U2020&gt;=MA_SHORT,AVERAGE(INDEX($L$1900:$L2020,122-MA_SHORT):$L2020),"")</f>
        <v>106663107</v>
      </c>
      <c r="AA2020" s="48" t="n">
        <f aca="false">IF($U2020=1,$G2020-$H2020,MAX($G2020-$H2020,ABS($G2020-$I2019),ABS($H2020-$I2019)))</f>
        <v>350</v>
      </c>
      <c r="AB2020" s="48" t="n">
        <f aca="false">IF($U2020&gt;=ATR_PER,AVERAGE(INDEX($AA$1900:$AA2020,122-ATR_PER):$AA2020),"")</f>
        <v>510.928571428571</v>
      </c>
      <c r="AC2020" s="48" t="n">
        <f aca="false">$O2020-$P2020</f>
        <v>-1145312</v>
      </c>
      <c r="AD2020" s="48" t="n">
        <f aca="false">$AC2020*$I2020</f>
        <v>-17877175008</v>
      </c>
      <c r="AE2020" s="49" t="n">
        <f aca="false">IF($Q2020&gt;0,$O2020*$I2020/$Q2020/1000000,"")</f>
        <v>469.026200496199</v>
      </c>
      <c r="AF2020" s="49" t="n">
        <f aca="false">IF($R2020&gt;0,$P2020*$I2020/$R2020/1000000,"")</f>
        <v>1255.05961644324</v>
      </c>
      <c r="AG2020" s="50" t="n">
        <f aca="false">IF(AND(ISNUMBER($AE2020),ISNUMBER($AF2020),$AF2020&gt;0),$AE2020/$AF2020,"")</f>
        <v>0.373708303853636</v>
      </c>
      <c r="AH2020" s="48" t="n">
        <f aca="false">IF($U2020&gt;=5,SUM(INDEX($AD$1990:$AD2020,32-5):$AD2020),"")</f>
        <v>1580948807509</v>
      </c>
      <c r="AI2020" s="48" t="n">
        <f aca="false">IF($U2020&gt;=STRUCT_S,MAX(INDEX($G$1870:$G2020,152-STRUCT_S):$G2020),"")</f>
        <v>16096</v>
      </c>
      <c r="AJ2020" s="48" t="n">
        <f aca="false">IF($U2020&gt;=STRUCT_S,MIN(INDEX($H$1870:$H2020,152-STRUCT_S):$H2020),"")</f>
        <v>14243</v>
      </c>
      <c r="AK2020" s="48" t="n">
        <f aca="false">IF($U2020&gt;=STRUCT_L,MAX(INDEX($G$1770:$G2020,252-STRUCT_L):$G2020),"")</f>
        <v>16096</v>
      </c>
      <c r="AL2020" s="48" t="n">
        <f aca="false">IF($U2020&gt;=STRUCT_L,MIN(INDEX($H$1770:$H2020,252-STRUCT_L):$H2020),"")</f>
        <v>12821</v>
      </c>
      <c r="AM2020" s="46" t="n">
        <f aca="false">IF($A2020&lt;&gt;$A2021,1,0)</f>
        <v>0</v>
      </c>
      <c r="AN2020" s="47" t="str">
        <f aca="false">IF($AM2020=1,$A2020,"")</f>
        <v/>
      </c>
    </row>
    <row r="2021" customFormat="false" ht="15" hidden="false" customHeight="false" outlineLevel="0" collapsed="false">
      <c r="A2021" s="43" t="s">
        <v>167</v>
      </c>
      <c r="B2021" s="44" t="s">
        <v>169</v>
      </c>
      <c r="C2021" s="45" t="n">
        <v>46180</v>
      </c>
      <c r="D2021" s="46" t="n">
        <v>20260607</v>
      </c>
      <c r="E2021" s="47" t="s">
        <v>484</v>
      </c>
      <c r="F2021" s="48" t="n">
        <v>15851</v>
      </c>
      <c r="G2021" s="48" t="n">
        <v>16000</v>
      </c>
      <c r="H2021" s="48" t="n">
        <v>15488</v>
      </c>
      <c r="I2021" s="48" t="n">
        <v>15877</v>
      </c>
      <c r="J2021" s="48" t="n">
        <v>15822</v>
      </c>
      <c r="K2021" s="48" t="n">
        <v>15609</v>
      </c>
      <c r="L2021" s="48" t="n">
        <v>112174668</v>
      </c>
      <c r="M2021" s="48" t="n">
        <v>1780997203836</v>
      </c>
      <c r="N2021" s="48" t="n">
        <v>8004</v>
      </c>
      <c r="O2021" s="48" t="n">
        <v>60427073</v>
      </c>
      <c r="P2021" s="48" t="n">
        <v>56240665</v>
      </c>
      <c r="Q2021" s="48" t="n">
        <v>2503</v>
      </c>
      <c r="R2021" s="48" t="n">
        <v>5955</v>
      </c>
      <c r="S2021" s="48" t="n">
        <v>51747595</v>
      </c>
      <c r="T2021" s="48" t="n">
        <v>55934003</v>
      </c>
      <c r="U2021" s="46" t="n">
        <f aca="false">IF($A2021=$A2020,$U2020+1,1)</f>
        <v>197</v>
      </c>
      <c r="V2021" s="48" t="n">
        <f aca="false">IF($U2021&gt;=MA_SHORT,AVERAGE(INDEX($I$1621:$I2021,402-MA_SHORT):$I2021),"")</f>
        <v>15289.7</v>
      </c>
      <c r="W2021" s="48" t="n">
        <f aca="false">IF($U2021&gt;=MA_MED,AVERAGE(INDEX($I$1621:$I2021,402-MA_MED):$I2021),"")</f>
        <v>14578.6</v>
      </c>
      <c r="X2021" s="48" t="n">
        <f aca="false">IF($U2021&gt;=MA_LONG1,AVERAGE(INDEX($I$1621:$I2021,402-MA_LONG1):$I2021),"")</f>
        <v>14005.11</v>
      </c>
      <c r="Y2021" s="48" t="str">
        <f aca="false">IF($U2021&gt;=MA_LONG2,AVERAGE(INDEX($I$1621:$I2021,402-MA_LONG2):$I2021),"")</f>
        <v/>
      </c>
      <c r="Z2021" s="48" t="n">
        <f aca="false">IF($U2021&gt;=MA_SHORT,AVERAGE(INDEX($L$1901:$L2021,122-MA_SHORT):$L2021),"")</f>
        <v>108120308.9</v>
      </c>
      <c r="AA2021" s="48" t="n">
        <f aca="false">IF($U2021=1,$G2021-$H2021,MAX($G2021-$H2021,ABS($G2021-$I2020),ABS($H2021-$I2020)))</f>
        <v>512</v>
      </c>
      <c r="AB2021" s="48" t="n">
        <f aca="false">IF($U2021&gt;=ATR_PER,AVERAGE(INDEX($AA$1901:$AA2021,122-ATR_PER):$AA2021),"")</f>
        <v>531.071428571429</v>
      </c>
      <c r="AC2021" s="48" t="n">
        <f aca="false">$O2021-$P2021</f>
        <v>4186408</v>
      </c>
      <c r="AD2021" s="48" t="n">
        <f aca="false">$AC2021*$I2021</f>
        <v>66467599816</v>
      </c>
      <c r="AE2021" s="49" t="n">
        <f aca="false">IF($Q2021&gt;0,$O2021*$I2021/$Q2021/1000000,"")</f>
        <v>383.300294854575</v>
      </c>
      <c r="AF2021" s="49" t="n">
        <f aca="false">IF($R2021&gt;0,$P2021*$I2021/$R2021/1000000,"")</f>
        <v>149.946773837951</v>
      </c>
      <c r="AG2021" s="50" t="n">
        <f aca="false">IF(AND(ISNUMBER($AE2021),ISNUMBER($AF2021),$AF2021&gt;0),$AE2021/$AF2021,"")</f>
        <v>2.55624235883068</v>
      </c>
      <c r="AH2021" s="48" t="n">
        <f aca="false">IF($U2021&gt;=5,SUM(INDEX($AD$1991:$AD2021,32-5):$AD2021),"")</f>
        <v>794264028992</v>
      </c>
      <c r="AI2021" s="48" t="n">
        <f aca="false">IF($U2021&gt;=STRUCT_S,MAX(INDEX($G$1871:$G2021,152-STRUCT_S):$G2021),"")</f>
        <v>16096</v>
      </c>
      <c r="AJ2021" s="48" t="n">
        <f aca="false">IF($U2021&gt;=STRUCT_S,MIN(INDEX($H$1871:$H2021,152-STRUCT_S):$H2021),"")</f>
        <v>14243</v>
      </c>
      <c r="AK2021" s="48" t="n">
        <f aca="false">IF($U2021&gt;=STRUCT_L,MAX(INDEX($G$1771:$G2021,252-STRUCT_L):$G2021),"")</f>
        <v>16096</v>
      </c>
      <c r="AL2021" s="48" t="n">
        <f aca="false">IF($U2021&gt;=STRUCT_L,MIN(INDEX($H$1771:$H2021,252-STRUCT_L):$H2021),"")</f>
        <v>12821</v>
      </c>
      <c r="AM2021" s="46" t="n">
        <f aca="false">IF($A2021&lt;&gt;$A2022,1,0)</f>
        <v>0</v>
      </c>
      <c r="AN2021" s="47" t="str">
        <f aca="false">IF($AM2021=1,$A2021,"")</f>
        <v/>
      </c>
    </row>
    <row r="2022" customFormat="false" ht="15" hidden="false" customHeight="false" outlineLevel="0" collapsed="false">
      <c r="A2022" s="43" t="s">
        <v>167</v>
      </c>
      <c r="B2022" s="44" t="s">
        <v>169</v>
      </c>
      <c r="C2022" s="45" t="n">
        <v>46181</v>
      </c>
      <c r="D2022" s="46" t="n">
        <v>20260608</v>
      </c>
      <c r="E2022" s="47" t="s">
        <v>485</v>
      </c>
      <c r="F2022" s="48" t="n">
        <v>15873</v>
      </c>
      <c r="G2022" s="48" t="n">
        <v>16062</v>
      </c>
      <c r="H2022" s="48" t="n">
        <v>15460</v>
      </c>
      <c r="I2022" s="48" t="n">
        <v>15643</v>
      </c>
      <c r="J2022" s="48" t="n">
        <v>15665</v>
      </c>
      <c r="K2022" s="48" t="n">
        <v>15877</v>
      </c>
      <c r="L2022" s="48" t="n">
        <v>86573018</v>
      </c>
      <c r="M2022" s="48" t="n">
        <v>1354261720574</v>
      </c>
      <c r="N2022" s="48" t="n">
        <v>3094</v>
      </c>
      <c r="O2022" s="48" t="n">
        <v>47993872</v>
      </c>
      <c r="P2022" s="48" t="n">
        <v>38093553</v>
      </c>
      <c r="Q2022" s="48" t="n">
        <v>2106</v>
      </c>
      <c r="R2022" s="48" t="n">
        <v>1124</v>
      </c>
      <c r="S2022" s="48" t="n">
        <v>38579146</v>
      </c>
      <c r="T2022" s="48" t="n">
        <v>48479465</v>
      </c>
      <c r="U2022" s="46" t="n">
        <f aca="false">IF($A2022=$A2021,$U2021+1,1)</f>
        <v>198</v>
      </c>
      <c r="V2022" s="48" t="n">
        <f aca="false">IF($U2022&gt;=MA_SHORT,AVERAGE(INDEX($I$1622:$I2022,402-MA_SHORT):$I2022),"")</f>
        <v>15345.1</v>
      </c>
      <c r="W2022" s="48" t="n">
        <f aca="false">IF($U2022&gt;=MA_MED,AVERAGE(INDEX($I$1622:$I2022,402-MA_MED):$I2022),"")</f>
        <v>14599.76</v>
      </c>
      <c r="X2022" s="48" t="n">
        <f aca="false">IF($U2022&gt;=MA_LONG1,AVERAGE(INDEX($I$1622:$I2022,402-MA_LONG1):$I2022),"")</f>
        <v>14026.61</v>
      </c>
      <c r="Y2022" s="48" t="str">
        <f aca="false">IF($U2022&gt;=MA_LONG2,AVERAGE(INDEX($I$1622:$I2022,402-MA_LONG2):$I2022),"")</f>
        <v/>
      </c>
      <c r="Z2022" s="48" t="n">
        <f aca="false">IF($U2022&gt;=MA_SHORT,AVERAGE(INDEX($L$1902:$L2022,122-MA_SHORT):$L2022),"")</f>
        <v>106489463.65</v>
      </c>
      <c r="AA2022" s="48" t="n">
        <f aca="false">IF($U2022=1,$G2022-$H2022,MAX($G2022-$H2022,ABS($G2022-$I2021),ABS($H2022-$I2021)))</f>
        <v>602</v>
      </c>
      <c r="AB2022" s="48" t="n">
        <f aca="false">IF($U2022&gt;=ATR_PER,AVERAGE(INDEX($AA$1902:$AA2022,122-ATR_PER):$AA2022),"")</f>
        <v>550.642857142857</v>
      </c>
      <c r="AC2022" s="48" t="n">
        <f aca="false">$O2022-$P2022</f>
        <v>9900319</v>
      </c>
      <c r="AD2022" s="48" t="n">
        <f aca="false">$AC2022*$I2022</f>
        <v>154870690117</v>
      </c>
      <c r="AE2022" s="49" t="n">
        <f aca="false">IF($Q2022&gt;0,$O2022*$I2022/$Q2022/1000000,"")</f>
        <v>356.490094822412</v>
      </c>
      <c r="AF2022" s="49" t="n">
        <f aca="false">IF($R2022&gt;0,$P2022*$I2022/$R2022/1000000,"")</f>
        <v>530.157873290925</v>
      </c>
      <c r="AG2022" s="50" t="n">
        <f aca="false">IF(AND(ISNUMBER($AE2022),ISNUMBER($AF2022),$AF2022&gt;0),$AE2022/$AF2022,"")</f>
        <v>0.672422523143002</v>
      </c>
      <c r="AH2022" s="48" t="n">
        <f aca="false">IF($U2022&gt;=5,SUM(INDEX($AD$1992:$AD2022,32-5):$AD2022),"")</f>
        <v>734761250811</v>
      </c>
      <c r="AI2022" s="48" t="n">
        <f aca="false">IF($U2022&gt;=STRUCT_S,MAX(INDEX($G$1872:$G2022,152-STRUCT_S):$G2022),"")</f>
        <v>16096</v>
      </c>
      <c r="AJ2022" s="48" t="n">
        <f aca="false">IF($U2022&gt;=STRUCT_S,MIN(INDEX($H$1872:$H2022,152-STRUCT_S):$H2022),"")</f>
        <v>14274</v>
      </c>
      <c r="AK2022" s="48" t="n">
        <f aca="false">IF($U2022&gt;=STRUCT_L,MAX(INDEX($G$1772:$G2022,252-STRUCT_L):$G2022),"")</f>
        <v>16096</v>
      </c>
      <c r="AL2022" s="48" t="n">
        <f aca="false">IF($U2022&gt;=STRUCT_L,MIN(INDEX($H$1772:$H2022,252-STRUCT_L):$H2022),"")</f>
        <v>12821</v>
      </c>
      <c r="AM2022" s="46" t="n">
        <f aca="false">IF($A2022&lt;&gt;$A2023,1,0)</f>
        <v>0</v>
      </c>
      <c r="AN2022" s="47" t="str">
        <f aca="false">IF($AM2022=1,$A2022,"")</f>
        <v/>
      </c>
    </row>
    <row r="2023" customFormat="false" ht="15" hidden="false" customHeight="false" outlineLevel="0" collapsed="false">
      <c r="A2023" s="43" t="s">
        <v>167</v>
      </c>
      <c r="B2023" s="44" t="s">
        <v>169</v>
      </c>
      <c r="C2023" s="45" t="n">
        <v>46182</v>
      </c>
      <c r="D2023" s="46" t="n">
        <v>20260609</v>
      </c>
      <c r="E2023" s="47" t="s">
        <v>486</v>
      </c>
      <c r="F2023" s="48" t="n">
        <v>15706</v>
      </c>
      <c r="G2023" s="48" t="n">
        <v>15735</v>
      </c>
      <c r="H2023" s="48" t="n">
        <v>15329</v>
      </c>
      <c r="I2023" s="48" t="n">
        <v>15420</v>
      </c>
      <c r="J2023" s="48" t="n">
        <v>15579</v>
      </c>
      <c r="K2023" s="48" t="n">
        <v>15643</v>
      </c>
      <c r="L2023" s="48" t="n">
        <v>86342645</v>
      </c>
      <c r="M2023" s="48" t="n">
        <v>1331403585900</v>
      </c>
      <c r="N2023" s="48" t="n">
        <v>7262</v>
      </c>
      <c r="O2023" s="48" t="n">
        <v>48417756</v>
      </c>
      <c r="P2023" s="48" t="n">
        <v>30651855</v>
      </c>
      <c r="Q2023" s="48" t="n">
        <v>3017</v>
      </c>
      <c r="R2023" s="48" t="n">
        <v>1652</v>
      </c>
      <c r="S2023" s="48" t="n">
        <v>37924889</v>
      </c>
      <c r="T2023" s="48" t="n">
        <v>55690790</v>
      </c>
      <c r="U2023" s="46" t="n">
        <f aca="false">IF($A2023=$A2022,$U2022+1,1)</f>
        <v>199</v>
      </c>
      <c r="V2023" s="48" t="n">
        <f aca="false">IF($U2023&gt;=MA_SHORT,AVERAGE(INDEX($I$1623:$I2023,402-MA_SHORT):$I2023),"")</f>
        <v>15380.65</v>
      </c>
      <c r="W2023" s="48" t="n">
        <f aca="false">IF($U2023&gt;=MA_MED,AVERAGE(INDEX($I$1623:$I2023,402-MA_MED):$I2023),"")</f>
        <v>14618.08</v>
      </c>
      <c r="X2023" s="48" t="n">
        <f aca="false">IF($U2023&gt;=MA_LONG1,AVERAGE(INDEX($I$1623:$I2023,402-MA_LONG1):$I2023),"")</f>
        <v>14045.13</v>
      </c>
      <c r="Y2023" s="48" t="str">
        <f aca="false">IF($U2023&gt;=MA_LONG2,AVERAGE(INDEX($I$1623:$I2023,402-MA_LONG2):$I2023),"")</f>
        <v/>
      </c>
      <c r="Z2023" s="48" t="n">
        <f aca="false">IF($U2023&gt;=MA_SHORT,AVERAGE(INDEX($L$1903:$L2023,122-MA_SHORT):$L2023),"")</f>
        <v>106214555.05</v>
      </c>
      <c r="AA2023" s="48" t="n">
        <f aca="false">IF($U2023=1,$G2023-$H2023,MAX($G2023-$H2023,ABS($G2023-$I2022),ABS($H2023-$I2022)))</f>
        <v>406</v>
      </c>
      <c r="AB2023" s="48" t="n">
        <f aca="false">IF($U2023&gt;=ATR_PER,AVERAGE(INDEX($AA$1903:$AA2023,122-ATR_PER):$AA2023),"")</f>
        <v>561.071428571429</v>
      </c>
      <c r="AC2023" s="48" t="n">
        <f aca="false">$O2023-$P2023</f>
        <v>17765901</v>
      </c>
      <c r="AD2023" s="48" t="n">
        <f aca="false">$AC2023*$I2023</f>
        <v>273950193420</v>
      </c>
      <c r="AE2023" s="49" t="n">
        <f aca="false">IF($Q2023&gt;0,$O2023*$I2023/$Q2023/1000000,"")</f>
        <v>247.464964375207</v>
      </c>
      <c r="AF2023" s="49" t="n">
        <f aca="false">IF($R2023&gt;0,$P2023*$I2023/$R2023/1000000,"")</f>
        <v>286.108719188862</v>
      </c>
      <c r="AG2023" s="50" t="n">
        <f aca="false">IF(AND(ISNUMBER($AE2023),ISNUMBER($AF2023),$AF2023&gt;0),$AE2023/$AF2023,"")</f>
        <v>0.8649333200218</v>
      </c>
      <c r="AH2023" s="48" t="n">
        <f aca="false">IF($U2023&gt;=5,SUM(INDEX($AD$1993:$AD2023,32-5):$AD2023),"")</f>
        <v>865892623801</v>
      </c>
      <c r="AI2023" s="48" t="n">
        <f aca="false">IF($U2023&gt;=STRUCT_S,MAX(INDEX($G$1873:$G2023,152-STRUCT_S):$G2023),"")</f>
        <v>16096</v>
      </c>
      <c r="AJ2023" s="48" t="n">
        <f aca="false">IF($U2023&gt;=STRUCT_S,MIN(INDEX($H$1873:$H2023,152-STRUCT_S):$H2023),"")</f>
        <v>14663</v>
      </c>
      <c r="AK2023" s="48" t="n">
        <f aca="false">IF($U2023&gt;=STRUCT_L,MAX(INDEX($G$1773:$G2023,252-STRUCT_L):$G2023),"")</f>
        <v>16096</v>
      </c>
      <c r="AL2023" s="48" t="n">
        <f aca="false">IF($U2023&gt;=STRUCT_L,MIN(INDEX($H$1773:$H2023,252-STRUCT_L):$H2023),"")</f>
        <v>12821</v>
      </c>
      <c r="AM2023" s="46" t="n">
        <f aca="false">IF($A2023&lt;&gt;$A2024,1,0)</f>
        <v>0</v>
      </c>
      <c r="AN2023" s="47" t="str">
        <f aca="false">IF($AM2023=1,$A2023,"")</f>
        <v/>
      </c>
    </row>
    <row r="2024" customFormat="false" ht="15" hidden="false" customHeight="false" outlineLevel="0" collapsed="false">
      <c r="A2024" s="43" t="s">
        <v>167</v>
      </c>
      <c r="B2024" s="44" t="s">
        <v>169</v>
      </c>
      <c r="C2024" s="45" t="n">
        <v>46183</v>
      </c>
      <c r="D2024" s="46" t="n">
        <v>20260610</v>
      </c>
      <c r="E2024" s="47" t="s">
        <v>487</v>
      </c>
      <c r="F2024" s="48" t="n">
        <v>15178</v>
      </c>
      <c r="G2024" s="48" t="n">
        <v>15470</v>
      </c>
      <c r="H2024" s="48" t="n">
        <v>15114</v>
      </c>
      <c r="I2024" s="48" t="n">
        <v>15163</v>
      </c>
      <c r="J2024" s="48" t="n">
        <v>15268</v>
      </c>
      <c r="K2024" s="48" t="n">
        <v>15420</v>
      </c>
      <c r="L2024" s="48" t="n">
        <v>87493304</v>
      </c>
      <c r="M2024" s="48" t="n">
        <v>1326660968552</v>
      </c>
      <c r="N2024" s="48" t="n">
        <v>5576</v>
      </c>
      <c r="O2024" s="48" t="n">
        <v>50791217</v>
      </c>
      <c r="P2024" s="48" t="n">
        <v>37005231</v>
      </c>
      <c r="Q2024" s="48" t="n">
        <v>2572</v>
      </c>
      <c r="R2024" s="48" t="n">
        <v>1868</v>
      </c>
      <c r="S2024" s="48" t="n">
        <v>36702087</v>
      </c>
      <c r="T2024" s="48" t="n">
        <v>50488073</v>
      </c>
      <c r="U2024" s="46" t="n">
        <f aca="false">IF($A2024=$A2023,$U2023+1,1)</f>
        <v>200</v>
      </c>
      <c r="V2024" s="48" t="n">
        <f aca="false">IF($U2024&gt;=MA_SHORT,AVERAGE(INDEX($I$1624:$I2024,402-MA_SHORT):$I2024),"")</f>
        <v>15393.6</v>
      </c>
      <c r="W2024" s="48" t="n">
        <f aca="false">IF($U2024&gt;=MA_MED,AVERAGE(INDEX($I$1624:$I2024,402-MA_MED):$I2024),"")</f>
        <v>14633.4</v>
      </c>
      <c r="X2024" s="48" t="n">
        <f aca="false">IF($U2024&gt;=MA_LONG1,AVERAGE(INDEX($I$1624:$I2024,402-MA_LONG1):$I2024),"")</f>
        <v>14064.45</v>
      </c>
      <c r="Y2024" s="48" t="n">
        <f aca="false">IF($U2024&gt;=MA_LONG2,AVERAGE(INDEX($I$1624:$I2024,402-MA_LONG2):$I2024),"")</f>
        <v>13091.6</v>
      </c>
      <c r="Z2024" s="48" t="n">
        <f aca="false">IF($U2024&gt;=MA_SHORT,AVERAGE(INDEX($L$1904:$L2024,122-MA_SHORT):$L2024),"")</f>
        <v>106295911.35</v>
      </c>
      <c r="AA2024" s="48" t="n">
        <f aca="false">IF($U2024=1,$G2024-$H2024,MAX($G2024-$H2024,ABS($G2024-$I2023),ABS($H2024-$I2023)))</f>
        <v>356</v>
      </c>
      <c r="AB2024" s="48" t="n">
        <f aca="false">IF($U2024&gt;=ATR_PER,AVERAGE(INDEX($AA$1904:$AA2024,122-ATR_PER):$AA2024),"")</f>
        <v>548</v>
      </c>
      <c r="AC2024" s="48" t="n">
        <f aca="false">$O2024-$P2024</f>
        <v>13785986</v>
      </c>
      <c r="AD2024" s="48" t="n">
        <f aca="false">$AC2024*$I2024</f>
        <v>209036905718</v>
      </c>
      <c r="AE2024" s="49" t="n">
        <f aca="false">IF($Q2024&gt;0,$O2024*$I2024/$Q2024/1000000,"")</f>
        <v>299.435156831649</v>
      </c>
      <c r="AF2024" s="49" t="n">
        <f aca="false">IF($R2024&gt;0,$P2024*$I2024/$R2024/1000000,"")</f>
        <v>300.380255702891</v>
      </c>
      <c r="AG2024" s="50" t="n">
        <f aca="false">IF(AND(ISNUMBER($AE2024),ISNUMBER($AF2024),$AF2024&gt;0),$AE2024/$AF2024,"")</f>
        <v>0.996853658476884</v>
      </c>
      <c r="AH2024" s="48" t="n">
        <f aca="false">IF($U2024&gt;=5,SUM(INDEX($AD$1994:$AD2024,32-5):$AD2024),"")</f>
        <v>686448214063</v>
      </c>
      <c r="AI2024" s="48" t="n">
        <f aca="false">IF($U2024&gt;=STRUCT_S,MAX(INDEX($G$1874:$G2024,152-STRUCT_S):$G2024),"")</f>
        <v>16096</v>
      </c>
      <c r="AJ2024" s="48" t="n">
        <f aca="false">IF($U2024&gt;=STRUCT_S,MIN(INDEX($H$1874:$H2024,152-STRUCT_S):$H2024),"")</f>
        <v>14671</v>
      </c>
      <c r="AK2024" s="48" t="n">
        <f aca="false">IF($U2024&gt;=STRUCT_L,MAX(INDEX($G$1774:$G2024,252-STRUCT_L):$G2024),"")</f>
        <v>16096</v>
      </c>
      <c r="AL2024" s="48" t="n">
        <f aca="false">IF($U2024&gt;=STRUCT_L,MIN(INDEX($H$1774:$H2024,252-STRUCT_L):$H2024),"")</f>
        <v>12821</v>
      </c>
      <c r="AM2024" s="46" t="n">
        <f aca="false">IF($A2024&lt;&gt;$A2025,1,0)</f>
        <v>0</v>
      </c>
      <c r="AN2024" s="47" t="str">
        <f aca="false">IF($AM2024=1,$A2024,"")</f>
        <v/>
      </c>
    </row>
    <row r="2025" customFormat="false" ht="15" hidden="false" customHeight="false" outlineLevel="0" collapsed="false">
      <c r="A2025" s="43" t="s">
        <v>167</v>
      </c>
      <c r="B2025" s="44" t="s">
        <v>169</v>
      </c>
      <c r="C2025" s="45" t="n">
        <v>46186</v>
      </c>
      <c r="D2025" s="46" t="n">
        <v>20260613</v>
      </c>
      <c r="E2025" s="47" t="s">
        <v>488</v>
      </c>
      <c r="F2025" s="48" t="n">
        <v>15259</v>
      </c>
      <c r="G2025" s="48" t="n">
        <v>15319</v>
      </c>
      <c r="H2025" s="48" t="n">
        <v>15089</v>
      </c>
      <c r="I2025" s="48" t="n">
        <v>15244</v>
      </c>
      <c r="J2025" s="48" t="n">
        <v>15265</v>
      </c>
      <c r="K2025" s="48" t="n">
        <v>15163</v>
      </c>
      <c r="L2025" s="48" t="n">
        <v>82088739</v>
      </c>
      <c r="M2025" s="48" t="n">
        <v>1251360737316</v>
      </c>
      <c r="N2025" s="48" t="n">
        <v>4101</v>
      </c>
      <c r="O2025" s="48" t="n">
        <v>49339305</v>
      </c>
      <c r="P2025" s="48" t="n">
        <v>37886280</v>
      </c>
      <c r="Q2025" s="48" t="n">
        <v>924</v>
      </c>
      <c r="R2025" s="48" t="n">
        <v>3268</v>
      </c>
      <c r="S2025" s="48" t="n">
        <v>32749434</v>
      </c>
      <c r="T2025" s="48" t="n">
        <v>44202459</v>
      </c>
      <c r="U2025" s="46" t="n">
        <f aca="false">IF($A2025=$A2024,$U2024+1,1)</f>
        <v>201</v>
      </c>
      <c r="V2025" s="48" t="n">
        <f aca="false">IF($U2025&gt;=MA_SHORT,AVERAGE(INDEX($I$1625:$I2025,402-MA_SHORT):$I2025),"")</f>
        <v>15400.45</v>
      </c>
      <c r="W2025" s="48" t="n">
        <f aca="false">IF($U2025&gt;=MA_MED,AVERAGE(INDEX($I$1625:$I2025,402-MA_MED):$I2025),"")</f>
        <v>14653</v>
      </c>
      <c r="X2025" s="48" t="n">
        <f aca="false">IF($U2025&gt;=MA_LONG1,AVERAGE(INDEX($I$1625:$I2025,402-MA_LONG1):$I2025),"")</f>
        <v>14085.96</v>
      </c>
      <c r="Y2025" s="48" t="n">
        <f aca="false">IF($U2025&gt;=MA_LONG2,AVERAGE(INDEX($I$1625:$I2025,402-MA_LONG2):$I2025),"")</f>
        <v>13111.83</v>
      </c>
      <c r="Z2025" s="48" t="n">
        <f aca="false">IF($U2025&gt;=MA_SHORT,AVERAGE(INDEX($L$1905:$L2025,122-MA_SHORT):$L2025),"")</f>
        <v>105226954.8</v>
      </c>
      <c r="AA2025" s="48" t="n">
        <f aca="false">IF($U2025=1,$G2025-$H2025,MAX($G2025-$H2025,ABS($G2025-$I2024),ABS($H2025-$I2024)))</f>
        <v>230</v>
      </c>
      <c r="AB2025" s="48" t="n">
        <f aca="false">IF($U2025&gt;=ATR_PER,AVERAGE(INDEX($AA$1905:$AA2025,122-ATR_PER):$AA2025),"")</f>
        <v>528.857142857143</v>
      </c>
      <c r="AC2025" s="48" t="n">
        <f aca="false">$O2025-$P2025</f>
        <v>11453025</v>
      </c>
      <c r="AD2025" s="48" t="n">
        <f aca="false">$AC2025*$I2025</f>
        <v>174589913100</v>
      </c>
      <c r="AE2025" s="49" t="n">
        <f aca="false">IF($Q2025&gt;0,$O2025*$I2025/$Q2025/1000000,"")</f>
        <v>813.991737467533</v>
      </c>
      <c r="AF2025" s="49" t="n">
        <f aca="false">IF($R2025&gt;0,$P2025*$I2025/$R2025/1000000,"")</f>
        <v>176.725352607099</v>
      </c>
      <c r="AG2025" s="50" t="n">
        <f aca="false">IF(AND(ISNUMBER($AE2025),ISNUMBER($AF2025),$AF2025&gt;0),$AE2025/$AF2025,"")</f>
        <v>4.60597036848031</v>
      </c>
      <c r="AH2025" s="48" t="n">
        <f aca="false">IF($U2025&gt;=5,SUM(INDEX($AD$1995:$AD2025,32-5):$AD2025),"")</f>
        <v>878915302171</v>
      </c>
      <c r="AI2025" s="48" t="n">
        <f aca="false">IF($U2025&gt;=STRUCT_S,MAX(INDEX($G$1875:$G2025,152-STRUCT_S):$G2025),"")</f>
        <v>16096</v>
      </c>
      <c r="AJ2025" s="48" t="n">
        <f aca="false">IF($U2025&gt;=STRUCT_S,MIN(INDEX($H$1875:$H2025,152-STRUCT_S):$H2025),"")</f>
        <v>14671</v>
      </c>
      <c r="AK2025" s="48" t="n">
        <f aca="false">IF($U2025&gt;=STRUCT_L,MAX(INDEX($G$1775:$G2025,252-STRUCT_L):$G2025),"")</f>
        <v>16096</v>
      </c>
      <c r="AL2025" s="48" t="n">
        <f aca="false">IF($U2025&gt;=STRUCT_L,MIN(INDEX($H$1775:$H2025,252-STRUCT_L):$H2025),"")</f>
        <v>12821</v>
      </c>
      <c r="AM2025" s="46" t="n">
        <f aca="false">IF($A2025&lt;&gt;$A2026,1,0)</f>
        <v>0</v>
      </c>
      <c r="AN2025" s="47" t="str">
        <f aca="false">IF($AM2025=1,$A2025,"")</f>
        <v/>
      </c>
    </row>
    <row r="2026" customFormat="false" ht="15" hidden="false" customHeight="false" outlineLevel="0" collapsed="false">
      <c r="A2026" s="43" t="s">
        <v>167</v>
      </c>
      <c r="B2026" s="44" t="s">
        <v>169</v>
      </c>
      <c r="C2026" s="45" t="n">
        <v>46187</v>
      </c>
      <c r="D2026" s="46" t="n">
        <v>20260614</v>
      </c>
      <c r="E2026" s="47" t="s">
        <v>489</v>
      </c>
      <c r="F2026" s="48" t="n">
        <v>15325</v>
      </c>
      <c r="G2026" s="48" t="n">
        <v>15439</v>
      </c>
      <c r="H2026" s="48" t="n">
        <v>14942</v>
      </c>
      <c r="I2026" s="48" t="n">
        <v>15136</v>
      </c>
      <c r="J2026" s="48" t="n">
        <v>15178</v>
      </c>
      <c r="K2026" s="48" t="n">
        <v>15244</v>
      </c>
      <c r="L2026" s="48" t="n">
        <v>82920469</v>
      </c>
      <c r="M2026" s="48" t="n">
        <v>1255084218784</v>
      </c>
      <c r="N2026" s="48" t="n">
        <v>3686</v>
      </c>
      <c r="O2026" s="48" t="n">
        <v>47103392</v>
      </c>
      <c r="P2026" s="48" t="n">
        <v>39067312</v>
      </c>
      <c r="Q2026" s="48" t="n">
        <v>2401</v>
      </c>
      <c r="R2026" s="48" t="n">
        <v>1255</v>
      </c>
      <c r="S2026" s="48" t="n">
        <v>35817077</v>
      </c>
      <c r="T2026" s="48" t="n">
        <v>43853157</v>
      </c>
      <c r="U2026" s="46" t="n">
        <f aca="false">IF($A2026=$A2025,$U2025+1,1)</f>
        <v>202</v>
      </c>
      <c r="V2026" s="48" t="n">
        <f aca="false">IF($U2026&gt;=MA_SHORT,AVERAGE(INDEX($I$1626:$I2026,402-MA_SHORT):$I2026),"")</f>
        <v>15393.8</v>
      </c>
      <c r="W2026" s="48" t="n">
        <f aca="false">IF($U2026&gt;=MA_MED,AVERAGE(INDEX($I$1626:$I2026,402-MA_MED):$I2026),"")</f>
        <v>14677.04</v>
      </c>
      <c r="X2026" s="48" t="n">
        <f aca="false">IF($U2026&gt;=MA_LONG1,AVERAGE(INDEX($I$1626:$I2026,402-MA_LONG1):$I2026),"")</f>
        <v>14104.15</v>
      </c>
      <c r="Y2026" s="48" t="n">
        <f aca="false">IF($U2026&gt;=MA_LONG2,AVERAGE(INDEX($I$1626:$I2026,402-MA_LONG2):$I2026),"")</f>
        <v>13129.97</v>
      </c>
      <c r="Z2026" s="48" t="n">
        <f aca="false">IF($U2026&gt;=MA_SHORT,AVERAGE(INDEX($L$1906:$L2026,122-MA_SHORT):$L2026),"")</f>
        <v>105140127.65</v>
      </c>
      <c r="AA2026" s="48" t="n">
        <f aca="false">IF($U2026=1,$G2026-$H2026,MAX($G2026-$H2026,ABS($G2026-$I2025),ABS($H2026-$I2025)))</f>
        <v>497</v>
      </c>
      <c r="AB2026" s="48" t="n">
        <f aca="false">IF($U2026&gt;=ATR_PER,AVERAGE(INDEX($AA$1906:$AA2026,122-ATR_PER):$AA2026),"")</f>
        <v>533.857142857143</v>
      </c>
      <c r="AC2026" s="48" t="n">
        <f aca="false">$O2026-$P2026</f>
        <v>8036080</v>
      </c>
      <c r="AD2026" s="48" t="n">
        <f aca="false">$AC2026*$I2026</f>
        <v>121634106880</v>
      </c>
      <c r="AE2026" s="49" t="n">
        <f aca="false">IF($Q2026&gt;0,$O2026*$I2026/$Q2026/1000000,"")</f>
        <v>296.94166651895</v>
      </c>
      <c r="AF2026" s="49" t="n">
        <f aca="false">IF($R2026&gt;0,$P2026*$I2026/$R2026/1000000,"")</f>
        <v>471.17357325259</v>
      </c>
      <c r="AG2026" s="50" t="n">
        <f aca="false">IF(AND(ISNUMBER($AE2026),ISNUMBER($AF2026),$AF2026&gt;0),$AE2026/$AF2026,"")</f>
        <v>0.630217150060248</v>
      </c>
      <c r="AH2026" s="48" t="n">
        <f aca="false">IF($U2026&gt;=5,SUM(INDEX($AD$1996:$AD2026,32-5):$AD2026),"")</f>
        <v>934081809235</v>
      </c>
      <c r="AI2026" s="48" t="n">
        <f aca="false">IF($U2026&gt;=STRUCT_S,MAX(INDEX($G$1876:$G2026,152-STRUCT_S):$G2026),"")</f>
        <v>16096</v>
      </c>
      <c r="AJ2026" s="48" t="n">
        <f aca="false">IF($U2026&gt;=STRUCT_S,MIN(INDEX($H$1876:$H2026,152-STRUCT_S):$H2026),"")</f>
        <v>14671</v>
      </c>
      <c r="AK2026" s="48" t="n">
        <f aca="false">IF($U2026&gt;=STRUCT_L,MAX(INDEX($G$1776:$G2026,252-STRUCT_L):$G2026),"")</f>
        <v>16096</v>
      </c>
      <c r="AL2026" s="48" t="n">
        <f aca="false">IF($U2026&gt;=STRUCT_L,MIN(INDEX($H$1776:$H2026,252-STRUCT_L):$H2026),"")</f>
        <v>12821</v>
      </c>
      <c r="AM2026" s="46" t="n">
        <f aca="false">IF($A2026&lt;&gt;$A2027,1,0)</f>
        <v>0</v>
      </c>
      <c r="AN2026" s="47" t="str">
        <f aca="false">IF($AM2026=1,$A2026,"")</f>
        <v/>
      </c>
    </row>
    <row r="2027" customFormat="false" ht="15" hidden="false" customHeight="false" outlineLevel="0" collapsed="false">
      <c r="A2027" s="43" t="s">
        <v>167</v>
      </c>
      <c r="B2027" s="44" t="s">
        <v>169</v>
      </c>
      <c r="C2027" s="45" t="n">
        <v>46188</v>
      </c>
      <c r="D2027" s="46" t="n">
        <v>20260615</v>
      </c>
      <c r="E2027" s="47" t="s">
        <v>490</v>
      </c>
      <c r="F2027" s="48" t="n">
        <v>15107</v>
      </c>
      <c r="G2027" s="48" t="n">
        <v>15216</v>
      </c>
      <c r="H2027" s="48" t="n">
        <v>15066</v>
      </c>
      <c r="I2027" s="48" t="n">
        <v>15145</v>
      </c>
      <c r="J2027" s="48" t="n">
        <v>15109</v>
      </c>
      <c r="K2027" s="48" t="n">
        <v>15136</v>
      </c>
      <c r="L2027" s="48" t="n">
        <v>98536881</v>
      </c>
      <c r="M2027" s="48" t="n">
        <v>1492341062745</v>
      </c>
      <c r="N2027" s="48" t="n">
        <v>2656</v>
      </c>
      <c r="O2027" s="48" t="n">
        <v>66501271</v>
      </c>
      <c r="P2027" s="48" t="n">
        <v>33422762</v>
      </c>
      <c r="Q2027" s="48" t="n">
        <v>724</v>
      </c>
      <c r="R2027" s="48" t="n">
        <v>2171</v>
      </c>
      <c r="S2027" s="48" t="n">
        <v>32035610</v>
      </c>
      <c r="T2027" s="48" t="n">
        <v>65114119</v>
      </c>
      <c r="U2027" s="46" t="n">
        <f aca="false">IF($A2027=$A2026,$U2026+1,1)</f>
        <v>203</v>
      </c>
      <c r="V2027" s="48" t="n">
        <f aca="false">IF($U2027&gt;=MA_SHORT,AVERAGE(INDEX($I$1627:$I2027,402-MA_SHORT):$I2027),"")</f>
        <v>15382.9</v>
      </c>
      <c r="W2027" s="48" t="n">
        <f aca="false">IF($U2027&gt;=MA_MED,AVERAGE(INDEX($I$1627:$I2027,402-MA_MED):$I2027),"")</f>
        <v>14708.48</v>
      </c>
      <c r="X2027" s="48" t="n">
        <f aca="false">IF($U2027&gt;=MA_LONG1,AVERAGE(INDEX($I$1627:$I2027,402-MA_LONG1):$I2027),"")</f>
        <v>14125.83</v>
      </c>
      <c r="Y2027" s="48" t="n">
        <f aca="false">IF($U2027&gt;=MA_LONG2,AVERAGE(INDEX($I$1627:$I2027,402-MA_LONG2):$I2027),"")</f>
        <v>13147.91</v>
      </c>
      <c r="Z2027" s="48" t="n">
        <f aca="false">IF($U2027&gt;=MA_SHORT,AVERAGE(INDEX($L$1907:$L2027,122-MA_SHORT):$L2027),"")</f>
        <v>105943103.75</v>
      </c>
      <c r="AA2027" s="48" t="n">
        <f aca="false">IF($U2027=1,$G2027-$H2027,MAX($G2027-$H2027,ABS($G2027-$I2026),ABS($H2027-$I2026)))</f>
        <v>150</v>
      </c>
      <c r="AB2027" s="48" t="n">
        <f aca="false">IF($U2027&gt;=ATR_PER,AVERAGE(INDEX($AA$1907:$AA2027,122-ATR_PER):$AA2027),"")</f>
        <v>493.857142857143</v>
      </c>
      <c r="AC2027" s="48" t="n">
        <f aca="false">$O2027-$P2027</f>
        <v>33078509</v>
      </c>
      <c r="AD2027" s="48" t="n">
        <f aca="false">$AC2027*$I2027</f>
        <v>500974018805</v>
      </c>
      <c r="AE2027" s="49" t="n">
        <f aca="false">IF($Q2027&gt;0,$O2027*$I2027/$Q2027/1000000,"")</f>
        <v>1391.10738852901</v>
      </c>
      <c r="AF2027" s="49" t="n">
        <f aca="false">IF($R2027&gt;0,$P2027*$I2027/$R2027/1000000,"")</f>
        <v>233.158788802395</v>
      </c>
      <c r="AG2027" s="50" t="n">
        <f aca="false">IF(AND(ISNUMBER($AE2027),ISNUMBER($AF2027),$AF2027&gt;0),$AE2027/$AF2027,"")</f>
        <v>5.96635192554541</v>
      </c>
      <c r="AH2027" s="48" t="n">
        <f aca="false">IF($U2027&gt;=5,SUM(INDEX($AD$1997:$AD2027,32-5):$AD2027),"")</f>
        <v>1280185137923</v>
      </c>
      <c r="AI2027" s="48" t="n">
        <f aca="false">IF($U2027&gt;=STRUCT_S,MAX(INDEX($G$1877:$G2027,152-STRUCT_S):$G2027),"")</f>
        <v>16096</v>
      </c>
      <c r="AJ2027" s="48" t="n">
        <f aca="false">IF($U2027&gt;=STRUCT_S,MIN(INDEX($H$1877:$H2027,152-STRUCT_S):$H2027),"")</f>
        <v>14671</v>
      </c>
      <c r="AK2027" s="48" t="n">
        <f aca="false">IF($U2027&gt;=STRUCT_L,MAX(INDEX($G$1777:$G2027,252-STRUCT_L):$G2027),"")</f>
        <v>16096</v>
      </c>
      <c r="AL2027" s="48" t="n">
        <f aca="false">IF($U2027&gt;=STRUCT_L,MIN(INDEX($H$1777:$H2027,252-STRUCT_L):$H2027),"")</f>
        <v>12821</v>
      </c>
      <c r="AM2027" s="46" t="n">
        <f aca="false">IF($A2027&lt;&gt;$A2028,1,0)</f>
        <v>0</v>
      </c>
      <c r="AN2027" s="47" t="str">
        <f aca="false">IF($AM2027=1,$A2027,"")</f>
        <v/>
      </c>
    </row>
    <row r="2028" customFormat="false" ht="15" hidden="false" customHeight="false" outlineLevel="0" collapsed="false">
      <c r="A2028" s="43" t="s">
        <v>167</v>
      </c>
      <c r="B2028" s="44" t="s">
        <v>169</v>
      </c>
      <c r="C2028" s="45" t="n">
        <v>46189</v>
      </c>
      <c r="D2028" s="46" t="n">
        <v>20260616</v>
      </c>
      <c r="E2028" s="47" t="s">
        <v>491</v>
      </c>
      <c r="F2028" s="48" t="n">
        <v>15230</v>
      </c>
      <c r="G2028" s="48" t="n">
        <v>15236</v>
      </c>
      <c r="H2028" s="48" t="n">
        <v>15038</v>
      </c>
      <c r="I2028" s="48" t="n">
        <v>15129</v>
      </c>
      <c r="J2028" s="48" t="n">
        <v>15188</v>
      </c>
      <c r="K2028" s="48" t="n">
        <v>15145</v>
      </c>
      <c r="L2028" s="48" t="n">
        <v>80043545</v>
      </c>
      <c r="M2028" s="48" t="n">
        <v>1210978792305</v>
      </c>
      <c r="N2028" s="48" t="n">
        <v>3036</v>
      </c>
      <c r="O2028" s="48" t="n">
        <v>44415977</v>
      </c>
      <c r="P2028" s="48" t="n">
        <v>35746000</v>
      </c>
      <c r="Q2028" s="48" t="n">
        <v>2186</v>
      </c>
      <c r="R2028" s="48" t="n">
        <v>1172</v>
      </c>
      <c r="S2028" s="48" t="n">
        <v>35627568</v>
      </c>
      <c r="T2028" s="48" t="n">
        <v>44297545</v>
      </c>
      <c r="U2028" s="46" t="n">
        <f aca="false">IF($A2028=$A2027,$U2027+1,1)</f>
        <v>204</v>
      </c>
      <c r="V2028" s="48" t="n">
        <f aca="false">IF($U2028&gt;=MA_SHORT,AVERAGE(INDEX($I$1628:$I2028,402-MA_SHORT):$I2028),"")</f>
        <v>15364.8</v>
      </c>
      <c r="W2028" s="48" t="n">
        <f aca="false">IF($U2028&gt;=MA_MED,AVERAGE(INDEX($I$1628:$I2028,402-MA_MED):$I2028),"")</f>
        <v>14734.76</v>
      </c>
      <c r="X2028" s="48" t="n">
        <f aca="false">IF($U2028&gt;=MA_LONG1,AVERAGE(INDEX($I$1628:$I2028,402-MA_LONG1):$I2028),"")</f>
        <v>14145.22</v>
      </c>
      <c r="Y2028" s="48" t="n">
        <f aca="false">IF($U2028&gt;=MA_LONG2,AVERAGE(INDEX($I$1628:$I2028,402-MA_LONG2):$I2028),"")</f>
        <v>13164.835</v>
      </c>
      <c r="Z2028" s="48" t="n">
        <f aca="false">IF($U2028&gt;=MA_SHORT,AVERAGE(INDEX($L$1908:$L2028,122-MA_SHORT):$L2028),"")</f>
        <v>105769503.05</v>
      </c>
      <c r="AA2028" s="48" t="n">
        <f aca="false">IF($U2028=1,$G2028-$H2028,MAX($G2028-$H2028,ABS($G2028-$I2027),ABS($H2028-$I2027)))</f>
        <v>198</v>
      </c>
      <c r="AB2028" s="48" t="n">
        <f aca="false">IF($U2028&gt;=ATR_PER,AVERAGE(INDEX($AA$1908:$AA2028,122-ATR_PER):$AA2028),"")</f>
        <v>483.642857142857</v>
      </c>
      <c r="AC2028" s="48" t="n">
        <f aca="false">$O2028-$P2028</f>
        <v>8669977</v>
      </c>
      <c r="AD2028" s="48" t="n">
        <f aca="false">$AC2028*$I2028</f>
        <v>131168082033</v>
      </c>
      <c r="AE2028" s="49" t="n">
        <f aca="false">IF($Q2028&gt;0,$O2028*$I2028/$Q2028/1000000,"")</f>
        <v>307.396759392955</v>
      </c>
      <c r="AF2028" s="49" t="n">
        <f aca="false">IF($R2028&gt;0,$P2028*$I2028/$R2028/1000000,"")</f>
        <v>461.4345</v>
      </c>
      <c r="AG2028" s="50" t="n">
        <f aca="false">IF(AND(ISNUMBER($AE2028),ISNUMBER($AF2028),$AF2028&gt;0),$AE2028/$AF2028,"")</f>
        <v>0.666176368245017</v>
      </c>
      <c r="AH2028" s="48" t="n">
        <f aca="false">IF($U2028&gt;=5,SUM(INDEX($AD$1998:$AD2028,32-5):$AD2028),"")</f>
        <v>1137403026536</v>
      </c>
      <c r="AI2028" s="48" t="n">
        <f aca="false">IF($U2028&gt;=STRUCT_S,MAX(INDEX($G$1878:$G2028,152-STRUCT_S):$G2028),"")</f>
        <v>16096</v>
      </c>
      <c r="AJ2028" s="48" t="n">
        <f aca="false">IF($U2028&gt;=STRUCT_S,MIN(INDEX($H$1878:$H2028,152-STRUCT_S):$H2028),"")</f>
        <v>14671</v>
      </c>
      <c r="AK2028" s="48" t="n">
        <f aca="false">IF($U2028&gt;=STRUCT_L,MAX(INDEX($G$1778:$G2028,252-STRUCT_L):$G2028),"")</f>
        <v>16096</v>
      </c>
      <c r="AL2028" s="48" t="n">
        <f aca="false">IF($U2028&gt;=STRUCT_L,MIN(INDEX($H$1778:$H2028,252-STRUCT_L):$H2028),"")</f>
        <v>12821</v>
      </c>
      <c r="AM2028" s="46" t="n">
        <f aca="false">IF($A2028&lt;&gt;$A2029,1,0)</f>
        <v>0</v>
      </c>
      <c r="AN2028" s="47" t="str">
        <f aca="false">IF($AM2028=1,$A2028,"")</f>
        <v/>
      </c>
    </row>
    <row r="2029" customFormat="false" ht="15" hidden="false" customHeight="false" outlineLevel="0" collapsed="false">
      <c r="A2029" s="43" t="s">
        <v>167</v>
      </c>
      <c r="B2029" s="44" t="s">
        <v>169</v>
      </c>
      <c r="C2029" s="45" t="n">
        <v>46190</v>
      </c>
      <c r="D2029" s="46" t="n">
        <v>20260617</v>
      </c>
      <c r="E2029" s="47" t="s">
        <v>492</v>
      </c>
      <c r="F2029" s="48" t="n">
        <v>15203</v>
      </c>
      <c r="G2029" s="48" t="n">
        <v>15285</v>
      </c>
      <c r="H2029" s="48" t="n">
        <v>15035</v>
      </c>
      <c r="I2029" s="48" t="n">
        <v>15190</v>
      </c>
      <c r="J2029" s="48" t="n">
        <v>15109</v>
      </c>
      <c r="K2029" s="48" t="n">
        <v>15129</v>
      </c>
      <c r="L2029" s="48" t="n">
        <v>81463579</v>
      </c>
      <c r="M2029" s="48" t="n">
        <v>1237431765010</v>
      </c>
      <c r="N2029" s="48" t="n">
        <v>4592</v>
      </c>
      <c r="O2029" s="48" t="n">
        <v>48770241</v>
      </c>
      <c r="P2029" s="48" t="n">
        <v>30651861</v>
      </c>
      <c r="Q2029" s="48" t="n">
        <v>942</v>
      </c>
      <c r="R2029" s="48" t="n">
        <v>2268</v>
      </c>
      <c r="S2029" s="48" t="n">
        <v>32693338</v>
      </c>
      <c r="T2029" s="48" t="n">
        <v>50811718</v>
      </c>
      <c r="U2029" s="46" t="n">
        <f aca="false">IF($A2029=$A2028,$U2028+1,1)</f>
        <v>205</v>
      </c>
      <c r="V2029" s="48" t="n">
        <f aca="false">IF($U2029&gt;=MA_SHORT,AVERAGE(INDEX($I$1629:$I2029,402-MA_SHORT):$I2029),"")</f>
        <v>15352.15</v>
      </c>
      <c r="W2029" s="48" t="n">
        <f aca="false">IF($U2029&gt;=MA_MED,AVERAGE(INDEX($I$1629:$I2029,402-MA_MED):$I2029),"")</f>
        <v>14764.78</v>
      </c>
      <c r="X2029" s="48" t="n">
        <f aca="false">IF($U2029&gt;=MA_LONG1,AVERAGE(INDEX($I$1629:$I2029,402-MA_LONG1):$I2029),"")</f>
        <v>14166.17</v>
      </c>
      <c r="Y2029" s="48" t="n">
        <f aca="false">IF($U2029&gt;=MA_LONG2,AVERAGE(INDEX($I$1629:$I2029,402-MA_LONG2):$I2029),"")</f>
        <v>13182.53</v>
      </c>
      <c r="Z2029" s="48" t="n">
        <f aca="false">IF($U2029&gt;=MA_SHORT,AVERAGE(INDEX($L$1909:$L2029,122-MA_SHORT):$L2029),"")</f>
        <v>104756576.2</v>
      </c>
      <c r="AA2029" s="48" t="n">
        <f aca="false">IF($U2029=1,$G2029-$H2029,MAX($G2029-$H2029,ABS($G2029-$I2028),ABS($H2029-$I2028)))</f>
        <v>250</v>
      </c>
      <c r="AB2029" s="48" t="n">
        <f aca="false">IF($U2029&gt;=ATR_PER,AVERAGE(INDEX($AA$1909:$AA2029,122-ATR_PER):$AA2029),"")</f>
        <v>442.857142857143</v>
      </c>
      <c r="AC2029" s="48" t="n">
        <f aca="false">$O2029-$P2029</f>
        <v>18118380</v>
      </c>
      <c r="AD2029" s="48" t="n">
        <f aca="false">$AC2029*$I2029</f>
        <v>275218192200</v>
      </c>
      <c r="AE2029" s="49" t="n">
        <f aca="false">IF($Q2029&gt;0,$O2029*$I2029/$Q2029/1000000,"")</f>
        <v>786.433079394904</v>
      </c>
      <c r="AF2029" s="49" t="n">
        <f aca="false">IF($R2029&gt;0,$P2029*$I2029/$R2029/1000000,"")</f>
        <v>205.291785092593</v>
      </c>
      <c r="AG2029" s="50" t="n">
        <f aca="false">IF(AND(ISNUMBER($AE2029),ISNUMBER($AF2029),$AF2029&gt;0),$AE2029/$AF2029,"")</f>
        <v>3.8308063765932</v>
      </c>
      <c r="AH2029" s="48" t="n">
        <f aca="false">IF($U2029&gt;=5,SUM(INDEX($AD$1999:$AD2029,32-5):$AD2029),"")</f>
        <v>1203584313018</v>
      </c>
      <c r="AI2029" s="48" t="n">
        <f aca="false">IF($U2029&gt;=STRUCT_S,MAX(INDEX($G$1879:$G2029,152-STRUCT_S):$G2029),"")</f>
        <v>16096</v>
      </c>
      <c r="AJ2029" s="48" t="n">
        <f aca="false">IF($U2029&gt;=STRUCT_S,MIN(INDEX($H$1879:$H2029,152-STRUCT_S):$H2029),"")</f>
        <v>14671</v>
      </c>
      <c r="AK2029" s="48" t="n">
        <f aca="false">IF($U2029&gt;=STRUCT_L,MAX(INDEX($G$1779:$G2029,252-STRUCT_L):$G2029),"")</f>
        <v>16096</v>
      </c>
      <c r="AL2029" s="48" t="n">
        <f aca="false">IF($U2029&gt;=STRUCT_L,MIN(INDEX($H$1779:$H2029,252-STRUCT_L):$H2029),"")</f>
        <v>12821</v>
      </c>
      <c r="AM2029" s="46" t="n">
        <f aca="false">IF($A2029&lt;&gt;$A2030,1,0)</f>
        <v>0</v>
      </c>
      <c r="AN2029" s="47" t="str">
        <f aca="false">IF($AM2029=1,$A2029,"")</f>
        <v/>
      </c>
    </row>
    <row r="2030" customFormat="false" ht="15" hidden="false" customHeight="false" outlineLevel="0" collapsed="false">
      <c r="A2030" s="43" t="s">
        <v>167</v>
      </c>
      <c r="B2030" s="44" t="s">
        <v>169</v>
      </c>
      <c r="C2030" s="45" t="n">
        <v>46193</v>
      </c>
      <c r="D2030" s="46" t="n">
        <v>20260620</v>
      </c>
      <c r="E2030" s="47" t="s">
        <v>493</v>
      </c>
      <c r="F2030" s="48" t="n">
        <v>15229</v>
      </c>
      <c r="G2030" s="48" t="n">
        <v>15263</v>
      </c>
      <c r="H2030" s="48" t="n">
        <v>14744</v>
      </c>
      <c r="I2030" s="48" t="n">
        <v>14815</v>
      </c>
      <c r="J2030" s="48" t="n">
        <v>14821</v>
      </c>
      <c r="K2030" s="48" t="n">
        <v>15190</v>
      </c>
      <c r="L2030" s="48" t="n">
        <v>91321038</v>
      </c>
      <c r="M2030" s="48" t="n">
        <v>1352921177970</v>
      </c>
      <c r="N2030" s="48" t="n">
        <v>6505</v>
      </c>
      <c r="O2030" s="48" t="n">
        <v>48274770</v>
      </c>
      <c r="P2030" s="48" t="n">
        <v>46268844</v>
      </c>
      <c r="Q2030" s="48" t="n">
        <v>2812</v>
      </c>
      <c r="R2030" s="48" t="n">
        <v>2044</v>
      </c>
      <c r="S2030" s="48" t="n">
        <v>43046268</v>
      </c>
      <c r="T2030" s="48" t="n">
        <v>45052194</v>
      </c>
      <c r="U2030" s="46" t="n">
        <f aca="false">IF($A2030=$A2029,$U2029+1,1)</f>
        <v>206</v>
      </c>
      <c r="V2030" s="48" t="n">
        <f aca="false">IF($U2030&gt;=MA_SHORT,AVERAGE(INDEX($I$1630:$I2030,402-MA_SHORT):$I2030),"")</f>
        <v>15328.2</v>
      </c>
      <c r="W2030" s="48" t="n">
        <f aca="false">IF($U2030&gt;=MA_MED,AVERAGE(INDEX($I$1630:$I2030,402-MA_MED):$I2030),"")</f>
        <v>14788.38</v>
      </c>
      <c r="X2030" s="48" t="n">
        <f aca="false">IF($U2030&gt;=MA_LONG1,AVERAGE(INDEX($I$1630:$I2030,402-MA_LONG1):$I2030),"")</f>
        <v>14179.22</v>
      </c>
      <c r="Y2030" s="48" t="n">
        <f aca="false">IF($U2030&gt;=MA_LONG2,AVERAGE(INDEX($I$1630:$I2030,402-MA_LONG2):$I2030),"")</f>
        <v>13198.28</v>
      </c>
      <c r="Z2030" s="48" t="n">
        <f aca="false">IF($U2030&gt;=MA_SHORT,AVERAGE(INDEX($L$1910:$L2030,122-MA_SHORT):$L2030),"")</f>
        <v>105115431.85</v>
      </c>
      <c r="AA2030" s="48" t="n">
        <f aca="false">IF($U2030=1,$G2030-$H2030,MAX($G2030-$H2030,ABS($G2030-$I2029),ABS($H2030-$I2029)))</f>
        <v>519</v>
      </c>
      <c r="AB2030" s="48" t="n">
        <f aca="false">IF($U2030&gt;=ATR_PER,AVERAGE(INDEX($AA$1910:$AA2030,122-ATR_PER):$AA2030),"")</f>
        <v>413.214285714286</v>
      </c>
      <c r="AC2030" s="48" t="n">
        <f aca="false">$O2030-$P2030</f>
        <v>2005926</v>
      </c>
      <c r="AD2030" s="48" t="n">
        <f aca="false">$AC2030*$I2030</f>
        <v>29717793690</v>
      </c>
      <c r="AE2030" s="49" t="n">
        <f aca="false">IF($Q2030&gt;0,$O2030*$I2030/$Q2030/1000000,"")</f>
        <v>254.335248061878</v>
      </c>
      <c r="AF2030" s="49" t="n">
        <f aca="false">IF($R2030&gt;0,$P2030*$I2030/$R2030/1000000,"")</f>
        <v>335.358573317025</v>
      </c>
      <c r="AG2030" s="50" t="n">
        <f aca="false">IF(AND(ISNUMBER($AE2030),ISNUMBER($AF2030),$AF2030&gt;0),$AE2030/$AF2030,"")</f>
        <v>0.758397930746939</v>
      </c>
      <c r="AH2030" s="48" t="n">
        <f aca="false">IF($U2030&gt;=5,SUM(INDEX($AD$2000:$AD2030,32-5):$AD2030),"")</f>
        <v>1058712193608</v>
      </c>
      <c r="AI2030" s="48" t="n">
        <f aca="false">IF($U2030&gt;=STRUCT_S,MAX(INDEX($G$1880:$G2030,152-STRUCT_S):$G2030),"")</f>
        <v>16096</v>
      </c>
      <c r="AJ2030" s="48" t="n">
        <f aca="false">IF($U2030&gt;=STRUCT_S,MIN(INDEX($H$1880:$H2030,152-STRUCT_S):$H2030),"")</f>
        <v>14671</v>
      </c>
      <c r="AK2030" s="48" t="n">
        <f aca="false">IF($U2030&gt;=STRUCT_L,MAX(INDEX($G$1780:$G2030,252-STRUCT_L):$G2030),"")</f>
        <v>16096</v>
      </c>
      <c r="AL2030" s="48" t="n">
        <f aca="false">IF($U2030&gt;=STRUCT_L,MIN(INDEX($H$1780:$H2030,252-STRUCT_L):$H2030),"")</f>
        <v>12821</v>
      </c>
      <c r="AM2030" s="46" t="n">
        <f aca="false">IF($A2030&lt;&gt;$A2031,1,0)</f>
        <v>0</v>
      </c>
      <c r="AN2030" s="47" t="str">
        <f aca="false">IF($AM2030=1,$A2030,"")</f>
        <v/>
      </c>
    </row>
    <row r="2031" customFormat="false" ht="15" hidden="false" customHeight="false" outlineLevel="0" collapsed="false">
      <c r="A2031" s="43" t="s">
        <v>167</v>
      </c>
      <c r="B2031" s="44" t="s">
        <v>169</v>
      </c>
      <c r="C2031" s="45" t="n">
        <v>46194</v>
      </c>
      <c r="D2031" s="46" t="n">
        <v>20260621</v>
      </c>
      <c r="E2031" s="47" t="s">
        <v>494</v>
      </c>
      <c r="F2031" s="48" t="n">
        <v>14783</v>
      </c>
      <c r="G2031" s="48" t="n">
        <v>15127</v>
      </c>
      <c r="H2031" s="48" t="n">
        <v>14311</v>
      </c>
      <c r="I2031" s="48" t="n">
        <v>14619</v>
      </c>
      <c r="J2031" s="48" t="n">
        <v>14741</v>
      </c>
      <c r="K2031" s="48" t="n">
        <v>14815</v>
      </c>
      <c r="L2031" s="48" t="n">
        <v>92332210</v>
      </c>
      <c r="M2031" s="48" t="n">
        <v>1349804577990</v>
      </c>
      <c r="N2031" s="48" t="n">
        <v>2876</v>
      </c>
      <c r="O2031" s="48" t="n">
        <v>50058449</v>
      </c>
      <c r="P2031" s="48" t="n">
        <v>42695482</v>
      </c>
      <c r="Q2031" s="48" t="n">
        <v>1445</v>
      </c>
      <c r="R2031" s="48" t="n">
        <v>907</v>
      </c>
      <c r="S2031" s="48" t="n">
        <v>42273761</v>
      </c>
      <c r="T2031" s="48" t="n">
        <v>49636728</v>
      </c>
      <c r="U2031" s="46" t="n">
        <f aca="false">IF($A2031=$A2030,$U2030+1,1)</f>
        <v>207</v>
      </c>
      <c r="V2031" s="48" t="n">
        <f aca="false">IF($U2031&gt;=MA_SHORT,AVERAGE(INDEX($I$1631:$I2031,402-MA_SHORT):$I2031),"")</f>
        <v>15312.95</v>
      </c>
      <c r="W2031" s="48" t="n">
        <f aca="false">IF($U2031&gt;=MA_MED,AVERAGE(INDEX($I$1631:$I2031,402-MA_MED):$I2031),"")</f>
        <v>14816.98</v>
      </c>
      <c r="X2031" s="48" t="n">
        <f aca="false">IF($U2031&gt;=MA_LONG1,AVERAGE(INDEX($I$1631:$I2031,402-MA_LONG1):$I2031),"")</f>
        <v>14189.56</v>
      </c>
      <c r="Y2031" s="48" t="n">
        <f aca="false">IF($U2031&gt;=MA_LONG2,AVERAGE(INDEX($I$1631:$I2031,402-MA_LONG2):$I2031),"")</f>
        <v>13212.885</v>
      </c>
      <c r="Z2031" s="48" t="n">
        <f aca="false">IF($U2031&gt;=MA_SHORT,AVERAGE(INDEX($L$1911:$L2031,122-MA_SHORT):$L2031),"")</f>
        <v>104574506.5</v>
      </c>
      <c r="AA2031" s="48" t="n">
        <f aca="false">IF($U2031=1,$G2031-$H2031,MAX($G2031-$H2031,ABS($G2031-$I2030),ABS($H2031-$I2030)))</f>
        <v>816</v>
      </c>
      <c r="AB2031" s="48" t="n">
        <f aca="false">IF($U2031&gt;=ATR_PER,AVERAGE(INDEX($AA$1911:$AA2031,122-ATR_PER):$AA2031),"")</f>
        <v>423.357142857143</v>
      </c>
      <c r="AC2031" s="48" t="n">
        <f aca="false">$O2031-$P2031</f>
        <v>7362967</v>
      </c>
      <c r="AD2031" s="48" t="n">
        <f aca="false">$AC2031*$I2031</f>
        <v>107639214573</v>
      </c>
      <c r="AE2031" s="49" t="n">
        <f aca="false">IF($Q2031&gt;0,$O2031*$I2031/$Q2031/1000000,"")</f>
        <v>506.439076768858</v>
      </c>
      <c r="AF2031" s="49" t="n">
        <f aca="false">IF($R2031&gt;0,$P2031*$I2031/$R2031/1000000,"")</f>
        <v>688.164554970232</v>
      </c>
      <c r="AG2031" s="50" t="n">
        <f aca="false">IF(AND(ISNUMBER($AE2031),ISNUMBER($AF2031),$AF2031&gt;0),$AE2031/$AF2031,"")</f>
        <v>0.735927291097935</v>
      </c>
      <c r="AH2031" s="48" t="n">
        <f aca="false">IF($U2031&gt;=5,SUM(INDEX($AD$2001:$AD2031,32-5):$AD2031),"")</f>
        <v>1044717301301</v>
      </c>
      <c r="AI2031" s="48" t="n">
        <f aca="false">IF($U2031&gt;=STRUCT_S,MAX(INDEX($G$1881:$G2031,152-STRUCT_S):$G2031),"")</f>
        <v>16096</v>
      </c>
      <c r="AJ2031" s="48" t="n">
        <f aca="false">IF($U2031&gt;=STRUCT_S,MIN(INDEX($H$1881:$H2031,152-STRUCT_S):$H2031),"")</f>
        <v>14311</v>
      </c>
      <c r="AK2031" s="48" t="n">
        <f aca="false">IF($U2031&gt;=STRUCT_L,MAX(INDEX($G$1781:$G2031,252-STRUCT_L):$G2031),"")</f>
        <v>16096</v>
      </c>
      <c r="AL2031" s="48" t="n">
        <f aca="false">IF($U2031&gt;=STRUCT_L,MIN(INDEX($H$1781:$H2031,252-STRUCT_L):$H2031),"")</f>
        <v>12821</v>
      </c>
      <c r="AM2031" s="46" t="n">
        <f aca="false">IF($A2031&lt;&gt;$A2032,1,0)</f>
        <v>0</v>
      </c>
      <c r="AN2031" s="47" t="str">
        <f aca="false">IF($AM2031=1,$A2031,"")</f>
        <v/>
      </c>
    </row>
    <row r="2032" customFormat="false" ht="15" hidden="false" customHeight="false" outlineLevel="0" collapsed="false">
      <c r="A2032" s="43" t="s">
        <v>167</v>
      </c>
      <c r="B2032" s="44" t="s">
        <v>169</v>
      </c>
      <c r="C2032" s="45" t="n">
        <v>46195</v>
      </c>
      <c r="D2032" s="46" t="n">
        <v>20260622</v>
      </c>
      <c r="E2032" s="47" t="s">
        <v>495</v>
      </c>
      <c r="F2032" s="48" t="n">
        <v>14976</v>
      </c>
      <c r="G2032" s="48" t="n">
        <v>15090</v>
      </c>
      <c r="H2032" s="48" t="n">
        <v>13867</v>
      </c>
      <c r="I2032" s="48" t="n">
        <v>14329</v>
      </c>
      <c r="J2032" s="48" t="n">
        <v>14725</v>
      </c>
      <c r="K2032" s="48" t="n">
        <v>14619</v>
      </c>
      <c r="L2032" s="48" t="n">
        <v>133105454</v>
      </c>
      <c r="M2032" s="48" t="n">
        <v>1907268050366</v>
      </c>
      <c r="N2032" s="48" t="n">
        <v>8875</v>
      </c>
      <c r="O2032" s="48" t="n">
        <v>61278685</v>
      </c>
      <c r="P2032" s="48" t="n">
        <v>73056386</v>
      </c>
      <c r="Q2032" s="48" t="n">
        <v>3917</v>
      </c>
      <c r="R2032" s="48" t="n">
        <v>2708</v>
      </c>
      <c r="S2032" s="48" t="n">
        <v>71826769</v>
      </c>
      <c r="T2032" s="48" t="n">
        <v>60049068</v>
      </c>
      <c r="U2032" s="46" t="n">
        <f aca="false">IF($A2032=$A2031,$U2031+1,1)</f>
        <v>208</v>
      </c>
      <c r="V2032" s="48" t="n">
        <f aca="false">IF($U2032&gt;=MA_SHORT,AVERAGE(INDEX($I$1632:$I2032,402-MA_SHORT):$I2032),"")</f>
        <v>15271.85</v>
      </c>
      <c r="W2032" s="48" t="n">
        <f aca="false">IF($U2032&gt;=MA_MED,AVERAGE(INDEX($I$1632:$I2032,402-MA_MED):$I2032),"")</f>
        <v>14835.14</v>
      </c>
      <c r="X2032" s="48" t="n">
        <f aca="false">IF($U2032&gt;=MA_LONG1,AVERAGE(INDEX($I$1632:$I2032,402-MA_LONG1):$I2032),"")</f>
        <v>14198.54</v>
      </c>
      <c r="Y2032" s="48" t="n">
        <f aca="false">IF($U2032&gt;=MA_LONG2,AVERAGE(INDEX($I$1632:$I2032,402-MA_LONG2):$I2032),"")</f>
        <v>13225.84</v>
      </c>
      <c r="Z2032" s="48" t="n">
        <f aca="false">IF($U2032&gt;=MA_SHORT,AVERAGE(INDEX($L$1912:$L2032,122-MA_SHORT):$L2032),"")</f>
        <v>106674197.75</v>
      </c>
      <c r="AA2032" s="48" t="n">
        <f aca="false">IF($U2032=1,$G2032-$H2032,MAX($G2032-$H2032,ABS($G2032-$I2031),ABS($H2032-$I2031)))</f>
        <v>1223</v>
      </c>
      <c r="AB2032" s="48" t="n">
        <f aca="false">IF($U2032&gt;=ATR_PER,AVERAGE(INDEX($AA$1912:$AA2032,122-ATR_PER):$AA2032),"")</f>
        <v>464.428571428571</v>
      </c>
      <c r="AC2032" s="48" t="n">
        <f aca="false">$O2032-$P2032</f>
        <v>-11777701</v>
      </c>
      <c r="AD2032" s="48" t="n">
        <f aca="false">$AC2032*$I2032</f>
        <v>-168762677629</v>
      </c>
      <c r="AE2032" s="49" t="n">
        <f aca="false">IF($Q2032&gt;0,$O2032*$I2032/$Q2032/1000000,"")</f>
        <v>224.167035324228</v>
      </c>
      <c r="AF2032" s="49" t="n">
        <f aca="false">IF($R2032&gt;0,$P2032*$I2032/$R2032/1000000,"")</f>
        <v>386.56756092836</v>
      </c>
      <c r="AG2032" s="50" t="n">
        <f aca="false">IF(AND(ISNUMBER($AE2032),ISNUMBER($AF2032),$AF2032&gt;0),$AE2032/$AF2032,"")</f>
        <v>0.579890963395583</v>
      </c>
      <c r="AH2032" s="48" t="n">
        <f aca="false">IF($U2032&gt;=5,SUM(INDEX($AD$2002:$AD2032,32-5):$AD2032),"")</f>
        <v>374980604867</v>
      </c>
      <c r="AI2032" s="48" t="n">
        <f aca="false">IF($U2032&gt;=STRUCT_S,MAX(INDEX($G$1882:$G2032,152-STRUCT_S):$G2032),"")</f>
        <v>16096</v>
      </c>
      <c r="AJ2032" s="48" t="n">
        <f aca="false">IF($U2032&gt;=STRUCT_S,MIN(INDEX($H$1882:$H2032,152-STRUCT_S):$H2032),"")</f>
        <v>13867</v>
      </c>
      <c r="AK2032" s="48" t="n">
        <f aca="false">IF($U2032&gt;=STRUCT_L,MAX(INDEX($G$1782:$G2032,252-STRUCT_L):$G2032),"")</f>
        <v>16096</v>
      </c>
      <c r="AL2032" s="48" t="n">
        <f aca="false">IF($U2032&gt;=STRUCT_L,MIN(INDEX($H$1782:$H2032,252-STRUCT_L):$H2032),"")</f>
        <v>12821</v>
      </c>
      <c r="AM2032" s="46" t="n">
        <f aca="false">IF($A2032&lt;&gt;$A2033,1,0)</f>
        <v>0</v>
      </c>
      <c r="AN2032" s="47" t="str">
        <f aca="false">IF($AM2032=1,$A2032,"")</f>
        <v/>
      </c>
    </row>
    <row r="2033" customFormat="false" ht="15" hidden="false" customHeight="false" outlineLevel="0" collapsed="false">
      <c r="A2033" s="43" t="s">
        <v>167</v>
      </c>
      <c r="B2033" s="44" t="s">
        <v>169</v>
      </c>
      <c r="C2033" s="45" t="n">
        <v>46196</v>
      </c>
      <c r="D2033" s="46" t="n">
        <v>20260623</v>
      </c>
      <c r="E2033" s="47" t="s">
        <v>496</v>
      </c>
      <c r="F2033" s="48" t="n">
        <v>14491</v>
      </c>
      <c r="G2033" s="48" t="n">
        <v>14822</v>
      </c>
      <c r="H2033" s="48" t="n">
        <v>13933</v>
      </c>
      <c r="I2033" s="48" t="n">
        <v>14424</v>
      </c>
      <c r="J2033" s="48" t="n">
        <v>14477</v>
      </c>
      <c r="K2033" s="48" t="n">
        <v>14329</v>
      </c>
      <c r="L2033" s="48" t="n">
        <v>83440292</v>
      </c>
      <c r="M2033" s="48" t="n">
        <v>1203542771808</v>
      </c>
      <c r="N2033" s="48" t="n">
        <v>2076</v>
      </c>
      <c r="O2033" s="48" t="n">
        <v>45358556</v>
      </c>
      <c r="P2033" s="48" t="n">
        <v>36554628</v>
      </c>
      <c r="Q2033" s="48" t="n">
        <v>505</v>
      </c>
      <c r="R2033" s="48" t="n">
        <v>1508</v>
      </c>
      <c r="S2033" s="48" t="n">
        <v>38081736</v>
      </c>
      <c r="T2033" s="48" t="n">
        <v>46885664</v>
      </c>
      <c r="U2033" s="46" t="n">
        <f aca="false">IF($A2033=$A2032,$U2032+1,1)</f>
        <v>209</v>
      </c>
      <c r="V2033" s="48" t="n">
        <f aca="false">IF($U2033&gt;=MA_SHORT,AVERAGE(INDEX($I$1633:$I2033,402-MA_SHORT):$I2033),"")</f>
        <v>15248.2</v>
      </c>
      <c r="W2033" s="48" t="n">
        <f aca="false">IF($U2033&gt;=MA_MED,AVERAGE(INDEX($I$1633:$I2033,402-MA_MED):$I2033),"")</f>
        <v>14844.36</v>
      </c>
      <c r="X2033" s="48" t="n">
        <f aca="false">IF($U2033&gt;=MA_LONG1,AVERAGE(INDEX($I$1633:$I2033,402-MA_LONG1):$I2033),"")</f>
        <v>14207.82</v>
      </c>
      <c r="Y2033" s="48" t="n">
        <f aca="false">IF($U2033&gt;=MA_LONG2,AVERAGE(INDEX($I$1633:$I2033,402-MA_LONG2):$I2033),"")</f>
        <v>13238.98</v>
      </c>
      <c r="Z2033" s="48" t="n">
        <f aca="false">IF($U2033&gt;=MA_SHORT,AVERAGE(INDEX($L$1913:$L2033,122-MA_SHORT):$L2033),"")</f>
        <v>103630474.7</v>
      </c>
      <c r="AA2033" s="48" t="n">
        <f aca="false">IF($U2033=1,$G2033-$H2033,MAX($G2033-$H2033,ABS($G2033-$I2032),ABS($H2033-$I2032)))</f>
        <v>889</v>
      </c>
      <c r="AB2033" s="48" t="n">
        <f aca="false">IF($U2033&gt;=ATR_PER,AVERAGE(INDEX($AA$1913:$AA2033,122-ATR_PER):$AA2033),"")</f>
        <v>499.857142857143</v>
      </c>
      <c r="AC2033" s="48" t="n">
        <f aca="false">$O2033-$P2033</f>
        <v>8803928</v>
      </c>
      <c r="AD2033" s="48" t="n">
        <f aca="false">$AC2033*$I2033</f>
        <v>126987857472</v>
      </c>
      <c r="AE2033" s="49" t="n">
        <f aca="false">IF($Q2033&gt;0,$O2033*$I2033/$Q2033/1000000,"")</f>
        <v>1295.54814206733</v>
      </c>
      <c r="AF2033" s="49" t="n">
        <f aca="false">IF($R2033&gt;0,$P2033*$I2033/$R2033/1000000,"")</f>
        <v>349.64453201061</v>
      </c>
      <c r="AG2033" s="50" t="n">
        <f aca="false">IF(AND(ISNUMBER($AE2033),ISNUMBER($AF2033),$AF2033&gt;0),$AE2033/$AF2033,"")</f>
        <v>3.70532933724819</v>
      </c>
      <c r="AH2033" s="48" t="n">
        <f aca="false">IF($U2033&gt;=5,SUM(INDEX($AD$2003:$AD2033,32-5):$AD2033),"")</f>
        <v>370800380306</v>
      </c>
      <c r="AI2033" s="48" t="n">
        <f aca="false">IF($U2033&gt;=STRUCT_S,MAX(INDEX($G$1883:$G2033,152-STRUCT_S):$G2033),"")</f>
        <v>16096</v>
      </c>
      <c r="AJ2033" s="48" t="n">
        <f aca="false">IF($U2033&gt;=STRUCT_S,MIN(INDEX($H$1883:$H2033,152-STRUCT_S):$H2033),"")</f>
        <v>13867</v>
      </c>
      <c r="AK2033" s="48" t="n">
        <f aca="false">IF($U2033&gt;=STRUCT_L,MAX(INDEX($G$1783:$G2033,252-STRUCT_L):$G2033),"")</f>
        <v>16096</v>
      </c>
      <c r="AL2033" s="48" t="n">
        <f aca="false">IF($U2033&gt;=STRUCT_L,MIN(INDEX($H$1783:$H2033,252-STRUCT_L):$H2033),"")</f>
        <v>12821</v>
      </c>
      <c r="AM2033" s="46" t="n">
        <f aca="false">IF($A2033&lt;&gt;$A2034,1,0)</f>
        <v>0</v>
      </c>
      <c r="AN2033" s="47" t="str">
        <f aca="false">IF($AM2033=1,$A2033,"")</f>
        <v/>
      </c>
    </row>
    <row r="2034" customFormat="false" ht="15" hidden="false" customHeight="false" outlineLevel="0" collapsed="false">
      <c r="A2034" s="43" t="s">
        <v>167</v>
      </c>
      <c r="B2034" s="44" t="s">
        <v>169</v>
      </c>
      <c r="C2034" s="45" t="n">
        <v>46197</v>
      </c>
      <c r="D2034" s="46" t="n">
        <v>20260624</v>
      </c>
      <c r="E2034" s="47" t="s">
        <v>497</v>
      </c>
      <c r="F2034" s="48" t="n">
        <v>13974</v>
      </c>
      <c r="G2034" s="48" t="n">
        <v>14672</v>
      </c>
      <c r="H2034" s="48" t="n">
        <v>13910</v>
      </c>
      <c r="I2034" s="48" t="n">
        <v>14153</v>
      </c>
      <c r="J2034" s="48" t="n">
        <v>14317</v>
      </c>
      <c r="K2034" s="48" t="n">
        <v>14424</v>
      </c>
      <c r="L2034" s="48" t="n">
        <v>134844619</v>
      </c>
      <c r="M2034" s="48" t="n">
        <v>1908455892707</v>
      </c>
      <c r="N2034" s="48" t="n">
        <v>3424</v>
      </c>
      <c r="O2034" s="48" t="n">
        <v>65223303</v>
      </c>
      <c r="P2034" s="48" t="n">
        <v>65805065</v>
      </c>
      <c r="Q2034" s="48" t="n">
        <v>2278</v>
      </c>
      <c r="R2034" s="48" t="n">
        <v>944</v>
      </c>
      <c r="S2034" s="48" t="n">
        <v>69621316</v>
      </c>
      <c r="T2034" s="48" t="n">
        <v>69039554</v>
      </c>
      <c r="U2034" s="46" t="n">
        <f aca="false">IF($A2034=$A2033,$U2033+1,1)</f>
        <v>210</v>
      </c>
      <c r="V2034" s="48" t="n">
        <f aca="false">IF($U2034&gt;=MA_SHORT,AVERAGE(INDEX($I$1634:$I2034,402-MA_SHORT):$I2034),"")</f>
        <v>15214.15</v>
      </c>
      <c r="W2034" s="48" t="n">
        <f aca="false">IF($U2034&gt;=MA_MED,AVERAGE(INDEX($I$1634:$I2034,402-MA_MED):$I2034),"")</f>
        <v>14851.34</v>
      </c>
      <c r="X2034" s="48" t="n">
        <f aca="false">IF($U2034&gt;=MA_LONG1,AVERAGE(INDEX($I$1634:$I2034,402-MA_LONG1):$I2034),"")</f>
        <v>14213.66</v>
      </c>
      <c r="Y2034" s="48" t="n">
        <f aca="false">IF($U2034&gt;=MA_LONG2,AVERAGE(INDEX($I$1634:$I2034,402-MA_LONG2):$I2034),"")</f>
        <v>13249.085</v>
      </c>
      <c r="Z2034" s="48" t="n">
        <f aca="false">IF($U2034&gt;=MA_SHORT,AVERAGE(INDEX($L$1914:$L2034,122-MA_SHORT):$L2034),"")</f>
        <v>106294824.75</v>
      </c>
      <c r="AA2034" s="48" t="n">
        <f aca="false">IF($U2034=1,$G2034-$H2034,MAX($G2034-$H2034,ABS($G2034-$I2033),ABS($H2034-$I2033)))</f>
        <v>762</v>
      </c>
      <c r="AB2034" s="48" t="n">
        <f aca="false">IF($U2034&gt;=ATR_PER,AVERAGE(INDEX($AA$1914:$AA2034,122-ATR_PER):$AA2034),"")</f>
        <v>529.285714285714</v>
      </c>
      <c r="AC2034" s="48" t="n">
        <f aca="false">$O2034-$P2034</f>
        <v>-581762</v>
      </c>
      <c r="AD2034" s="48" t="n">
        <f aca="false">$AC2034*$I2034</f>
        <v>-8233677586</v>
      </c>
      <c r="AE2034" s="49" t="n">
        <f aca="false">IF($Q2034&gt;0,$O2034*$I2034/$Q2034/1000000,"")</f>
        <v>405.226254327919</v>
      </c>
      <c r="AF2034" s="49" t="n">
        <f aca="false">IF($R2034&gt;0,$P2034*$I2034/$R2034/1000000,"")</f>
        <v>986.588013712924</v>
      </c>
      <c r="AG2034" s="50" t="n">
        <f aca="false">IF(AND(ISNUMBER($AE2034),ISNUMBER($AF2034),$AF2034&gt;0),$AE2034/$AF2034,"")</f>
        <v>0.410735026876002</v>
      </c>
      <c r="AH2034" s="48" t="n">
        <f aca="false">IF($U2034&gt;=5,SUM(INDEX($AD$2004:$AD2034,32-5):$AD2034),"")</f>
        <v>87348510520</v>
      </c>
      <c r="AI2034" s="48" t="n">
        <f aca="false">IF($U2034&gt;=STRUCT_S,MAX(INDEX($G$1884:$G2034,152-STRUCT_S):$G2034),"")</f>
        <v>16096</v>
      </c>
      <c r="AJ2034" s="48" t="n">
        <f aca="false">IF($U2034&gt;=STRUCT_S,MIN(INDEX($H$1884:$H2034,152-STRUCT_S):$H2034),"")</f>
        <v>13867</v>
      </c>
      <c r="AK2034" s="48" t="n">
        <f aca="false">IF($U2034&gt;=STRUCT_L,MAX(INDEX($G$1784:$G2034,252-STRUCT_L):$G2034),"")</f>
        <v>16096</v>
      </c>
      <c r="AL2034" s="48" t="n">
        <f aca="false">IF($U2034&gt;=STRUCT_L,MIN(INDEX($H$1784:$H2034,252-STRUCT_L):$H2034),"")</f>
        <v>12821</v>
      </c>
      <c r="AM2034" s="46" t="n">
        <f aca="false">IF($A2034&lt;&gt;$A2035,1,0)</f>
        <v>0</v>
      </c>
      <c r="AN2034" s="47" t="str">
        <f aca="false">IF($AM2034=1,$A2034,"")</f>
        <v/>
      </c>
    </row>
    <row r="2035" customFormat="false" ht="15" hidden="false" customHeight="false" outlineLevel="0" collapsed="false">
      <c r="A2035" s="43" t="s">
        <v>167</v>
      </c>
      <c r="B2035" s="44" t="s">
        <v>169</v>
      </c>
      <c r="C2035" s="45" t="n">
        <v>46200</v>
      </c>
      <c r="D2035" s="46" t="n">
        <v>20260627</v>
      </c>
      <c r="E2035" s="47" t="s">
        <v>498</v>
      </c>
      <c r="F2035" s="48" t="n">
        <v>13989</v>
      </c>
      <c r="G2035" s="48" t="n">
        <v>14270</v>
      </c>
      <c r="H2035" s="48" t="n">
        <v>13906</v>
      </c>
      <c r="I2035" s="48" t="n">
        <v>14022</v>
      </c>
      <c r="J2035" s="48" t="n">
        <v>14195</v>
      </c>
      <c r="K2035" s="48" t="n">
        <v>14153</v>
      </c>
      <c r="L2035" s="48" t="n">
        <v>104915173</v>
      </c>
      <c r="M2035" s="48" t="n">
        <v>1471120555806</v>
      </c>
      <c r="N2035" s="48" t="n">
        <v>4161</v>
      </c>
      <c r="O2035" s="48" t="n">
        <v>57636466</v>
      </c>
      <c r="P2035" s="48" t="n">
        <v>47019135</v>
      </c>
      <c r="Q2035" s="48" t="n">
        <v>1709</v>
      </c>
      <c r="R2035" s="48" t="n">
        <v>1521</v>
      </c>
      <c r="S2035" s="48" t="n">
        <v>47278707</v>
      </c>
      <c r="T2035" s="48" t="n">
        <v>57896038</v>
      </c>
      <c r="U2035" s="46" t="n">
        <f aca="false">IF($A2035=$A2034,$U2034+1,1)</f>
        <v>211</v>
      </c>
      <c r="V2035" s="48" t="n">
        <f aca="false">IF($U2035&gt;=MA_SHORT,AVERAGE(INDEX($I$1635:$I2035,402-MA_SHORT):$I2035),"")</f>
        <v>15144.85</v>
      </c>
      <c r="W2035" s="48" t="n">
        <f aca="false">IF($U2035&gt;=MA_MED,AVERAGE(INDEX($I$1635:$I2035,402-MA_MED):$I2035),"")</f>
        <v>14856.48</v>
      </c>
      <c r="X2035" s="48" t="n">
        <f aca="false">IF($U2035&gt;=MA_LONG1,AVERAGE(INDEX($I$1635:$I2035,402-MA_LONG1):$I2035),"")</f>
        <v>14220.5</v>
      </c>
      <c r="Y2035" s="48" t="n">
        <f aca="false">IF($U2035&gt;=MA_LONG2,AVERAGE(INDEX($I$1635:$I2035,402-MA_LONG2):$I2035),"")</f>
        <v>13260.355</v>
      </c>
      <c r="Z2035" s="48" t="n">
        <f aca="false">IF($U2035&gt;=MA_SHORT,AVERAGE(INDEX($L$1915:$L2035,122-MA_SHORT):$L2035),"")</f>
        <v>96801492.4</v>
      </c>
      <c r="AA2035" s="48" t="n">
        <f aca="false">IF($U2035=1,$G2035-$H2035,MAX($G2035-$H2035,ABS($G2035-$I2034),ABS($H2035-$I2034)))</f>
        <v>364</v>
      </c>
      <c r="AB2035" s="48" t="n">
        <f aca="false">IF($U2035&gt;=ATR_PER,AVERAGE(INDEX($AA$1915:$AA2035,122-ATR_PER):$AA2035),"")</f>
        <v>518.714285714286</v>
      </c>
      <c r="AC2035" s="48" t="n">
        <f aca="false">$O2035-$P2035</f>
        <v>10617331</v>
      </c>
      <c r="AD2035" s="48" t="n">
        <f aca="false">$AC2035*$I2035</f>
        <v>148876215282</v>
      </c>
      <c r="AE2035" s="49" t="n">
        <f aca="false">IF($Q2035&gt;0,$O2035*$I2035/$Q2035/1000000,"")</f>
        <v>472.895568315974</v>
      </c>
      <c r="AF2035" s="49" t="n">
        <f aca="false">IF($R2035&gt;0,$P2035*$I2035/$R2035/1000000,"")</f>
        <v>433.466345147929</v>
      </c>
      <c r="AG2035" s="50" t="n">
        <f aca="false">IF(AND(ISNUMBER($AE2035),ISNUMBER($AF2035),$AF2035&gt;0),$AE2035/$AF2035,"")</f>
        <v>1.0909625940039</v>
      </c>
      <c r="AH2035" s="48" t="n">
        <f aca="false">IF($U2035&gt;=5,SUM(INDEX($AD$2005:$AD2035,32-5):$AD2035),"")</f>
        <v>206506932112</v>
      </c>
      <c r="AI2035" s="48" t="n">
        <f aca="false">IF($U2035&gt;=STRUCT_S,MAX(INDEX($G$1885:$G2035,152-STRUCT_S):$G2035),"")</f>
        <v>16096</v>
      </c>
      <c r="AJ2035" s="48" t="n">
        <f aca="false">IF($U2035&gt;=STRUCT_S,MIN(INDEX($H$1885:$H2035,152-STRUCT_S):$H2035),"")</f>
        <v>13867</v>
      </c>
      <c r="AK2035" s="48" t="n">
        <f aca="false">IF($U2035&gt;=STRUCT_L,MAX(INDEX($G$1785:$G2035,252-STRUCT_L):$G2035),"")</f>
        <v>16096</v>
      </c>
      <c r="AL2035" s="48" t="n">
        <f aca="false">IF($U2035&gt;=STRUCT_L,MIN(INDEX($H$1785:$H2035,252-STRUCT_L):$H2035),"")</f>
        <v>12821</v>
      </c>
      <c r="AM2035" s="46" t="n">
        <f aca="false">IF($A2035&lt;&gt;$A2036,1,0)</f>
        <v>0</v>
      </c>
      <c r="AN2035" s="47" t="str">
        <f aca="false">IF($AM2035=1,$A2035,"")</f>
        <v/>
      </c>
    </row>
    <row r="2036" customFormat="false" ht="15" hidden="false" customHeight="false" outlineLevel="0" collapsed="false">
      <c r="A2036" s="43" t="s">
        <v>167</v>
      </c>
      <c r="B2036" s="44" t="s">
        <v>169</v>
      </c>
      <c r="C2036" s="45" t="n">
        <v>46201</v>
      </c>
      <c r="D2036" s="46" t="n">
        <v>20260628</v>
      </c>
      <c r="E2036" s="47" t="s">
        <v>499</v>
      </c>
      <c r="F2036" s="48" t="n">
        <v>14058</v>
      </c>
      <c r="G2036" s="48" t="n">
        <v>14107</v>
      </c>
      <c r="H2036" s="48" t="n">
        <v>13922</v>
      </c>
      <c r="I2036" s="48" t="n">
        <v>14007</v>
      </c>
      <c r="J2036" s="48" t="n">
        <v>13927</v>
      </c>
      <c r="K2036" s="48" t="n">
        <v>14022</v>
      </c>
      <c r="L2036" s="48" t="n">
        <v>80049889</v>
      </c>
      <c r="M2036" s="48" t="n">
        <v>1121258795223</v>
      </c>
      <c r="N2036" s="48" t="n">
        <v>3261</v>
      </c>
      <c r="O2036" s="48" t="n">
        <v>40911965</v>
      </c>
      <c r="P2036" s="48" t="n">
        <v>33305768</v>
      </c>
      <c r="Q2036" s="48" t="n">
        <v>1968</v>
      </c>
      <c r="R2036" s="48" t="n">
        <v>1109</v>
      </c>
      <c r="S2036" s="48" t="n">
        <v>39137924</v>
      </c>
      <c r="T2036" s="48" t="n">
        <v>46744121</v>
      </c>
      <c r="U2036" s="46" t="n">
        <f aca="false">IF($A2036=$A2035,$U2035+1,1)</f>
        <v>212</v>
      </c>
      <c r="V2036" s="48" t="n">
        <f aca="false">IF($U2036&gt;=MA_SHORT,AVERAGE(INDEX($I$1636:$I2036,402-MA_SHORT):$I2036),"")</f>
        <v>15053.05</v>
      </c>
      <c r="W2036" s="48" t="n">
        <f aca="false">IF($U2036&gt;=MA_MED,AVERAGE(INDEX($I$1636:$I2036,402-MA_MED):$I2036),"")</f>
        <v>14857.32</v>
      </c>
      <c r="X2036" s="48" t="n">
        <f aca="false">IF($U2036&gt;=MA_LONG1,AVERAGE(INDEX($I$1636:$I2036,402-MA_LONG1):$I2036),"")</f>
        <v>14228.37</v>
      </c>
      <c r="Y2036" s="48" t="n">
        <f aca="false">IF($U2036&gt;=MA_LONG2,AVERAGE(INDEX($I$1636:$I2036,402-MA_LONG2):$I2036),"")</f>
        <v>13272.21</v>
      </c>
      <c r="Z2036" s="48" t="n">
        <f aca="false">IF($U2036&gt;=MA_SHORT,AVERAGE(INDEX($L$1916:$L2036,122-MA_SHORT):$L2036),"")</f>
        <v>96153349.8</v>
      </c>
      <c r="AA2036" s="48" t="n">
        <f aca="false">IF($U2036=1,$G2036-$H2036,MAX($G2036-$H2036,ABS($G2036-$I2035),ABS($H2036-$I2035)))</f>
        <v>185</v>
      </c>
      <c r="AB2036" s="48" t="n">
        <f aca="false">IF($U2036&gt;=ATR_PER,AVERAGE(INDEX($AA$1916:$AA2036,122-ATR_PER):$AA2036),"")</f>
        <v>488.928571428571</v>
      </c>
      <c r="AC2036" s="48" t="n">
        <f aca="false">$O2036-$P2036</f>
        <v>7606197</v>
      </c>
      <c r="AD2036" s="48" t="n">
        <f aca="false">$AC2036*$I2036</f>
        <v>106540001379</v>
      </c>
      <c r="AE2036" s="49" t="n">
        <f aca="false">IF($Q2036&gt;0,$O2036*$I2036/$Q2036/1000000,"")</f>
        <v>291.185921623476</v>
      </c>
      <c r="AF2036" s="49" t="n">
        <f aca="false">IF($R2036&gt;0,$P2036*$I2036/$R2036/1000000,"")</f>
        <v>420.661760483318</v>
      </c>
      <c r="AG2036" s="50" t="n">
        <f aca="false">IF(AND(ISNUMBER($AE2036),ISNUMBER($AF2036),$AF2036&gt;0),$AE2036/$AF2036,"")</f>
        <v>0.692209154663638</v>
      </c>
      <c r="AH2036" s="48" t="n">
        <f aca="false">IF($U2036&gt;=5,SUM(INDEX($AD$2006:$AD2036,32-5):$AD2036),"")</f>
        <v>205407718918</v>
      </c>
      <c r="AI2036" s="48" t="n">
        <f aca="false">IF($U2036&gt;=STRUCT_S,MAX(INDEX($G$1886:$G2036,152-STRUCT_S):$G2036),"")</f>
        <v>16062</v>
      </c>
      <c r="AJ2036" s="48" t="n">
        <f aca="false">IF($U2036&gt;=STRUCT_S,MIN(INDEX($H$1886:$H2036,152-STRUCT_S):$H2036),"")</f>
        <v>13867</v>
      </c>
      <c r="AK2036" s="48" t="n">
        <f aca="false">IF($U2036&gt;=STRUCT_L,MAX(INDEX($G$1786:$G2036,252-STRUCT_L):$G2036),"")</f>
        <v>16096</v>
      </c>
      <c r="AL2036" s="48" t="n">
        <f aca="false">IF($U2036&gt;=STRUCT_L,MIN(INDEX($H$1786:$H2036,252-STRUCT_L):$H2036),"")</f>
        <v>12821</v>
      </c>
      <c r="AM2036" s="46" t="n">
        <f aca="false">IF($A2036&lt;&gt;$A2037,1,0)</f>
        <v>0</v>
      </c>
      <c r="AN2036" s="47" t="str">
        <f aca="false">IF($AM2036=1,$A2036,"")</f>
        <v/>
      </c>
    </row>
    <row r="2037" customFormat="false" ht="15" hidden="false" customHeight="false" outlineLevel="0" collapsed="false">
      <c r="A2037" s="43" t="s">
        <v>167</v>
      </c>
      <c r="B2037" s="44" t="s">
        <v>169</v>
      </c>
      <c r="C2037" s="45" t="n">
        <v>46202</v>
      </c>
      <c r="D2037" s="46" t="n">
        <v>20260629</v>
      </c>
      <c r="E2037" s="47" t="s">
        <v>500</v>
      </c>
      <c r="F2037" s="48" t="n">
        <v>13890</v>
      </c>
      <c r="G2037" s="48" t="n">
        <v>14181</v>
      </c>
      <c r="H2037" s="48" t="n">
        <v>13701</v>
      </c>
      <c r="I2037" s="48" t="n">
        <v>13874</v>
      </c>
      <c r="J2037" s="48" t="n">
        <v>14047</v>
      </c>
      <c r="K2037" s="48" t="n">
        <v>14007</v>
      </c>
      <c r="L2037" s="48" t="n">
        <v>84070845</v>
      </c>
      <c r="M2037" s="48" t="n">
        <v>1166398903530</v>
      </c>
      <c r="N2037" s="48" t="n">
        <v>2454</v>
      </c>
      <c r="O2037" s="48" t="n">
        <v>53659500</v>
      </c>
      <c r="P2037" s="48" t="n">
        <v>32597437</v>
      </c>
      <c r="Q2037" s="48" t="n">
        <v>1796</v>
      </c>
      <c r="R2037" s="48" t="n">
        <v>994</v>
      </c>
      <c r="S2037" s="48" t="n">
        <v>30411345</v>
      </c>
      <c r="T2037" s="48" t="n">
        <v>51473408</v>
      </c>
      <c r="U2037" s="46" t="n">
        <f aca="false">IF($A2037=$A2036,$U2036+1,1)</f>
        <v>213</v>
      </c>
      <c r="V2037" s="48" t="n">
        <f aca="false">IF($U2037&gt;=MA_SHORT,AVERAGE(INDEX($I$1637:$I2037,402-MA_SHORT):$I2037),"")</f>
        <v>14966.85</v>
      </c>
      <c r="W2037" s="48" t="n">
        <f aca="false">IF($U2037&gt;=MA_MED,AVERAGE(INDEX($I$1637:$I2037,402-MA_MED):$I2037),"")</f>
        <v>14853.62</v>
      </c>
      <c r="X2037" s="48" t="n">
        <f aca="false">IF($U2037&gt;=MA_LONG1,AVERAGE(INDEX($I$1637:$I2037,402-MA_LONG1):$I2037),"")</f>
        <v>14239.4</v>
      </c>
      <c r="Y2037" s="48" t="n">
        <f aca="false">IF($U2037&gt;=MA_LONG2,AVERAGE(INDEX($I$1637:$I2037,402-MA_LONG2):$I2037),"")</f>
        <v>13283.69</v>
      </c>
      <c r="Z2037" s="48" t="n">
        <f aca="false">IF($U2037&gt;=MA_SHORT,AVERAGE(INDEX($L$1917:$L2037,122-MA_SHORT):$L2037),"")</f>
        <v>93679656.2</v>
      </c>
      <c r="AA2037" s="48" t="n">
        <f aca="false">IF($U2037=1,$G2037-$H2037,MAX($G2037-$H2037,ABS($G2037-$I2036),ABS($H2037-$I2036)))</f>
        <v>480</v>
      </c>
      <c r="AB2037" s="48" t="n">
        <f aca="false">IF($U2037&gt;=ATR_PER,AVERAGE(INDEX($AA$1917:$AA2037,122-ATR_PER):$AA2037),"")</f>
        <v>494.214285714286</v>
      </c>
      <c r="AC2037" s="48" t="n">
        <f aca="false">$O2037-$P2037</f>
        <v>21062063</v>
      </c>
      <c r="AD2037" s="48" t="n">
        <f aca="false">$AC2037*$I2037</f>
        <v>292215062062</v>
      </c>
      <c r="AE2037" s="49" t="n">
        <f aca="false">IF($Q2037&gt;0,$O2037*$I2037/$Q2037/1000000,"")</f>
        <v>414.516649777283</v>
      </c>
      <c r="AF2037" s="49" t="n">
        <f aca="false">IF($R2037&gt;0,$P2037*$I2037/$R2037/1000000,"")</f>
        <v>454.986761507042</v>
      </c>
      <c r="AG2037" s="50" t="n">
        <f aca="false">IF(AND(ISNUMBER($AE2037),ISNUMBER($AF2037),$AF2037&gt;0),$AE2037/$AF2037,"")</f>
        <v>0.911052111503836</v>
      </c>
      <c r="AH2037" s="48" t="n">
        <f aca="false">IF($U2037&gt;=5,SUM(INDEX($AD$2007:$AD2037,32-5):$AD2037),"")</f>
        <v>666385458609</v>
      </c>
      <c r="AI2037" s="48" t="n">
        <f aca="false">IF($U2037&gt;=STRUCT_S,MAX(INDEX($G$1887:$G2037,152-STRUCT_S):$G2037),"")</f>
        <v>16062</v>
      </c>
      <c r="AJ2037" s="48" t="n">
        <f aca="false">IF($U2037&gt;=STRUCT_S,MIN(INDEX($H$1887:$H2037,152-STRUCT_S):$H2037),"")</f>
        <v>13701</v>
      </c>
      <c r="AK2037" s="48" t="n">
        <f aca="false">IF($U2037&gt;=STRUCT_L,MAX(INDEX($G$1787:$G2037,252-STRUCT_L):$G2037),"")</f>
        <v>16096</v>
      </c>
      <c r="AL2037" s="48" t="n">
        <f aca="false">IF($U2037&gt;=STRUCT_L,MIN(INDEX($H$1787:$H2037,252-STRUCT_L):$H2037),"")</f>
        <v>12821</v>
      </c>
      <c r="AM2037" s="46" t="n">
        <f aca="false">IF($A2037&lt;&gt;$A2038,1,0)</f>
        <v>0</v>
      </c>
      <c r="AN2037" s="47" t="str">
        <f aca="false">IF($AM2037=1,$A2037,"")</f>
        <v/>
      </c>
    </row>
    <row r="2038" customFormat="false" ht="15" hidden="false" customHeight="false" outlineLevel="0" collapsed="false">
      <c r="A2038" s="43" t="s">
        <v>167</v>
      </c>
      <c r="B2038" s="44" t="s">
        <v>169</v>
      </c>
      <c r="C2038" s="45" t="n">
        <v>46203</v>
      </c>
      <c r="D2038" s="46" t="n">
        <v>20260630</v>
      </c>
      <c r="E2038" s="47" t="s">
        <v>501</v>
      </c>
      <c r="F2038" s="48" t="n">
        <v>13942</v>
      </c>
      <c r="G2038" s="48" t="n">
        <v>13960</v>
      </c>
      <c r="H2038" s="48" t="n">
        <v>13592</v>
      </c>
      <c r="I2038" s="48" t="n">
        <v>13677</v>
      </c>
      <c r="J2038" s="48" t="n">
        <v>13723</v>
      </c>
      <c r="K2038" s="48" t="n">
        <v>13874</v>
      </c>
      <c r="L2038" s="48" t="n">
        <v>112435441</v>
      </c>
      <c r="M2038" s="48" t="n">
        <v>1537779526557</v>
      </c>
      <c r="N2038" s="48" t="n">
        <v>4420</v>
      </c>
      <c r="O2038" s="48" t="n">
        <v>66867255</v>
      </c>
      <c r="P2038" s="48" t="n">
        <v>49611219</v>
      </c>
      <c r="Q2038" s="48" t="n">
        <v>2506</v>
      </c>
      <c r="R2038" s="48" t="n">
        <v>1045</v>
      </c>
      <c r="S2038" s="48" t="n">
        <v>45568186</v>
      </c>
      <c r="T2038" s="48" t="n">
        <v>62824222</v>
      </c>
      <c r="U2038" s="46" t="n">
        <f aca="false">IF($A2038=$A2037,$U2037+1,1)</f>
        <v>214</v>
      </c>
      <c r="V2038" s="48" t="n">
        <f aca="false">IF($U2038&gt;=MA_SHORT,AVERAGE(INDEX($I$1638:$I2038,402-MA_SHORT):$I2038),"")</f>
        <v>14864.2</v>
      </c>
      <c r="W2038" s="48" t="n">
        <f aca="false">IF($U2038&gt;=MA_MED,AVERAGE(INDEX($I$1638:$I2038,402-MA_MED):$I2038),"")</f>
        <v>14847.5</v>
      </c>
      <c r="X2038" s="48" t="n">
        <f aca="false">IF($U2038&gt;=MA_LONG1,AVERAGE(INDEX($I$1638:$I2038,402-MA_LONG1):$I2038),"")</f>
        <v>14251.49</v>
      </c>
      <c r="Y2038" s="48" t="n">
        <f aca="false">IF($U2038&gt;=MA_LONG2,AVERAGE(INDEX($I$1638:$I2038,402-MA_LONG2):$I2038),"")</f>
        <v>13292.605</v>
      </c>
      <c r="Z2038" s="48" t="n">
        <f aca="false">IF($U2038&gt;=MA_SHORT,AVERAGE(INDEX($L$1918:$L2038,122-MA_SHORT):$L2038),"")</f>
        <v>95122526.4</v>
      </c>
      <c r="AA2038" s="48" t="n">
        <f aca="false">IF($U2038=1,$G2038-$H2038,MAX($G2038-$H2038,ABS($G2038-$I2037),ABS($H2038-$I2037)))</f>
        <v>368</v>
      </c>
      <c r="AB2038" s="48" t="n">
        <f aca="false">IF($U2038&gt;=ATR_PER,AVERAGE(INDEX($AA$1918:$AA2038,122-ATR_PER):$AA2038),"")</f>
        <v>495.071428571429</v>
      </c>
      <c r="AC2038" s="48" t="n">
        <f aca="false">$O2038-$P2038</f>
        <v>17256036</v>
      </c>
      <c r="AD2038" s="48" t="n">
        <f aca="false">$AC2038*$I2038</f>
        <v>236010804372</v>
      </c>
      <c r="AE2038" s="49" t="n">
        <f aca="false">IF($Q2038&gt;0,$O2038*$I2038/$Q2038/1000000,"")</f>
        <v>364.94151900838</v>
      </c>
      <c r="AF2038" s="49" t="n">
        <f aca="false">IF($R2038&gt;0,$P2038*$I2038/$R2038/1000000,"")</f>
        <v>649.313533266029</v>
      </c>
      <c r="AG2038" s="50" t="n">
        <f aca="false">IF(AND(ISNUMBER($AE2038),ISNUMBER($AF2038),$AF2038&gt;0),$AE2038/$AF2038,"")</f>
        <v>0.562042064906201</v>
      </c>
      <c r="AH2038" s="48" t="n">
        <f aca="false">IF($U2038&gt;=5,SUM(INDEX($AD$2008:$AD2038,32-5):$AD2038),"")</f>
        <v>775408405509</v>
      </c>
      <c r="AI2038" s="48" t="n">
        <f aca="false">IF($U2038&gt;=STRUCT_S,MAX(INDEX($G$1888:$G2038,152-STRUCT_S):$G2038),"")</f>
        <v>16062</v>
      </c>
      <c r="AJ2038" s="48" t="n">
        <f aca="false">IF($U2038&gt;=STRUCT_S,MIN(INDEX($H$1888:$H2038,152-STRUCT_S):$H2038),"")</f>
        <v>13592</v>
      </c>
      <c r="AK2038" s="48" t="n">
        <f aca="false">IF($U2038&gt;=STRUCT_L,MAX(INDEX($G$1788:$G2038,252-STRUCT_L):$G2038),"")</f>
        <v>16096</v>
      </c>
      <c r="AL2038" s="48" t="n">
        <f aca="false">IF($U2038&gt;=STRUCT_L,MIN(INDEX($H$1788:$H2038,252-STRUCT_L):$H2038),"")</f>
        <v>12821</v>
      </c>
      <c r="AM2038" s="46" t="n">
        <f aca="false">IF($A2038&lt;&gt;$A2039,1,0)</f>
        <v>0</v>
      </c>
      <c r="AN2038" s="47" t="str">
        <f aca="false">IF($AM2038=1,$A2038,"")</f>
        <v/>
      </c>
    </row>
    <row r="2039" customFormat="false" ht="15" hidden="false" customHeight="false" outlineLevel="0" collapsed="false">
      <c r="A2039" s="43" t="s">
        <v>167</v>
      </c>
      <c r="B2039" s="44" t="s">
        <v>169</v>
      </c>
      <c r="C2039" s="45" t="n">
        <v>46204</v>
      </c>
      <c r="D2039" s="46" t="n">
        <v>20260701</v>
      </c>
      <c r="E2039" s="47" t="s">
        <v>502</v>
      </c>
      <c r="F2039" s="48" t="n">
        <v>13490</v>
      </c>
      <c r="G2039" s="48" t="n">
        <v>13853</v>
      </c>
      <c r="H2039" s="48" t="n">
        <v>13305</v>
      </c>
      <c r="I2039" s="48" t="n">
        <v>13479</v>
      </c>
      <c r="J2039" s="48" t="n">
        <v>13399</v>
      </c>
      <c r="K2039" s="48" t="n">
        <v>13677</v>
      </c>
      <c r="L2039" s="48" t="n">
        <v>101430690</v>
      </c>
      <c r="M2039" s="48" t="n">
        <v>1367184270510</v>
      </c>
      <c r="N2039" s="48" t="n">
        <v>3130</v>
      </c>
      <c r="O2039" s="48" t="n">
        <v>43603096</v>
      </c>
      <c r="P2039" s="48" t="n">
        <v>61486248</v>
      </c>
      <c r="Q2039" s="48" t="n">
        <v>1806</v>
      </c>
      <c r="R2039" s="48" t="n">
        <v>900</v>
      </c>
      <c r="S2039" s="48" t="n">
        <v>57827594</v>
      </c>
      <c r="T2039" s="48" t="n">
        <v>39944442</v>
      </c>
      <c r="U2039" s="46" t="n">
        <f aca="false">IF($A2039=$A2038,$U2038+1,1)</f>
        <v>215</v>
      </c>
      <c r="V2039" s="48" t="n">
        <f aca="false">IF($U2039&gt;=MA_SHORT,AVERAGE(INDEX($I$1639:$I2039,402-MA_SHORT):$I2039),"")</f>
        <v>14747.75</v>
      </c>
      <c r="W2039" s="48" t="n">
        <f aca="false">IF($U2039&gt;=MA_MED,AVERAGE(INDEX($I$1639:$I2039,402-MA_MED):$I2039),"")</f>
        <v>14840.38</v>
      </c>
      <c r="X2039" s="48" t="n">
        <f aca="false">IF($U2039&gt;=MA_LONG1,AVERAGE(INDEX($I$1639:$I2039,402-MA_LONG1):$I2039),"")</f>
        <v>14260.7</v>
      </c>
      <c r="Y2039" s="48" t="n">
        <f aca="false">IF($U2039&gt;=MA_LONG2,AVERAGE(INDEX($I$1639:$I2039,402-MA_LONG2):$I2039),"")</f>
        <v>13300.365</v>
      </c>
      <c r="Z2039" s="48" t="n">
        <f aca="false">IF($U2039&gt;=MA_SHORT,AVERAGE(INDEX($L$1919:$L2039,122-MA_SHORT):$L2039),"")</f>
        <v>95056479.2</v>
      </c>
      <c r="AA2039" s="48" t="n">
        <f aca="false">IF($U2039=1,$G2039-$H2039,MAX($G2039-$H2039,ABS($G2039-$I2038),ABS($H2039-$I2038)))</f>
        <v>548</v>
      </c>
      <c r="AB2039" s="48" t="n">
        <f aca="false">IF($U2039&gt;=ATR_PER,AVERAGE(INDEX($AA$1919:$AA2039,122-ATR_PER):$AA2039),"")</f>
        <v>517.785714285714</v>
      </c>
      <c r="AC2039" s="48" t="n">
        <f aca="false">$O2039-$P2039</f>
        <v>-17883152</v>
      </c>
      <c r="AD2039" s="48" t="n">
        <f aca="false">$AC2039*$I2039</f>
        <v>-241047005808</v>
      </c>
      <c r="AE2039" s="49" t="n">
        <f aca="false">IF($Q2039&gt;0,$O2039*$I2039/$Q2039/1000000,"")</f>
        <v>325.429751375415</v>
      </c>
      <c r="AF2039" s="49" t="n">
        <f aca="false">IF($R2039&gt;0,$P2039*$I2039/$R2039/1000000,"")</f>
        <v>920.85904088</v>
      </c>
      <c r="AG2039" s="50" t="n">
        <f aca="false">IF(AND(ISNUMBER($AE2039),ISNUMBER($AF2039),$AF2039&gt;0),$AE2039/$AF2039,"")</f>
        <v>0.353398008738042</v>
      </c>
      <c r="AH2039" s="48" t="n">
        <f aca="false">IF($U2039&gt;=5,SUM(INDEX($AD$2009:$AD2039,32-5):$AD2039),"")</f>
        <v>542595077287</v>
      </c>
      <c r="AI2039" s="48" t="n">
        <f aca="false">IF($U2039&gt;=STRUCT_S,MAX(INDEX($G$1889:$G2039,152-STRUCT_S):$G2039),"")</f>
        <v>16062</v>
      </c>
      <c r="AJ2039" s="48" t="n">
        <f aca="false">IF($U2039&gt;=STRUCT_S,MIN(INDEX($H$1889:$H2039,152-STRUCT_S):$H2039),"")</f>
        <v>13305</v>
      </c>
      <c r="AK2039" s="48" t="n">
        <f aca="false">IF($U2039&gt;=STRUCT_L,MAX(INDEX($G$1789:$G2039,252-STRUCT_L):$G2039),"")</f>
        <v>16096</v>
      </c>
      <c r="AL2039" s="48" t="n">
        <f aca="false">IF($U2039&gt;=STRUCT_L,MIN(INDEX($H$1789:$H2039,252-STRUCT_L):$H2039),"")</f>
        <v>12821</v>
      </c>
      <c r="AM2039" s="46" t="n">
        <f aca="false">IF($A2039&lt;&gt;$A2040,1,0)</f>
        <v>0</v>
      </c>
      <c r="AN2039" s="47" t="str">
        <f aca="false">IF($AM2039=1,$A2039,"")</f>
        <v/>
      </c>
    </row>
    <row r="2040" customFormat="false" ht="15" hidden="false" customHeight="false" outlineLevel="0" collapsed="false">
      <c r="A2040" s="43" t="s">
        <v>167</v>
      </c>
      <c r="B2040" s="44" t="s">
        <v>169</v>
      </c>
      <c r="C2040" s="45" t="n">
        <v>46207</v>
      </c>
      <c r="D2040" s="46" t="n">
        <v>20260704</v>
      </c>
      <c r="E2040" s="47" t="s">
        <v>503</v>
      </c>
      <c r="F2040" s="48" t="n">
        <v>13211</v>
      </c>
      <c r="G2040" s="48" t="n">
        <v>13657</v>
      </c>
      <c r="H2040" s="48" t="n">
        <v>13053</v>
      </c>
      <c r="I2040" s="48" t="n">
        <v>13228</v>
      </c>
      <c r="J2040" s="48" t="n">
        <v>13649</v>
      </c>
      <c r="K2040" s="48" t="n">
        <v>13479</v>
      </c>
      <c r="L2040" s="48" t="n">
        <v>88426250</v>
      </c>
      <c r="M2040" s="48" t="n">
        <v>1169702435000</v>
      </c>
      <c r="N2040" s="48" t="n">
        <v>4842</v>
      </c>
      <c r="O2040" s="48" t="n">
        <v>48463770</v>
      </c>
      <c r="P2040" s="48" t="n">
        <v>35730751</v>
      </c>
      <c r="Q2040" s="48" t="n">
        <v>2560</v>
      </c>
      <c r="R2040" s="48" t="n">
        <v>1778</v>
      </c>
      <c r="S2040" s="48" t="n">
        <v>39962480</v>
      </c>
      <c r="T2040" s="48" t="n">
        <v>52695499</v>
      </c>
      <c r="U2040" s="46" t="n">
        <f aca="false">IF($A2040=$A2039,$U2039+1,1)</f>
        <v>216</v>
      </c>
      <c r="V2040" s="48" t="n">
        <f aca="false">IF($U2040&gt;=MA_SHORT,AVERAGE(INDEX($I$1640:$I2040,402-MA_SHORT):$I2040),"")</f>
        <v>14628.7</v>
      </c>
      <c r="W2040" s="48" t="n">
        <f aca="false">IF($U2040&gt;=MA_MED,AVERAGE(INDEX($I$1640:$I2040,402-MA_MED):$I2040),"")</f>
        <v>14820.38</v>
      </c>
      <c r="X2040" s="48" t="n">
        <f aca="false">IF($U2040&gt;=MA_LONG1,AVERAGE(INDEX($I$1640:$I2040,402-MA_LONG1):$I2040),"")</f>
        <v>14264.58</v>
      </c>
      <c r="Y2040" s="48" t="n">
        <f aca="false">IF($U2040&gt;=MA_LONG2,AVERAGE(INDEX($I$1640:$I2040,402-MA_LONG2):$I2040),"")</f>
        <v>13308.21</v>
      </c>
      <c r="Z2040" s="48" t="n">
        <f aca="false">IF($U2040&gt;=MA_SHORT,AVERAGE(INDEX($L$1920:$L2040,122-MA_SHORT):$L2040),"")</f>
        <v>95200437.45</v>
      </c>
      <c r="AA2040" s="48" t="n">
        <f aca="false">IF($U2040=1,$G2040-$H2040,MAX($G2040-$H2040,ABS($G2040-$I2039),ABS($H2040-$I2039)))</f>
        <v>604</v>
      </c>
      <c r="AB2040" s="48" t="n">
        <f aca="false">IF($U2040&gt;=ATR_PER,AVERAGE(INDEX($AA$1920:$AA2040,122-ATR_PER):$AA2040),"")</f>
        <v>525.428571428571</v>
      </c>
      <c r="AC2040" s="48" t="n">
        <f aca="false">$O2040-$P2040</f>
        <v>12733019</v>
      </c>
      <c r="AD2040" s="48" t="n">
        <f aca="false">$AC2040*$I2040</f>
        <v>168432375332</v>
      </c>
      <c r="AE2040" s="49" t="n">
        <f aca="false">IF($Q2040&gt;0,$O2040*$I2040/$Q2040/1000000,"")</f>
        <v>250.421386546875</v>
      </c>
      <c r="AF2040" s="49" t="n">
        <f aca="false">IF($R2040&gt;0,$P2040*$I2040/$R2040/1000000,"")</f>
        <v>265.830356708661</v>
      </c>
      <c r="AG2040" s="50" t="n">
        <f aca="false">IF(AND(ISNUMBER($AE2040),ISNUMBER($AF2040),$AF2040&gt;0),$AE2040/$AF2040,"")</f>
        <v>0.942034572903673</v>
      </c>
      <c r="AH2040" s="48" t="n">
        <f aca="false">IF($U2040&gt;=5,SUM(INDEX($AD$2010:$AD2040,32-5):$AD2040),"")</f>
        <v>562151237337</v>
      </c>
      <c r="AI2040" s="48" t="n">
        <f aca="false">IF($U2040&gt;=STRUCT_S,MAX(INDEX($G$1890:$G2040,152-STRUCT_S):$G2040),"")</f>
        <v>16062</v>
      </c>
      <c r="AJ2040" s="48" t="n">
        <f aca="false">IF($U2040&gt;=STRUCT_S,MIN(INDEX($H$1890:$H2040,152-STRUCT_S):$H2040),"")</f>
        <v>13053</v>
      </c>
      <c r="AK2040" s="48" t="n">
        <f aca="false">IF($U2040&gt;=STRUCT_L,MAX(INDEX($G$1790:$G2040,252-STRUCT_L):$G2040),"")</f>
        <v>16096</v>
      </c>
      <c r="AL2040" s="48" t="n">
        <f aca="false">IF($U2040&gt;=STRUCT_L,MIN(INDEX($H$1790:$H2040,252-STRUCT_L):$H2040),"")</f>
        <v>12821</v>
      </c>
      <c r="AM2040" s="46" t="n">
        <f aca="false">IF($A2040&lt;&gt;$A2041,1,0)</f>
        <v>0</v>
      </c>
      <c r="AN2040" s="47" t="str">
        <f aca="false">IF($AM2040=1,$A2040,"")</f>
        <v/>
      </c>
    </row>
    <row r="2041" customFormat="false" ht="15" hidden="false" customHeight="false" outlineLevel="0" collapsed="false">
      <c r="A2041" s="43" t="s">
        <v>167</v>
      </c>
      <c r="B2041" s="44" t="s">
        <v>169</v>
      </c>
      <c r="C2041" s="45" t="n">
        <v>46208</v>
      </c>
      <c r="D2041" s="46" t="n">
        <v>20260705</v>
      </c>
      <c r="E2041" s="47" t="s">
        <v>504</v>
      </c>
      <c r="F2041" s="48" t="n">
        <v>13047</v>
      </c>
      <c r="G2041" s="48" t="n">
        <v>13285</v>
      </c>
      <c r="H2041" s="48" t="n">
        <v>12769</v>
      </c>
      <c r="I2041" s="48" t="n">
        <v>12824</v>
      </c>
      <c r="J2041" s="48" t="n">
        <v>13001</v>
      </c>
      <c r="K2041" s="48" t="n">
        <v>13228</v>
      </c>
      <c r="L2041" s="48" t="n">
        <v>116441464</v>
      </c>
      <c r="M2041" s="48" t="n">
        <v>1493245334336</v>
      </c>
      <c r="N2041" s="48" t="n">
        <v>2765</v>
      </c>
      <c r="O2041" s="48" t="n">
        <v>54828173</v>
      </c>
      <c r="P2041" s="48" t="n">
        <v>69699006</v>
      </c>
      <c r="Q2041" s="48" t="n">
        <v>1117</v>
      </c>
      <c r="R2041" s="48" t="n">
        <v>651</v>
      </c>
      <c r="S2041" s="48" t="n">
        <v>61613291</v>
      </c>
      <c r="T2041" s="48" t="n">
        <v>46742458</v>
      </c>
      <c r="U2041" s="46" t="n">
        <f aca="false">IF($A2041=$A2040,$U2040+1,1)</f>
        <v>217</v>
      </c>
      <c r="V2041" s="48" t="n">
        <f aca="false">IF($U2041&gt;=MA_SHORT,AVERAGE(INDEX($I$1641:$I2041,402-MA_SHORT):$I2041),"")</f>
        <v>14476.05</v>
      </c>
      <c r="W2041" s="48" t="n">
        <f aca="false">IF($U2041&gt;=MA_MED,AVERAGE(INDEX($I$1641:$I2041,402-MA_MED):$I2041),"")</f>
        <v>14794.5</v>
      </c>
      <c r="X2041" s="48" t="n">
        <f aca="false">IF($U2041&gt;=MA_LONG1,AVERAGE(INDEX($I$1641:$I2041,402-MA_LONG1):$I2041),"")</f>
        <v>14266.02</v>
      </c>
      <c r="Y2041" s="48" t="n">
        <f aca="false">IF($U2041&gt;=MA_LONG2,AVERAGE(INDEX($I$1641:$I2041,402-MA_LONG2):$I2041),"")</f>
        <v>13312.715</v>
      </c>
      <c r="Z2041" s="48" t="n">
        <f aca="false">IF($U2041&gt;=MA_SHORT,AVERAGE(INDEX($L$1921:$L2041,122-MA_SHORT):$L2041),"")</f>
        <v>95413777.25</v>
      </c>
      <c r="AA2041" s="48" t="n">
        <f aca="false">IF($U2041=1,$G2041-$H2041,MAX($G2041-$H2041,ABS($G2041-$I2040),ABS($H2041-$I2040)))</f>
        <v>516</v>
      </c>
      <c r="AB2041" s="48" t="n">
        <f aca="false">IF($U2041&gt;=ATR_PER,AVERAGE(INDEX($AA$1921:$AA2041,122-ATR_PER):$AA2041),"")</f>
        <v>551.571428571429</v>
      </c>
      <c r="AC2041" s="48" t="n">
        <f aca="false">$O2041-$P2041</f>
        <v>-14870833</v>
      </c>
      <c r="AD2041" s="48" t="n">
        <f aca="false">$AC2041*$I2041</f>
        <v>-190703562392</v>
      </c>
      <c r="AE2041" s="49" t="n">
        <f aca="false">IF($Q2041&gt;0,$O2041*$I2041/$Q2041/1000000,"")</f>
        <v>629.468657611459</v>
      </c>
      <c r="AF2041" s="49" t="n">
        <f aca="false">IF($R2041&gt;0,$P2041*$I2041/$R2041/1000000,"")</f>
        <v>1372.99547303226</v>
      </c>
      <c r="AG2041" s="50" t="n">
        <f aca="false">IF(AND(ISNUMBER($AE2041),ISNUMBER($AF2041),$AF2041&gt;0),$AE2041/$AF2041,"")</f>
        <v>0.458463753140627</v>
      </c>
      <c r="AH2041" s="48" t="n">
        <f aca="false">IF($U2041&gt;=5,SUM(INDEX($AD$2011:$AD2041,32-5):$AD2041),"")</f>
        <v>264907673566</v>
      </c>
      <c r="AI2041" s="48" t="n">
        <f aca="false">IF($U2041&gt;=STRUCT_S,MAX(INDEX($G$1891:$G2041,152-STRUCT_S):$G2041),"")</f>
        <v>16062</v>
      </c>
      <c r="AJ2041" s="48" t="n">
        <f aca="false">IF($U2041&gt;=STRUCT_S,MIN(INDEX($H$1891:$H2041,152-STRUCT_S):$H2041),"")</f>
        <v>12769</v>
      </c>
      <c r="AK2041" s="48" t="n">
        <f aca="false">IF($U2041&gt;=STRUCT_L,MAX(INDEX($G$1791:$G2041,252-STRUCT_L):$G2041),"")</f>
        <v>16096</v>
      </c>
      <c r="AL2041" s="48" t="n">
        <f aca="false">IF($U2041&gt;=STRUCT_L,MIN(INDEX($H$1791:$H2041,252-STRUCT_L):$H2041),"")</f>
        <v>12769</v>
      </c>
      <c r="AM2041" s="46" t="n">
        <f aca="false">IF($A2041&lt;&gt;$A2042,1,0)</f>
        <v>0</v>
      </c>
      <c r="AN2041" s="47" t="str">
        <f aca="false">IF($AM2041=1,$A2041,"")</f>
        <v/>
      </c>
    </row>
    <row r="2042" customFormat="false" ht="15" hidden="false" customHeight="false" outlineLevel="0" collapsed="false">
      <c r="A2042" s="43" t="s">
        <v>167</v>
      </c>
      <c r="B2042" s="44" t="s">
        <v>169</v>
      </c>
      <c r="C2042" s="45" t="n">
        <v>46209</v>
      </c>
      <c r="D2042" s="46" t="n">
        <v>20260706</v>
      </c>
      <c r="E2042" s="47" t="s">
        <v>505</v>
      </c>
      <c r="F2042" s="48" t="n">
        <v>12751</v>
      </c>
      <c r="G2042" s="48" t="n">
        <v>12987</v>
      </c>
      <c r="H2042" s="48" t="n">
        <v>12625</v>
      </c>
      <c r="I2042" s="48" t="n">
        <v>12787</v>
      </c>
      <c r="J2042" s="48" t="n">
        <v>12778</v>
      </c>
      <c r="K2042" s="48" t="n">
        <v>12824</v>
      </c>
      <c r="L2042" s="48" t="n">
        <v>80916296</v>
      </c>
      <c r="M2042" s="48" t="n">
        <v>1034676676952</v>
      </c>
      <c r="N2042" s="48" t="n">
        <v>4276</v>
      </c>
      <c r="O2042" s="48" t="n">
        <v>47659081</v>
      </c>
      <c r="P2042" s="48" t="n">
        <v>35101350</v>
      </c>
      <c r="Q2042" s="48" t="n">
        <v>2700</v>
      </c>
      <c r="R2042" s="48" t="n">
        <v>1715</v>
      </c>
      <c r="S2042" s="48" t="n">
        <v>33257215</v>
      </c>
      <c r="T2042" s="48" t="n">
        <v>45814946</v>
      </c>
      <c r="U2042" s="46" t="n">
        <f aca="false">IF($A2042=$A2041,$U2041+1,1)</f>
        <v>218</v>
      </c>
      <c r="V2042" s="48" t="n">
        <f aca="false">IF($U2042&gt;=MA_SHORT,AVERAGE(INDEX($I$1642:$I2042,402-MA_SHORT):$I2042),"")</f>
        <v>14333.25</v>
      </c>
      <c r="W2042" s="48" t="n">
        <f aca="false">IF($U2042&gt;=MA_MED,AVERAGE(INDEX($I$1642:$I2042,402-MA_MED):$I2042),"")</f>
        <v>14766.92</v>
      </c>
      <c r="X2042" s="48" t="n">
        <f aca="false">IF($U2042&gt;=MA_LONG1,AVERAGE(INDEX($I$1642:$I2042,402-MA_LONG1):$I2042),"")</f>
        <v>14268.18</v>
      </c>
      <c r="Y2042" s="48" t="n">
        <f aca="false">IF($U2042&gt;=MA_LONG2,AVERAGE(INDEX($I$1642:$I2042,402-MA_LONG2):$I2042),"")</f>
        <v>13317.08</v>
      </c>
      <c r="Z2042" s="48" t="n">
        <f aca="false">IF($U2042&gt;=MA_SHORT,AVERAGE(INDEX($L$1922:$L2042,122-MA_SHORT):$L2042),"")</f>
        <v>95130941.15</v>
      </c>
      <c r="AA2042" s="48" t="n">
        <f aca="false">IF($U2042=1,$G2042-$H2042,MAX($G2042-$H2042,ABS($G2042-$I2041),ABS($H2042-$I2041)))</f>
        <v>362</v>
      </c>
      <c r="AB2042" s="48" t="n">
        <f aca="false">IF($U2042&gt;=ATR_PER,AVERAGE(INDEX($AA$1922:$AA2042,122-ATR_PER):$AA2042),"")</f>
        <v>563.285714285714</v>
      </c>
      <c r="AC2042" s="48" t="n">
        <f aca="false">$O2042-$P2042</f>
        <v>12557731</v>
      </c>
      <c r="AD2042" s="48" t="n">
        <f aca="false">$AC2042*$I2042</f>
        <v>160575706297</v>
      </c>
      <c r="AE2042" s="49" t="n">
        <f aca="false">IF($Q2042&gt;0,$O2042*$I2042/$Q2042/1000000,"")</f>
        <v>225.709877313704</v>
      </c>
      <c r="AF2042" s="49" t="n">
        <f aca="false">IF($R2042&gt;0,$P2042*$I2042/$R2042/1000000,"")</f>
        <v>261.714846909621</v>
      </c>
      <c r="AG2042" s="50" t="n">
        <f aca="false">IF(AND(ISNUMBER($AE2042),ISNUMBER($AF2042),$AF2042&gt;0),$AE2042/$AF2042,"")</f>
        <v>0.862426721215587</v>
      </c>
      <c r="AH2042" s="48" t="n">
        <f aca="false">IF($U2042&gt;=5,SUM(INDEX($AD$2012:$AD2042,32-5):$AD2042),"")</f>
        <v>133268317801</v>
      </c>
      <c r="AI2042" s="48" t="n">
        <f aca="false">IF($U2042&gt;=STRUCT_S,MAX(INDEX($G$1892:$G2042,152-STRUCT_S):$G2042),"")</f>
        <v>15735</v>
      </c>
      <c r="AJ2042" s="48" t="n">
        <f aca="false">IF($U2042&gt;=STRUCT_S,MIN(INDEX($H$1892:$H2042,152-STRUCT_S):$H2042),"")</f>
        <v>12625</v>
      </c>
      <c r="AK2042" s="48" t="n">
        <f aca="false">IF($U2042&gt;=STRUCT_L,MAX(INDEX($G$1792:$G2042,252-STRUCT_L):$G2042),"")</f>
        <v>16096</v>
      </c>
      <c r="AL2042" s="48" t="n">
        <f aca="false">IF($U2042&gt;=STRUCT_L,MIN(INDEX($H$1792:$H2042,252-STRUCT_L):$H2042),"")</f>
        <v>12625</v>
      </c>
      <c r="AM2042" s="46" t="n">
        <f aca="false">IF($A2042&lt;&gt;$A2043,1,0)</f>
        <v>0</v>
      </c>
      <c r="AN2042" s="47" t="str">
        <f aca="false">IF($AM2042=1,$A2042,"")</f>
        <v/>
      </c>
    </row>
    <row r="2043" customFormat="false" ht="15" hidden="false" customHeight="false" outlineLevel="0" collapsed="false">
      <c r="A2043" s="43" t="s">
        <v>167</v>
      </c>
      <c r="B2043" s="44" t="s">
        <v>169</v>
      </c>
      <c r="C2043" s="45" t="n">
        <v>46210</v>
      </c>
      <c r="D2043" s="46" t="n">
        <v>20260707</v>
      </c>
      <c r="E2043" s="47" t="s">
        <v>506</v>
      </c>
      <c r="F2043" s="48" t="n">
        <v>12792</v>
      </c>
      <c r="G2043" s="48" t="n">
        <v>12829</v>
      </c>
      <c r="H2043" s="48" t="n">
        <v>12559</v>
      </c>
      <c r="I2043" s="48" t="n">
        <v>12601</v>
      </c>
      <c r="J2043" s="48" t="n">
        <v>12632</v>
      </c>
      <c r="K2043" s="48" t="n">
        <v>12787</v>
      </c>
      <c r="L2043" s="48" t="n">
        <v>86481256</v>
      </c>
      <c r="M2043" s="48" t="n">
        <v>1089750306856</v>
      </c>
      <c r="N2043" s="48" t="n">
        <v>2673</v>
      </c>
      <c r="O2043" s="48" t="n">
        <v>45180910</v>
      </c>
      <c r="P2043" s="48" t="n">
        <v>35402960</v>
      </c>
      <c r="Q2043" s="48" t="n">
        <v>1642</v>
      </c>
      <c r="R2043" s="48" t="n">
        <v>1046</v>
      </c>
      <c r="S2043" s="48" t="n">
        <v>41300346</v>
      </c>
      <c r="T2043" s="48" t="n">
        <v>51078296</v>
      </c>
      <c r="U2043" s="46" t="n">
        <f aca="false">IF($A2043=$A2042,$U2042+1,1)</f>
        <v>219</v>
      </c>
      <c r="V2043" s="48" t="n">
        <f aca="false">IF($U2043&gt;=MA_SHORT,AVERAGE(INDEX($I$1643:$I2043,402-MA_SHORT):$I2043),"")</f>
        <v>14192.3</v>
      </c>
      <c r="W2043" s="48" t="n">
        <f aca="false">IF($U2043&gt;=MA_MED,AVERAGE(INDEX($I$1643:$I2043,402-MA_MED):$I2043),"")</f>
        <v>14738.02</v>
      </c>
      <c r="X2043" s="48" t="n">
        <f aca="false">IF($U2043&gt;=MA_LONG1,AVERAGE(INDEX($I$1643:$I2043,402-MA_LONG1):$I2043),"")</f>
        <v>14265.23</v>
      </c>
      <c r="Y2043" s="48" t="n">
        <f aca="false">IF($U2043&gt;=MA_LONG2,AVERAGE(INDEX($I$1643:$I2043,402-MA_LONG2):$I2043),"")</f>
        <v>13320.99</v>
      </c>
      <c r="Z2043" s="48" t="n">
        <f aca="false">IF($U2043&gt;=MA_SHORT,AVERAGE(INDEX($L$1923:$L2043,122-MA_SHORT):$L2043),"")</f>
        <v>95137871.7</v>
      </c>
      <c r="AA2043" s="48" t="n">
        <f aca="false">IF($U2043=1,$G2043-$H2043,MAX($G2043-$H2043,ABS($G2043-$I2042),ABS($H2043-$I2042)))</f>
        <v>270</v>
      </c>
      <c r="AB2043" s="48" t="n">
        <f aca="false">IF($U2043&gt;=ATR_PER,AVERAGE(INDEX($AA$1923:$AA2043,122-ATR_PER):$AA2043),"")</f>
        <v>564.714285714286</v>
      </c>
      <c r="AC2043" s="48" t="n">
        <f aca="false">$O2043-$P2043</f>
        <v>9777950</v>
      </c>
      <c r="AD2043" s="48" t="n">
        <f aca="false">$AC2043*$I2043</f>
        <v>123211947950</v>
      </c>
      <c r="AE2043" s="49" t="n">
        <f aca="false">IF($Q2043&gt;0,$O2043*$I2043/$Q2043/1000000,"")</f>
        <v>346.726337947625</v>
      </c>
      <c r="AF2043" s="49" t="n">
        <f aca="false">IF($R2043&gt;0,$P2043*$I2043/$R2043/1000000,"")</f>
        <v>426.493976061186</v>
      </c>
      <c r="AG2043" s="50" t="n">
        <f aca="false">IF(AND(ISNUMBER($AE2043),ISNUMBER($AF2043),$AF2043&gt;0),$AE2043/$AF2043,"")</f>
        <v>0.812968898528787</v>
      </c>
      <c r="AH2043" s="48" t="n">
        <f aca="false">IF($U2043&gt;=5,SUM(INDEX($AD$2013:$AD2043,32-5):$AD2043),"")</f>
        <v>20469461379</v>
      </c>
      <c r="AI2043" s="48" t="n">
        <f aca="false">IF($U2043&gt;=STRUCT_S,MAX(INDEX($G$1893:$G2043,152-STRUCT_S):$G2043),"")</f>
        <v>15470</v>
      </c>
      <c r="AJ2043" s="48" t="n">
        <f aca="false">IF($U2043&gt;=STRUCT_S,MIN(INDEX($H$1893:$H2043,152-STRUCT_S):$H2043),"")</f>
        <v>12559</v>
      </c>
      <c r="AK2043" s="48" t="n">
        <f aca="false">IF($U2043&gt;=STRUCT_L,MAX(INDEX($G$1793:$G2043,252-STRUCT_L):$G2043),"")</f>
        <v>16096</v>
      </c>
      <c r="AL2043" s="48" t="n">
        <f aca="false">IF($U2043&gt;=STRUCT_L,MIN(INDEX($H$1793:$H2043,252-STRUCT_L):$H2043),"")</f>
        <v>12559</v>
      </c>
      <c r="AM2043" s="46" t="n">
        <f aca="false">IF($A2043&lt;&gt;$A2044,1,0)</f>
        <v>0</v>
      </c>
      <c r="AN2043" s="47" t="str">
        <f aca="false">IF($AM2043=1,$A2043,"")</f>
        <v/>
      </c>
    </row>
    <row r="2044" customFormat="false" ht="15" hidden="false" customHeight="false" outlineLevel="0" collapsed="false">
      <c r="A2044" s="43" t="s">
        <v>167</v>
      </c>
      <c r="B2044" s="44" t="s">
        <v>169</v>
      </c>
      <c r="C2044" s="45" t="n">
        <v>46211</v>
      </c>
      <c r="D2044" s="46" t="n">
        <v>20260708</v>
      </c>
      <c r="E2044" s="47" t="s">
        <v>507</v>
      </c>
      <c r="F2044" s="48" t="n">
        <v>12627</v>
      </c>
      <c r="G2044" s="48" t="n">
        <v>12659</v>
      </c>
      <c r="H2044" s="48" t="n">
        <v>12406</v>
      </c>
      <c r="I2044" s="48" t="n">
        <v>12464</v>
      </c>
      <c r="J2044" s="48" t="n">
        <v>12427</v>
      </c>
      <c r="K2044" s="48" t="n">
        <v>12601</v>
      </c>
      <c r="L2044" s="48" t="n">
        <v>154103598</v>
      </c>
      <c r="M2044" s="48" t="n">
        <v>1920747245472</v>
      </c>
      <c r="N2044" s="48" t="n">
        <v>6344</v>
      </c>
      <c r="O2044" s="48" t="n">
        <v>93451782</v>
      </c>
      <c r="P2044" s="48" t="n">
        <v>55895006</v>
      </c>
      <c r="Q2044" s="48" t="n">
        <v>2579</v>
      </c>
      <c r="R2044" s="48" t="n">
        <v>2261</v>
      </c>
      <c r="S2044" s="48" t="n">
        <v>60651816</v>
      </c>
      <c r="T2044" s="48" t="n">
        <v>98208592</v>
      </c>
      <c r="U2044" s="46" t="n">
        <f aca="false">IF($A2044=$A2043,$U2043+1,1)</f>
        <v>220</v>
      </c>
      <c r="V2044" s="48" t="n">
        <f aca="false">IF($U2044&gt;=MA_SHORT,AVERAGE(INDEX($I$1644:$I2044,402-MA_SHORT):$I2044),"")</f>
        <v>14057.35</v>
      </c>
      <c r="W2044" s="48" t="n">
        <f aca="false">IF($U2044&gt;=MA_MED,AVERAGE(INDEX($I$1644:$I2044,402-MA_MED):$I2044),"")</f>
        <v>14704.18</v>
      </c>
      <c r="X2044" s="48" t="n">
        <f aca="false">IF($U2044&gt;=MA_LONG1,AVERAGE(INDEX($I$1644:$I2044,402-MA_LONG1):$I2044),"")</f>
        <v>14261.47</v>
      </c>
      <c r="Y2044" s="48" t="n">
        <f aca="false">IF($U2044&gt;=MA_LONG2,AVERAGE(INDEX($I$1644:$I2044,402-MA_LONG2):$I2044),"")</f>
        <v>13322.945</v>
      </c>
      <c r="Z2044" s="48" t="n">
        <f aca="false">IF($U2044&gt;=MA_SHORT,AVERAGE(INDEX($L$1924:$L2044,122-MA_SHORT):$L2044),"")</f>
        <v>98468386.4</v>
      </c>
      <c r="AA2044" s="48" t="n">
        <f aca="false">IF($U2044=1,$G2044-$H2044,MAX($G2044-$H2044,ABS($G2044-$I2043),ABS($H2044-$I2043)))</f>
        <v>253</v>
      </c>
      <c r="AB2044" s="48" t="n">
        <f aca="false">IF($U2044&gt;=ATR_PER,AVERAGE(INDEX($AA$1924:$AA2044,122-ATR_PER):$AA2044),"")</f>
        <v>545.714285714286</v>
      </c>
      <c r="AC2044" s="48" t="n">
        <f aca="false">$O2044-$P2044</f>
        <v>37556776</v>
      </c>
      <c r="AD2044" s="48" t="n">
        <f aca="false">$AC2044*$I2044</f>
        <v>468107656064</v>
      </c>
      <c r="AE2044" s="49" t="n">
        <f aca="false">IF($Q2044&gt;0,$O2044*$I2044/$Q2044/1000000,"")</f>
        <v>451.641338056611</v>
      </c>
      <c r="AF2044" s="49" t="n">
        <f aca="false">IF($R2044&gt;0,$P2044*$I2044/$R2044/1000000,"")</f>
        <v>308.12709189916</v>
      </c>
      <c r="AG2044" s="50" t="n">
        <f aca="false">IF(AND(ISNUMBER($AE2044),ISNUMBER($AF2044),$AF2044&gt;0),$AE2044/$AF2044,"")</f>
        <v>1.46576315400536</v>
      </c>
      <c r="AH2044" s="48" t="n">
        <f aca="false">IF($U2044&gt;=5,SUM(INDEX($AD$2014:$AD2044,32-5):$AD2044),"")</f>
        <v>729624123251</v>
      </c>
      <c r="AI2044" s="48" t="n">
        <f aca="false">IF($U2044&gt;=STRUCT_S,MAX(INDEX($G$1894:$G2044,152-STRUCT_S):$G2044),"")</f>
        <v>15439</v>
      </c>
      <c r="AJ2044" s="48" t="n">
        <f aca="false">IF($U2044&gt;=STRUCT_S,MIN(INDEX($H$1894:$H2044,152-STRUCT_S):$H2044),"")</f>
        <v>12406</v>
      </c>
      <c r="AK2044" s="48" t="n">
        <f aca="false">IF($U2044&gt;=STRUCT_L,MAX(INDEX($G$1794:$G2044,252-STRUCT_L):$G2044),"")</f>
        <v>16096</v>
      </c>
      <c r="AL2044" s="48" t="n">
        <f aca="false">IF($U2044&gt;=STRUCT_L,MIN(INDEX($H$1794:$H2044,252-STRUCT_L):$H2044),"")</f>
        <v>12406</v>
      </c>
      <c r="AM2044" s="46" t="n">
        <f aca="false">IF($A2044&lt;&gt;$A2045,1,0)</f>
        <v>0</v>
      </c>
      <c r="AN2044" s="47" t="str">
        <f aca="false">IF($AM2044=1,$A2044,"")</f>
        <v/>
      </c>
    </row>
    <row r="2045" customFormat="false" ht="15" hidden="false" customHeight="false" outlineLevel="0" collapsed="false">
      <c r="A2045" s="43" t="s">
        <v>167</v>
      </c>
      <c r="B2045" s="44" t="s">
        <v>169</v>
      </c>
      <c r="C2045" s="45" t="n">
        <v>46214</v>
      </c>
      <c r="D2045" s="46" t="n">
        <v>20260711</v>
      </c>
      <c r="E2045" s="47" t="s">
        <v>508</v>
      </c>
      <c r="F2045" s="48" t="n">
        <v>12566</v>
      </c>
      <c r="G2045" s="48" t="n">
        <v>12667</v>
      </c>
      <c r="H2045" s="48" t="n">
        <v>12287</v>
      </c>
      <c r="I2045" s="48" t="n">
        <v>12490</v>
      </c>
      <c r="J2045" s="48" t="n">
        <v>12387</v>
      </c>
      <c r="K2045" s="48" t="n">
        <v>12464</v>
      </c>
      <c r="L2045" s="48" t="n">
        <v>108772832</v>
      </c>
      <c r="M2045" s="48" t="n">
        <v>1358572671680</v>
      </c>
      <c r="N2045" s="48" t="n">
        <v>6345</v>
      </c>
      <c r="O2045" s="48" t="n">
        <v>64468308</v>
      </c>
      <c r="P2045" s="48" t="n">
        <v>47865436</v>
      </c>
      <c r="Q2045" s="48" t="n">
        <v>2073</v>
      </c>
      <c r="R2045" s="48" t="n">
        <v>2935</v>
      </c>
      <c r="S2045" s="48" t="n">
        <v>44304524</v>
      </c>
      <c r="T2045" s="48" t="n">
        <v>60907396</v>
      </c>
      <c r="U2045" s="46" t="n">
        <f aca="false">IF($A2045=$A2044,$U2044+1,1)</f>
        <v>221</v>
      </c>
      <c r="V2045" s="48" t="n">
        <f aca="false">IF($U2045&gt;=MA_SHORT,AVERAGE(INDEX($I$1645:$I2045,402-MA_SHORT):$I2045),"")</f>
        <v>13919.65</v>
      </c>
      <c r="W2045" s="48" t="n">
        <f aca="false">IF($U2045&gt;=MA_MED,AVERAGE(INDEX($I$1645:$I2045,402-MA_MED):$I2045),"")</f>
        <v>14667.62</v>
      </c>
      <c r="X2045" s="48" t="n">
        <f aca="false">IF($U2045&gt;=MA_LONG1,AVERAGE(INDEX($I$1645:$I2045,402-MA_LONG1):$I2045),"")</f>
        <v>14256.98</v>
      </c>
      <c r="Y2045" s="48" t="n">
        <f aca="false">IF($U2045&gt;=MA_LONG2,AVERAGE(INDEX($I$1645:$I2045,402-MA_LONG2):$I2045),"")</f>
        <v>13323.81</v>
      </c>
      <c r="Z2045" s="48" t="n">
        <f aca="false">IF($U2045&gt;=MA_SHORT,AVERAGE(INDEX($L$1925:$L2045,122-MA_SHORT):$L2045),"")</f>
        <v>99802591.05</v>
      </c>
      <c r="AA2045" s="48" t="n">
        <f aca="false">IF($U2045=1,$G2045-$H2045,MAX($G2045-$H2045,ABS($G2045-$I2044),ABS($H2045-$I2044)))</f>
        <v>380</v>
      </c>
      <c r="AB2045" s="48" t="n">
        <f aca="false">IF($U2045&gt;=ATR_PER,AVERAGE(INDEX($AA$1925:$AA2045,122-ATR_PER):$AA2045),"")</f>
        <v>514.571428571429</v>
      </c>
      <c r="AC2045" s="48" t="n">
        <f aca="false">$O2045-$P2045</f>
        <v>16602872</v>
      </c>
      <c r="AD2045" s="48" t="n">
        <f aca="false">$AC2045*$I2045</f>
        <v>207369871280</v>
      </c>
      <c r="AE2045" s="49" t="n">
        <f aca="false">IF($Q2045&gt;0,$O2045*$I2045/$Q2045/1000000,"")</f>
        <v>388.426998031838</v>
      </c>
      <c r="AF2045" s="49" t="n">
        <f aca="false">IF($R2045&gt;0,$P2045*$I2045/$R2045/1000000,"")</f>
        <v>203.693116061329</v>
      </c>
      <c r="AG2045" s="50" t="n">
        <f aca="false">IF(AND(ISNUMBER($AE2045),ISNUMBER($AF2045),$AF2045&gt;0),$AE2045/$AF2045,"")</f>
        <v>1.90692255851636</v>
      </c>
      <c r="AH2045" s="48" t="n">
        <f aca="false">IF($U2045&gt;=5,SUM(INDEX($AD$2015:$AD2045,32-5):$AD2045),"")</f>
        <v>768561619199</v>
      </c>
      <c r="AI2045" s="48" t="n">
        <f aca="false">IF($U2045&gt;=STRUCT_S,MAX(INDEX($G$1895:$G2045,152-STRUCT_S):$G2045),"")</f>
        <v>15439</v>
      </c>
      <c r="AJ2045" s="48" t="n">
        <f aca="false">IF($U2045&gt;=STRUCT_S,MIN(INDEX($H$1895:$H2045,152-STRUCT_S):$H2045),"")</f>
        <v>12287</v>
      </c>
      <c r="AK2045" s="48" t="n">
        <f aca="false">IF($U2045&gt;=STRUCT_L,MAX(INDEX($G$1795:$G2045,252-STRUCT_L):$G2045),"")</f>
        <v>16096</v>
      </c>
      <c r="AL2045" s="48" t="n">
        <f aca="false">IF($U2045&gt;=STRUCT_L,MIN(INDEX($H$1795:$H2045,252-STRUCT_L):$H2045),"")</f>
        <v>12287</v>
      </c>
      <c r="AM2045" s="46" t="n">
        <f aca="false">IF($A2045&lt;&gt;$A2046,1,0)</f>
        <v>0</v>
      </c>
      <c r="AN2045" s="47" t="str">
        <f aca="false">IF($AM2045=1,$A2045,"")</f>
        <v/>
      </c>
    </row>
    <row r="2046" customFormat="false" ht="15" hidden="false" customHeight="false" outlineLevel="0" collapsed="false">
      <c r="A2046" s="43" t="s">
        <v>167</v>
      </c>
      <c r="B2046" s="44" t="s">
        <v>169</v>
      </c>
      <c r="C2046" s="45" t="n">
        <v>46215</v>
      </c>
      <c r="D2046" s="46" t="n">
        <v>20260712</v>
      </c>
      <c r="E2046" s="47" t="s">
        <v>509</v>
      </c>
      <c r="F2046" s="48" t="n">
        <v>12554</v>
      </c>
      <c r="G2046" s="48" t="n">
        <v>12816</v>
      </c>
      <c r="H2046" s="48" t="n">
        <v>12447</v>
      </c>
      <c r="I2046" s="48" t="n">
        <v>12772</v>
      </c>
      <c r="J2046" s="48" t="n">
        <v>12576</v>
      </c>
      <c r="K2046" s="48" t="n">
        <v>12490</v>
      </c>
      <c r="L2046" s="48" t="n">
        <v>90314436</v>
      </c>
      <c r="M2046" s="48" t="n">
        <v>1153495976592</v>
      </c>
      <c r="N2046" s="48" t="n">
        <v>7058</v>
      </c>
      <c r="O2046" s="48" t="n">
        <v>59860659</v>
      </c>
      <c r="P2046" s="48" t="n">
        <v>28263165</v>
      </c>
      <c r="Q2046" s="48" t="n">
        <v>2312</v>
      </c>
      <c r="R2046" s="48" t="n">
        <v>5018</v>
      </c>
      <c r="S2046" s="48" t="n">
        <v>30453777</v>
      </c>
      <c r="T2046" s="48" t="n">
        <v>62051271</v>
      </c>
      <c r="U2046" s="46" t="n">
        <f aca="false">IF($A2046=$A2045,$U2045+1,1)</f>
        <v>222</v>
      </c>
      <c r="V2046" s="48" t="n">
        <f aca="false">IF($U2046&gt;=MA_SHORT,AVERAGE(INDEX($I$1646:$I2046,402-MA_SHORT):$I2046),"")</f>
        <v>13801.45</v>
      </c>
      <c r="W2046" s="48" t="n">
        <f aca="false">IF($U2046&gt;=MA_MED,AVERAGE(INDEX($I$1646:$I2046,402-MA_MED):$I2046),"")</f>
        <v>14631.92</v>
      </c>
      <c r="X2046" s="48" t="n">
        <f aca="false">IF($U2046&gt;=MA_LONG1,AVERAGE(INDEX($I$1646:$I2046,402-MA_LONG1):$I2046),"")</f>
        <v>14254.95</v>
      </c>
      <c r="Y2046" s="48" t="n">
        <f aca="false">IF($U2046&gt;=MA_LONG2,AVERAGE(INDEX($I$1646:$I2046,402-MA_LONG2):$I2046),"")</f>
        <v>13325.595</v>
      </c>
      <c r="Z2046" s="48" t="n">
        <f aca="false">IF($U2046&gt;=MA_SHORT,AVERAGE(INDEX($L$1926:$L2046,122-MA_SHORT):$L2046),"")</f>
        <v>100172289.4</v>
      </c>
      <c r="AA2046" s="48" t="n">
        <f aca="false">IF($U2046=1,$G2046-$H2046,MAX($G2046-$H2046,ABS($G2046-$I2045),ABS($H2046-$I2045)))</f>
        <v>369</v>
      </c>
      <c r="AB2046" s="48" t="n">
        <f aca="false">IF($U2046&gt;=ATR_PER,AVERAGE(INDEX($AA$1926:$AA2046,122-ATR_PER):$AA2046),"")</f>
        <v>453.571428571429</v>
      </c>
      <c r="AC2046" s="48" t="n">
        <f aca="false">$O2046-$P2046</f>
        <v>31597494</v>
      </c>
      <c r="AD2046" s="48" t="n">
        <f aca="false">$AC2046*$I2046</f>
        <v>403563193368</v>
      </c>
      <c r="AE2046" s="49" t="n">
        <f aca="false">IF($Q2046&gt;0,$O2046*$I2046/$Q2046/1000000,"")</f>
        <v>330.683536655709</v>
      </c>
      <c r="AF2046" s="49" t="n">
        <f aca="false">IF($R2046&gt;0,$P2046*$I2046/$R2046/1000000,"")</f>
        <v>71.9364574292547</v>
      </c>
      <c r="AG2046" s="50" t="n">
        <f aca="false">IF(AND(ISNUMBER($AE2046),ISNUMBER($AF2046),$AF2046&gt;0),$AE2046/$AF2046,"")</f>
        <v>4.59688381209093</v>
      </c>
      <c r="AH2046" s="48" t="n">
        <f aca="false">IF($U2046&gt;=5,SUM(INDEX($AD$2016:$AD2046,32-5):$AD2046),"")</f>
        <v>1362828374959</v>
      </c>
      <c r="AI2046" s="48" t="n">
        <f aca="false">IF($U2046&gt;=STRUCT_S,MAX(INDEX($G$1896:$G2046,152-STRUCT_S):$G2046),"")</f>
        <v>15285</v>
      </c>
      <c r="AJ2046" s="48" t="n">
        <f aca="false">IF($U2046&gt;=STRUCT_S,MIN(INDEX($H$1896:$H2046,152-STRUCT_S):$H2046),"")</f>
        <v>12287</v>
      </c>
      <c r="AK2046" s="48" t="n">
        <f aca="false">IF($U2046&gt;=STRUCT_L,MAX(INDEX($G$1796:$G2046,252-STRUCT_L):$G2046),"")</f>
        <v>16096</v>
      </c>
      <c r="AL2046" s="48" t="n">
        <f aca="false">IF($U2046&gt;=STRUCT_L,MIN(INDEX($H$1796:$H2046,252-STRUCT_L):$H2046),"")</f>
        <v>12287</v>
      </c>
      <c r="AM2046" s="46" t="n">
        <f aca="false">IF($A2046&lt;&gt;$A2047,1,0)</f>
        <v>0</v>
      </c>
      <c r="AN2046" s="47" t="str">
        <f aca="false">IF($AM2046=1,$A2046,"")</f>
        <v/>
      </c>
    </row>
    <row r="2047" customFormat="false" ht="15" hidden="false" customHeight="false" outlineLevel="0" collapsed="false">
      <c r="A2047" s="43" t="s">
        <v>167</v>
      </c>
      <c r="B2047" s="44" t="s">
        <v>169</v>
      </c>
      <c r="C2047" s="45" t="n">
        <v>46216</v>
      </c>
      <c r="D2047" s="46" t="n">
        <v>20260713</v>
      </c>
      <c r="E2047" s="47" t="s">
        <v>510</v>
      </c>
      <c r="F2047" s="48" t="n">
        <v>12817</v>
      </c>
      <c r="G2047" s="48" t="n">
        <v>12933</v>
      </c>
      <c r="H2047" s="48" t="n">
        <v>12707</v>
      </c>
      <c r="I2047" s="48" t="n">
        <v>12867</v>
      </c>
      <c r="J2047" s="48" t="n">
        <v>12886</v>
      </c>
      <c r="K2047" s="48" t="n">
        <v>12772</v>
      </c>
      <c r="L2047" s="48" t="n">
        <v>83089120</v>
      </c>
      <c r="M2047" s="48" t="n">
        <v>1069107707040</v>
      </c>
      <c r="N2047" s="48" t="n">
        <v>4557</v>
      </c>
      <c r="O2047" s="48" t="n">
        <v>46703246</v>
      </c>
      <c r="P2047" s="48" t="n">
        <v>33701176</v>
      </c>
      <c r="Q2047" s="48" t="n">
        <v>935</v>
      </c>
      <c r="R2047" s="48" t="n">
        <v>3422</v>
      </c>
      <c r="S2047" s="48" t="n">
        <v>36385874</v>
      </c>
      <c r="T2047" s="48" t="n">
        <v>49387944</v>
      </c>
      <c r="U2047" s="46" t="n">
        <f aca="false">IF($A2047=$A2046,$U2046+1,1)</f>
        <v>223</v>
      </c>
      <c r="V2047" s="48" t="n">
        <f aca="false">IF($U2047&gt;=MA_SHORT,AVERAGE(INDEX($I$1647:$I2047,402-MA_SHORT):$I2047),"")</f>
        <v>13687.55</v>
      </c>
      <c r="W2047" s="48" t="n">
        <f aca="false">IF($U2047&gt;=MA_MED,AVERAGE(INDEX($I$1647:$I2047,402-MA_MED):$I2047),"")</f>
        <v>14598.36</v>
      </c>
      <c r="X2047" s="48" t="n">
        <f aca="false">IF($U2047&gt;=MA_LONG1,AVERAGE(INDEX($I$1647:$I2047,402-MA_LONG1):$I2047),"")</f>
        <v>14256.15</v>
      </c>
      <c r="Y2047" s="48" t="n">
        <f aca="false">IF($U2047&gt;=MA_LONG2,AVERAGE(INDEX($I$1647:$I2047,402-MA_LONG2):$I2047),"")</f>
        <v>13327.825</v>
      </c>
      <c r="Z2047" s="48" t="n">
        <f aca="false">IF($U2047&gt;=MA_SHORT,AVERAGE(INDEX($L$1927:$L2047,122-MA_SHORT):$L2047),"")</f>
        <v>99399901.35</v>
      </c>
      <c r="AA2047" s="48" t="n">
        <f aca="false">IF($U2047=1,$G2047-$H2047,MAX($G2047-$H2047,ABS($G2047-$I2046),ABS($H2047-$I2046)))</f>
        <v>226</v>
      </c>
      <c r="AB2047" s="48" t="n">
        <f aca="false">IF($U2047&gt;=ATR_PER,AVERAGE(INDEX($AA$1927:$AA2047,122-ATR_PER):$AA2047),"")</f>
        <v>406.214285714286</v>
      </c>
      <c r="AC2047" s="48" t="n">
        <f aca="false">$O2047-$P2047</f>
        <v>13002070</v>
      </c>
      <c r="AD2047" s="48" t="n">
        <f aca="false">$AC2047*$I2047</f>
        <v>167297634690</v>
      </c>
      <c r="AE2047" s="49" t="n">
        <f aca="false">IF($Q2047&gt;0,$O2047*$I2047/$Q2047/1000000,"")</f>
        <v>642.706594954011</v>
      </c>
      <c r="AF2047" s="49" t="n">
        <f aca="false">IF($R2047&gt;0,$P2047*$I2047/$R2047/1000000,"")</f>
        <v>126.719179308007</v>
      </c>
      <c r="AG2047" s="50" t="n">
        <f aca="false">IF(AND(ISNUMBER($AE2047),ISNUMBER($AF2047),$AF2047&gt;0),$AE2047/$AF2047,"")</f>
        <v>5.07189675993585</v>
      </c>
      <c r="AH2047" s="48" t="n">
        <f aca="false">IF($U2047&gt;=5,SUM(INDEX($AD$2017:$AD2047,32-5):$AD2047),"")</f>
        <v>1369550303352</v>
      </c>
      <c r="AI2047" s="48" t="n">
        <f aca="false">IF($U2047&gt;=STRUCT_S,MAX(INDEX($G$1897:$G2047,152-STRUCT_S):$G2047),"")</f>
        <v>15285</v>
      </c>
      <c r="AJ2047" s="48" t="n">
        <f aca="false">IF($U2047&gt;=STRUCT_S,MIN(INDEX($H$1897:$H2047,152-STRUCT_S):$H2047),"")</f>
        <v>12287</v>
      </c>
      <c r="AK2047" s="48" t="n">
        <f aca="false">IF($U2047&gt;=STRUCT_L,MAX(INDEX($G$1797:$G2047,252-STRUCT_L):$G2047),"")</f>
        <v>16096</v>
      </c>
      <c r="AL2047" s="48" t="n">
        <f aca="false">IF($U2047&gt;=STRUCT_L,MIN(INDEX($H$1797:$H2047,252-STRUCT_L):$H2047),"")</f>
        <v>12287</v>
      </c>
      <c r="AM2047" s="46" t="n">
        <f aca="false">IF($A2047&lt;&gt;$A2048,1,0)</f>
        <v>0</v>
      </c>
      <c r="AN2047" s="47" t="str">
        <f aca="false">IF($AM2047=1,$A2047,"")</f>
        <v/>
      </c>
    </row>
    <row r="2048" customFormat="false" ht="15" hidden="false" customHeight="false" outlineLevel="0" collapsed="false">
      <c r="A2048" s="43" t="s">
        <v>167</v>
      </c>
      <c r="B2048" s="44" t="s">
        <v>169</v>
      </c>
      <c r="C2048" s="45" t="n">
        <v>46217</v>
      </c>
      <c r="D2048" s="46" t="n">
        <v>20260714</v>
      </c>
      <c r="E2048" s="47" t="s">
        <v>511</v>
      </c>
      <c r="F2048" s="48" t="n">
        <v>12594</v>
      </c>
      <c r="G2048" s="48" t="n">
        <v>13055</v>
      </c>
      <c r="H2048" s="48" t="n">
        <v>12541</v>
      </c>
      <c r="I2048" s="48" t="n">
        <v>12727</v>
      </c>
      <c r="J2048" s="48" t="n">
        <v>12591</v>
      </c>
      <c r="K2048" s="48" t="n">
        <v>12867</v>
      </c>
      <c r="L2048" s="48" t="n">
        <v>144987633</v>
      </c>
      <c r="M2048" s="48" t="n">
        <v>1845257605191</v>
      </c>
      <c r="N2048" s="48" t="n">
        <v>3228</v>
      </c>
      <c r="O2048" s="48" t="n">
        <v>89281675</v>
      </c>
      <c r="P2048" s="48" t="n">
        <v>62825712</v>
      </c>
      <c r="Q2048" s="48" t="n">
        <v>2257</v>
      </c>
      <c r="R2048" s="48" t="n">
        <v>1148</v>
      </c>
      <c r="S2048" s="48" t="n">
        <v>55705958</v>
      </c>
      <c r="T2048" s="48" t="n">
        <v>82161921</v>
      </c>
      <c r="U2048" s="46" t="n">
        <f aca="false">IF($A2048=$A2047,$U2047+1,1)</f>
        <v>224</v>
      </c>
      <c r="V2048" s="48" t="n">
        <f aca="false">IF($U2048&gt;=MA_SHORT,AVERAGE(INDEX($I$1648:$I2048,402-MA_SHORT):$I2048),"")</f>
        <v>13567.45</v>
      </c>
      <c r="W2048" s="48" t="n">
        <f aca="false">IF($U2048&gt;=MA_MED,AVERAGE(INDEX($I$1648:$I2048,402-MA_MED):$I2048),"")</f>
        <v>14558.7</v>
      </c>
      <c r="X2048" s="48" t="n">
        <f aca="false">IF($U2048&gt;=MA_LONG1,AVERAGE(INDEX($I$1648:$I2048,402-MA_LONG1):$I2048),"")</f>
        <v>14259.75</v>
      </c>
      <c r="Y2048" s="48" t="n">
        <f aca="false">IF($U2048&gt;=MA_LONG2,AVERAGE(INDEX($I$1648:$I2048,402-MA_LONG2):$I2048),"")</f>
        <v>13329.555</v>
      </c>
      <c r="Z2048" s="48" t="n">
        <f aca="false">IF($U2048&gt;=MA_SHORT,AVERAGE(INDEX($L$1928:$L2048,122-MA_SHORT):$L2048),"")</f>
        <v>102647105.75</v>
      </c>
      <c r="AA2048" s="48" t="n">
        <f aca="false">IF($U2048=1,$G2048-$H2048,MAX($G2048-$H2048,ABS($G2048-$I2047),ABS($H2048-$I2047)))</f>
        <v>514</v>
      </c>
      <c r="AB2048" s="48" t="n">
        <f aca="false">IF($U2048&gt;=ATR_PER,AVERAGE(INDEX($AA$1928:$AA2048,122-ATR_PER):$AA2048),"")</f>
        <v>388.5</v>
      </c>
      <c r="AC2048" s="48" t="n">
        <f aca="false">$O2048-$P2048</f>
        <v>26455963</v>
      </c>
      <c r="AD2048" s="48" t="n">
        <f aca="false">$AC2048*$I2048</f>
        <v>336705041101</v>
      </c>
      <c r="AE2048" s="49" t="n">
        <f aca="false">IF($Q2048&gt;0,$O2048*$I2048/$Q2048/1000000,"")</f>
        <v>503.450543963226</v>
      </c>
      <c r="AF2048" s="49" t="n">
        <f aca="false">IF($R2048&gt;0,$P2048*$I2048/$R2048/1000000,"")</f>
        <v>696.500728766551</v>
      </c>
      <c r="AG2048" s="50" t="n">
        <f aca="false">IF(AND(ISNUMBER($AE2048),ISNUMBER($AF2048),$AF2048&gt;0),$AE2048/$AF2048,"")</f>
        <v>0.722828452534139</v>
      </c>
      <c r="AH2048" s="48" t="n">
        <f aca="false">IF($U2048&gt;=5,SUM(INDEX($AD$2018:$AD2048,32-5):$AD2048),"")</f>
        <v>1583043396503</v>
      </c>
      <c r="AI2048" s="48" t="n">
        <f aca="false">IF($U2048&gt;=STRUCT_S,MAX(INDEX($G$1898:$G2048,152-STRUCT_S):$G2048),"")</f>
        <v>15285</v>
      </c>
      <c r="AJ2048" s="48" t="n">
        <f aca="false">IF($U2048&gt;=STRUCT_S,MIN(INDEX($H$1898:$H2048,152-STRUCT_S):$H2048),"")</f>
        <v>12287</v>
      </c>
      <c r="AK2048" s="48" t="n">
        <f aca="false">IF($U2048&gt;=STRUCT_L,MAX(INDEX($G$1798:$G2048,252-STRUCT_L):$G2048),"")</f>
        <v>16096</v>
      </c>
      <c r="AL2048" s="48" t="n">
        <f aca="false">IF($U2048&gt;=STRUCT_L,MIN(INDEX($H$1798:$H2048,252-STRUCT_L):$H2048),"")</f>
        <v>12287</v>
      </c>
      <c r="AM2048" s="46" t="n">
        <f aca="false">IF($A2048&lt;&gt;$A2049,1,0)</f>
        <v>0</v>
      </c>
      <c r="AN2048" s="47" t="str">
        <f aca="false">IF($AM2048=1,$A2048,"")</f>
        <v/>
      </c>
    </row>
    <row r="2049" customFormat="false" ht="15" hidden="false" customHeight="false" outlineLevel="0" collapsed="false">
      <c r="A2049" s="43" t="s">
        <v>167</v>
      </c>
      <c r="B2049" s="44" t="s">
        <v>169</v>
      </c>
      <c r="C2049" s="45" t="n">
        <v>46218</v>
      </c>
      <c r="D2049" s="46" t="n">
        <v>20260715</v>
      </c>
      <c r="E2049" s="47" t="s">
        <v>512</v>
      </c>
      <c r="F2049" s="48" t="n">
        <v>12692</v>
      </c>
      <c r="G2049" s="48" t="n">
        <v>13070</v>
      </c>
      <c r="H2049" s="48" t="n">
        <v>12474</v>
      </c>
      <c r="I2049" s="48" t="n">
        <v>12815</v>
      </c>
      <c r="J2049" s="48" t="n">
        <v>12830</v>
      </c>
      <c r="K2049" s="48" t="n">
        <v>12727</v>
      </c>
      <c r="L2049" s="48" t="n">
        <v>86635771</v>
      </c>
      <c r="M2049" s="48" t="n">
        <v>1110237405365</v>
      </c>
      <c r="N2049" s="48" t="n">
        <v>5705</v>
      </c>
      <c r="O2049" s="48" t="n">
        <v>56048958</v>
      </c>
      <c r="P2049" s="48" t="n">
        <v>38057188</v>
      </c>
      <c r="Q2049" s="48" t="n">
        <v>1195</v>
      </c>
      <c r="R2049" s="48" t="n">
        <v>3883</v>
      </c>
      <c r="S2049" s="48" t="n">
        <v>30586813</v>
      </c>
      <c r="T2049" s="48" t="n">
        <v>48578583</v>
      </c>
      <c r="U2049" s="46" t="n">
        <f aca="false">IF($A2049=$A2048,$U2048+1,1)</f>
        <v>225</v>
      </c>
      <c r="V2049" s="48" t="n">
        <f aca="false">IF($U2049&gt;=MA_SHORT,AVERAGE(INDEX($I$1649:$I2049,402-MA_SHORT):$I2049),"")</f>
        <v>13448.7</v>
      </c>
      <c r="W2049" s="48" t="n">
        <f aca="false">IF($U2049&gt;=MA_MED,AVERAGE(INDEX($I$1649:$I2049,402-MA_MED):$I2049),"")</f>
        <v>14525.12</v>
      </c>
      <c r="X2049" s="48" t="n">
        <f aca="false">IF($U2049&gt;=MA_LONG1,AVERAGE(INDEX($I$1649:$I2049,402-MA_LONG1):$I2049),"")</f>
        <v>14264.45</v>
      </c>
      <c r="Y2049" s="48" t="n">
        <f aca="false">IF($U2049&gt;=MA_LONG2,AVERAGE(INDEX($I$1649:$I2049,402-MA_LONG2):$I2049),"")</f>
        <v>13333.92</v>
      </c>
      <c r="Z2049" s="48" t="n">
        <f aca="false">IF($U2049&gt;=MA_SHORT,AVERAGE(INDEX($L$1929:$L2049,122-MA_SHORT):$L2049),"")</f>
        <v>102905715.35</v>
      </c>
      <c r="AA2049" s="48" t="n">
        <f aca="false">IF($U2049=1,$G2049-$H2049,MAX($G2049-$H2049,ABS($G2049-$I2048),ABS($H2049-$I2048)))</f>
        <v>596</v>
      </c>
      <c r="AB2049" s="48" t="n">
        <f aca="false">IF($U2049&gt;=ATR_PER,AVERAGE(INDEX($AA$1929:$AA2049,122-ATR_PER):$AA2049),"")</f>
        <v>405.071428571429</v>
      </c>
      <c r="AC2049" s="48" t="n">
        <f aca="false">$O2049-$P2049</f>
        <v>17991770</v>
      </c>
      <c r="AD2049" s="48" t="n">
        <f aca="false">$AC2049*$I2049</f>
        <v>230564532550</v>
      </c>
      <c r="AE2049" s="49" t="n">
        <f aca="false">IF($Q2049&gt;0,$O2049*$I2049/$Q2049/1000000,"")</f>
        <v>601.06058307113</v>
      </c>
      <c r="AF2049" s="49" t="n">
        <f aca="false">IF($R2049&gt;0,$P2049*$I2049/$R2049/1000000,"")</f>
        <v>125.599501473088</v>
      </c>
      <c r="AG2049" s="50" t="n">
        <f aca="false">IF(AND(ISNUMBER($AE2049),ISNUMBER($AF2049),$AF2049&gt;0),$AE2049/$AF2049,"")</f>
        <v>4.78553319098897</v>
      </c>
      <c r="AH2049" s="48" t="n">
        <f aca="false">IF($U2049&gt;=5,SUM(INDEX($AD$2019:$AD2049,32-5):$AD2049),"")</f>
        <v>1345500272989</v>
      </c>
      <c r="AI2049" s="48" t="n">
        <f aca="false">IF($U2049&gt;=STRUCT_S,MAX(INDEX($G$1899:$G2049,152-STRUCT_S):$G2049),"")</f>
        <v>15263</v>
      </c>
      <c r="AJ2049" s="48" t="n">
        <f aca="false">IF($U2049&gt;=STRUCT_S,MIN(INDEX($H$1899:$H2049,152-STRUCT_S):$H2049),"")</f>
        <v>12287</v>
      </c>
      <c r="AK2049" s="48" t="n">
        <f aca="false">IF($U2049&gt;=STRUCT_L,MAX(INDEX($G$1799:$G2049,252-STRUCT_L):$G2049),"")</f>
        <v>16096</v>
      </c>
      <c r="AL2049" s="48" t="n">
        <f aca="false">IF($U2049&gt;=STRUCT_L,MIN(INDEX($H$1799:$H2049,252-STRUCT_L):$H2049),"")</f>
        <v>12287</v>
      </c>
      <c r="AM2049" s="46" t="n">
        <f aca="false">IF($A2049&lt;&gt;$A2050,1,0)</f>
        <v>0</v>
      </c>
      <c r="AN2049" s="47" t="str">
        <f aca="false">IF($AM2049=1,$A2049,"")</f>
        <v/>
      </c>
    </row>
    <row r="2050" customFormat="false" ht="15" hidden="false" customHeight="false" outlineLevel="0" collapsed="false">
      <c r="A2050" s="43" t="s">
        <v>167</v>
      </c>
      <c r="B2050" s="44" t="s">
        <v>169</v>
      </c>
      <c r="C2050" s="45" t="n">
        <v>46221</v>
      </c>
      <c r="D2050" s="46" t="n">
        <v>20260718</v>
      </c>
      <c r="E2050" s="47" t="s">
        <v>513</v>
      </c>
      <c r="F2050" s="48" t="n">
        <v>12839</v>
      </c>
      <c r="G2050" s="48" t="n">
        <v>13083</v>
      </c>
      <c r="H2050" s="48" t="n">
        <v>12731</v>
      </c>
      <c r="I2050" s="48" t="n">
        <v>12998</v>
      </c>
      <c r="J2050" s="48" t="n">
        <v>12935</v>
      </c>
      <c r="K2050" s="48" t="n">
        <v>12815</v>
      </c>
      <c r="L2050" s="48" t="n">
        <v>128512986</v>
      </c>
      <c r="M2050" s="48" t="n">
        <v>1670411792028</v>
      </c>
      <c r="N2050" s="48" t="n">
        <v>3978</v>
      </c>
      <c r="O2050" s="48" t="n">
        <v>70059909</v>
      </c>
      <c r="P2050" s="48" t="n">
        <v>61635919</v>
      </c>
      <c r="Q2050" s="48" t="n">
        <v>1055</v>
      </c>
      <c r="R2050" s="48" t="n">
        <v>1949</v>
      </c>
      <c r="S2050" s="48" t="n">
        <v>58453077</v>
      </c>
      <c r="T2050" s="48" t="n">
        <v>66877067</v>
      </c>
      <c r="U2050" s="46" t="n">
        <f aca="false">IF($A2050=$A2049,$U2049+1,1)</f>
        <v>226</v>
      </c>
      <c r="V2050" s="48" t="n">
        <f aca="false">IF($U2050&gt;=MA_SHORT,AVERAGE(INDEX($I$1650:$I2050,402-MA_SHORT):$I2050),"")</f>
        <v>13357.85</v>
      </c>
      <c r="W2050" s="48" t="n">
        <f aca="false">IF($U2050&gt;=MA_MED,AVERAGE(INDEX($I$1650:$I2050,402-MA_MED):$I2050),"")</f>
        <v>14489.82</v>
      </c>
      <c r="X2050" s="48" t="n">
        <f aca="false">IF($U2050&gt;=MA_LONG1,AVERAGE(INDEX($I$1650:$I2050,402-MA_LONG1):$I2050),"")</f>
        <v>14267.8</v>
      </c>
      <c r="Y2050" s="48" t="n">
        <f aca="false">IF($U2050&gt;=MA_LONG2,AVERAGE(INDEX($I$1650:$I2050,402-MA_LONG2):$I2050),"")</f>
        <v>13338.48</v>
      </c>
      <c r="Z2050" s="48" t="n">
        <f aca="false">IF($U2050&gt;=MA_SHORT,AVERAGE(INDEX($L$1930:$L2050,122-MA_SHORT):$L2050),"")</f>
        <v>104765312.75</v>
      </c>
      <c r="AA2050" s="48" t="n">
        <f aca="false">IF($U2050=1,$G2050-$H2050,MAX($G2050-$H2050,ABS($G2050-$I2049),ABS($H2050-$I2049)))</f>
        <v>352</v>
      </c>
      <c r="AB2050" s="48" t="n">
        <f aca="false">IF($U2050&gt;=ATR_PER,AVERAGE(INDEX($AA$1930:$AA2050,122-ATR_PER):$AA2050),"")</f>
        <v>417</v>
      </c>
      <c r="AC2050" s="48" t="n">
        <f aca="false">$O2050-$P2050</f>
        <v>8423990</v>
      </c>
      <c r="AD2050" s="48" t="n">
        <f aca="false">$AC2050*$I2050</f>
        <v>109495022020</v>
      </c>
      <c r="AE2050" s="49" t="n">
        <f aca="false">IF($Q2050&gt;0,$O2050*$I2050/$Q2050/1000000,"")</f>
        <v>863.164641878673</v>
      </c>
      <c r="AF2050" s="49" t="n">
        <f aca="false">IF($R2050&gt;0,$P2050*$I2050/$R2050/1000000,"")</f>
        <v>411.053707112365</v>
      </c>
      <c r="AG2050" s="50" t="n">
        <f aca="false">IF(AND(ISNUMBER($AE2050),ISNUMBER($AF2050),$AF2050&gt;0),$AE2050/$AF2050,"")</f>
        <v>2.09988287891227</v>
      </c>
      <c r="AH2050" s="48" t="n">
        <f aca="false">IF($U2050&gt;=5,SUM(INDEX($AD$2020:$AD2050,32-5):$AD2050),"")</f>
        <v>1247625423729</v>
      </c>
      <c r="AI2050" s="48" t="n">
        <f aca="false">IF($U2050&gt;=STRUCT_S,MAX(INDEX($G$1900:$G2050,152-STRUCT_S):$G2050),"")</f>
        <v>15127</v>
      </c>
      <c r="AJ2050" s="48" t="n">
        <f aca="false">IF($U2050&gt;=STRUCT_S,MIN(INDEX($H$1900:$H2050,152-STRUCT_S):$H2050),"")</f>
        <v>12287</v>
      </c>
      <c r="AK2050" s="48" t="n">
        <f aca="false">IF($U2050&gt;=STRUCT_L,MAX(INDEX($G$1800:$G2050,252-STRUCT_L):$G2050),"")</f>
        <v>16096</v>
      </c>
      <c r="AL2050" s="48" t="n">
        <f aca="false">IF($U2050&gt;=STRUCT_L,MIN(INDEX($H$1800:$H2050,252-STRUCT_L):$H2050),"")</f>
        <v>12287</v>
      </c>
      <c r="AM2050" s="46" t="n">
        <f aca="false">IF($A2050&lt;&gt;$A2051,1,0)</f>
        <v>0</v>
      </c>
      <c r="AN2050" s="47" t="str">
        <f aca="false">IF($AM2050=1,$A2050,"")</f>
        <v/>
      </c>
    </row>
    <row r="2051" customFormat="false" ht="15" hidden="false" customHeight="false" outlineLevel="0" collapsed="false">
      <c r="A2051" s="43" t="s">
        <v>167</v>
      </c>
      <c r="B2051" s="44" t="s">
        <v>169</v>
      </c>
      <c r="C2051" s="45" t="n">
        <v>46222</v>
      </c>
      <c r="D2051" s="46" t="n">
        <v>20260719</v>
      </c>
      <c r="E2051" s="47" t="s">
        <v>514</v>
      </c>
      <c r="F2051" s="48" t="n">
        <v>13011</v>
      </c>
      <c r="G2051" s="48" t="n">
        <v>13174</v>
      </c>
      <c r="H2051" s="48" t="n">
        <v>12575</v>
      </c>
      <c r="I2051" s="48" t="n">
        <v>12748</v>
      </c>
      <c r="J2051" s="48" t="n">
        <v>13004</v>
      </c>
      <c r="K2051" s="48" t="n">
        <v>12998</v>
      </c>
      <c r="L2051" s="48" t="n">
        <v>88718399</v>
      </c>
      <c r="M2051" s="48" t="n">
        <v>1130982150452</v>
      </c>
      <c r="N2051" s="48" t="n">
        <v>6890</v>
      </c>
      <c r="O2051" s="48" t="n">
        <v>55863911</v>
      </c>
      <c r="P2051" s="48" t="n">
        <v>34443878</v>
      </c>
      <c r="Q2051" s="48" t="n">
        <v>2944</v>
      </c>
      <c r="R2051" s="48" t="n">
        <v>2625</v>
      </c>
      <c r="S2051" s="48" t="n">
        <v>32854488</v>
      </c>
      <c r="T2051" s="48" t="n">
        <v>54274521</v>
      </c>
      <c r="U2051" s="46" t="n">
        <f aca="false">IF($A2051=$A2050,$U2050+1,1)</f>
        <v>227</v>
      </c>
      <c r="V2051" s="48" t="n">
        <f aca="false">IF($U2051&gt;=MA_SHORT,AVERAGE(INDEX($I$1651:$I2051,402-MA_SHORT):$I2051),"")</f>
        <v>13264.3</v>
      </c>
      <c r="W2051" s="48" t="n">
        <f aca="false">IF($U2051&gt;=MA_MED,AVERAGE(INDEX($I$1651:$I2051,402-MA_MED):$I2051),"")</f>
        <v>14451.68</v>
      </c>
      <c r="X2051" s="48" t="n">
        <f aca="false">IF($U2051&gt;=MA_LONG1,AVERAGE(INDEX($I$1651:$I2051,402-MA_LONG1):$I2051),"")</f>
        <v>14265.64</v>
      </c>
      <c r="Y2051" s="48" t="n">
        <f aca="false">IF($U2051&gt;=MA_LONG2,AVERAGE(INDEX($I$1651:$I2051,402-MA_LONG2):$I2051),"")</f>
        <v>13343.725</v>
      </c>
      <c r="Z2051" s="48" t="n">
        <f aca="false">IF($U2051&gt;=MA_SHORT,AVERAGE(INDEX($L$1931:$L2051,122-MA_SHORT):$L2051),"")</f>
        <v>104584622.2</v>
      </c>
      <c r="AA2051" s="48" t="n">
        <f aca="false">IF($U2051=1,$G2051-$H2051,MAX($G2051-$H2051,ABS($G2051-$I2050),ABS($H2051-$I2050)))</f>
        <v>599</v>
      </c>
      <c r="AB2051" s="48" t="n">
        <f aca="false">IF($U2051&gt;=ATR_PER,AVERAGE(INDEX($AA$1931:$AA2051,122-ATR_PER):$AA2051),"")</f>
        <v>425.5</v>
      </c>
      <c r="AC2051" s="48" t="n">
        <f aca="false">$O2051-$P2051</f>
        <v>21420033</v>
      </c>
      <c r="AD2051" s="48" t="n">
        <f aca="false">$AC2051*$I2051</f>
        <v>273062580684</v>
      </c>
      <c r="AE2051" s="49" t="n">
        <f aca="false">IF($Q2051&gt;0,$O2051*$I2051/$Q2051/1000000,"")</f>
        <v>241.899842876359</v>
      </c>
      <c r="AF2051" s="49" t="n">
        <f aca="false">IF($R2051&gt;0,$P2051*$I2051/$R2051/1000000,"")</f>
        <v>167.272593045333</v>
      </c>
      <c r="AG2051" s="50" t="n">
        <f aca="false">IF(AND(ISNUMBER($AE2051),ISNUMBER($AF2051),$AF2051&gt;0),$AE2051/$AF2051,"")</f>
        <v>1.44614152547274</v>
      </c>
      <c r="AH2051" s="48" t="n">
        <f aca="false">IF($U2051&gt;=5,SUM(INDEX($AD$2021:$AD2051,32-5):$AD2051),"")</f>
        <v>1117124811045</v>
      </c>
      <c r="AI2051" s="48" t="n">
        <f aca="false">IF($U2051&gt;=STRUCT_S,MAX(INDEX($G$1901:$G2051,152-STRUCT_S):$G2051),"")</f>
        <v>15090</v>
      </c>
      <c r="AJ2051" s="48" t="n">
        <f aca="false">IF($U2051&gt;=STRUCT_S,MIN(INDEX($H$1901:$H2051,152-STRUCT_S):$H2051),"")</f>
        <v>12287</v>
      </c>
      <c r="AK2051" s="48" t="n">
        <f aca="false">IF($U2051&gt;=STRUCT_L,MAX(INDEX($G$1801:$G2051,252-STRUCT_L):$G2051),"")</f>
        <v>16096</v>
      </c>
      <c r="AL2051" s="48" t="n">
        <f aca="false">IF($U2051&gt;=STRUCT_L,MIN(INDEX($H$1801:$H2051,252-STRUCT_L):$H2051),"")</f>
        <v>12287</v>
      </c>
      <c r="AM2051" s="46" t="n">
        <f aca="false">IF($A2051&lt;&gt;$A2052,1,0)</f>
        <v>0</v>
      </c>
      <c r="AN2051" s="47" t="str">
        <f aca="false">IF($AM2051=1,$A2051,"")</f>
        <v/>
      </c>
    </row>
    <row r="2052" customFormat="false" ht="15" hidden="false" customHeight="false" outlineLevel="0" collapsed="false">
      <c r="A2052" s="43" t="s">
        <v>167</v>
      </c>
      <c r="B2052" s="44" t="s">
        <v>169</v>
      </c>
      <c r="C2052" s="45" t="n">
        <v>46223</v>
      </c>
      <c r="D2052" s="46" t="n">
        <v>20260720</v>
      </c>
      <c r="E2052" s="47" t="s">
        <v>515</v>
      </c>
      <c r="F2052" s="48" t="n">
        <v>12462</v>
      </c>
      <c r="G2052" s="48" t="n">
        <v>12946</v>
      </c>
      <c r="H2052" s="48" t="n">
        <v>12222</v>
      </c>
      <c r="I2052" s="48" t="n">
        <v>12415</v>
      </c>
      <c r="J2052" s="48" t="n">
        <v>12508</v>
      </c>
      <c r="K2052" s="48" t="n">
        <v>12748</v>
      </c>
      <c r="L2052" s="48" t="n">
        <v>92005609</v>
      </c>
      <c r="M2052" s="48" t="n">
        <v>1142249635735</v>
      </c>
      <c r="N2052" s="48" t="n">
        <v>2442</v>
      </c>
      <c r="O2052" s="48" t="n">
        <v>47610004</v>
      </c>
      <c r="P2052" s="48" t="n">
        <v>48470560</v>
      </c>
      <c r="Q2052" s="48" t="n">
        <v>1021</v>
      </c>
      <c r="R2052" s="48" t="n">
        <v>764</v>
      </c>
      <c r="S2052" s="48" t="n">
        <v>44395605</v>
      </c>
      <c r="T2052" s="48" t="n">
        <v>43535049</v>
      </c>
      <c r="U2052" s="46" t="n">
        <f aca="false">IF($A2052=$A2051,$U2051+1,1)</f>
        <v>228</v>
      </c>
      <c r="V2052" s="48" t="n">
        <f aca="false">IF($U2052&gt;=MA_SHORT,AVERAGE(INDEX($I$1652:$I2052,402-MA_SHORT):$I2052),"")</f>
        <v>13168.6</v>
      </c>
      <c r="W2052" s="48" t="n">
        <f aca="false">IF($U2052&gt;=MA_MED,AVERAGE(INDEX($I$1652:$I2052,402-MA_MED):$I2052),"")</f>
        <v>14409.28</v>
      </c>
      <c r="X2052" s="48" t="n">
        <f aca="false">IF($U2052&gt;=MA_LONG1,AVERAGE(INDEX($I$1652:$I2052,402-MA_LONG1):$I2052),"")</f>
        <v>14257.46</v>
      </c>
      <c r="Y2052" s="48" t="n">
        <f aca="false">IF($U2052&gt;=MA_LONG2,AVERAGE(INDEX($I$1652:$I2052,402-MA_LONG2):$I2052),"")</f>
        <v>13345.65</v>
      </c>
      <c r="Z2052" s="48" t="n">
        <f aca="false">IF($U2052&gt;=MA_SHORT,AVERAGE(INDEX($L$1932:$L2052,122-MA_SHORT):$L2052),"")</f>
        <v>102529629.95</v>
      </c>
      <c r="AA2052" s="48" t="n">
        <f aca="false">IF($U2052=1,$G2052-$H2052,MAX($G2052-$H2052,ABS($G2052-$I2051),ABS($H2052-$I2051)))</f>
        <v>724</v>
      </c>
      <c r="AB2052" s="48" t="n">
        <f aca="false">IF($U2052&gt;=ATR_PER,AVERAGE(INDEX($AA$1932:$AA2052,122-ATR_PER):$AA2052),"")</f>
        <v>450.928571428571</v>
      </c>
      <c r="AC2052" s="48" t="n">
        <f aca="false">$O2052-$P2052</f>
        <v>-860556</v>
      </c>
      <c r="AD2052" s="48" t="n">
        <f aca="false">$AC2052*$I2052</f>
        <v>-10683802740</v>
      </c>
      <c r="AE2052" s="49" t="n">
        <f aca="false">IF($Q2052&gt;0,$O2052*$I2052/$Q2052/1000000,"")</f>
        <v>578.920861567091</v>
      </c>
      <c r="AF2052" s="49" t="n">
        <f aca="false">IF($R2052&gt;0,$P2052*$I2052/$R2052/1000000,"")</f>
        <v>787.6466</v>
      </c>
      <c r="AG2052" s="50" t="n">
        <f aca="false">IF(AND(ISNUMBER($AE2052),ISNUMBER($AF2052),$AF2052&gt;0),$AE2052/$AF2052,"")</f>
        <v>0.735000775178984</v>
      </c>
      <c r="AH2052" s="48" t="n">
        <f aca="false">IF($U2052&gt;=5,SUM(INDEX($AD$2022:$AD2052,32-5):$AD2052),"")</f>
        <v>939143373615</v>
      </c>
      <c r="AI2052" s="48" t="n">
        <f aca="false">IF($U2052&gt;=STRUCT_S,MAX(INDEX($G$1902:$G2052,152-STRUCT_S):$G2052),"")</f>
        <v>14822</v>
      </c>
      <c r="AJ2052" s="48" t="n">
        <f aca="false">IF($U2052&gt;=STRUCT_S,MIN(INDEX($H$1902:$H2052,152-STRUCT_S):$H2052),"")</f>
        <v>12222</v>
      </c>
      <c r="AK2052" s="48" t="n">
        <f aca="false">IF($U2052&gt;=STRUCT_L,MAX(INDEX($G$1802:$G2052,252-STRUCT_L):$G2052),"")</f>
        <v>16096</v>
      </c>
      <c r="AL2052" s="48" t="n">
        <f aca="false">IF($U2052&gt;=STRUCT_L,MIN(INDEX($H$1802:$H2052,252-STRUCT_L):$H2052),"")</f>
        <v>12222</v>
      </c>
      <c r="AM2052" s="46" t="n">
        <f aca="false">IF($A2052&lt;&gt;$A2053,1,0)</f>
        <v>0</v>
      </c>
      <c r="AN2052" s="47" t="str">
        <f aca="false">IF($AM2052=1,$A2052,"")</f>
        <v/>
      </c>
    </row>
    <row r="2053" customFormat="false" ht="15" hidden="false" customHeight="false" outlineLevel="0" collapsed="false">
      <c r="A2053" s="43" t="s">
        <v>167</v>
      </c>
      <c r="B2053" s="44" t="s">
        <v>169</v>
      </c>
      <c r="C2053" s="45" t="n">
        <v>46224</v>
      </c>
      <c r="D2053" s="46" t="n">
        <v>20260721</v>
      </c>
      <c r="E2053" s="47" t="s">
        <v>516</v>
      </c>
      <c r="F2053" s="48" t="n">
        <v>12053</v>
      </c>
      <c r="G2053" s="48" t="n">
        <v>12470</v>
      </c>
      <c r="H2053" s="48" t="n">
        <v>11976</v>
      </c>
      <c r="I2053" s="48" t="n">
        <v>12029</v>
      </c>
      <c r="J2053" s="48" t="n">
        <v>12406</v>
      </c>
      <c r="K2053" s="48" t="n">
        <v>12415</v>
      </c>
      <c r="L2053" s="48" t="n">
        <v>99255885</v>
      </c>
      <c r="M2053" s="48" t="n">
        <v>1193949040665</v>
      </c>
      <c r="N2053" s="48" t="n">
        <v>9209</v>
      </c>
      <c r="O2053" s="48" t="n">
        <v>53873342</v>
      </c>
      <c r="P2053" s="48" t="n">
        <v>42119361</v>
      </c>
      <c r="Q2053" s="48" t="n">
        <v>6422</v>
      </c>
      <c r="R2053" s="48" t="n">
        <v>2707</v>
      </c>
      <c r="S2053" s="48" t="n">
        <v>45382543</v>
      </c>
      <c r="T2053" s="48" t="n">
        <v>57136524</v>
      </c>
      <c r="U2053" s="46" t="n">
        <f aca="false">IF($A2053=$A2052,$U2052+1,1)</f>
        <v>229</v>
      </c>
      <c r="V2053" s="48" t="n">
        <f aca="false">IF($U2053&gt;=MA_SHORT,AVERAGE(INDEX($I$1653:$I2053,402-MA_SHORT):$I2053),"")</f>
        <v>13048.85</v>
      </c>
      <c r="W2053" s="48" t="n">
        <f aca="false">IF($U2053&gt;=MA_MED,AVERAGE(INDEX($I$1653:$I2053,402-MA_MED):$I2053),"")</f>
        <v>14355.68</v>
      </c>
      <c r="X2053" s="48" t="n">
        <f aca="false">IF($U2053&gt;=MA_LONG1,AVERAGE(INDEX($I$1653:$I2053,402-MA_LONG1):$I2053),"")</f>
        <v>14244.28</v>
      </c>
      <c r="Y2053" s="48" t="n">
        <f aca="false">IF($U2053&gt;=MA_LONG2,AVERAGE(INDEX($I$1653:$I2053,402-MA_LONG2):$I2053),"")</f>
        <v>13345.45</v>
      </c>
      <c r="Z2053" s="48" t="n">
        <f aca="false">IF($U2053&gt;=MA_SHORT,AVERAGE(INDEX($L$1933:$L2053,122-MA_SHORT):$L2053),"")</f>
        <v>103320409.6</v>
      </c>
      <c r="AA2053" s="48" t="n">
        <f aca="false">IF($U2053=1,$G2053-$H2053,MAX($G2053-$H2053,ABS($G2053-$I2052),ABS($H2053-$I2052)))</f>
        <v>494</v>
      </c>
      <c r="AB2053" s="48" t="n">
        <f aca="false">IF($U2053&gt;=ATR_PER,AVERAGE(INDEX($AA$1933:$AA2053,122-ATR_PER):$AA2053),"")</f>
        <v>447.071428571429</v>
      </c>
      <c r="AC2053" s="48" t="n">
        <f aca="false">$O2053-$P2053</f>
        <v>11753981</v>
      </c>
      <c r="AD2053" s="48" t="n">
        <f aca="false">$AC2053*$I2053</f>
        <v>141388637449</v>
      </c>
      <c r="AE2053" s="49" t="n">
        <f aca="false">IF($Q2053&gt;0,$O2053*$I2053/$Q2053/1000000,"")</f>
        <v>100.909752556524</v>
      </c>
      <c r="AF2053" s="49" t="n">
        <f aca="false">IF($R2053&gt;0,$P2053*$I2053/$R2053/1000000,"")</f>
        <v>187.16431232693</v>
      </c>
      <c r="AG2053" s="50" t="n">
        <f aca="false">IF(AND(ISNUMBER($AE2053),ISNUMBER($AF2053),$AF2053&gt;0),$AE2053/$AF2053,"")</f>
        <v>0.539150606768772</v>
      </c>
      <c r="AH2053" s="48" t="n">
        <f aca="false">IF($U2053&gt;=5,SUM(INDEX($AD$2023:$AD2053,32-5):$AD2053),"")</f>
        <v>743826969963</v>
      </c>
      <c r="AI2053" s="48" t="n">
        <f aca="false">IF($U2053&gt;=STRUCT_S,MAX(INDEX($G$1903:$G2053,152-STRUCT_S):$G2053),"")</f>
        <v>14672</v>
      </c>
      <c r="AJ2053" s="48" t="n">
        <f aca="false">IF($U2053&gt;=STRUCT_S,MIN(INDEX($H$1903:$H2053,152-STRUCT_S):$H2053),"")</f>
        <v>11976</v>
      </c>
      <c r="AK2053" s="48" t="n">
        <f aca="false">IF($U2053&gt;=STRUCT_L,MAX(INDEX($G$1803:$G2053,252-STRUCT_L):$G2053),"")</f>
        <v>16096</v>
      </c>
      <c r="AL2053" s="48" t="n">
        <f aca="false">IF($U2053&gt;=STRUCT_L,MIN(INDEX($H$1803:$H2053,252-STRUCT_L):$H2053),"")</f>
        <v>11976</v>
      </c>
      <c r="AM2053" s="46" t="n">
        <f aca="false">IF($A2053&lt;&gt;$A2054,1,0)</f>
        <v>0</v>
      </c>
      <c r="AN2053" s="47" t="str">
        <f aca="false">IF($AM2053=1,$A2053,"")</f>
        <v/>
      </c>
    </row>
    <row r="2054" customFormat="false" ht="15" hidden="false" customHeight="false" outlineLevel="0" collapsed="false">
      <c r="A2054" s="43" t="s">
        <v>167</v>
      </c>
      <c r="B2054" s="44" t="s">
        <v>169</v>
      </c>
      <c r="C2054" s="45" t="n">
        <v>46225</v>
      </c>
      <c r="D2054" s="46" t="n">
        <v>20260722</v>
      </c>
      <c r="E2054" s="47" t="s">
        <v>517</v>
      </c>
      <c r="F2054" s="48" t="n">
        <v>12060</v>
      </c>
      <c r="G2054" s="48" t="n">
        <v>12069</v>
      </c>
      <c r="H2054" s="48" t="n">
        <v>11805</v>
      </c>
      <c r="I2054" s="48" t="n">
        <v>11845</v>
      </c>
      <c r="J2054" s="48" t="n">
        <v>11883</v>
      </c>
      <c r="K2054" s="48" t="n">
        <v>12029</v>
      </c>
      <c r="L2054" s="48" t="n">
        <v>99830314</v>
      </c>
      <c r="M2054" s="48" t="n">
        <v>1182490069330</v>
      </c>
      <c r="N2054" s="48" t="n">
        <v>5634</v>
      </c>
      <c r="O2054" s="48" t="n">
        <v>52263712</v>
      </c>
      <c r="P2054" s="48" t="n">
        <v>42802933</v>
      </c>
      <c r="Q2054" s="48" t="n">
        <v>2615</v>
      </c>
      <c r="R2054" s="48" t="n">
        <v>1607</v>
      </c>
      <c r="S2054" s="48" t="n">
        <v>47566602</v>
      </c>
      <c r="T2054" s="48" t="n">
        <v>57027381</v>
      </c>
      <c r="U2054" s="46" t="n">
        <f aca="false">IF($A2054=$A2053,$U2053+1,1)</f>
        <v>230</v>
      </c>
      <c r="V2054" s="48" t="n">
        <f aca="false">IF($U2054&gt;=MA_SHORT,AVERAGE(INDEX($I$1654:$I2054,402-MA_SHORT):$I2054),"")</f>
        <v>12933.45</v>
      </c>
      <c r="W2054" s="48" t="n">
        <f aca="false">IF($U2054&gt;=MA_MED,AVERAGE(INDEX($I$1654:$I2054,402-MA_MED):$I2054),"")</f>
        <v>14294.5</v>
      </c>
      <c r="X2054" s="48" t="n">
        <f aca="false">IF($U2054&gt;=MA_LONG1,AVERAGE(INDEX($I$1654:$I2054,402-MA_LONG1):$I2054),"")</f>
        <v>14225.52</v>
      </c>
      <c r="Y2054" s="48" t="n">
        <f aca="false">IF($U2054&gt;=MA_LONG2,AVERAGE(INDEX($I$1654:$I2054,402-MA_LONG2):$I2054),"")</f>
        <v>13343.63</v>
      </c>
      <c r="Z2054" s="48" t="n">
        <f aca="false">IF($U2054&gt;=MA_SHORT,AVERAGE(INDEX($L$1934:$L2054,122-MA_SHORT):$L2054),"")</f>
        <v>101569694.35</v>
      </c>
      <c r="AA2054" s="48" t="n">
        <f aca="false">IF($U2054=1,$G2054-$H2054,MAX($G2054-$H2054,ABS($G2054-$I2053),ABS($H2054-$I2053)))</f>
        <v>264</v>
      </c>
      <c r="AB2054" s="48" t="n">
        <f aca="false">IF($U2054&gt;=ATR_PER,AVERAGE(INDEX($AA$1934:$AA2054,122-ATR_PER):$AA2054),"")</f>
        <v>422.785714285714</v>
      </c>
      <c r="AC2054" s="48" t="n">
        <f aca="false">$O2054-$P2054</f>
        <v>9460779</v>
      </c>
      <c r="AD2054" s="48" t="n">
        <f aca="false">$AC2054*$I2054</f>
        <v>112062927255</v>
      </c>
      <c r="AE2054" s="49" t="n">
        <f aca="false">IF($Q2054&gt;0,$O2054*$I2054/$Q2054/1000000,"")</f>
        <v>236.735628543021</v>
      </c>
      <c r="AF2054" s="49" t="n">
        <f aca="false">IF($R2054&gt;0,$P2054*$I2054/$R2054/1000000,"")</f>
        <v>315.495171988177</v>
      </c>
      <c r="AG2054" s="50" t="n">
        <f aca="false">IF(AND(ISNUMBER($AE2054),ISNUMBER($AF2054),$AF2054&gt;0),$AE2054/$AF2054,"")</f>
        <v>0.750362127734534</v>
      </c>
      <c r="AH2054" s="48" t="n">
        <f aca="false">IF($U2054&gt;=5,SUM(INDEX($AD$2024:$AD2054,32-5):$AD2054),"")</f>
        <v>625325364668</v>
      </c>
      <c r="AI2054" s="48" t="n">
        <f aca="false">IF($U2054&gt;=STRUCT_S,MAX(INDEX($G$1904:$G2054,152-STRUCT_S):$G2054),"")</f>
        <v>14270</v>
      </c>
      <c r="AJ2054" s="48" t="n">
        <f aca="false">IF($U2054&gt;=STRUCT_S,MIN(INDEX($H$1904:$H2054,152-STRUCT_S):$H2054),"")</f>
        <v>11805</v>
      </c>
      <c r="AK2054" s="48" t="n">
        <f aca="false">IF($U2054&gt;=STRUCT_L,MAX(INDEX($G$1804:$G2054,252-STRUCT_L):$G2054),"")</f>
        <v>16096</v>
      </c>
      <c r="AL2054" s="48" t="n">
        <f aca="false">IF($U2054&gt;=STRUCT_L,MIN(INDEX($H$1804:$H2054,252-STRUCT_L):$H2054),"")</f>
        <v>11805</v>
      </c>
      <c r="AM2054" s="46" t="n">
        <f aca="false">IF($A2054&lt;&gt;$A2055,1,0)</f>
        <v>0</v>
      </c>
      <c r="AN2054" s="47" t="str">
        <f aca="false">IF($AM2054=1,$A2054,"")</f>
        <v/>
      </c>
    </row>
    <row r="2055" customFormat="false" ht="15" hidden="false" customHeight="false" outlineLevel="0" collapsed="false">
      <c r="A2055" s="43" t="s">
        <v>167</v>
      </c>
      <c r="B2055" s="44" t="s">
        <v>169</v>
      </c>
      <c r="C2055" s="45" t="n">
        <v>46228</v>
      </c>
      <c r="D2055" s="46" t="n">
        <v>20260725</v>
      </c>
      <c r="E2055" s="47" t="s">
        <v>518</v>
      </c>
      <c r="F2055" s="48" t="n">
        <v>12106</v>
      </c>
      <c r="G2055" s="48" t="n">
        <v>12387</v>
      </c>
      <c r="H2055" s="48" t="n">
        <v>11605</v>
      </c>
      <c r="I2055" s="48" t="n">
        <v>12141</v>
      </c>
      <c r="J2055" s="48" t="n">
        <v>12288</v>
      </c>
      <c r="K2055" s="48" t="n">
        <v>11845</v>
      </c>
      <c r="L2055" s="48" t="n">
        <v>104346494</v>
      </c>
      <c r="M2055" s="48" t="n">
        <v>1266870783654</v>
      </c>
      <c r="N2055" s="48" t="n">
        <v>3934</v>
      </c>
      <c r="O2055" s="48" t="n">
        <v>83075141</v>
      </c>
      <c r="P2055" s="48" t="n">
        <v>26144254</v>
      </c>
      <c r="Q2055" s="48" t="n">
        <v>803</v>
      </c>
      <c r="R2055" s="48" t="n">
        <v>1832</v>
      </c>
      <c r="S2055" s="48" t="n">
        <v>21271353</v>
      </c>
      <c r="T2055" s="48" t="n">
        <v>78202240</v>
      </c>
      <c r="U2055" s="46" t="n">
        <f aca="false">IF($A2055=$A2054,$U2054+1,1)</f>
        <v>231</v>
      </c>
      <c r="V2055" s="48" t="n">
        <f aca="false">IF($U2055&gt;=MA_SHORT,AVERAGE(INDEX($I$1655:$I2055,402-MA_SHORT):$I2055),"")</f>
        <v>12839.4</v>
      </c>
      <c r="W2055" s="48" t="n">
        <f aca="false">IF($U2055&gt;=MA_MED,AVERAGE(INDEX($I$1655:$I2055,402-MA_MED):$I2055),"")</f>
        <v>14235.18</v>
      </c>
      <c r="X2055" s="48" t="n">
        <f aca="false">IF($U2055&gt;=MA_LONG1,AVERAGE(INDEX($I$1655:$I2055,402-MA_LONG1):$I2055),"")</f>
        <v>14208.81</v>
      </c>
      <c r="Y2055" s="48" t="n">
        <f aca="false">IF($U2055&gt;=MA_LONG2,AVERAGE(INDEX($I$1655:$I2055,402-MA_LONG2):$I2055),"")</f>
        <v>13344.175</v>
      </c>
      <c r="Z2055" s="48" t="n">
        <f aca="false">IF($U2055&gt;=MA_SHORT,AVERAGE(INDEX($L$1935:$L2055,122-MA_SHORT):$L2055),"")</f>
        <v>101541260.4</v>
      </c>
      <c r="AA2055" s="48" t="n">
        <f aca="false">IF($U2055=1,$G2055-$H2055,MAX($G2055-$H2055,ABS($G2055-$I2054),ABS($H2055-$I2054)))</f>
        <v>782</v>
      </c>
      <c r="AB2055" s="48" t="n">
        <f aca="false">IF($U2055&gt;=ATR_PER,AVERAGE(INDEX($AA$1935:$AA2055,122-ATR_PER):$AA2055),"")</f>
        <v>441.785714285714</v>
      </c>
      <c r="AC2055" s="48" t="n">
        <f aca="false">$O2055-$P2055</f>
        <v>56930887</v>
      </c>
      <c r="AD2055" s="48" t="n">
        <f aca="false">$AC2055*$I2055</f>
        <v>691197899067</v>
      </c>
      <c r="AE2055" s="49" t="n">
        <f aca="false">IF($Q2055&gt;0,$O2055*$I2055/$Q2055/1000000,"")</f>
        <v>1256.0588877721</v>
      </c>
      <c r="AF2055" s="49" t="n">
        <f aca="false">IF($R2055&gt;0,$P2055*$I2055/$R2055/1000000,"")</f>
        <v>173.262766274017</v>
      </c>
      <c r="AG2055" s="50" t="n">
        <f aca="false">IF(AND(ISNUMBER($AE2055),ISNUMBER($AF2055),$AF2055&gt;0),$AE2055/$AF2055,"")</f>
        <v>7.24944496029591</v>
      </c>
      <c r="AH2055" s="48" t="n">
        <f aca="false">IF($U2055&gt;=5,SUM(INDEX($AD$2025:$AD2055,32-5):$AD2055),"")</f>
        <v>1207028241715</v>
      </c>
      <c r="AI2055" s="48" t="n">
        <f aca="false">IF($U2055&gt;=STRUCT_S,MAX(INDEX($G$1905:$G2055,152-STRUCT_S):$G2055),"")</f>
        <v>14181</v>
      </c>
      <c r="AJ2055" s="48" t="n">
        <f aca="false">IF($U2055&gt;=STRUCT_S,MIN(INDEX($H$1905:$H2055,152-STRUCT_S):$H2055),"")</f>
        <v>11605</v>
      </c>
      <c r="AK2055" s="48" t="n">
        <f aca="false">IF($U2055&gt;=STRUCT_L,MAX(INDEX($G$1805:$G2055,252-STRUCT_L):$G2055),"")</f>
        <v>16096</v>
      </c>
      <c r="AL2055" s="48" t="n">
        <f aca="false">IF($U2055&gt;=STRUCT_L,MIN(INDEX($H$1805:$H2055,252-STRUCT_L):$H2055),"")</f>
        <v>11605</v>
      </c>
      <c r="AM2055" s="46" t="n">
        <f aca="false">IF($A2055&lt;&gt;$A2056,1,0)</f>
        <v>0</v>
      </c>
      <c r="AN2055" s="47" t="str">
        <f aca="false">IF($AM2055=1,$A2055,"")</f>
        <v/>
      </c>
    </row>
    <row r="2056" customFormat="false" ht="15" hidden="false" customHeight="false" outlineLevel="0" collapsed="false">
      <c r="A2056" s="43" t="s">
        <v>167</v>
      </c>
      <c r="B2056" s="44" t="s">
        <v>169</v>
      </c>
      <c r="C2056" s="45" t="n">
        <v>46229</v>
      </c>
      <c r="D2056" s="46" t="n">
        <v>20260726</v>
      </c>
      <c r="E2056" s="47" t="s">
        <v>519</v>
      </c>
      <c r="F2056" s="48" t="n">
        <v>11853</v>
      </c>
      <c r="G2056" s="48" t="n">
        <v>12265</v>
      </c>
      <c r="H2056" s="48" t="n">
        <v>11797</v>
      </c>
      <c r="I2056" s="48" t="n">
        <v>11919</v>
      </c>
      <c r="J2056" s="48" t="n">
        <v>11983</v>
      </c>
      <c r="K2056" s="48" t="n">
        <v>12141</v>
      </c>
      <c r="L2056" s="48" t="n">
        <v>88265703</v>
      </c>
      <c r="M2056" s="48" t="n">
        <v>1052038914057</v>
      </c>
      <c r="N2056" s="48" t="n">
        <v>2074</v>
      </c>
      <c r="O2056" s="48" t="n">
        <v>45591624</v>
      </c>
      <c r="P2056" s="48" t="n">
        <v>44270653</v>
      </c>
      <c r="Q2056" s="48" t="n">
        <v>1195</v>
      </c>
      <c r="R2056" s="48" t="n">
        <v>677</v>
      </c>
      <c r="S2056" s="48" t="n">
        <v>42674079</v>
      </c>
      <c r="T2056" s="48" t="n">
        <v>43995050</v>
      </c>
      <c r="U2056" s="46" t="n">
        <f aca="false">IF($A2056=$A2055,$U2055+1,1)</f>
        <v>232</v>
      </c>
      <c r="V2056" s="48" t="n">
        <f aca="false">IF($U2056&gt;=MA_SHORT,AVERAGE(INDEX($I$1656:$I2056,402-MA_SHORT):$I2056),"")</f>
        <v>12735</v>
      </c>
      <c r="W2056" s="48" t="n">
        <f aca="false">IF($U2056&gt;=MA_MED,AVERAGE(INDEX($I$1656:$I2056,402-MA_MED):$I2056),"")</f>
        <v>14168.18</v>
      </c>
      <c r="X2056" s="48" t="n">
        <f aca="false">IF($U2056&gt;=MA_LONG1,AVERAGE(INDEX($I$1656:$I2056,402-MA_LONG1):$I2056),"")</f>
        <v>14186.65</v>
      </c>
      <c r="Y2056" s="48" t="n">
        <f aca="false">IF($U2056&gt;=MA_LONG2,AVERAGE(INDEX($I$1656:$I2056,402-MA_LONG2):$I2056),"")</f>
        <v>13342.34</v>
      </c>
      <c r="Z2056" s="48" t="n">
        <f aca="false">IF($U2056&gt;=MA_SHORT,AVERAGE(INDEX($L$1936:$L2056,122-MA_SHORT):$L2056),"")</f>
        <v>101952051.1</v>
      </c>
      <c r="AA2056" s="48" t="n">
        <f aca="false">IF($U2056=1,$G2056-$H2056,MAX($G2056-$H2056,ABS($G2056-$I2055),ABS($H2056-$I2055)))</f>
        <v>468</v>
      </c>
      <c r="AB2056" s="48" t="n">
        <f aca="false">IF($U2056&gt;=ATR_PER,AVERAGE(INDEX($AA$1936:$AA2056,122-ATR_PER):$AA2056),"")</f>
        <v>449.357142857143</v>
      </c>
      <c r="AC2056" s="48" t="n">
        <f aca="false">$O2056-$P2056</f>
        <v>1320971</v>
      </c>
      <c r="AD2056" s="48" t="n">
        <f aca="false">$AC2056*$I2056</f>
        <v>15744653349</v>
      </c>
      <c r="AE2056" s="49" t="n">
        <f aca="false">IF($Q2056&gt;0,$O2056*$I2056/$Q2056/1000000,"")</f>
        <v>454.733528415063</v>
      </c>
      <c r="AF2056" s="49" t="n">
        <f aca="false">IF($R2056&gt;0,$P2056*$I2056/$R2056/1000000,"")</f>
        <v>779.411983909897</v>
      </c>
      <c r="AG2056" s="50" t="n">
        <f aca="false">IF(AND(ISNUMBER($AE2056),ISNUMBER($AF2056),$AF2056&gt;0),$AE2056/$AF2056,"")</f>
        <v>0.583431532748452</v>
      </c>
      <c r="AH2056" s="48" t="n">
        <f aca="false">IF($U2056&gt;=5,SUM(INDEX($AD$2026:$AD2056,32-5):$AD2056),"")</f>
        <v>949710314380</v>
      </c>
      <c r="AI2056" s="48" t="n">
        <f aca="false">IF($U2056&gt;=STRUCT_S,MAX(INDEX($G$1906:$G2056,152-STRUCT_S):$G2056),"")</f>
        <v>14181</v>
      </c>
      <c r="AJ2056" s="48" t="n">
        <f aca="false">IF($U2056&gt;=STRUCT_S,MIN(INDEX($H$1906:$H2056,152-STRUCT_S):$H2056),"")</f>
        <v>11605</v>
      </c>
      <c r="AK2056" s="48" t="n">
        <f aca="false">IF($U2056&gt;=STRUCT_L,MAX(INDEX($G$1806:$G2056,252-STRUCT_L):$G2056),"")</f>
        <v>16096</v>
      </c>
      <c r="AL2056" s="48" t="n">
        <f aca="false">IF($U2056&gt;=STRUCT_L,MIN(INDEX($H$1806:$H2056,252-STRUCT_L):$H2056),"")</f>
        <v>11605</v>
      </c>
      <c r="AM2056" s="46" t="n">
        <f aca="false">IF($A2056&lt;&gt;$A2057,1,0)</f>
        <v>0</v>
      </c>
      <c r="AN2056" s="47" t="str">
        <f aca="false">IF($AM2056=1,$A2056,"")</f>
        <v/>
      </c>
    </row>
    <row r="2057" customFormat="false" ht="15" hidden="false" customHeight="false" outlineLevel="0" collapsed="false">
      <c r="A2057" s="43" t="s">
        <v>167</v>
      </c>
      <c r="B2057" s="44" t="s">
        <v>169</v>
      </c>
      <c r="C2057" s="45" t="n">
        <v>46230</v>
      </c>
      <c r="D2057" s="46" t="n">
        <v>20260727</v>
      </c>
      <c r="E2057" s="47" t="s">
        <v>520</v>
      </c>
      <c r="F2057" s="48" t="n">
        <v>11968</v>
      </c>
      <c r="G2057" s="48" t="n">
        <v>12007</v>
      </c>
      <c r="H2057" s="48" t="n">
        <v>11670</v>
      </c>
      <c r="I2057" s="48" t="n">
        <v>11757</v>
      </c>
      <c r="J2057" s="48" t="n">
        <v>12000</v>
      </c>
      <c r="K2057" s="48" t="n">
        <v>11919</v>
      </c>
      <c r="L2057" s="48" t="n">
        <v>90416724</v>
      </c>
      <c r="M2057" s="48" t="n">
        <v>1063029424068</v>
      </c>
      <c r="N2057" s="48" t="n">
        <v>2746</v>
      </c>
      <c r="O2057" s="48" t="n">
        <v>56541788</v>
      </c>
      <c r="P2057" s="48" t="n">
        <v>34244566</v>
      </c>
      <c r="Q2057" s="48" t="n">
        <v>1177</v>
      </c>
      <c r="R2057" s="48" t="n">
        <v>660</v>
      </c>
      <c r="S2057" s="48" t="n">
        <v>33874936</v>
      </c>
      <c r="T2057" s="48" t="n">
        <v>56172158</v>
      </c>
      <c r="U2057" s="46" t="n">
        <f aca="false">IF($A2057=$A2056,$U2056+1,1)</f>
        <v>233</v>
      </c>
      <c r="V2057" s="48" t="n">
        <f aca="false">IF($U2057&gt;=MA_SHORT,AVERAGE(INDEX($I$1657:$I2057,402-MA_SHORT):$I2057),"")</f>
        <v>12629.15</v>
      </c>
      <c r="W2057" s="48" t="n">
        <f aca="false">IF($U2057&gt;=MA_MED,AVERAGE(INDEX($I$1657:$I2057,402-MA_MED):$I2057),"")</f>
        <v>14096.06</v>
      </c>
      <c r="X2057" s="48" t="n">
        <f aca="false">IF($U2057&gt;=MA_LONG1,AVERAGE(INDEX($I$1657:$I2057,402-MA_LONG1):$I2057),"")</f>
        <v>14162.87</v>
      </c>
      <c r="Y2057" s="48" t="n">
        <f aca="false">IF($U2057&gt;=MA_LONG2,AVERAGE(INDEX($I$1657:$I2057,402-MA_LONG2):$I2057),"")</f>
        <v>13340.4</v>
      </c>
      <c r="Z2057" s="48" t="n">
        <f aca="false">IF($U2057&gt;=MA_SHORT,AVERAGE(INDEX($L$1937:$L2057,122-MA_SHORT):$L2057),"")</f>
        <v>102269345.05</v>
      </c>
      <c r="AA2057" s="48" t="n">
        <f aca="false">IF($U2057=1,$G2057-$H2057,MAX($G2057-$H2057,ABS($G2057-$I2056),ABS($H2057-$I2056)))</f>
        <v>337</v>
      </c>
      <c r="AB2057" s="48" t="n">
        <f aca="false">IF($U2057&gt;=ATR_PER,AVERAGE(INDEX($AA$1937:$AA2057,122-ATR_PER):$AA2057),"")</f>
        <v>454.142857142857</v>
      </c>
      <c r="AC2057" s="48" t="n">
        <f aca="false">$O2057-$P2057</f>
        <v>22297222</v>
      </c>
      <c r="AD2057" s="48" t="n">
        <f aca="false">$AC2057*$I2057</f>
        <v>262148439054</v>
      </c>
      <c r="AE2057" s="49" t="n">
        <f aca="false">IF($Q2057&gt;0,$O2057*$I2057/$Q2057/1000000,"")</f>
        <v>564.793374270178</v>
      </c>
      <c r="AF2057" s="49" t="n">
        <f aca="false">IF($R2057&gt;0,$P2057*$I2057/$R2057/1000000,"")</f>
        <v>610.020246154546</v>
      </c>
      <c r="AG2057" s="50" t="n">
        <f aca="false">IF(AND(ISNUMBER($AE2057),ISNUMBER($AF2057),$AF2057&gt;0),$AE2057/$AF2057,"")</f>
        <v>0.925860047810759</v>
      </c>
      <c r="AH2057" s="48" t="n">
        <f aca="false">IF($U2057&gt;=5,SUM(INDEX($AD$2027:$AD2057,32-5):$AD2057),"")</f>
        <v>1222542556174</v>
      </c>
      <c r="AI2057" s="48" t="n">
        <f aca="false">IF($U2057&gt;=STRUCT_S,MAX(INDEX($G$1907:$G2057,152-STRUCT_S):$G2057),"")</f>
        <v>13960</v>
      </c>
      <c r="AJ2057" s="48" t="n">
        <f aca="false">IF($U2057&gt;=STRUCT_S,MIN(INDEX($H$1907:$H2057,152-STRUCT_S):$H2057),"")</f>
        <v>11605</v>
      </c>
      <c r="AK2057" s="48" t="n">
        <f aca="false">IF($U2057&gt;=STRUCT_L,MAX(INDEX($G$1807:$G2057,252-STRUCT_L):$G2057),"")</f>
        <v>16096</v>
      </c>
      <c r="AL2057" s="48" t="n">
        <f aca="false">IF($U2057&gt;=STRUCT_L,MIN(INDEX($H$1807:$H2057,252-STRUCT_L):$H2057),"")</f>
        <v>11605</v>
      </c>
      <c r="AM2057" s="46" t="n">
        <f aca="false">IF($A2057&lt;&gt;$A2058,1,0)</f>
        <v>0</v>
      </c>
      <c r="AN2057" s="47" t="str">
        <f aca="false">IF($AM2057=1,$A2057,"")</f>
        <v/>
      </c>
    </row>
    <row r="2058" customFormat="false" ht="15" hidden="false" customHeight="false" outlineLevel="0" collapsed="false">
      <c r="A2058" s="43" t="s">
        <v>167</v>
      </c>
      <c r="B2058" s="44" t="s">
        <v>169</v>
      </c>
      <c r="C2058" s="45" t="n">
        <v>46231</v>
      </c>
      <c r="D2058" s="46" t="n">
        <v>20260728</v>
      </c>
      <c r="E2058" s="47" t="s">
        <v>521</v>
      </c>
      <c r="F2058" s="48" t="n">
        <v>11615</v>
      </c>
      <c r="G2058" s="48" t="n">
        <v>11837</v>
      </c>
      <c r="H2058" s="48" t="n">
        <v>11560</v>
      </c>
      <c r="I2058" s="48" t="n">
        <v>11639</v>
      </c>
      <c r="J2058" s="48" t="n">
        <v>11624</v>
      </c>
      <c r="K2058" s="48" t="n">
        <v>11757</v>
      </c>
      <c r="L2058" s="48" t="n">
        <v>84329184</v>
      </c>
      <c r="M2058" s="48" t="n">
        <v>981507372576</v>
      </c>
      <c r="N2058" s="48" t="n">
        <v>4074</v>
      </c>
      <c r="O2058" s="48" t="n">
        <v>48067035</v>
      </c>
      <c r="P2058" s="48" t="n">
        <v>35708195</v>
      </c>
      <c r="Q2058" s="48" t="n">
        <v>2940</v>
      </c>
      <c r="R2058" s="48" t="n">
        <v>1150</v>
      </c>
      <c r="S2058" s="48" t="n">
        <v>36262149</v>
      </c>
      <c r="T2058" s="48" t="n">
        <v>48620989</v>
      </c>
      <c r="U2058" s="46" t="n">
        <f aca="false">IF($A2058=$A2057,$U2057+1,1)</f>
        <v>234</v>
      </c>
      <c r="V2058" s="48" t="n">
        <f aca="false">IF($U2058&gt;=MA_SHORT,AVERAGE(INDEX($I$1658:$I2058,402-MA_SHORT):$I2058),"")</f>
        <v>12527.25</v>
      </c>
      <c r="W2058" s="48" t="n">
        <f aca="false">IF($U2058&gt;=MA_MED,AVERAGE(INDEX($I$1658:$I2058,402-MA_MED):$I2058),"")</f>
        <v>14019.02</v>
      </c>
      <c r="X2058" s="48" t="n">
        <f aca="false">IF($U2058&gt;=MA_LONG1,AVERAGE(INDEX($I$1658:$I2058,402-MA_LONG1):$I2058),"")</f>
        <v>14135.82</v>
      </c>
      <c r="Y2058" s="48" t="n">
        <f aca="false">IF($U2058&gt;=MA_LONG2,AVERAGE(INDEX($I$1658:$I2058,402-MA_LONG2):$I2058),"")</f>
        <v>13337.92</v>
      </c>
      <c r="Z2058" s="48" t="n">
        <f aca="false">IF($U2058&gt;=MA_SHORT,AVERAGE(INDEX($L$1938:$L2058,122-MA_SHORT):$L2058),"")</f>
        <v>100864032.2</v>
      </c>
      <c r="AA2058" s="48" t="n">
        <f aca="false">IF($U2058=1,$G2058-$H2058,MAX($G2058-$H2058,ABS($G2058-$I2057),ABS($H2058-$I2057)))</f>
        <v>277</v>
      </c>
      <c r="AB2058" s="48" t="n">
        <f aca="false">IF($U2058&gt;=ATR_PER,AVERAGE(INDEX($AA$1938:$AA2058,122-ATR_PER):$AA2058),"")</f>
        <v>455.857142857143</v>
      </c>
      <c r="AC2058" s="48" t="n">
        <f aca="false">$O2058-$P2058</f>
        <v>12358840</v>
      </c>
      <c r="AD2058" s="48" t="n">
        <f aca="false">$AC2058*$I2058</f>
        <v>143844538760</v>
      </c>
      <c r="AE2058" s="49" t="n">
        <f aca="false">IF($Q2058&gt;0,$O2058*$I2058/$Q2058/1000000,"")</f>
        <v>190.289870872449</v>
      </c>
      <c r="AF2058" s="49" t="n">
        <f aca="false">IF($R2058&gt;0,$P2058*$I2058/$R2058/1000000,"")</f>
        <v>361.397984004348</v>
      </c>
      <c r="AG2058" s="50" t="n">
        <f aca="false">IF(AND(ISNUMBER($AE2058),ISNUMBER($AF2058),$AF2058&gt;0),$AE2058/$AF2058,"")</f>
        <v>0.526538274408746</v>
      </c>
      <c r="AH2058" s="48" t="n">
        <f aca="false">IF($U2058&gt;=5,SUM(INDEX($AD$2028:$AD2058,32-5):$AD2058),"")</f>
        <v>1224998457485</v>
      </c>
      <c r="AI2058" s="48" t="n">
        <f aca="false">IF($U2058&gt;=STRUCT_S,MAX(INDEX($G$1908:$G2058,152-STRUCT_S):$G2058),"")</f>
        <v>13853</v>
      </c>
      <c r="AJ2058" s="48" t="n">
        <f aca="false">IF($U2058&gt;=STRUCT_S,MIN(INDEX($H$1908:$H2058,152-STRUCT_S):$H2058),"")</f>
        <v>11560</v>
      </c>
      <c r="AK2058" s="48" t="n">
        <f aca="false">IF($U2058&gt;=STRUCT_L,MAX(INDEX($G$1808:$G2058,252-STRUCT_L):$G2058),"")</f>
        <v>16096</v>
      </c>
      <c r="AL2058" s="48" t="n">
        <f aca="false">IF($U2058&gt;=STRUCT_L,MIN(INDEX($H$1808:$H2058,252-STRUCT_L):$H2058),"")</f>
        <v>11560</v>
      </c>
      <c r="AM2058" s="46" t="n">
        <f aca="false">IF($A2058&lt;&gt;$A2059,1,0)</f>
        <v>0</v>
      </c>
      <c r="AN2058" s="47" t="str">
        <f aca="false">IF($AM2058=1,$A2058,"")</f>
        <v/>
      </c>
    </row>
    <row r="2059" customFormat="false" ht="15" hidden="false" customHeight="false" outlineLevel="0" collapsed="false">
      <c r="A2059" s="43" t="s">
        <v>167</v>
      </c>
      <c r="B2059" s="44" t="s">
        <v>169</v>
      </c>
      <c r="C2059" s="45" t="n">
        <v>46232</v>
      </c>
      <c r="D2059" s="46" t="n">
        <v>20260729</v>
      </c>
      <c r="E2059" s="47" t="s">
        <v>522</v>
      </c>
      <c r="F2059" s="48" t="n">
        <v>11626</v>
      </c>
      <c r="G2059" s="48" t="n">
        <v>11678</v>
      </c>
      <c r="H2059" s="48" t="n">
        <v>11499</v>
      </c>
      <c r="I2059" s="48" t="n">
        <v>11538</v>
      </c>
      <c r="J2059" s="48" t="n">
        <v>11587</v>
      </c>
      <c r="K2059" s="48" t="n">
        <v>11639</v>
      </c>
      <c r="L2059" s="48" t="n">
        <v>83680690</v>
      </c>
      <c r="M2059" s="48" t="n">
        <v>965507801220</v>
      </c>
      <c r="N2059" s="48" t="n">
        <v>3151</v>
      </c>
      <c r="O2059" s="48" t="n">
        <v>46975125</v>
      </c>
      <c r="P2059" s="48" t="n">
        <v>39850219</v>
      </c>
      <c r="Q2059" s="48" t="n">
        <v>2046</v>
      </c>
      <c r="R2059" s="48" t="n">
        <v>1100</v>
      </c>
      <c r="S2059" s="48" t="n">
        <v>36705565</v>
      </c>
      <c r="T2059" s="48" t="n">
        <v>43830471</v>
      </c>
      <c r="U2059" s="46" t="n">
        <f aca="false">IF($A2059=$A2058,$U2058+1,1)</f>
        <v>235</v>
      </c>
      <c r="V2059" s="48" t="n">
        <f aca="false">IF($U2059&gt;=MA_SHORT,AVERAGE(INDEX($I$1659:$I2059,402-MA_SHORT):$I2059),"")</f>
        <v>12430.2</v>
      </c>
      <c r="W2059" s="48" t="n">
        <f aca="false">IF($U2059&gt;=MA_MED,AVERAGE(INDEX($I$1659:$I2059,402-MA_MED):$I2059),"")</f>
        <v>13940.92</v>
      </c>
      <c r="X2059" s="48" t="n">
        <f aca="false">IF($U2059&gt;=MA_LONG1,AVERAGE(INDEX($I$1659:$I2059,402-MA_LONG1):$I2059),"")</f>
        <v>14109.67</v>
      </c>
      <c r="Y2059" s="48" t="n">
        <f aca="false">IF($U2059&gt;=MA_LONG2,AVERAGE(INDEX($I$1659:$I2059,402-MA_LONG2):$I2059),"")</f>
        <v>13335.445</v>
      </c>
      <c r="Z2059" s="48" t="n">
        <f aca="false">IF($U2059&gt;=MA_SHORT,AVERAGE(INDEX($L$1939:$L2059,122-MA_SHORT):$L2059),"")</f>
        <v>99976532.2</v>
      </c>
      <c r="AA2059" s="48" t="n">
        <f aca="false">IF($U2059=1,$G2059-$H2059,MAX($G2059-$H2059,ABS($G2059-$I2058),ABS($H2059-$I2058)))</f>
        <v>179</v>
      </c>
      <c r="AB2059" s="48" t="n">
        <f aca="false">IF($U2059&gt;=ATR_PER,AVERAGE(INDEX($AA$1939:$AA2059,122-ATR_PER):$AA2059),"")</f>
        <v>441.5</v>
      </c>
      <c r="AC2059" s="48" t="n">
        <f aca="false">$O2059-$P2059</f>
        <v>7124906</v>
      </c>
      <c r="AD2059" s="48" t="n">
        <f aca="false">$AC2059*$I2059</f>
        <v>82207165428</v>
      </c>
      <c r="AE2059" s="49" t="n">
        <f aca="false">IF($Q2059&gt;0,$O2059*$I2059/$Q2059/1000000,"")</f>
        <v>264.906643328446</v>
      </c>
      <c r="AF2059" s="49" t="n">
        <f aca="false">IF($R2059&gt;0,$P2059*$I2059/$R2059/1000000,"")</f>
        <v>417.992569838182</v>
      </c>
      <c r="AG2059" s="50" t="n">
        <f aca="false">IF(AND(ISNUMBER($AE2059),ISNUMBER($AF2059),$AF2059&gt;0),$AE2059/$AF2059,"")</f>
        <v>0.633759215937737</v>
      </c>
      <c r="AH2059" s="48" t="n">
        <f aca="false">IF($U2059&gt;=5,SUM(INDEX($AD$2029:$AD2059,32-5):$AD2059),"")</f>
        <v>1195142695658</v>
      </c>
      <c r="AI2059" s="48" t="n">
        <f aca="false">IF($U2059&gt;=STRUCT_S,MAX(INDEX($G$1909:$G2059,152-STRUCT_S):$G2059),"")</f>
        <v>13657</v>
      </c>
      <c r="AJ2059" s="48" t="n">
        <f aca="false">IF($U2059&gt;=STRUCT_S,MIN(INDEX($H$1909:$H2059,152-STRUCT_S):$H2059),"")</f>
        <v>11499</v>
      </c>
      <c r="AK2059" s="48" t="n">
        <f aca="false">IF($U2059&gt;=STRUCT_L,MAX(INDEX($G$1809:$G2059,252-STRUCT_L):$G2059),"")</f>
        <v>16096</v>
      </c>
      <c r="AL2059" s="48" t="n">
        <f aca="false">IF($U2059&gt;=STRUCT_L,MIN(INDEX($H$1809:$H2059,252-STRUCT_L):$H2059),"")</f>
        <v>11499</v>
      </c>
      <c r="AM2059" s="46" t="n">
        <f aca="false">IF($A2059&lt;&gt;$A2060,1,0)</f>
        <v>0</v>
      </c>
      <c r="AN2059" s="47" t="str">
        <f aca="false">IF($AM2059=1,$A2059,"")</f>
        <v/>
      </c>
    </row>
    <row r="2060" customFormat="false" ht="15" hidden="false" customHeight="false" outlineLevel="0" collapsed="false">
      <c r="A2060" s="43" t="s">
        <v>167</v>
      </c>
      <c r="B2060" s="44" t="s">
        <v>169</v>
      </c>
      <c r="C2060" s="45" t="n">
        <v>46235</v>
      </c>
      <c r="D2060" s="46" t="n">
        <v>20260801</v>
      </c>
      <c r="E2060" s="47" t="s">
        <v>523</v>
      </c>
      <c r="F2060" s="48" t="n">
        <v>11261</v>
      </c>
      <c r="G2060" s="48" t="n">
        <v>11732</v>
      </c>
      <c r="H2060" s="48" t="n">
        <v>11250</v>
      </c>
      <c r="I2060" s="48" t="n">
        <v>11442</v>
      </c>
      <c r="J2060" s="48" t="n">
        <v>11617</v>
      </c>
      <c r="K2060" s="48" t="n">
        <v>11538</v>
      </c>
      <c r="L2060" s="48" t="n">
        <v>102469916</v>
      </c>
      <c r="M2060" s="48" t="n">
        <v>1172460778872</v>
      </c>
      <c r="N2060" s="48" t="n">
        <v>2476</v>
      </c>
      <c r="O2060" s="48" t="n">
        <v>58526463</v>
      </c>
      <c r="P2060" s="48" t="n">
        <v>45120322</v>
      </c>
      <c r="Q2060" s="48" t="n">
        <v>1212</v>
      </c>
      <c r="R2060" s="48" t="n">
        <v>729</v>
      </c>
      <c r="S2060" s="48" t="n">
        <v>43943453</v>
      </c>
      <c r="T2060" s="48" t="n">
        <v>57349594</v>
      </c>
      <c r="U2060" s="46" t="n">
        <f aca="false">IF($A2060=$A2059,$U2059+1,1)</f>
        <v>236</v>
      </c>
      <c r="V2060" s="48" t="n">
        <f aca="false">IF($U2060&gt;=MA_SHORT,AVERAGE(INDEX($I$1660:$I2060,402-MA_SHORT):$I2060),"")</f>
        <v>12340.9</v>
      </c>
      <c r="W2060" s="48" t="n">
        <f aca="false">IF($U2060&gt;=MA_MED,AVERAGE(INDEX($I$1660:$I2060,402-MA_MED):$I2060),"")</f>
        <v>13863.88</v>
      </c>
      <c r="X2060" s="48" t="n">
        <f aca="false">IF($U2060&gt;=MA_LONG1,AVERAGE(INDEX($I$1660:$I2060,402-MA_LONG1):$I2060),"")</f>
        <v>14087.72</v>
      </c>
      <c r="Y2060" s="48" t="n">
        <f aca="false">IF($U2060&gt;=MA_LONG2,AVERAGE(INDEX($I$1660:$I2060,402-MA_LONG2):$I2060),"")</f>
        <v>13333.295</v>
      </c>
      <c r="Z2060" s="48" t="n">
        <f aca="false">IF($U2060&gt;=MA_SHORT,AVERAGE(INDEX($L$1940:$L2060,122-MA_SHORT):$L2060),"")</f>
        <v>100678715.5</v>
      </c>
      <c r="AA2060" s="48" t="n">
        <f aca="false">IF($U2060=1,$G2060-$H2060,MAX($G2060-$H2060,ABS($G2060-$I2059),ABS($H2060-$I2059)))</f>
        <v>482</v>
      </c>
      <c r="AB2060" s="48" t="n">
        <f aca="false">IF($U2060&gt;=ATR_PER,AVERAGE(INDEX($AA$1940:$AA2060,122-ATR_PER):$AA2060),"")</f>
        <v>449.571428571429</v>
      </c>
      <c r="AC2060" s="48" t="n">
        <f aca="false">$O2060-$P2060</f>
        <v>13406141</v>
      </c>
      <c r="AD2060" s="48" t="n">
        <f aca="false">$AC2060*$I2060</f>
        <v>153393065322</v>
      </c>
      <c r="AE2060" s="49" t="n">
        <f aca="false">IF($Q2060&gt;0,$O2060*$I2060/$Q2060/1000000,"")</f>
        <v>552.524578915842</v>
      </c>
      <c r="AF2060" s="49" t="n">
        <f aca="false">IF($R2060&gt;0,$P2060*$I2060/$R2060/1000000,"")</f>
        <v>708.184807028807</v>
      </c>
      <c r="AG2060" s="50" t="n">
        <f aca="false">IF(AND(ISNUMBER($AE2060),ISNUMBER($AF2060),$AF2060&gt;0),$AE2060/$AF2060,"")</f>
        <v>0.780198294897008</v>
      </c>
      <c r="AH2060" s="48" t="n">
        <f aca="false">IF($U2060&gt;=5,SUM(INDEX($AD$2030:$AD2060,32-5):$AD2060),"")</f>
        <v>657337861913</v>
      </c>
      <c r="AI2060" s="48" t="n">
        <f aca="false">IF($U2060&gt;=STRUCT_S,MAX(INDEX($G$1910:$G2060,152-STRUCT_S):$G2060),"")</f>
        <v>13285</v>
      </c>
      <c r="AJ2060" s="48" t="n">
        <f aca="false">IF($U2060&gt;=STRUCT_S,MIN(INDEX($H$1910:$H2060,152-STRUCT_S):$H2060),"")</f>
        <v>11250</v>
      </c>
      <c r="AK2060" s="48" t="n">
        <f aca="false">IF($U2060&gt;=STRUCT_L,MAX(INDEX($G$1810:$G2060,252-STRUCT_L):$G2060),"")</f>
        <v>16096</v>
      </c>
      <c r="AL2060" s="48" t="n">
        <f aca="false">IF($U2060&gt;=STRUCT_L,MIN(INDEX($H$1810:$H2060,252-STRUCT_L):$H2060),"")</f>
        <v>11250</v>
      </c>
      <c r="AM2060" s="46" t="n">
        <f aca="false">IF($A2060&lt;&gt;$A2061,1,0)</f>
        <v>0</v>
      </c>
      <c r="AN2060" s="47" t="str">
        <f aca="false">IF($AM2060=1,$A2060,"")</f>
        <v/>
      </c>
    </row>
    <row r="2061" customFormat="false" ht="15" hidden="false" customHeight="false" outlineLevel="0" collapsed="false">
      <c r="A2061" s="43" t="s">
        <v>167</v>
      </c>
      <c r="B2061" s="44" t="s">
        <v>169</v>
      </c>
      <c r="C2061" s="45" t="n">
        <v>46236</v>
      </c>
      <c r="D2061" s="46" t="n">
        <v>20260802</v>
      </c>
      <c r="E2061" s="47" t="s">
        <v>524</v>
      </c>
      <c r="F2061" s="48" t="n">
        <v>11738</v>
      </c>
      <c r="G2061" s="48" t="n">
        <v>11966</v>
      </c>
      <c r="H2061" s="48" t="n">
        <v>11327</v>
      </c>
      <c r="I2061" s="48" t="n">
        <v>11847</v>
      </c>
      <c r="J2061" s="48" t="n">
        <v>11868</v>
      </c>
      <c r="K2061" s="48" t="n">
        <v>11442</v>
      </c>
      <c r="L2061" s="48" t="n">
        <v>271271223</v>
      </c>
      <c r="M2061" s="48" t="n">
        <v>3213750178881</v>
      </c>
      <c r="N2061" s="48" t="n">
        <v>8481</v>
      </c>
      <c r="O2061" s="48" t="n">
        <v>216393210</v>
      </c>
      <c r="P2061" s="48" t="n">
        <v>63845265</v>
      </c>
      <c r="Q2061" s="48" t="n">
        <v>3099</v>
      </c>
      <c r="R2061" s="48" t="n">
        <v>4368</v>
      </c>
      <c r="S2061" s="48" t="n">
        <v>54878013</v>
      </c>
      <c r="T2061" s="48" t="n">
        <v>207425958</v>
      </c>
      <c r="U2061" s="46" t="n">
        <f aca="false">IF($A2061=$A2060,$U2060+1,1)</f>
        <v>237</v>
      </c>
      <c r="V2061" s="48" t="n">
        <f aca="false">IF($U2061&gt;=MA_SHORT,AVERAGE(INDEX($I$1661:$I2061,402-MA_SHORT):$I2061),"")</f>
        <v>12292.05</v>
      </c>
      <c r="W2061" s="48" t="n">
        <f aca="false">IF($U2061&gt;=MA_MED,AVERAGE(INDEX($I$1661:$I2061,402-MA_MED):$I2061),"")</f>
        <v>13802.34</v>
      </c>
      <c r="X2061" s="48" t="n">
        <f aca="false">IF($U2061&gt;=MA_LONG1,AVERAGE(INDEX($I$1661:$I2061,402-MA_LONG1):$I2061),"")</f>
        <v>14067.78</v>
      </c>
      <c r="Y2061" s="48" t="n">
        <f aca="false">IF($U2061&gt;=MA_LONG2,AVERAGE(INDEX($I$1661:$I2061,402-MA_LONG2):$I2061),"")</f>
        <v>13331.75</v>
      </c>
      <c r="Z2061" s="48" t="n">
        <f aca="false">IF($U2061&gt;=MA_SHORT,AVERAGE(INDEX($L$1941:$L2061,122-MA_SHORT):$L2061),"")</f>
        <v>108420203.45</v>
      </c>
      <c r="AA2061" s="48" t="n">
        <f aca="false">IF($U2061=1,$G2061-$H2061,MAX($G2061-$H2061,ABS($G2061-$I2060),ABS($H2061-$I2060)))</f>
        <v>639</v>
      </c>
      <c r="AB2061" s="48" t="n">
        <f aca="false">IF($U2061&gt;=ATR_PER,AVERAGE(INDEX($AA$1941:$AA2061,122-ATR_PER):$AA2061),"")</f>
        <v>479.071428571429</v>
      </c>
      <c r="AC2061" s="48" t="n">
        <f aca="false">$O2061-$P2061</f>
        <v>152547945</v>
      </c>
      <c r="AD2061" s="48" t="n">
        <f aca="false">$AC2061*$I2061</f>
        <v>1807235504415</v>
      </c>
      <c r="AE2061" s="49" t="n">
        <f aca="false">IF($Q2061&gt;0,$O2061*$I2061/$Q2061/1000000,"")</f>
        <v>827.237934453049</v>
      </c>
      <c r="AF2061" s="49" t="n">
        <f aca="false">IF($R2061&gt;0,$P2061*$I2061/$R2061/1000000,"")</f>
        <v>173.162741404533</v>
      </c>
      <c r="AG2061" s="50" t="n">
        <f aca="false">IF(AND(ISNUMBER($AE2061),ISNUMBER($AF2061),$AF2061&gt;0),$AE2061/$AF2061,"")</f>
        <v>4.77722821747493</v>
      </c>
      <c r="AH2061" s="48" t="n">
        <f aca="false">IF($U2061&gt;=5,SUM(INDEX($AD$2031:$AD2061,32-5):$AD2061),"")</f>
        <v>2448828712979</v>
      </c>
      <c r="AI2061" s="48" t="n">
        <f aca="false">IF($U2061&gt;=STRUCT_S,MAX(INDEX($G$1911:$G2061,152-STRUCT_S):$G2061),"")</f>
        <v>13174</v>
      </c>
      <c r="AJ2061" s="48" t="n">
        <f aca="false">IF($U2061&gt;=STRUCT_S,MIN(INDEX($H$1911:$H2061,152-STRUCT_S):$H2061),"")</f>
        <v>11250</v>
      </c>
      <c r="AK2061" s="48" t="n">
        <f aca="false">IF($U2061&gt;=STRUCT_L,MAX(INDEX($G$1811:$G2061,252-STRUCT_L):$G2061),"")</f>
        <v>16096</v>
      </c>
      <c r="AL2061" s="48" t="n">
        <f aca="false">IF($U2061&gt;=STRUCT_L,MIN(INDEX($H$1811:$H2061,252-STRUCT_L):$H2061),"")</f>
        <v>11250</v>
      </c>
      <c r="AM2061" s="46" t="n">
        <f aca="false">IF($A2061&lt;&gt;$A2062,1,0)</f>
        <v>0</v>
      </c>
      <c r="AN2061" s="47" t="str">
        <f aca="false">IF($AM2061=1,$A2061,"")</f>
        <v/>
      </c>
    </row>
    <row r="2062" customFormat="false" ht="15" hidden="false" customHeight="false" outlineLevel="0" collapsed="false">
      <c r="A2062" s="43" t="s">
        <v>167</v>
      </c>
      <c r="B2062" s="44" t="s">
        <v>169</v>
      </c>
      <c r="C2062" s="45" t="n">
        <v>46237</v>
      </c>
      <c r="D2062" s="46" t="n">
        <v>20260803</v>
      </c>
      <c r="E2062" s="47" t="s">
        <v>525</v>
      </c>
      <c r="F2062" s="48" t="n">
        <v>12001</v>
      </c>
      <c r="G2062" s="48" t="n">
        <v>12123</v>
      </c>
      <c r="H2062" s="48" t="n">
        <v>11593</v>
      </c>
      <c r="I2062" s="48" t="n">
        <v>11868</v>
      </c>
      <c r="J2062" s="48" t="n">
        <v>11672</v>
      </c>
      <c r="K2062" s="48" t="n">
        <v>11847</v>
      </c>
      <c r="L2062" s="48" t="n">
        <v>80385316</v>
      </c>
      <c r="M2062" s="48" t="n">
        <v>954012930288</v>
      </c>
      <c r="N2062" s="48" t="n">
        <v>2252</v>
      </c>
      <c r="O2062" s="48" t="n">
        <v>46136214</v>
      </c>
      <c r="P2062" s="48" t="n">
        <v>31054550</v>
      </c>
      <c r="Q2062" s="48" t="n">
        <v>567</v>
      </c>
      <c r="R2062" s="48" t="n">
        <v>1075</v>
      </c>
      <c r="S2062" s="48" t="n">
        <v>34249102</v>
      </c>
      <c r="T2062" s="48" t="n">
        <v>49330766</v>
      </c>
      <c r="U2062" s="46" t="n">
        <f aca="false">IF($A2062=$A2061,$U2061+1,1)</f>
        <v>238</v>
      </c>
      <c r="V2062" s="48" t="n">
        <f aca="false">IF($U2062&gt;=MA_SHORT,AVERAGE(INDEX($I$1662:$I2062,402-MA_SHORT):$I2062),"")</f>
        <v>12246.1</v>
      </c>
      <c r="W2062" s="48" t="n">
        <f aca="false">IF($U2062&gt;=MA_MED,AVERAGE(INDEX($I$1662:$I2062,402-MA_MED):$I2062),"")</f>
        <v>13736.68</v>
      </c>
      <c r="X2062" s="48" t="n">
        <f aca="false">IF($U2062&gt;=MA_LONG1,AVERAGE(INDEX($I$1662:$I2062,402-MA_LONG1):$I2062),"")</f>
        <v>14047.42</v>
      </c>
      <c r="Y2062" s="48" t="n">
        <f aca="false">IF($U2062&gt;=MA_LONG2,AVERAGE(INDEX($I$1662:$I2062,402-MA_LONG2):$I2062),"")</f>
        <v>13330.39</v>
      </c>
      <c r="Z2062" s="48" t="n">
        <f aca="false">IF($U2062&gt;=MA_SHORT,AVERAGE(INDEX($L$1942:$L2062,122-MA_SHORT):$L2062),"")</f>
        <v>108393654.45</v>
      </c>
      <c r="AA2062" s="48" t="n">
        <f aca="false">IF($U2062=1,$G2062-$H2062,MAX($G2062-$H2062,ABS($G2062-$I2061),ABS($H2062-$I2061)))</f>
        <v>530</v>
      </c>
      <c r="AB2062" s="48" t="n">
        <f aca="false">IF($U2062&gt;=ATR_PER,AVERAGE(INDEX($AA$1942:$AA2062,122-ATR_PER):$AA2062),"")</f>
        <v>480.214285714286</v>
      </c>
      <c r="AC2062" s="48" t="n">
        <f aca="false">$O2062-$P2062</f>
        <v>15081664</v>
      </c>
      <c r="AD2062" s="48" t="n">
        <f aca="false">$AC2062*$I2062</f>
        <v>178989188352</v>
      </c>
      <c r="AE2062" s="49" t="n">
        <f aca="false">IF($Q2062&gt;0,$O2062*$I2062/$Q2062/1000000,"")</f>
        <v>965.687103619048</v>
      </c>
      <c r="AF2062" s="49" t="n">
        <f aca="false">IF($R2062&gt;0,$P2062*$I2062/$R2062/1000000,"")</f>
        <v>342.842232</v>
      </c>
      <c r="AG2062" s="50" t="n">
        <f aca="false">IF(AND(ISNUMBER($AE2062),ISNUMBER($AF2062),$AF2062&gt;0),$AE2062/$AF2062,"")</f>
        <v>2.81670988426842</v>
      </c>
      <c r="AH2062" s="48" t="n">
        <f aca="false">IF($U2062&gt;=5,SUM(INDEX($AD$2032:$AD2062,32-5):$AD2062),"")</f>
        <v>2365669462277</v>
      </c>
      <c r="AI2062" s="48" t="n">
        <f aca="false">IF($U2062&gt;=STRUCT_S,MAX(INDEX($G$1912:$G2062,152-STRUCT_S):$G2062),"")</f>
        <v>13174</v>
      </c>
      <c r="AJ2062" s="48" t="n">
        <f aca="false">IF($U2062&gt;=STRUCT_S,MIN(INDEX($H$1912:$H2062,152-STRUCT_S):$H2062),"")</f>
        <v>11250</v>
      </c>
      <c r="AK2062" s="48" t="n">
        <f aca="false">IF($U2062&gt;=STRUCT_L,MAX(INDEX($G$1812:$G2062,252-STRUCT_L):$G2062),"")</f>
        <v>16096</v>
      </c>
      <c r="AL2062" s="48" t="n">
        <f aca="false">IF($U2062&gt;=STRUCT_L,MIN(INDEX($H$1812:$H2062,252-STRUCT_L):$H2062),"")</f>
        <v>11250</v>
      </c>
      <c r="AM2062" s="46" t="n">
        <f aca="false">IF($A2062&lt;&gt;$A2063,1,0)</f>
        <v>0</v>
      </c>
      <c r="AN2062" s="47" t="str">
        <f aca="false">IF($AM2062=1,$A2062,"")</f>
        <v/>
      </c>
    </row>
    <row r="2063" customFormat="false" ht="15" hidden="false" customHeight="false" outlineLevel="0" collapsed="false">
      <c r="A2063" s="43" t="s">
        <v>167</v>
      </c>
      <c r="B2063" s="44" t="s">
        <v>169</v>
      </c>
      <c r="C2063" s="45" t="n">
        <v>46238</v>
      </c>
      <c r="D2063" s="46" t="n">
        <v>20260804</v>
      </c>
      <c r="E2063" s="47" t="s">
        <v>526</v>
      </c>
      <c r="F2063" s="48" t="n">
        <v>12237</v>
      </c>
      <c r="G2063" s="48" t="n">
        <v>12283</v>
      </c>
      <c r="H2063" s="48" t="n">
        <v>11712</v>
      </c>
      <c r="I2063" s="48" t="n">
        <v>12124</v>
      </c>
      <c r="J2063" s="48" t="n">
        <v>12044</v>
      </c>
      <c r="K2063" s="48" t="n">
        <v>11868</v>
      </c>
      <c r="L2063" s="48" t="n">
        <v>89833643</v>
      </c>
      <c r="M2063" s="48" t="n">
        <v>1089143087732</v>
      </c>
      <c r="N2063" s="48" t="n">
        <v>2019</v>
      </c>
      <c r="O2063" s="48" t="n">
        <v>63402061</v>
      </c>
      <c r="P2063" s="48" t="n">
        <v>24780167</v>
      </c>
      <c r="Q2063" s="48" t="n">
        <v>600</v>
      </c>
      <c r="R2063" s="48" t="n">
        <v>1497</v>
      </c>
      <c r="S2063" s="48" t="n">
        <v>26431582</v>
      </c>
      <c r="T2063" s="48" t="n">
        <v>65053476</v>
      </c>
      <c r="U2063" s="46" t="n">
        <f aca="false">IF($A2063=$A2062,$U2062+1,1)</f>
        <v>239</v>
      </c>
      <c r="V2063" s="48" t="n">
        <f aca="false">IF($U2063&gt;=MA_SHORT,AVERAGE(INDEX($I$1663:$I2063,402-MA_SHORT):$I2063),"")</f>
        <v>12222.25</v>
      </c>
      <c r="W2063" s="48" t="n">
        <f aca="false">IF($U2063&gt;=MA_MED,AVERAGE(INDEX($I$1663:$I2063,402-MA_MED):$I2063),"")</f>
        <v>13681.22</v>
      </c>
      <c r="X2063" s="48" t="n">
        <f aca="false">IF($U2063&gt;=MA_LONG1,AVERAGE(INDEX($I$1663:$I2063,402-MA_LONG1):$I2063),"")</f>
        <v>14028.81</v>
      </c>
      <c r="Y2063" s="48" t="n">
        <f aca="false">IF($U2063&gt;=MA_LONG2,AVERAGE(INDEX($I$1663:$I2063,402-MA_LONG2):$I2063),"")</f>
        <v>13330.885</v>
      </c>
      <c r="Z2063" s="48" t="n">
        <f aca="false">IF($U2063&gt;=MA_SHORT,AVERAGE(INDEX($L$1943:$L2063,122-MA_SHORT):$L2063),"")</f>
        <v>108561273.8</v>
      </c>
      <c r="AA2063" s="48" t="n">
        <f aca="false">IF($U2063=1,$G2063-$H2063,MAX($G2063-$H2063,ABS($G2063-$I2062),ABS($H2063-$I2062)))</f>
        <v>571</v>
      </c>
      <c r="AB2063" s="48" t="n">
        <f aca="false">IF($U2063&gt;=ATR_PER,AVERAGE(INDEX($AA$1943:$AA2063,122-ATR_PER):$AA2063),"")</f>
        <v>478.428571428571</v>
      </c>
      <c r="AC2063" s="48" t="n">
        <f aca="false">$O2063-$P2063</f>
        <v>38621894</v>
      </c>
      <c r="AD2063" s="48" t="n">
        <f aca="false">$AC2063*$I2063</f>
        <v>468251842856</v>
      </c>
      <c r="AE2063" s="49" t="n">
        <f aca="false">IF($Q2063&gt;0,$O2063*$I2063/$Q2063/1000000,"")</f>
        <v>1281.14431260667</v>
      </c>
      <c r="AF2063" s="49" t="n">
        <f aca="false">IF($R2063&gt;0,$P2063*$I2063/$R2063/1000000,"")</f>
        <v>200.691212229793</v>
      </c>
      <c r="AG2063" s="50" t="n">
        <f aca="false">IF(AND(ISNUMBER($AE2063),ISNUMBER($AF2063),$AF2063&gt;0),$AE2063/$AF2063,"")</f>
        <v>6.38365924632389</v>
      </c>
      <c r="AH2063" s="48" t="n">
        <f aca="false">IF($U2063&gt;=5,SUM(INDEX($AD$2033:$AD2063,32-5):$AD2063),"")</f>
        <v>2690076766373</v>
      </c>
      <c r="AI2063" s="48" t="n">
        <f aca="false">IF($U2063&gt;=STRUCT_S,MAX(INDEX($G$1913:$G2063,152-STRUCT_S):$G2063),"")</f>
        <v>13174</v>
      </c>
      <c r="AJ2063" s="48" t="n">
        <f aca="false">IF($U2063&gt;=STRUCT_S,MIN(INDEX($H$1913:$H2063,152-STRUCT_S):$H2063),"")</f>
        <v>11250</v>
      </c>
      <c r="AK2063" s="48" t="n">
        <f aca="false">IF($U2063&gt;=STRUCT_L,MAX(INDEX($G$1813:$G2063,252-STRUCT_L):$G2063),"")</f>
        <v>16096</v>
      </c>
      <c r="AL2063" s="48" t="n">
        <f aca="false">IF($U2063&gt;=STRUCT_L,MIN(INDEX($H$1813:$H2063,252-STRUCT_L):$H2063),"")</f>
        <v>11250</v>
      </c>
      <c r="AM2063" s="46" t="n">
        <f aca="false">IF($A2063&lt;&gt;$A2064,1,0)</f>
        <v>0</v>
      </c>
      <c r="AN2063" s="47" t="str">
        <f aca="false">IF($AM2063=1,$A2063,"")</f>
        <v/>
      </c>
    </row>
    <row r="2064" customFormat="false" ht="15" hidden="false" customHeight="false" outlineLevel="0" collapsed="false">
      <c r="A2064" s="43" t="s">
        <v>167</v>
      </c>
      <c r="B2064" s="44" t="s">
        <v>169</v>
      </c>
      <c r="C2064" s="45" t="n">
        <v>46239</v>
      </c>
      <c r="D2064" s="46" t="n">
        <v>20260805</v>
      </c>
      <c r="E2064" s="47" t="s">
        <v>527</v>
      </c>
      <c r="F2064" s="48" t="n">
        <v>11970</v>
      </c>
      <c r="G2064" s="48" t="n">
        <v>12351</v>
      </c>
      <c r="H2064" s="48" t="n">
        <v>11480</v>
      </c>
      <c r="I2064" s="48" t="n">
        <v>11699</v>
      </c>
      <c r="J2064" s="48" t="n">
        <v>11969</v>
      </c>
      <c r="K2064" s="48" t="n">
        <v>12124</v>
      </c>
      <c r="L2064" s="48" t="n">
        <v>120452009</v>
      </c>
      <c r="M2064" s="48" t="n">
        <v>1409168053291</v>
      </c>
      <c r="N2064" s="48" t="n">
        <v>8160</v>
      </c>
      <c r="O2064" s="48" t="n">
        <v>48382426</v>
      </c>
      <c r="P2064" s="48" t="n">
        <v>71684043</v>
      </c>
      <c r="Q2064" s="48" t="n">
        <v>4476</v>
      </c>
      <c r="R2064" s="48" t="n">
        <v>2395</v>
      </c>
      <c r="S2064" s="48" t="n">
        <v>72069583</v>
      </c>
      <c r="T2064" s="48" t="n">
        <v>48767966</v>
      </c>
      <c r="U2064" s="46" t="n">
        <f aca="false">IF($A2064=$A2063,$U2063+1,1)</f>
        <v>240</v>
      </c>
      <c r="V2064" s="48" t="n">
        <f aca="false">IF($U2064&gt;=MA_SHORT,AVERAGE(INDEX($I$1664:$I2064,402-MA_SHORT):$I2064),"")</f>
        <v>12184</v>
      </c>
      <c r="W2064" s="48" t="n">
        <f aca="false">IF($U2064&gt;=MA_MED,AVERAGE(INDEX($I$1664:$I2064,402-MA_MED):$I2064),"")</f>
        <v>13618.52</v>
      </c>
      <c r="X2064" s="48" t="n">
        <f aca="false">IF($U2064&gt;=MA_LONG1,AVERAGE(INDEX($I$1664:$I2064,402-MA_LONG1):$I2064),"")</f>
        <v>14002.55</v>
      </c>
      <c r="Y2064" s="48" t="n">
        <f aca="false">IF($U2064&gt;=MA_LONG2,AVERAGE(INDEX($I$1664:$I2064,402-MA_LONG2):$I2064),"")</f>
        <v>13329.915</v>
      </c>
      <c r="Z2064" s="48" t="n">
        <f aca="false">IF($U2064&gt;=MA_SHORT,AVERAGE(INDEX($L$1944:$L2064,122-MA_SHORT):$L2064),"")</f>
        <v>106878694.35</v>
      </c>
      <c r="AA2064" s="48" t="n">
        <f aca="false">IF($U2064=1,$G2064-$H2064,MAX($G2064-$H2064,ABS($G2064-$I2063),ABS($H2064-$I2063)))</f>
        <v>871</v>
      </c>
      <c r="AB2064" s="48" t="n">
        <f aca="false">IF($U2064&gt;=ATR_PER,AVERAGE(INDEX($AA$1944:$AA2064,122-ATR_PER):$AA2064),"")</f>
        <v>515.5</v>
      </c>
      <c r="AC2064" s="48" t="n">
        <f aca="false">$O2064-$P2064</f>
        <v>-23301617</v>
      </c>
      <c r="AD2064" s="48" t="n">
        <f aca="false">$AC2064*$I2064</f>
        <v>-272605617283</v>
      </c>
      <c r="AE2064" s="49" t="n">
        <f aca="false">IF($Q2064&gt;0,$O2064*$I2064/$Q2064/1000000,"")</f>
        <v>126.457998609026</v>
      </c>
      <c r="AF2064" s="49" t="n">
        <f aca="false">IF($R2064&gt;0,$P2064*$I2064/$R2064/1000000,"")</f>
        <v>350.159339898539</v>
      </c>
      <c r="AG2064" s="50" t="n">
        <f aca="false">IF(AND(ISNUMBER($AE2064),ISNUMBER($AF2064),$AF2064&gt;0),$AE2064/$AF2064,"")</f>
        <v>0.361144154103295</v>
      </c>
      <c r="AH2064" s="48" t="n">
        <f aca="false">IF($U2064&gt;=5,SUM(INDEX($AD$2034:$AD2064,32-5):$AD2064),"")</f>
        <v>2335263983662</v>
      </c>
      <c r="AI2064" s="48" t="n">
        <f aca="false">IF($U2064&gt;=STRUCT_S,MAX(INDEX($G$1914:$G2064,152-STRUCT_S):$G2064),"")</f>
        <v>13174</v>
      </c>
      <c r="AJ2064" s="48" t="n">
        <f aca="false">IF($U2064&gt;=STRUCT_S,MIN(INDEX($H$1914:$H2064,152-STRUCT_S):$H2064),"")</f>
        <v>11250</v>
      </c>
      <c r="AK2064" s="48" t="n">
        <f aca="false">IF($U2064&gt;=STRUCT_L,MAX(INDEX($G$1814:$G2064,252-STRUCT_L):$G2064),"")</f>
        <v>16096</v>
      </c>
      <c r="AL2064" s="48" t="n">
        <f aca="false">IF($U2064&gt;=STRUCT_L,MIN(INDEX($H$1814:$H2064,252-STRUCT_L):$H2064),"")</f>
        <v>11250</v>
      </c>
      <c r="AM2064" s="46" t="n">
        <f aca="false">IF($A2064&lt;&gt;$A2065,1,0)</f>
        <v>0</v>
      </c>
      <c r="AN2064" s="47" t="str">
        <f aca="false">IF($AM2064=1,$A2064,"")</f>
        <v/>
      </c>
    </row>
    <row r="2065" customFormat="false" ht="15" hidden="false" customHeight="false" outlineLevel="0" collapsed="false">
      <c r="A2065" s="43" t="s">
        <v>167</v>
      </c>
      <c r="B2065" s="44" t="s">
        <v>169</v>
      </c>
      <c r="C2065" s="45" t="n">
        <v>46242</v>
      </c>
      <c r="D2065" s="46" t="n">
        <v>20260808</v>
      </c>
      <c r="E2065" s="47" t="s">
        <v>528</v>
      </c>
      <c r="F2065" s="48" t="n">
        <v>11720</v>
      </c>
      <c r="G2065" s="48" t="n">
        <v>11828</v>
      </c>
      <c r="H2065" s="48" t="n">
        <v>11324</v>
      </c>
      <c r="I2065" s="48" t="n">
        <v>11450</v>
      </c>
      <c r="J2065" s="48" t="n">
        <v>11417</v>
      </c>
      <c r="K2065" s="48" t="n">
        <v>11699</v>
      </c>
      <c r="L2065" s="48" t="n">
        <v>93957802</v>
      </c>
      <c r="M2065" s="48" t="n">
        <v>1075816832900</v>
      </c>
      <c r="N2065" s="48" t="n">
        <v>6189</v>
      </c>
      <c r="O2065" s="48" t="n">
        <v>47959126</v>
      </c>
      <c r="P2065" s="48" t="n">
        <v>48570250</v>
      </c>
      <c r="Q2065" s="48" t="n">
        <v>3967</v>
      </c>
      <c r="R2065" s="48" t="n">
        <v>1518</v>
      </c>
      <c r="S2065" s="48" t="n">
        <v>45998676</v>
      </c>
      <c r="T2065" s="48" t="n">
        <v>45387552</v>
      </c>
      <c r="U2065" s="46" t="n">
        <f aca="false">IF($A2065=$A2064,$U2064+1,1)</f>
        <v>241</v>
      </c>
      <c r="V2065" s="48" t="n">
        <f aca="false">IF($U2065&gt;=MA_SHORT,AVERAGE(INDEX($I$1665:$I2065,402-MA_SHORT):$I2065),"")</f>
        <v>12132</v>
      </c>
      <c r="W2065" s="48" t="n">
        <f aca="false">IF($U2065&gt;=MA_MED,AVERAGE(INDEX($I$1665:$I2065,402-MA_MED):$I2065),"")</f>
        <v>13539.36</v>
      </c>
      <c r="X2065" s="48" t="n">
        <f aca="false">IF($U2065&gt;=MA_LONG1,AVERAGE(INDEX($I$1665:$I2065,402-MA_LONG1):$I2065),"")</f>
        <v>13975.79</v>
      </c>
      <c r="Y2065" s="48" t="n">
        <f aca="false">IF($U2065&gt;=MA_LONG2,AVERAGE(INDEX($I$1665:$I2065,402-MA_LONG2):$I2065),"")</f>
        <v>13327.515</v>
      </c>
      <c r="Z2065" s="48" t="n">
        <f aca="false">IF($U2065&gt;=MA_SHORT,AVERAGE(INDEX($L$1945:$L2065,122-MA_SHORT):$L2065),"")</f>
        <v>106137942.85</v>
      </c>
      <c r="AA2065" s="48" t="n">
        <f aca="false">IF($U2065=1,$G2065-$H2065,MAX($G2065-$H2065,ABS($G2065-$I2064),ABS($H2065-$I2064)))</f>
        <v>504</v>
      </c>
      <c r="AB2065" s="48" t="n">
        <f aca="false">IF($U2065&gt;=ATR_PER,AVERAGE(INDEX($AA$1945:$AA2065,122-ATR_PER):$AA2065),"")</f>
        <v>508.714285714286</v>
      </c>
      <c r="AC2065" s="48" t="n">
        <f aca="false">$O2065-$P2065</f>
        <v>-611124</v>
      </c>
      <c r="AD2065" s="48" t="n">
        <f aca="false">$AC2065*$I2065</f>
        <v>-6997369800</v>
      </c>
      <c r="AE2065" s="49" t="n">
        <f aca="false">IF($Q2065&gt;0,$O2065*$I2065/$Q2065/1000000,"")</f>
        <v>138.42500446181</v>
      </c>
      <c r="AF2065" s="49" t="n">
        <f aca="false">IF($R2065&gt;0,$P2065*$I2065/$R2065/1000000,"")</f>
        <v>366.356628787879</v>
      </c>
      <c r="AG2065" s="50" t="n">
        <f aca="false">IF(AND(ISNUMBER($AE2065),ISNUMBER($AF2065),$AF2065&gt;0),$AE2065/$AF2065,"")</f>
        <v>0.377842226902787</v>
      </c>
      <c r="AH2065" s="48" t="n">
        <f aca="false">IF($U2065&gt;=5,SUM(INDEX($AD$2035:$AD2065,32-5):$AD2065),"")</f>
        <v>2174873548540</v>
      </c>
      <c r="AI2065" s="48" t="n">
        <f aca="false">IF($U2065&gt;=STRUCT_S,MAX(INDEX($G$1915:$G2065,152-STRUCT_S):$G2065),"")</f>
        <v>13174</v>
      </c>
      <c r="AJ2065" s="48" t="n">
        <f aca="false">IF($U2065&gt;=STRUCT_S,MIN(INDEX($H$1915:$H2065,152-STRUCT_S):$H2065),"")</f>
        <v>11250</v>
      </c>
      <c r="AK2065" s="48" t="n">
        <f aca="false">IF($U2065&gt;=STRUCT_L,MAX(INDEX($G$1815:$G2065,252-STRUCT_L):$G2065),"")</f>
        <v>16096</v>
      </c>
      <c r="AL2065" s="48" t="n">
        <f aca="false">IF($U2065&gt;=STRUCT_L,MIN(INDEX($H$1815:$H2065,252-STRUCT_L):$H2065),"")</f>
        <v>11250</v>
      </c>
      <c r="AM2065" s="46" t="n">
        <f aca="false">IF($A2065&lt;&gt;$A2066,1,0)</f>
        <v>0</v>
      </c>
      <c r="AN2065" s="47" t="str">
        <f aca="false">IF($AM2065=1,$A2065,"")</f>
        <v/>
      </c>
    </row>
    <row r="2066" customFormat="false" ht="15" hidden="false" customHeight="false" outlineLevel="0" collapsed="false">
      <c r="A2066" s="43" t="s">
        <v>167</v>
      </c>
      <c r="B2066" s="44" t="s">
        <v>169</v>
      </c>
      <c r="C2066" s="45" t="n">
        <v>46243</v>
      </c>
      <c r="D2066" s="46" t="n">
        <v>20260809</v>
      </c>
      <c r="E2066" s="47" t="s">
        <v>529</v>
      </c>
      <c r="F2066" s="48" t="n">
        <v>11464</v>
      </c>
      <c r="G2066" s="48" t="n">
        <v>11521</v>
      </c>
      <c r="H2066" s="48" t="n">
        <v>11397</v>
      </c>
      <c r="I2066" s="48" t="n">
        <v>11467</v>
      </c>
      <c r="J2066" s="48" t="n">
        <v>11516</v>
      </c>
      <c r="K2066" s="48" t="n">
        <v>11450</v>
      </c>
      <c r="L2066" s="48" t="n">
        <v>91495786</v>
      </c>
      <c r="M2066" s="48" t="n">
        <v>1049182178062</v>
      </c>
      <c r="N2066" s="48" t="n">
        <v>2316</v>
      </c>
      <c r="O2066" s="48" t="n">
        <v>59152376</v>
      </c>
      <c r="P2066" s="48" t="n">
        <v>31954256</v>
      </c>
      <c r="Q2066" s="48" t="n">
        <v>772</v>
      </c>
      <c r="R2066" s="48" t="n">
        <v>1725</v>
      </c>
      <c r="S2066" s="48" t="n">
        <v>32343410</v>
      </c>
      <c r="T2066" s="48" t="n">
        <v>59541530</v>
      </c>
      <c r="U2066" s="46" t="n">
        <f aca="false">IF($A2066=$A2065,$U2065+1,1)</f>
        <v>242</v>
      </c>
      <c r="V2066" s="48" t="n">
        <f aca="false">IF($U2066&gt;=MA_SHORT,AVERAGE(INDEX($I$1666:$I2066,402-MA_SHORT):$I2066),"")</f>
        <v>12066.75</v>
      </c>
      <c r="W2066" s="48" t="n">
        <f aca="false">IF($U2066&gt;=MA_MED,AVERAGE(INDEX($I$1666:$I2066,402-MA_MED):$I2066),"")</f>
        <v>13451.84</v>
      </c>
      <c r="X2066" s="48" t="n">
        <f aca="false">IF($U2066&gt;=MA_LONG1,AVERAGE(INDEX($I$1666:$I2066,402-MA_LONG1):$I2066),"")</f>
        <v>13949.5</v>
      </c>
      <c r="Y2066" s="48" t="n">
        <f aca="false">IF($U2066&gt;=MA_LONG2,AVERAGE(INDEX($I$1666:$I2066,402-MA_LONG2):$I2066),"")</f>
        <v>13326.64</v>
      </c>
      <c r="Z2066" s="48" t="n">
        <f aca="false">IF($U2066&gt;=MA_SHORT,AVERAGE(INDEX($L$1946:$L2066,122-MA_SHORT):$L2066),"")</f>
        <v>106197010.35</v>
      </c>
      <c r="AA2066" s="48" t="n">
        <f aca="false">IF($U2066=1,$G2066-$H2066,MAX($G2066-$H2066,ABS($G2066-$I2065),ABS($H2066-$I2065)))</f>
        <v>124</v>
      </c>
      <c r="AB2066" s="48" t="n">
        <f aca="false">IF($U2066&gt;=ATR_PER,AVERAGE(INDEX($AA$1946:$AA2066,122-ATR_PER):$AA2066),"")</f>
        <v>465.857142857143</v>
      </c>
      <c r="AC2066" s="48" t="n">
        <f aca="false">$O2066-$P2066</f>
        <v>27198120</v>
      </c>
      <c r="AD2066" s="48" t="n">
        <f aca="false">$AC2066*$I2066</f>
        <v>311880842040</v>
      </c>
      <c r="AE2066" s="49" t="n">
        <f aca="false">IF($Q2066&gt;0,$O2066*$I2066/$Q2066/1000000,"")</f>
        <v>878.627325896373</v>
      </c>
      <c r="AF2066" s="49" t="n">
        <f aca="false">IF($R2066&gt;0,$P2066*$I2066/$R2066/1000000,"")</f>
        <v>212.417074522899</v>
      </c>
      <c r="AG2066" s="50" t="n">
        <f aca="false">IF(AND(ISNUMBER($AE2066),ISNUMBER($AF2066),$AF2066&gt;0),$AE2066/$AF2066,"")</f>
        <v>4.13633097937076</v>
      </c>
      <c r="AH2066" s="48" t="n">
        <f aca="false">IF($U2066&gt;=5,SUM(INDEX($AD$2036:$AD2066,32-5):$AD2066),"")</f>
        <v>679518886165</v>
      </c>
      <c r="AI2066" s="48" t="n">
        <f aca="false">IF($U2066&gt;=STRUCT_S,MAX(INDEX($G$1916:$G2066,152-STRUCT_S):$G2066),"")</f>
        <v>13174</v>
      </c>
      <c r="AJ2066" s="48" t="n">
        <f aca="false">IF($U2066&gt;=STRUCT_S,MIN(INDEX($H$1916:$H2066,152-STRUCT_S):$H2066),"")</f>
        <v>11250</v>
      </c>
      <c r="AK2066" s="48" t="n">
        <f aca="false">IF($U2066&gt;=STRUCT_L,MAX(INDEX($G$1816:$G2066,252-STRUCT_L):$G2066),"")</f>
        <v>16096</v>
      </c>
      <c r="AL2066" s="48" t="n">
        <f aca="false">IF($U2066&gt;=STRUCT_L,MIN(INDEX($H$1816:$H2066,252-STRUCT_L):$H2066),"")</f>
        <v>11250</v>
      </c>
      <c r="AM2066" s="46" t="n">
        <f aca="false">IF($A2066&lt;&gt;$A2067,1,0)</f>
        <v>0</v>
      </c>
      <c r="AN2066" s="47" t="str">
        <f aca="false">IF($AM2066=1,$A2066,"")</f>
        <v/>
      </c>
    </row>
    <row r="2067" customFormat="false" ht="15" hidden="false" customHeight="false" outlineLevel="0" collapsed="false">
      <c r="A2067" s="43" t="s">
        <v>167</v>
      </c>
      <c r="B2067" s="44" t="s">
        <v>169</v>
      </c>
      <c r="C2067" s="45" t="n">
        <v>46244</v>
      </c>
      <c r="D2067" s="46" t="n">
        <v>20260810</v>
      </c>
      <c r="E2067" s="47" t="s">
        <v>530</v>
      </c>
      <c r="F2067" s="48" t="n">
        <v>11352</v>
      </c>
      <c r="G2067" s="48" t="n">
        <v>11609</v>
      </c>
      <c r="H2067" s="48" t="n">
        <v>11259</v>
      </c>
      <c r="I2067" s="48" t="n">
        <v>11400</v>
      </c>
      <c r="J2067" s="48" t="n">
        <v>11545</v>
      </c>
      <c r="K2067" s="48" t="n">
        <v>11467</v>
      </c>
      <c r="L2067" s="48" t="n">
        <v>115730105</v>
      </c>
      <c r="M2067" s="48" t="n">
        <v>1319323197000</v>
      </c>
      <c r="N2067" s="48" t="n">
        <v>2681</v>
      </c>
      <c r="O2067" s="48" t="n">
        <v>60406788</v>
      </c>
      <c r="P2067" s="48" t="n">
        <v>57793045</v>
      </c>
      <c r="Q2067" s="48" t="n">
        <v>1266</v>
      </c>
      <c r="R2067" s="48" t="n">
        <v>815</v>
      </c>
      <c r="S2067" s="48" t="n">
        <v>55323317</v>
      </c>
      <c r="T2067" s="48" t="n">
        <v>57937060</v>
      </c>
      <c r="U2067" s="46" t="n">
        <f aca="false">IF($A2067=$A2066,$U2066+1,1)</f>
        <v>243</v>
      </c>
      <c r="V2067" s="48" t="n">
        <f aca="false">IF($U2067&gt;=MA_SHORT,AVERAGE(INDEX($I$1667:$I2067,402-MA_SHORT):$I2067),"")</f>
        <v>11993.4</v>
      </c>
      <c r="W2067" s="48" t="n">
        <f aca="false">IF($U2067&gt;=MA_MED,AVERAGE(INDEX($I$1667:$I2067,402-MA_MED):$I2067),"")</f>
        <v>13367.88</v>
      </c>
      <c r="X2067" s="48" t="n">
        <f aca="false">IF($U2067&gt;=MA_LONG1,AVERAGE(INDEX($I$1667:$I2067,402-MA_LONG1):$I2067),"")</f>
        <v>13923.62</v>
      </c>
      <c r="Y2067" s="48" t="n">
        <f aca="false">IF($U2067&gt;=MA_LONG2,AVERAGE(INDEX($I$1667:$I2067,402-MA_LONG2):$I2067),"")</f>
        <v>13324.955</v>
      </c>
      <c r="Z2067" s="48" t="n">
        <f aca="false">IF($U2067&gt;=MA_SHORT,AVERAGE(INDEX($L$1947:$L2067,122-MA_SHORT):$L2067),"")</f>
        <v>107829059.6</v>
      </c>
      <c r="AA2067" s="48" t="n">
        <f aca="false">IF($U2067=1,$G2067-$H2067,MAX($G2067-$H2067,ABS($G2067-$I2066),ABS($H2067-$I2066)))</f>
        <v>350</v>
      </c>
      <c r="AB2067" s="48" t="n">
        <f aca="false">IF($U2067&gt;=ATR_PER,AVERAGE(INDEX($AA$1947:$AA2067,122-ATR_PER):$AA2067),"")</f>
        <v>455.571428571429</v>
      </c>
      <c r="AC2067" s="48" t="n">
        <f aca="false">$O2067-$P2067</f>
        <v>2613743</v>
      </c>
      <c r="AD2067" s="48" t="n">
        <f aca="false">$AC2067*$I2067</f>
        <v>29796670200</v>
      </c>
      <c r="AE2067" s="49" t="n">
        <f aca="false">IF($Q2067&gt;0,$O2067*$I2067/$Q2067/1000000,"")</f>
        <v>543.947380094787</v>
      </c>
      <c r="AF2067" s="49" t="n">
        <f aca="false">IF($R2067&gt;0,$P2067*$I2067/$R2067/1000000,"")</f>
        <v>808.393512883436</v>
      </c>
      <c r="AG2067" s="50" t="n">
        <f aca="false">IF(AND(ISNUMBER($AE2067),ISNUMBER($AF2067),$AF2067&gt;0),$AE2067/$AF2067,"")</f>
        <v>0.672874499146581</v>
      </c>
      <c r="AH2067" s="48" t="n">
        <f aca="false">IF($U2067&gt;=5,SUM(INDEX($AD$2037:$AD2067,32-5):$AD2067),"")</f>
        <v>530326368013</v>
      </c>
      <c r="AI2067" s="48" t="n">
        <f aca="false">IF($U2067&gt;=STRUCT_S,MAX(INDEX($G$1917:$G2067,152-STRUCT_S):$G2067),"")</f>
        <v>13174</v>
      </c>
      <c r="AJ2067" s="48" t="n">
        <f aca="false">IF($U2067&gt;=STRUCT_S,MIN(INDEX($H$1917:$H2067,152-STRUCT_S):$H2067),"")</f>
        <v>11250</v>
      </c>
      <c r="AK2067" s="48" t="n">
        <f aca="false">IF($U2067&gt;=STRUCT_L,MAX(INDEX($G$1817:$G2067,252-STRUCT_L):$G2067),"")</f>
        <v>16096</v>
      </c>
      <c r="AL2067" s="48" t="n">
        <f aca="false">IF($U2067&gt;=STRUCT_L,MIN(INDEX($H$1817:$H2067,252-STRUCT_L):$H2067),"")</f>
        <v>11250</v>
      </c>
      <c r="AM2067" s="46" t="n">
        <f aca="false">IF($A2067&lt;&gt;$A2068,1,0)</f>
        <v>0</v>
      </c>
      <c r="AN2067" s="47" t="str">
        <f aca="false">IF($AM2067=1,$A2067,"")</f>
        <v/>
      </c>
    </row>
    <row r="2068" customFormat="false" ht="15" hidden="false" customHeight="false" outlineLevel="0" collapsed="false">
      <c r="A2068" s="43" t="s">
        <v>167</v>
      </c>
      <c r="B2068" s="44" t="s">
        <v>169</v>
      </c>
      <c r="C2068" s="45" t="n">
        <v>46245</v>
      </c>
      <c r="D2068" s="46" t="n">
        <v>20260811</v>
      </c>
      <c r="E2068" s="47" t="s">
        <v>531</v>
      </c>
      <c r="F2068" s="48" t="n">
        <v>11412</v>
      </c>
      <c r="G2068" s="48" t="n">
        <v>11665</v>
      </c>
      <c r="H2068" s="48" t="n">
        <v>11342</v>
      </c>
      <c r="I2068" s="48" t="n">
        <v>11606</v>
      </c>
      <c r="J2068" s="48" t="n">
        <v>11470</v>
      </c>
      <c r="K2068" s="48" t="n">
        <v>11400</v>
      </c>
      <c r="L2068" s="48" t="n">
        <v>88163109</v>
      </c>
      <c r="M2068" s="48" t="n">
        <v>1023221043054</v>
      </c>
      <c r="N2068" s="48" t="n">
        <v>2661</v>
      </c>
      <c r="O2068" s="48" t="n">
        <v>60977577</v>
      </c>
      <c r="P2068" s="48" t="n">
        <v>25517233</v>
      </c>
      <c r="Q2068" s="48" t="n">
        <v>754</v>
      </c>
      <c r="R2068" s="48" t="n">
        <v>1228</v>
      </c>
      <c r="S2068" s="48" t="n">
        <v>27185532</v>
      </c>
      <c r="T2068" s="48" t="n">
        <v>62645876</v>
      </c>
      <c r="U2068" s="46" t="n">
        <f aca="false">IF($A2068=$A2067,$U2067+1,1)</f>
        <v>244</v>
      </c>
      <c r="V2068" s="48" t="n">
        <f aca="false">IF($U2068&gt;=MA_SHORT,AVERAGE(INDEX($I$1668:$I2068,402-MA_SHORT):$I2068),"")</f>
        <v>11937.35</v>
      </c>
      <c r="W2068" s="48" t="n">
        <f aca="false">IF($U2068&gt;=MA_MED,AVERAGE(INDEX($I$1668:$I2068,402-MA_MED):$I2068),"")</f>
        <v>13285.4</v>
      </c>
      <c r="X2068" s="48" t="n">
        <f aca="false">IF($U2068&gt;=MA_LONG1,AVERAGE(INDEX($I$1668:$I2068,402-MA_LONG1):$I2068),"")</f>
        <v>13897.28</v>
      </c>
      <c r="Y2068" s="48" t="n">
        <f aca="false">IF($U2068&gt;=MA_LONG2,AVERAGE(INDEX($I$1668:$I2068,402-MA_LONG2):$I2068),"")</f>
        <v>13325.81</v>
      </c>
      <c r="Z2068" s="48" t="n">
        <f aca="false">IF($U2068&gt;=MA_SHORT,AVERAGE(INDEX($L$1948:$L2068,122-MA_SHORT):$L2068),"")</f>
        <v>104987833.4</v>
      </c>
      <c r="AA2068" s="48" t="n">
        <f aca="false">IF($U2068=1,$G2068-$H2068,MAX($G2068-$H2068,ABS($G2068-$I2067),ABS($H2068-$I2067)))</f>
        <v>323</v>
      </c>
      <c r="AB2068" s="48" t="n">
        <f aca="false">IF($U2068&gt;=ATR_PER,AVERAGE(INDEX($AA$1948:$AA2068,122-ATR_PER):$AA2068),"")</f>
        <v>459.785714285714</v>
      </c>
      <c r="AC2068" s="48" t="n">
        <f aca="false">$O2068-$P2068</f>
        <v>35460344</v>
      </c>
      <c r="AD2068" s="48" t="n">
        <f aca="false">$AC2068*$I2068</f>
        <v>411552752464</v>
      </c>
      <c r="AE2068" s="49" t="n">
        <f aca="false">IF($Q2068&gt;0,$O2068*$I2068/$Q2068/1000000,"")</f>
        <v>938.601801938992</v>
      </c>
      <c r="AF2068" s="49" t="n">
        <f aca="false">IF($R2068&gt;0,$P2068*$I2068/$R2068/1000000,"")</f>
        <v>241.16694315798</v>
      </c>
      <c r="AG2068" s="50" t="n">
        <f aca="false">IF(AND(ISNUMBER($AE2068),ISNUMBER($AF2068),$AF2068&gt;0),$AE2068/$AF2068,"")</f>
        <v>3.89191731523563</v>
      </c>
      <c r="AH2068" s="48" t="n">
        <f aca="false">IF($U2068&gt;=5,SUM(INDEX($AD$2038:$AD2068,32-5):$AD2068),"")</f>
        <v>473627277621</v>
      </c>
      <c r="AI2068" s="48" t="n">
        <f aca="false">IF($U2068&gt;=STRUCT_S,MAX(INDEX($G$1918:$G2068,152-STRUCT_S):$G2068),"")</f>
        <v>13174</v>
      </c>
      <c r="AJ2068" s="48" t="n">
        <f aca="false">IF($U2068&gt;=STRUCT_S,MIN(INDEX($H$1918:$H2068,152-STRUCT_S):$H2068),"")</f>
        <v>11250</v>
      </c>
      <c r="AK2068" s="48" t="n">
        <f aca="false">IF($U2068&gt;=STRUCT_L,MAX(INDEX($G$1818:$G2068,252-STRUCT_L):$G2068),"")</f>
        <v>16096</v>
      </c>
      <c r="AL2068" s="48" t="n">
        <f aca="false">IF($U2068&gt;=STRUCT_L,MIN(INDEX($H$1818:$H2068,252-STRUCT_L):$H2068),"")</f>
        <v>11250</v>
      </c>
      <c r="AM2068" s="46" t="n">
        <f aca="false">IF($A2068&lt;&gt;$A2069,1,0)</f>
        <v>0</v>
      </c>
      <c r="AN2068" s="47" t="str">
        <f aca="false">IF($AM2068=1,$A2068,"")</f>
        <v/>
      </c>
    </row>
    <row r="2069" customFormat="false" ht="15" hidden="false" customHeight="false" outlineLevel="0" collapsed="false">
      <c r="A2069" s="43" t="s">
        <v>167</v>
      </c>
      <c r="B2069" s="44" t="s">
        <v>169</v>
      </c>
      <c r="C2069" s="45" t="n">
        <v>46246</v>
      </c>
      <c r="D2069" s="46" t="n">
        <v>20260812</v>
      </c>
      <c r="E2069" s="47" t="s">
        <v>532</v>
      </c>
      <c r="F2069" s="48" t="n">
        <v>11419</v>
      </c>
      <c r="G2069" s="48" t="n">
        <v>11679</v>
      </c>
      <c r="H2069" s="48" t="n">
        <v>11376</v>
      </c>
      <c r="I2069" s="48" t="n">
        <v>11448</v>
      </c>
      <c r="J2069" s="48" t="n">
        <v>11619</v>
      </c>
      <c r="K2069" s="48" t="n">
        <v>11606</v>
      </c>
      <c r="L2069" s="48" t="n">
        <v>86036293</v>
      </c>
      <c r="M2069" s="48" t="n">
        <v>984943482264</v>
      </c>
      <c r="N2069" s="48" t="n">
        <v>3809</v>
      </c>
      <c r="O2069" s="48" t="n">
        <v>59425525</v>
      </c>
      <c r="P2069" s="48" t="n">
        <v>24011176</v>
      </c>
      <c r="Q2069" s="48" t="n">
        <v>2253</v>
      </c>
      <c r="R2069" s="48" t="n">
        <v>1083</v>
      </c>
      <c r="S2069" s="48" t="n">
        <v>26610768</v>
      </c>
      <c r="T2069" s="48" t="n">
        <v>62025117</v>
      </c>
      <c r="U2069" s="46" t="n">
        <f aca="false">IF($A2069=$A2068,$U2068+1,1)</f>
        <v>245</v>
      </c>
      <c r="V2069" s="48" t="n">
        <f aca="false">IF($U2069&gt;=MA_SHORT,AVERAGE(INDEX($I$1669:$I2069,402-MA_SHORT):$I2069),"")</f>
        <v>11869</v>
      </c>
      <c r="W2069" s="48" t="n">
        <f aca="false">IF($U2069&gt;=MA_MED,AVERAGE(INDEX($I$1669:$I2069,402-MA_MED):$I2069),"")</f>
        <v>13198.2</v>
      </c>
      <c r="X2069" s="48" t="n">
        <f aca="false">IF($U2069&gt;=MA_LONG1,AVERAGE(INDEX($I$1669:$I2069,402-MA_LONG1):$I2069),"")</f>
        <v>13867.46</v>
      </c>
      <c r="Y2069" s="48" t="n">
        <f aca="false">IF($U2069&gt;=MA_LONG2,AVERAGE(INDEX($I$1669:$I2069,402-MA_LONG2):$I2069),"")</f>
        <v>13326.835</v>
      </c>
      <c r="Z2069" s="48" t="n">
        <f aca="false">IF($U2069&gt;=MA_SHORT,AVERAGE(INDEX($L$1949:$L2069,122-MA_SHORT):$L2069),"")</f>
        <v>104957859.5</v>
      </c>
      <c r="AA2069" s="48" t="n">
        <f aca="false">IF($U2069=1,$G2069-$H2069,MAX($G2069-$H2069,ABS($G2069-$I2068),ABS($H2069-$I2068)))</f>
        <v>303</v>
      </c>
      <c r="AB2069" s="48" t="n">
        <f aca="false">IF($U2069&gt;=ATR_PER,AVERAGE(INDEX($AA$1949:$AA2069,122-ATR_PER):$AA2069),"")</f>
        <v>425.571428571429</v>
      </c>
      <c r="AC2069" s="48" t="n">
        <f aca="false">$O2069-$P2069</f>
        <v>35414349</v>
      </c>
      <c r="AD2069" s="48" t="n">
        <f aca="false">$AC2069*$I2069</f>
        <v>405423467352</v>
      </c>
      <c r="AE2069" s="49" t="n">
        <f aca="false">IF($Q2069&gt;0,$O2069*$I2069/$Q2069/1000000,"")</f>
        <v>301.954465246338</v>
      </c>
      <c r="AF2069" s="49" t="n">
        <f aca="false">IF($R2069&gt;0,$P2069*$I2069/$R2069/1000000,"")</f>
        <v>253.813428299169</v>
      </c>
      <c r="AG2069" s="50" t="n">
        <f aca="false">IF(AND(ISNUMBER($AE2069),ISNUMBER($AF2069),$AF2069&gt;0),$AE2069/$AF2069,"")</f>
        <v>1.18967096134262</v>
      </c>
      <c r="AH2069" s="48" t="n">
        <f aca="false">IF($U2069&gt;=5,SUM(INDEX($AD$2039:$AD2069,32-5):$AD2069),"")</f>
        <v>1151656362256</v>
      </c>
      <c r="AI2069" s="48" t="n">
        <f aca="false">IF($U2069&gt;=STRUCT_S,MAX(INDEX($G$1919:$G2069,152-STRUCT_S):$G2069),"")</f>
        <v>13174</v>
      </c>
      <c r="AJ2069" s="48" t="n">
        <f aca="false">IF($U2069&gt;=STRUCT_S,MIN(INDEX($H$1919:$H2069,152-STRUCT_S):$H2069),"")</f>
        <v>11250</v>
      </c>
      <c r="AK2069" s="48" t="n">
        <f aca="false">IF($U2069&gt;=STRUCT_L,MAX(INDEX($G$1819:$G2069,252-STRUCT_L):$G2069),"")</f>
        <v>16096</v>
      </c>
      <c r="AL2069" s="48" t="n">
        <f aca="false">IF($U2069&gt;=STRUCT_L,MIN(INDEX($H$1819:$H2069,252-STRUCT_L):$H2069),"")</f>
        <v>11250</v>
      </c>
      <c r="AM2069" s="46" t="n">
        <f aca="false">IF($A2069&lt;&gt;$A2070,1,0)</f>
        <v>0</v>
      </c>
      <c r="AN2069" s="47" t="str">
        <f aca="false">IF($AM2069=1,$A2069,"")</f>
        <v/>
      </c>
    </row>
    <row r="2070" customFormat="false" ht="15" hidden="false" customHeight="false" outlineLevel="0" collapsed="false">
      <c r="A2070" s="43" t="s">
        <v>167</v>
      </c>
      <c r="B2070" s="44" t="s">
        <v>169</v>
      </c>
      <c r="C2070" s="45" t="n">
        <v>46249</v>
      </c>
      <c r="D2070" s="46" t="n">
        <v>20260815</v>
      </c>
      <c r="E2070" s="47" t="s">
        <v>533</v>
      </c>
      <c r="F2070" s="48" t="n">
        <v>11437</v>
      </c>
      <c r="G2070" s="48" t="n">
        <v>11637</v>
      </c>
      <c r="H2070" s="48" t="n">
        <v>11378</v>
      </c>
      <c r="I2070" s="48" t="n">
        <v>11566</v>
      </c>
      <c r="J2070" s="48" t="n">
        <v>11446</v>
      </c>
      <c r="K2070" s="48" t="n">
        <v>11448</v>
      </c>
      <c r="L2070" s="48" t="n">
        <v>119124481</v>
      </c>
      <c r="M2070" s="48" t="n">
        <v>1377793747246</v>
      </c>
      <c r="N2070" s="48" t="n">
        <v>3974</v>
      </c>
      <c r="O2070" s="48" t="n">
        <v>81013536</v>
      </c>
      <c r="P2070" s="48" t="n">
        <v>32782569</v>
      </c>
      <c r="Q2070" s="48" t="n">
        <v>843</v>
      </c>
      <c r="R2070" s="48" t="n">
        <v>3094</v>
      </c>
      <c r="S2070" s="48" t="n">
        <v>38110945</v>
      </c>
      <c r="T2070" s="48" t="n">
        <v>86341912</v>
      </c>
      <c r="U2070" s="46" t="n">
        <f aca="false">IF($A2070=$A2069,$U2069+1,1)</f>
        <v>246</v>
      </c>
      <c r="V2070" s="48" t="n">
        <f aca="false">IF($U2070&gt;=MA_SHORT,AVERAGE(INDEX($I$1670:$I2070,402-MA_SHORT):$I2070),"")</f>
        <v>11797.4</v>
      </c>
      <c r="W2070" s="48" t="n">
        <f aca="false">IF($U2070&gt;=MA_MED,AVERAGE(INDEX($I$1670:$I2070,402-MA_MED):$I2070),"")</f>
        <v>13117.34</v>
      </c>
      <c r="X2070" s="48" t="n">
        <f aca="false">IF($U2070&gt;=MA_LONG1,AVERAGE(INDEX($I$1670:$I2070,402-MA_LONG1):$I2070),"")</f>
        <v>13835.8</v>
      </c>
      <c r="Y2070" s="48" t="n">
        <f aca="false">IF($U2070&gt;=MA_LONG2,AVERAGE(INDEX($I$1670:$I2070,402-MA_LONG2):$I2070),"")</f>
        <v>13330.03</v>
      </c>
      <c r="Z2070" s="48" t="n">
        <f aca="false">IF($U2070&gt;=MA_SHORT,AVERAGE(INDEX($L$1950:$L2070,122-MA_SHORT):$L2070),"")</f>
        <v>104488434.25</v>
      </c>
      <c r="AA2070" s="48" t="n">
        <f aca="false">IF($U2070=1,$G2070-$H2070,MAX($G2070-$H2070,ABS($G2070-$I2069),ABS($H2070-$I2069)))</f>
        <v>259</v>
      </c>
      <c r="AB2070" s="48" t="n">
        <f aca="false">IF($U2070&gt;=ATR_PER,AVERAGE(INDEX($AA$1950:$AA2070,122-ATR_PER):$AA2070),"")</f>
        <v>410.642857142857</v>
      </c>
      <c r="AC2070" s="48" t="n">
        <f aca="false">$O2070-$P2070</f>
        <v>48230967</v>
      </c>
      <c r="AD2070" s="48" t="n">
        <f aca="false">$AC2070*$I2070</f>
        <v>557839364322</v>
      </c>
      <c r="AE2070" s="49" t="n">
        <f aca="false">IF($Q2070&gt;0,$O2070*$I2070/$Q2070/1000000,"")</f>
        <v>1111.50955797865</v>
      </c>
      <c r="AF2070" s="49" t="n">
        <f aca="false">IF($R2070&gt;0,$P2070*$I2070/$R2070/1000000,"")</f>
        <v>122.547896914674</v>
      </c>
      <c r="AG2070" s="50" t="n">
        <f aca="false">IF(AND(ISNUMBER($AE2070),ISNUMBER($AF2070),$AF2070&gt;0),$AE2070/$AF2070,"")</f>
        <v>9.07000108498442</v>
      </c>
      <c r="AH2070" s="48" t="n">
        <f aca="false">IF($U2070&gt;=5,SUM(INDEX($AD$2040:$AD2070,32-5):$AD2070),"")</f>
        <v>1716493096378</v>
      </c>
      <c r="AI2070" s="48" t="n">
        <f aca="false">IF($U2070&gt;=STRUCT_S,MAX(INDEX($G$1920:$G2070,152-STRUCT_S):$G2070),"")</f>
        <v>13174</v>
      </c>
      <c r="AJ2070" s="48" t="n">
        <f aca="false">IF($U2070&gt;=STRUCT_S,MIN(INDEX($H$1920:$H2070,152-STRUCT_S):$H2070),"")</f>
        <v>11250</v>
      </c>
      <c r="AK2070" s="48" t="n">
        <f aca="false">IF($U2070&gt;=STRUCT_L,MAX(INDEX($G$1820:$G2070,252-STRUCT_L):$G2070),"")</f>
        <v>16096</v>
      </c>
      <c r="AL2070" s="48" t="n">
        <f aca="false">IF($U2070&gt;=STRUCT_L,MIN(INDEX($H$1820:$H2070,252-STRUCT_L):$H2070),"")</f>
        <v>11250</v>
      </c>
      <c r="AM2070" s="46" t="n">
        <f aca="false">IF($A2070&lt;&gt;$A2071,1,0)</f>
        <v>0</v>
      </c>
      <c r="AN2070" s="47" t="str">
        <f aca="false">IF($AM2070=1,$A2070,"")</f>
        <v/>
      </c>
    </row>
    <row r="2071" customFormat="false" ht="15" hidden="false" customHeight="false" outlineLevel="0" collapsed="false">
      <c r="A2071" s="43" t="s">
        <v>167</v>
      </c>
      <c r="B2071" s="44" t="s">
        <v>169</v>
      </c>
      <c r="C2071" s="45" t="n">
        <v>46250</v>
      </c>
      <c r="D2071" s="46" t="n">
        <v>20260816</v>
      </c>
      <c r="E2071" s="47" t="s">
        <v>534</v>
      </c>
      <c r="F2071" s="48" t="n">
        <v>11520</v>
      </c>
      <c r="G2071" s="48" t="n">
        <v>11706</v>
      </c>
      <c r="H2071" s="48" t="n">
        <v>11321</v>
      </c>
      <c r="I2071" s="48" t="n">
        <v>11460</v>
      </c>
      <c r="J2071" s="48" t="n">
        <v>11436</v>
      </c>
      <c r="K2071" s="48" t="n">
        <v>11566</v>
      </c>
      <c r="L2071" s="48" t="n">
        <v>83913138</v>
      </c>
      <c r="M2071" s="48" t="n">
        <v>961644561480</v>
      </c>
      <c r="N2071" s="48" t="n">
        <v>2266</v>
      </c>
      <c r="O2071" s="48" t="n">
        <v>51988477</v>
      </c>
      <c r="P2071" s="48" t="n">
        <v>26599879</v>
      </c>
      <c r="Q2071" s="48" t="n">
        <v>1205</v>
      </c>
      <c r="R2071" s="48" t="n">
        <v>708</v>
      </c>
      <c r="S2071" s="48" t="n">
        <v>31924661</v>
      </c>
      <c r="T2071" s="48" t="n">
        <v>57313259</v>
      </c>
      <c r="U2071" s="46" t="n">
        <f aca="false">IF($A2071=$A2070,$U2070+1,1)</f>
        <v>247</v>
      </c>
      <c r="V2071" s="48" t="n">
        <f aca="false">IF($U2071&gt;=MA_SHORT,AVERAGE(INDEX($I$1671:$I2071,402-MA_SHORT):$I2071),"")</f>
        <v>11733</v>
      </c>
      <c r="W2071" s="48" t="n">
        <f aca="false">IF($U2071&gt;=MA_MED,AVERAGE(INDEX($I$1671:$I2071,402-MA_MED):$I2071),"")</f>
        <v>13029</v>
      </c>
      <c r="X2071" s="48" t="n">
        <f aca="false">IF($U2071&gt;=MA_LONG1,AVERAGE(INDEX($I$1671:$I2071,402-MA_LONG1):$I2071),"")</f>
        <v>13803.8</v>
      </c>
      <c r="Y2071" s="48" t="n">
        <f aca="false">IF($U2071&gt;=MA_LONG2,AVERAGE(INDEX($I$1671:$I2071,402-MA_LONG2):$I2071),"")</f>
        <v>13333.055</v>
      </c>
      <c r="Z2071" s="48" t="n">
        <f aca="false">IF($U2071&gt;=MA_SHORT,AVERAGE(INDEX($L$1951:$L2071,122-MA_SHORT):$L2071),"")</f>
        <v>104248171.2</v>
      </c>
      <c r="AA2071" s="48" t="n">
        <f aca="false">IF($U2071=1,$G2071-$H2071,MAX($G2071-$H2071,ABS($G2071-$I2070),ABS($H2071-$I2070)))</f>
        <v>385</v>
      </c>
      <c r="AB2071" s="48" t="n">
        <f aca="false">IF($U2071&gt;=ATR_PER,AVERAGE(INDEX($AA$1951:$AA2071,122-ATR_PER):$AA2071),"")</f>
        <v>414.071428571429</v>
      </c>
      <c r="AC2071" s="48" t="n">
        <f aca="false">$O2071-$P2071</f>
        <v>25388598</v>
      </c>
      <c r="AD2071" s="48" t="n">
        <f aca="false">$AC2071*$I2071</f>
        <v>290953333080</v>
      </c>
      <c r="AE2071" s="49" t="n">
        <f aca="false">IF($Q2071&gt;0,$O2071*$I2071/$Q2071/1000000,"")</f>
        <v>494.429831053942</v>
      </c>
      <c r="AF2071" s="49" t="n">
        <f aca="false">IF($R2071&gt;0,$P2071*$I2071/$R2071/1000000,"")</f>
        <v>430.557363474576</v>
      </c>
      <c r="AG2071" s="50" t="n">
        <f aca="false">IF(AND(ISNUMBER($AE2071),ISNUMBER($AF2071),$AF2071&gt;0),$AE2071/$AF2071,"")</f>
        <v>1.14834833403828</v>
      </c>
      <c r="AH2071" s="48" t="n">
        <f aca="false">IF($U2071&gt;=5,SUM(INDEX($AD$2041:$AD2071,32-5):$AD2071),"")</f>
        <v>1695565587418</v>
      </c>
      <c r="AI2071" s="48" t="n">
        <f aca="false">IF($U2071&gt;=STRUCT_S,MAX(INDEX($G$1921:$G2071,152-STRUCT_S):$G2071),"")</f>
        <v>12946</v>
      </c>
      <c r="AJ2071" s="48" t="n">
        <f aca="false">IF($U2071&gt;=STRUCT_S,MIN(INDEX($H$1921:$H2071,152-STRUCT_S):$H2071),"")</f>
        <v>11250</v>
      </c>
      <c r="AK2071" s="48" t="n">
        <f aca="false">IF($U2071&gt;=STRUCT_L,MAX(INDEX($G$1821:$G2071,252-STRUCT_L):$G2071),"")</f>
        <v>16096</v>
      </c>
      <c r="AL2071" s="48" t="n">
        <f aca="false">IF($U2071&gt;=STRUCT_L,MIN(INDEX($H$1821:$H2071,252-STRUCT_L):$H2071),"")</f>
        <v>11250</v>
      </c>
      <c r="AM2071" s="46" t="n">
        <f aca="false">IF($A2071&lt;&gt;$A2072,1,0)</f>
        <v>0</v>
      </c>
      <c r="AN2071" s="47" t="str">
        <f aca="false">IF($AM2071=1,$A2071,"")</f>
        <v/>
      </c>
    </row>
    <row r="2072" customFormat="false" ht="15" hidden="false" customHeight="false" outlineLevel="0" collapsed="false">
      <c r="A2072" s="43" t="s">
        <v>167</v>
      </c>
      <c r="B2072" s="44" t="s">
        <v>169</v>
      </c>
      <c r="C2072" s="45" t="n">
        <v>46251</v>
      </c>
      <c r="D2072" s="46" t="n">
        <v>20260817</v>
      </c>
      <c r="E2072" s="47" t="s">
        <v>535</v>
      </c>
      <c r="F2072" s="48" t="n">
        <v>11722</v>
      </c>
      <c r="G2072" s="48" t="n">
        <v>11783</v>
      </c>
      <c r="H2072" s="48" t="n">
        <v>11292</v>
      </c>
      <c r="I2072" s="48" t="n">
        <v>11613</v>
      </c>
      <c r="J2072" s="48" t="n">
        <v>11731</v>
      </c>
      <c r="K2072" s="48" t="n">
        <v>11460</v>
      </c>
      <c r="L2072" s="48" t="n">
        <v>85910845</v>
      </c>
      <c r="M2072" s="48" t="n">
        <v>997682642985</v>
      </c>
      <c r="N2072" s="48" t="n">
        <v>3500</v>
      </c>
      <c r="O2072" s="48" t="n">
        <v>58664454</v>
      </c>
      <c r="P2072" s="48" t="n">
        <v>28488570</v>
      </c>
      <c r="Q2072" s="48" t="n">
        <v>1158</v>
      </c>
      <c r="R2072" s="48" t="n">
        <v>2749</v>
      </c>
      <c r="S2072" s="48" t="n">
        <v>27246391</v>
      </c>
      <c r="T2072" s="48" t="n">
        <v>57422275</v>
      </c>
      <c r="U2072" s="46" t="n">
        <f aca="false">IF($A2072=$A2071,$U2071+1,1)</f>
        <v>248</v>
      </c>
      <c r="V2072" s="48" t="n">
        <f aca="false">IF($U2072&gt;=MA_SHORT,AVERAGE(INDEX($I$1672:$I2072,402-MA_SHORT):$I2072),"")</f>
        <v>11692.9</v>
      </c>
      <c r="W2072" s="48" t="n">
        <f aca="false">IF($U2072&gt;=MA_MED,AVERAGE(INDEX($I$1672:$I2072,402-MA_MED):$I2072),"")</f>
        <v>12948.4</v>
      </c>
      <c r="X2072" s="48" t="n">
        <f aca="false">IF($U2072&gt;=MA_LONG1,AVERAGE(INDEX($I$1672:$I2072,402-MA_LONG1):$I2072),"")</f>
        <v>13774.08</v>
      </c>
      <c r="Y2072" s="48" t="n">
        <f aca="false">IF($U2072&gt;=MA_LONG2,AVERAGE(INDEX($I$1672:$I2072,402-MA_LONG2):$I2072),"")</f>
        <v>13336.435</v>
      </c>
      <c r="Z2072" s="48" t="n">
        <f aca="false">IF($U2072&gt;=MA_SHORT,AVERAGE(INDEX($L$1952:$L2072,122-MA_SHORT):$L2072),"")</f>
        <v>103943433</v>
      </c>
      <c r="AA2072" s="48" t="n">
        <f aca="false">IF($U2072=1,$G2072-$H2072,MAX($G2072-$H2072,ABS($G2072-$I2071),ABS($H2072-$I2071)))</f>
        <v>491</v>
      </c>
      <c r="AB2072" s="48" t="n">
        <f aca="false">IF($U2072&gt;=ATR_PER,AVERAGE(INDEX($AA$1952:$AA2072,122-ATR_PER):$AA2072),"")</f>
        <v>429.357142857143</v>
      </c>
      <c r="AC2072" s="48" t="n">
        <f aca="false">$O2072-$P2072</f>
        <v>30175884</v>
      </c>
      <c r="AD2072" s="48" t="n">
        <f aca="false">$AC2072*$I2072</f>
        <v>350432540892</v>
      </c>
      <c r="AE2072" s="49" t="n">
        <f aca="false">IF($Q2072&gt;0,$O2072*$I2072/$Q2072/1000000,"")</f>
        <v>588.316324958549</v>
      </c>
      <c r="AF2072" s="49" t="n">
        <f aca="false">IF($R2072&gt;0,$P2072*$I2072/$R2072/1000000,"")</f>
        <v>120.348404296108</v>
      </c>
      <c r="AG2072" s="50" t="n">
        <f aca="false">IF(AND(ISNUMBER($AE2072),ISNUMBER($AF2072),$AF2072&gt;0),$AE2072/$AF2072,"")</f>
        <v>4.88844308654931</v>
      </c>
      <c r="AH2072" s="48" t="n">
        <f aca="false">IF($U2072&gt;=5,SUM(INDEX($AD$2042:$AD2072,32-5):$AD2072),"")</f>
        <v>2016201458110</v>
      </c>
      <c r="AI2072" s="48" t="n">
        <f aca="false">IF($U2072&gt;=STRUCT_S,MAX(INDEX($G$1922:$G2072,152-STRUCT_S):$G2072),"")</f>
        <v>12470</v>
      </c>
      <c r="AJ2072" s="48" t="n">
        <f aca="false">IF($U2072&gt;=STRUCT_S,MIN(INDEX($H$1922:$H2072,152-STRUCT_S):$H2072),"")</f>
        <v>11250</v>
      </c>
      <c r="AK2072" s="48" t="n">
        <f aca="false">IF($U2072&gt;=STRUCT_L,MAX(INDEX($G$1822:$G2072,252-STRUCT_L):$G2072),"")</f>
        <v>16096</v>
      </c>
      <c r="AL2072" s="48" t="n">
        <f aca="false">IF($U2072&gt;=STRUCT_L,MIN(INDEX($H$1822:$H2072,252-STRUCT_L):$H2072),"")</f>
        <v>11250</v>
      </c>
      <c r="AM2072" s="46" t="n">
        <f aca="false">IF($A2072&lt;&gt;$A2073,1,0)</f>
        <v>0</v>
      </c>
      <c r="AN2072" s="47" t="str">
        <f aca="false">IF($AM2072=1,$A2072,"")</f>
        <v/>
      </c>
    </row>
    <row r="2073" customFormat="false" ht="15" hidden="false" customHeight="false" outlineLevel="0" collapsed="false">
      <c r="A2073" s="43" t="s">
        <v>167</v>
      </c>
      <c r="B2073" s="44" t="s">
        <v>169</v>
      </c>
      <c r="C2073" s="45" t="n">
        <v>46252</v>
      </c>
      <c r="D2073" s="46" t="n">
        <v>20260818</v>
      </c>
      <c r="E2073" s="47" t="s">
        <v>536</v>
      </c>
      <c r="F2073" s="48" t="n">
        <v>11738</v>
      </c>
      <c r="G2073" s="48" t="n">
        <v>11839</v>
      </c>
      <c r="H2073" s="48" t="n">
        <v>11534</v>
      </c>
      <c r="I2073" s="48" t="n">
        <v>11759</v>
      </c>
      <c r="J2073" s="48" t="n">
        <v>11648</v>
      </c>
      <c r="K2073" s="48" t="n">
        <v>11613</v>
      </c>
      <c r="L2073" s="48" t="n">
        <v>85539237</v>
      </c>
      <c r="M2073" s="48" t="n">
        <v>1005855887883</v>
      </c>
      <c r="N2073" s="48" t="n">
        <v>6477</v>
      </c>
      <c r="O2073" s="48" t="n">
        <v>59111020</v>
      </c>
      <c r="P2073" s="48" t="n">
        <v>27558489</v>
      </c>
      <c r="Q2073" s="48" t="n">
        <v>1942</v>
      </c>
      <c r="R2073" s="48" t="n">
        <v>4888</v>
      </c>
      <c r="S2073" s="48" t="n">
        <v>26428217</v>
      </c>
      <c r="T2073" s="48" t="n">
        <v>57980748</v>
      </c>
      <c r="U2073" s="46" t="n">
        <f aca="false">IF($A2073=$A2072,$U2072+1,1)</f>
        <v>249</v>
      </c>
      <c r="V2073" s="48" t="n">
        <f aca="false">IF($U2073&gt;=MA_SHORT,AVERAGE(INDEX($I$1673:$I2073,402-MA_SHORT):$I2073),"")</f>
        <v>11679.4</v>
      </c>
      <c r="W2073" s="48" t="n">
        <f aca="false">IF($U2073&gt;=MA_MED,AVERAGE(INDEX($I$1673:$I2073,402-MA_MED):$I2073),"")</f>
        <v>12875.18</v>
      </c>
      <c r="X2073" s="48" t="n">
        <f aca="false">IF($U2073&gt;=MA_LONG1,AVERAGE(INDEX($I$1673:$I2073,402-MA_LONG1):$I2073),"")</f>
        <v>13746.63</v>
      </c>
      <c r="Y2073" s="48" t="n">
        <f aca="false">IF($U2073&gt;=MA_LONG2,AVERAGE(INDEX($I$1673:$I2073,402-MA_LONG2):$I2073),"")</f>
        <v>13339.655</v>
      </c>
      <c r="Z2073" s="48" t="n">
        <f aca="false">IF($U2073&gt;=MA_SHORT,AVERAGE(INDEX($L$1953:$L2073,122-MA_SHORT):$L2073),"")</f>
        <v>103257600.6</v>
      </c>
      <c r="AA2073" s="48" t="n">
        <f aca="false">IF($U2073=1,$G2073-$H2073,MAX($G2073-$H2073,ABS($G2073-$I2072),ABS($H2073-$I2072)))</f>
        <v>305</v>
      </c>
      <c r="AB2073" s="48" t="n">
        <f aca="false">IF($U2073&gt;=ATR_PER,AVERAGE(INDEX($AA$1953:$AA2073,122-ATR_PER):$AA2073),"")</f>
        <v>438.357142857143</v>
      </c>
      <c r="AC2073" s="48" t="n">
        <f aca="false">$O2073-$P2073</f>
        <v>31552531</v>
      </c>
      <c r="AD2073" s="48" t="n">
        <f aca="false">$AC2073*$I2073</f>
        <v>371026212029</v>
      </c>
      <c r="AE2073" s="49" t="n">
        <f aca="false">IF($Q2073&gt;0,$O2073*$I2073/$Q2073/1000000,"")</f>
        <v>357.923009361483</v>
      </c>
      <c r="AF2073" s="49" t="n">
        <f aca="false">IF($R2073&gt;0,$P2073*$I2073/$R2073/1000000,"")</f>
        <v>66.2971096871931</v>
      </c>
      <c r="AG2073" s="50" t="n">
        <f aca="false">IF(AND(ISNUMBER($AE2073),ISNUMBER($AF2073),$AF2073&gt;0),$AE2073/$AF2073,"")</f>
        <v>5.3987724510202</v>
      </c>
      <c r="AH2073" s="48" t="n">
        <f aca="false">IF($U2073&gt;=5,SUM(INDEX($AD$2043:$AD2073,32-5):$AD2073),"")</f>
        <v>1975674917675</v>
      </c>
      <c r="AI2073" s="48" t="n">
        <f aca="false">IF($U2073&gt;=STRUCT_S,MAX(INDEX($G$1923:$G2073,152-STRUCT_S):$G2073),"")</f>
        <v>12387</v>
      </c>
      <c r="AJ2073" s="48" t="n">
        <f aca="false">IF($U2073&gt;=STRUCT_S,MIN(INDEX($H$1923:$H2073,152-STRUCT_S):$H2073),"")</f>
        <v>11250</v>
      </c>
      <c r="AK2073" s="48" t="n">
        <f aca="false">IF($U2073&gt;=STRUCT_L,MAX(INDEX($G$1823:$G2073,252-STRUCT_L):$G2073),"")</f>
        <v>16096</v>
      </c>
      <c r="AL2073" s="48" t="n">
        <f aca="false">IF($U2073&gt;=STRUCT_L,MIN(INDEX($H$1823:$H2073,252-STRUCT_L):$H2073),"")</f>
        <v>11250</v>
      </c>
      <c r="AM2073" s="46" t="n">
        <f aca="false">IF($A2073&lt;&gt;$A2074,1,0)</f>
        <v>0</v>
      </c>
      <c r="AN2073" s="47" t="str">
        <f aca="false">IF($AM2073=1,$A2073,"")</f>
        <v/>
      </c>
    </row>
    <row r="2074" customFormat="false" ht="15" hidden="false" customHeight="false" outlineLevel="0" collapsed="false">
      <c r="A2074" s="43" t="s">
        <v>167</v>
      </c>
      <c r="B2074" s="44" t="s">
        <v>169</v>
      </c>
      <c r="C2074" s="45" t="n">
        <v>46253</v>
      </c>
      <c r="D2074" s="46" t="n">
        <v>20260819</v>
      </c>
      <c r="E2074" s="47" t="s">
        <v>537</v>
      </c>
      <c r="F2074" s="48" t="n">
        <v>11538</v>
      </c>
      <c r="G2074" s="48" t="n">
        <v>11788</v>
      </c>
      <c r="H2074" s="48" t="n">
        <v>11468</v>
      </c>
      <c r="I2074" s="48" t="n">
        <v>11497</v>
      </c>
      <c r="J2074" s="48" t="n">
        <v>11560</v>
      </c>
      <c r="K2074" s="48" t="n">
        <v>11759</v>
      </c>
      <c r="L2074" s="48" t="n">
        <v>90172575</v>
      </c>
      <c r="M2074" s="48" t="n">
        <v>1036714094775</v>
      </c>
      <c r="N2074" s="48" t="n">
        <v>3614</v>
      </c>
      <c r="O2074" s="48" t="n">
        <v>47106771</v>
      </c>
      <c r="P2074" s="48" t="n">
        <v>44358994</v>
      </c>
      <c r="Q2074" s="48" t="n">
        <v>2028</v>
      </c>
      <c r="R2074" s="48" t="n">
        <v>1124</v>
      </c>
      <c r="S2074" s="48" t="n">
        <v>43065804</v>
      </c>
      <c r="T2074" s="48" t="n">
        <v>45813581</v>
      </c>
      <c r="U2074" s="46" t="n">
        <f aca="false">IF($A2074=$A2073,$U2073+1,1)</f>
        <v>250</v>
      </c>
      <c r="V2074" s="48" t="n">
        <f aca="false">IF($U2074&gt;=MA_SHORT,AVERAGE(INDEX($I$1674:$I2074,402-MA_SHORT):$I2074),"")</f>
        <v>11662</v>
      </c>
      <c r="W2074" s="48" t="n">
        <f aca="false">IF($U2074&gt;=MA_MED,AVERAGE(INDEX($I$1674:$I2074,402-MA_MED):$I2074),"")</f>
        <v>12801.86</v>
      </c>
      <c r="X2074" s="48" t="n">
        <f aca="false">IF($U2074&gt;=MA_LONG1,AVERAGE(INDEX($I$1674:$I2074,402-MA_LONG1):$I2074),"")</f>
        <v>13717.63</v>
      </c>
      <c r="Y2074" s="48" t="n">
        <f aca="false">IF($U2074&gt;=MA_LONG2,AVERAGE(INDEX($I$1674:$I2074,402-MA_LONG2):$I2074),"")</f>
        <v>13340.1</v>
      </c>
      <c r="Z2074" s="48" t="n">
        <f aca="false">IF($U2074&gt;=MA_SHORT,AVERAGE(INDEX($L$1954:$L2074,122-MA_SHORT):$L2074),"")</f>
        <v>102774713.65</v>
      </c>
      <c r="AA2074" s="48" t="n">
        <f aca="false">IF($U2074=1,$G2074-$H2074,MAX($G2074-$H2074,ABS($G2074-$I2073),ABS($H2074-$I2073)))</f>
        <v>320</v>
      </c>
      <c r="AB2074" s="48" t="n">
        <f aca="false">IF($U2074&gt;=ATR_PER,AVERAGE(INDEX($AA$1954:$AA2074,122-ATR_PER):$AA2074),"")</f>
        <v>426.785714285714</v>
      </c>
      <c r="AC2074" s="48" t="n">
        <f aca="false">$O2074-$P2074</f>
        <v>2747777</v>
      </c>
      <c r="AD2074" s="48" t="n">
        <f aca="false">$AC2074*$I2074</f>
        <v>31591192169</v>
      </c>
      <c r="AE2074" s="49" t="n">
        <f aca="false">IF($Q2074&gt;0,$O2074*$I2074/$Q2074/1000000,"")</f>
        <v>267.054509954142</v>
      </c>
      <c r="AF2074" s="49" t="n">
        <f aca="false">IF($R2074&gt;0,$P2074*$I2074/$R2074/1000000,"")</f>
        <v>453.732521368327</v>
      </c>
      <c r="AG2074" s="50" t="n">
        <f aca="false">IF(AND(ISNUMBER($AE2074),ISNUMBER($AF2074),$AF2074&gt;0),$AE2074/$AF2074,"")</f>
        <v>0.588572556246976</v>
      </c>
      <c r="AH2074" s="48" t="n">
        <f aca="false">IF($U2074&gt;=5,SUM(INDEX($AD$2044:$AD2074,32-5):$AD2074),"")</f>
        <v>1601842642492</v>
      </c>
      <c r="AI2074" s="48" t="n">
        <f aca="false">IF($U2074&gt;=STRUCT_S,MAX(INDEX($G$1924:$G2074,152-STRUCT_S):$G2074),"")</f>
        <v>12387</v>
      </c>
      <c r="AJ2074" s="48" t="n">
        <f aca="false">IF($U2074&gt;=STRUCT_S,MIN(INDEX($H$1924:$H2074,152-STRUCT_S):$H2074),"")</f>
        <v>11250</v>
      </c>
      <c r="AK2074" s="48" t="n">
        <f aca="false">IF($U2074&gt;=STRUCT_L,MAX(INDEX($G$1824:$G2074,252-STRUCT_L):$G2074),"")</f>
        <v>16096</v>
      </c>
      <c r="AL2074" s="48" t="n">
        <f aca="false">IF($U2074&gt;=STRUCT_L,MIN(INDEX($H$1824:$H2074,252-STRUCT_L):$H2074),"")</f>
        <v>11250</v>
      </c>
      <c r="AM2074" s="46" t="n">
        <f aca="false">IF($A2074&lt;&gt;$A2075,1,0)</f>
        <v>0</v>
      </c>
      <c r="AN2074" s="47" t="str">
        <f aca="false">IF($AM2074=1,$A2074,"")</f>
        <v/>
      </c>
    </row>
    <row r="2075" customFormat="false" ht="15" hidden="false" customHeight="false" outlineLevel="0" collapsed="false">
      <c r="A2075" s="43" t="s">
        <v>167</v>
      </c>
      <c r="B2075" s="44" t="s">
        <v>169</v>
      </c>
      <c r="C2075" s="45" t="n">
        <v>46256</v>
      </c>
      <c r="D2075" s="46" t="n">
        <v>20260822</v>
      </c>
      <c r="E2075" s="47" t="s">
        <v>538</v>
      </c>
      <c r="F2075" s="48" t="n">
        <v>11802</v>
      </c>
      <c r="G2075" s="48" t="n">
        <v>11827</v>
      </c>
      <c r="H2075" s="48" t="n">
        <v>11466</v>
      </c>
      <c r="I2075" s="48" t="n">
        <v>11795</v>
      </c>
      <c r="J2075" s="48" t="n">
        <v>11705</v>
      </c>
      <c r="K2075" s="48" t="n">
        <v>11497</v>
      </c>
      <c r="L2075" s="48" t="n">
        <v>118513784</v>
      </c>
      <c r="M2075" s="48" t="n">
        <v>1397870082280</v>
      </c>
      <c r="N2075" s="48" t="n">
        <v>2783</v>
      </c>
      <c r="O2075" s="48" t="n">
        <v>85028795</v>
      </c>
      <c r="P2075" s="48" t="n">
        <v>32044236</v>
      </c>
      <c r="Q2075" s="48" t="n">
        <v>761</v>
      </c>
      <c r="R2075" s="48" t="n">
        <v>1931</v>
      </c>
      <c r="S2075" s="48" t="n">
        <v>33484989</v>
      </c>
      <c r="T2075" s="48" t="n">
        <v>86469548</v>
      </c>
      <c r="U2075" s="46" t="n">
        <f aca="false">IF($A2075=$A2074,$U2074+1,1)</f>
        <v>251</v>
      </c>
      <c r="V2075" s="48" t="n">
        <f aca="false">IF($U2075&gt;=MA_SHORT,AVERAGE(INDEX($I$1675:$I2075,402-MA_SHORT):$I2075),"")</f>
        <v>11644.7</v>
      </c>
      <c r="W2075" s="48" t="n">
        <f aca="false">IF($U2075&gt;=MA_MED,AVERAGE(INDEX($I$1675:$I2075,402-MA_MED):$I2075),"")</f>
        <v>12732.88</v>
      </c>
      <c r="X2075" s="48" t="n">
        <f aca="false">IF($U2075&gt;=MA_LONG1,AVERAGE(INDEX($I$1675:$I2075,402-MA_LONG1):$I2075),"")</f>
        <v>13692.94</v>
      </c>
      <c r="Y2075" s="48" t="n">
        <f aca="false">IF($U2075&gt;=MA_LONG2,AVERAGE(INDEX($I$1675:$I2075,402-MA_LONG2):$I2075),"")</f>
        <v>13341.455</v>
      </c>
      <c r="Z2075" s="48" t="n">
        <f aca="false">IF($U2075&gt;=MA_SHORT,AVERAGE(INDEX($L$1955:$L2075,122-MA_SHORT):$L2075),"")</f>
        <v>103483078.15</v>
      </c>
      <c r="AA2075" s="48" t="n">
        <f aca="false">IF($U2075=1,$G2075-$H2075,MAX($G2075-$H2075,ABS($G2075-$I2074),ABS($H2075-$I2074)))</f>
        <v>361</v>
      </c>
      <c r="AB2075" s="48" t="n">
        <f aca="false">IF($U2075&gt;=ATR_PER,AVERAGE(INDEX($AA$1955:$AA2075,122-ATR_PER):$AA2075),"")</f>
        <v>406.928571428571</v>
      </c>
      <c r="AC2075" s="48" t="n">
        <f aca="false">$O2075-$P2075</f>
        <v>52984559</v>
      </c>
      <c r="AD2075" s="48" t="n">
        <f aca="false">$AC2075*$I2075</f>
        <v>624952873405</v>
      </c>
      <c r="AE2075" s="49" t="n">
        <f aca="false">IF($Q2075&gt;0,$O2075*$I2075/$Q2075/1000000,"")</f>
        <v>1317.89045601183</v>
      </c>
      <c r="AF2075" s="49" t="n">
        <f aca="false">IF($R2075&gt;0,$P2075*$I2075/$R2075/1000000,"")</f>
        <v>195.73369426204</v>
      </c>
      <c r="AG2075" s="50" t="n">
        <f aca="false">IF(AND(ISNUMBER($AE2075),ISNUMBER($AF2075),$AF2075&gt;0),$AE2075/$AF2075,"")</f>
        <v>6.73307915114241</v>
      </c>
      <c r="AH2075" s="48" t="n">
        <f aca="false">IF($U2075&gt;=5,SUM(INDEX($AD$2045:$AD2075,32-5):$AD2075),"")</f>
        <v>1668956151575</v>
      </c>
      <c r="AI2075" s="48" t="n">
        <f aca="false">IF($U2075&gt;=STRUCT_S,MAX(INDEX($G$1925:$G2075,152-STRUCT_S):$G2075),"")</f>
        <v>12351</v>
      </c>
      <c r="AJ2075" s="48" t="n">
        <f aca="false">IF($U2075&gt;=STRUCT_S,MIN(INDEX($H$1925:$H2075,152-STRUCT_S):$H2075),"")</f>
        <v>11250</v>
      </c>
      <c r="AK2075" s="48" t="n">
        <f aca="false">IF($U2075&gt;=STRUCT_L,MAX(INDEX($G$1825:$G2075,252-STRUCT_L):$G2075),"")</f>
        <v>16096</v>
      </c>
      <c r="AL2075" s="48" t="n">
        <f aca="false">IF($U2075&gt;=STRUCT_L,MIN(INDEX($H$1825:$H2075,252-STRUCT_L):$H2075),"")</f>
        <v>11250</v>
      </c>
      <c r="AM2075" s="46" t="n">
        <f aca="false">IF($A2075&lt;&gt;$A2076,1,0)</f>
        <v>0</v>
      </c>
      <c r="AN2075" s="47" t="str">
        <f aca="false">IF($AM2075=1,$A2075,"")</f>
        <v/>
      </c>
    </row>
    <row r="2076" customFormat="false" ht="15" hidden="false" customHeight="false" outlineLevel="0" collapsed="false">
      <c r="A2076" s="43" t="s">
        <v>167</v>
      </c>
      <c r="B2076" s="44" t="s">
        <v>169</v>
      </c>
      <c r="C2076" s="45" t="n">
        <v>46257</v>
      </c>
      <c r="D2076" s="46" t="n">
        <v>20260823</v>
      </c>
      <c r="E2076" s="47" t="s">
        <v>539</v>
      </c>
      <c r="F2076" s="48" t="n">
        <v>11903</v>
      </c>
      <c r="G2076" s="48" t="n">
        <v>11906</v>
      </c>
      <c r="H2076" s="48" t="n">
        <v>11470</v>
      </c>
      <c r="I2076" s="48" t="n">
        <v>11579</v>
      </c>
      <c r="J2076" s="48" t="n">
        <v>11474</v>
      </c>
      <c r="K2076" s="48" t="n">
        <v>11795</v>
      </c>
      <c r="L2076" s="48" t="n">
        <v>93120918</v>
      </c>
      <c r="M2076" s="48" t="n">
        <v>1078247109522</v>
      </c>
      <c r="N2076" s="48" t="n">
        <v>2159</v>
      </c>
      <c r="O2076" s="48" t="n">
        <v>44754406</v>
      </c>
      <c r="P2076" s="48" t="n">
        <v>53340594</v>
      </c>
      <c r="Q2076" s="48" t="n">
        <v>1487</v>
      </c>
      <c r="R2076" s="48" t="n">
        <v>876</v>
      </c>
      <c r="S2076" s="48" t="n">
        <v>48366512</v>
      </c>
      <c r="T2076" s="48" t="n">
        <v>39780324</v>
      </c>
      <c r="U2076" s="46" t="n">
        <f aca="false">IF($A2076=$A2075,$U2075+1,1)</f>
        <v>252</v>
      </c>
      <c r="V2076" s="48" t="n">
        <f aca="false">IF($U2076&gt;=MA_SHORT,AVERAGE(INDEX($I$1676:$I2076,402-MA_SHORT):$I2076),"")</f>
        <v>11627.7</v>
      </c>
      <c r="W2076" s="48" t="n">
        <f aca="false">IF($U2076&gt;=MA_MED,AVERAGE(INDEX($I$1676:$I2076,402-MA_MED):$I2076),"")</f>
        <v>12661.74</v>
      </c>
      <c r="X2076" s="48" t="n">
        <f aca="false">IF($U2076&gt;=MA_LONG1,AVERAGE(INDEX($I$1676:$I2076,402-MA_LONG1):$I2076),"")</f>
        <v>13669.39</v>
      </c>
      <c r="Y2076" s="48" t="n">
        <f aca="false">IF($U2076&gt;=MA_LONG2,AVERAGE(INDEX($I$1676:$I2076,402-MA_LONG2):$I2076),"")</f>
        <v>13341.65</v>
      </c>
      <c r="Z2076" s="48" t="n">
        <f aca="false">IF($U2076&gt;=MA_SHORT,AVERAGE(INDEX($L$1956:$L2076,122-MA_SHORT):$L2076),"")</f>
        <v>103725838.9</v>
      </c>
      <c r="AA2076" s="48" t="n">
        <f aca="false">IF($U2076=1,$G2076-$H2076,MAX($G2076-$H2076,ABS($G2076-$I2075),ABS($H2076-$I2075)))</f>
        <v>436</v>
      </c>
      <c r="AB2076" s="48" t="n">
        <f aca="false">IF($U2076&gt;=ATR_PER,AVERAGE(INDEX($AA$1956:$AA2076,122-ATR_PER):$AA2076),"")</f>
        <v>400.214285714286</v>
      </c>
      <c r="AC2076" s="48" t="n">
        <f aca="false">$O2076-$P2076</f>
        <v>-8586188</v>
      </c>
      <c r="AD2076" s="48" t="n">
        <f aca="false">$AC2076*$I2076</f>
        <v>-99419470852</v>
      </c>
      <c r="AE2076" s="49" t="n">
        <f aca="false">IF($Q2076&gt;0,$O2076*$I2076/$Q2076/1000000,"")</f>
        <v>348.49446339879</v>
      </c>
      <c r="AF2076" s="49" t="n">
        <f aca="false">IF($R2076&gt;0,$P2076*$I2076/$R2076/1000000,"")</f>
        <v>705.057920006849</v>
      </c>
      <c r="AG2076" s="50" t="n">
        <f aca="false">IF(AND(ISNUMBER($AE2076),ISNUMBER($AF2076),$AF2076&gt;0),$AE2076/$AF2076,"")</f>
        <v>0.494277779895592</v>
      </c>
      <c r="AH2076" s="48" t="n">
        <f aca="false">IF($U2076&gt;=5,SUM(INDEX($AD$2046:$AD2076,32-5):$AD2076),"")</f>
        <v>1278583347643</v>
      </c>
      <c r="AI2076" s="48" t="n">
        <f aca="false">IF($U2076&gt;=STRUCT_S,MAX(INDEX($G$1926:$G2076,152-STRUCT_S):$G2076),"")</f>
        <v>12351</v>
      </c>
      <c r="AJ2076" s="48" t="n">
        <f aca="false">IF($U2076&gt;=STRUCT_S,MIN(INDEX($H$1926:$H2076,152-STRUCT_S):$H2076),"")</f>
        <v>11250</v>
      </c>
      <c r="AK2076" s="48" t="n">
        <f aca="false">IF($U2076&gt;=STRUCT_L,MAX(INDEX($G$1826:$G2076,252-STRUCT_L):$G2076),"")</f>
        <v>16062</v>
      </c>
      <c r="AL2076" s="48" t="n">
        <f aca="false">IF($U2076&gt;=STRUCT_L,MIN(INDEX($H$1826:$H2076,252-STRUCT_L):$H2076),"")</f>
        <v>11250</v>
      </c>
      <c r="AM2076" s="46" t="n">
        <f aca="false">IF($A2076&lt;&gt;$A2077,1,0)</f>
        <v>0</v>
      </c>
      <c r="AN2076" s="47" t="str">
        <f aca="false">IF($AM2076=1,$A2076,"")</f>
        <v/>
      </c>
    </row>
    <row r="2077" customFormat="false" ht="15" hidden="false" customHeight="false" outlineLevel="0" collapsed="false">
      <c r="A2077" s="43" t="s">
        <v>167</v>
      </c>
      <c r="B2077" s="44" t="s">
        <v>169</v>
      </c>
      <c r="C2077" s="45" t="n">
        <v>46258</v>
      </c>
      <c r="D2077" s="46" t="n">
        <v>20260824</v>
      </c>
      <c r="E2077" s="47" t="s">
        <v>540</v>
      </c>
      <c r="F2077" s="48" t="n">
        <v>11490</v>
      </c>
      <c r="G2077" s="48" t="n">
        <v>11622</v>
      </c>
      <c r="H2077" s="48" t="n">
        <v>11488</v>
      </c>
      <c r="I2077" s="48" t="n">
        <v>11530</v>
      </c>
      <c r="J2077" s="48" t="n">
        <v>11591</v>
      </c>
      <c r="K2077" s="48" t="n">
        <v>11579</v>
      </c>
      <c r="L2077" s="48" t="n">
        <v>118664806</v>
      </c>
      <c r="M2077" s="48" t="n">
        <v>1368205213180</v>
      </c>
      <c r="N2077" s="48" t="n">
        <v>2695</v>
      </c>
      <c r="O2077" s="48" t="n">
        <v>74004346</v>
      </c>
      <c r="P2077" s="48" t="n">
        <v>51019409</v>
      </c>
      <c r="Q2077" s="48" t="n">
        <v>1948</v>
      </c>
      <c r="R2077" s="48" t="n">
        <v>1092</v>
      </c>
      <c r="S2077" s="48" t="n">
        <v>44660460</v>
      </c>
      <c r="T2077" s="48" t="n">
        <v>67645397</v>
      </c>
      <c r="U2077" s="46" t="n">
        <f aca="false">IF($A2077=$A2076,$U2076+1,1)</f>
        <v>253</v>
      </c>
      <c r="V2077" s="48" t="n">
        <f aca="false">IF($U2077&gt;=MA_SHORT,AVERAGE(INDEX($I$1677:$I2077,402-MA_SHORT):$I2077),"")</f>
        <v>11616.35</v>
      </c>
      <c r="W2077" s="48" t="n">
        <f aca="false">IF($U2077&gt;=MA_MED,AVERAGE(INDEX($I$1677:$I2077,402-MA_MED):$I2077),"")</f>
        <v>12589.44</v>
      </c>
      <c r="X2077" s="48" t="n">
        <f aca="false">IF($U2077&gt;=MA_LONG1,AVERAGE(INDEX($I$1677:$I2077,402-MA_LONG1):$I2077),"")</f>
        <v>13648.96</v>
      </c>
      <c r="Y2077" s="48" t="n">
        <f aca="false">IF($U2077&gt;=MA_LONG2,AVERAGE(INDEX($I$1677:$I2077,402-MA_LONG2):$I2077),"")</f>
        <v>13341.125</v>
      </c>
      <c r="Z2077" s="48" t="n">
        <f aca="false">IF($U2077&gt;=MA_SHORT,AVERAGE(INDEX($L$1957:$L2077,122-MA_SHORT):$L2077),"")</f>
        <v>105138243</v>
      </c>
      <c r="AA2077" s="48" t="n">
        <f aca="false">IF($U2077=1,$G2077-$H2077,MAX($G2077-$H2077,ABS($G2077-$I2076),ABS($H2077-$I2076)))</f>
        <v>134</v>
      </c>
      <c r="AB2077" s="48" t="n">
        <f aca="false">IF($U2077&gt;=ATR_PER,AVERAGE(INDEX($AA$1957:$AA2077,122-ATR_PER):$AA2077),"")</f>
        <v>369</v>
      </c>
      <c r="AC2077" s="48" t="n">
        <f aca="false">$O2077-$P2077</f>
        <v>22984937</v>
      </c>
      <c r="AD2077" s="48" t="n">
        <f aca="false">$AC2077*$I2077</f>
        <v>265016323610</v>
      </c>
      <c r="AE2077" s="49" t="n">
        <f aca="false">IF($Q2077&gt;0,$O2077*$I2077/$Q2077/1000000,"")</f>
        <v>438.023670112936</v>
      </c>
      <c r="AF2077" s="49" t="n">
        <f aca="false">IF($R2077&gt;0,$P2077*$I2077/$R2077/1000000,"")</f>
        <v>538.693943012821</v>
      </c>
      <c r="AG2077" s="50" t="n">
        <f aca="false">IF(AND(ISNUMBER($AE2077),ISNUMBER($AF2077),$AF2077&gt;0),$AE2077/$AF2077,"")</f>
        <v>0.81312158006297</v>
      </c>
      <c r="AH2077" s="48" t="n">
        <f aca="false">IF($U2077&gt;=5,SUM(INDEX($AD$2047:$AD2077,32-5):$AD2077),"")</f>
        <v>1193167130361</v>
      </c>
      <c r="AI2077" s="48" t="n">
        <f aca="false">IF($U2077&gt;=STRUCT_S,MAX(INDEX($G$1927:$G2077,152-STRUCT_S):$G2077),"")</f>
        <v>12351</v>
      </c>
      <c r="AJ2077" s="48" t="n">
        <f aca="false">IF($U2077&gt;=STRUCT_S,MIN(INDEX($H$1927:$H2077,152-STRUCT_S):$H2077),"")</f>
        <v>11250</v>
      </c>
      <c r="AK2077" s="48" t="n">
        <f aca="false">IF($U2077&gt;=STRUCT_L,MAX(INDEX($G$1827:$G2077,252-STRUCT_L):$G2077),"")</f>
        <v>16062</v>
      </c>
      <c r="AL2077" s="48" t="n">
        <f aca="false">IF($U2077&gt;=STRUCT_L,MIN(INDEX($H$1827:$H2077,252-STRUCT_L):$H2077),"")</f>
        <v>11250</v>
      </c>
      <c r="AM2077" s="46" t="n">
        <f aca="false">IF($A2077&lt;&gt;$A2078,1,0)</f>
        <v>0</v>
      </c>
      <c r="AN2077" s="47" t="str">
        <f aca="false">IF($AM2077=1,$A2077,"")</f>
        <v/>
      </c>
    </row>
    <row r="2078" customFormat="false" ht="15" hidden="false" customHeight="false" outlineLevel="0" collapsed="false">
      <c r="A2078" s="43" t="s">
        <v>167</v>
      </c>
      <c r="B2078" s="44" t="s">
        <v>169</v>
      </c>
      <c r="C2078" s="45" t="n">
        <v>46259</v>
      </c>
      <c r="D2078" s="46" t="n">
        <v>20260825</v>
      </c>
      <c r="E2078" s="47" t="s">
        <v>541</v>
      </c>
      <c r="F2078" s="48" t="n">
        <v>11494</v>
      </c>
      <c r="G2078" s="48" t="n">
        <v>11574</v>
      </c>
      <c r="H2078" s="48" t="n">
        <v>11447</v>
      </c>
      <c r="I2078" s="48" t="n">
        <v>11491</v>
      </c>
      <c r="J2078" s="48" t="n">
        <v>11489</v>
      </c>
      <c r="K2078" s="48" t="n">
        <v>11530</v>
      </c>
      <c r="L2078" s="48" t="n">
        <v>116357045</v>
      </c>
      <c r="M2078" s="48" t="n">
        <v>1337058804095</v>
      </c>
      <c r="N2078" s="48" t="n">
        <v>3743</v>
      </c>
      <c r="O2078" s="48" t="n">
        <v>71862936</v>
      </c>
      <c r="P2078" s="48" t="n">
        <v>53595998</v>
      </c>
      <c r="Q2078" s="48" t="n">
        <v>1878</v>
      </c>
      <c r="R2078" s="48" t="n">
        <v>1487</v>
      </c>
      <c r="S2078" s="48" t="n">
        <v>44494109</v>
      </c>
      <c r="T2078" s="48" t="n">
        <v>62761047</v>
      </c>
      <c r="U2078" s="46" t="n">
        <f aca="false">IF($A2078=$A2077,$U2077+1,1)</f>
        <v>254</v>
      </c>
      <c r="V2078" s="48" t="n">
        <f aca="false">IF($U2078&gt;=MA_SHORT,AVERAGE(INDEX($I$1678:$I2078,402-MA_SHORT):$I2078),"")</f>
        <v>11608.95</v>
      </c>
      <c r="W2078" s="48" t="n">
        <f aca="false">IF($U2078&gt;=MA_MED,AVERAGE(INDEX($I$1678:$I2078,402-MA_MED):$I2078),"")</f>
        <v>12516.68</v>
      </c>
      <c r="X2078" s="48" t="n">
        <f aca="false">IF($U2078&gt;=MA_LONG1,AVERAGE(INDEX($I$1678:$I2078,402-MA_LONG1):$I2078),"")</f>
        <v>13625.72</v>
      </c>
      <c r="Y2078" s="48" t="n">
        <f aca="false">IF($U2078&gt;=MA_LONG2,AVERAGE(INDEX($I$1678:$I2078,402-MA_LONG2):$I2078),"")</f>
        <v>13339.115</v>
      </c>
      <c r="Z2078" s="48" t="n">
        <f aca="false">IF($U2078&gt;=MA_SHORT,AVERAGE(INDEX($L$1958:$L2078,122-MA_SHORT):$L2078),"")</f>
        <v>106739636.05</v>
      </c>
      <c r="AA2078" s="48" t="n">
        <f aca="false">IF($U2078=1,$G2078-$H2078,MAX($G2078-$H2078,ABS($G2078-$I2077),ABS($H2078-$I2077)))</f>
        <v>127</v>
      </c>
      <c r="AB2078" s="48" t="n">
        <f aca="false">IF($U2078&gt;=ATR_PER,AVERAGE(INDEX($AA$1958:$AA2078,122-ATR_PER):$AA2078),"")</f>
        <v>315.857142857143</v>
      </c>
      <c r="AC2078" s="48" t="n">
        <f aca="false">$O2078-$P2078</f>
        <v>18266938</v>
      </c>
      <c r="AD2078" s="48" t="n">
        <f aca="false">$AC2078*$I2078</f>
        <v>209905384558</v>
      </c>
      <c r="AE2078" s="49" t="n">
        <f aca="false">IF($Q2078&gt;0,$O2078*$I2078/$Q2078/1000000,"")</f>
        <v>439.710861329074</v>
      </c>
      <c r="AF2078" s="49" t="n">
        <f aca="false">IF($R2078&gt;0,$P2078*$I2078/$R2078/1000000,"")</f>
        <v>414.170553475454</v>
      </c>
      <c r="AG2078" s="50" t="n">
        <f aca="false">IF(AND(ISNUMBER($AE2078),ISNUMBER($AF2078),$AF2078&gt;0),$AE2078/$AF2078,"")</f>
        <v>1.06166616056912</v>
      </c>
      <c r="AH2078" s="48" t="n">
        <f aca="false">IF($U2078&gt;=5,SUM(INDEX($AD$2048:$AD2078,32-5):$AD2078),"")</f>
        <v>1032046302890</v>
      </c>
      <c r="AI2078" s="48" t="n">
        <f aca="false">IF($U2078&gt;=STRUCT_S,MAX(INDEX($G$1928:$G2078,152-STRUCT_S):$G2078),"")</f>
        <v>12351</v>
      </c>
      <c r="AJ2078" s="48" t="n">
        <f aca="false">IF($U2078&gt;=STRUCT_S,MIN(INDEX($H$1928:$H2078,152-STRUCT_S):$H2078),"")</f>
        <v>11250</v>
      </c>
      <c r="AK2078" s="48" t="n">
        <f aca="false">IF($U2078&gt;=STRUCT_L,MAX(INDEX($G$1828:$G2078,252-STRUCT_L):$G2078),"")</f>
        <v>16062</v>
      </c>
      <c r="AL2078" s="48" t="n">
        <f aca="false">IF($U2078&gt;=STRUCT_L,MIN(INDEX($H$1828:$H2078,252-STRUCT_L):$H2078),"")</f>
        <v>11250</v>
      </c>
      <c r="AM2078" s="46" t="n">
        <f aca="false">IF($A2078&lt;&gt;$A2079,1,0)</f>
        <v>0</v>
      </c>
      <c r="AN2078" s="47" t="str">
        <f aca="false">IF($AM2078=1,$A2078,"")</f>
        <v/>
      </c>
    </row>
    <row r="2079" customFormat="false" ht="15" hidden="false" customHeight="false" outlineLevel="0" collapsed="false">
      <c r="A2079" s="43" t="s">
        <v>167</v>
      </c>
      <c r="B2079" s="44" t="s">
        <v>169</v>
      </c>
      <c r="C2079" s="45" t="n">
        <v>46260</v>
      </c>
      <c r="D2079" s="46" t="n">
        <v>20260826</v>
      </c>
      <c r="E2079" s="47" t="s">
        <v>542</v>
      </c>
      <c r="F2079" s="48" t="n">
        <v>11253</v>
      </c>
      <c r="G2079" s="48" t="n">
        <v>11661</v>
      </c>
      <c r="H2079" s="48" t="n">
        <v>11077</v>
      </c>
      <c r="I2079" s="48" t="n">
        <v>11243</v>
      </c>
      <c r="J2079" s="48" t="n">
        <v>11088</v>
      </c>
      <c r="K2079" s="48" t="n">
        <v>11491</v>
      </c>
      <c r="L2079" s="48" t="n">
        <v>130508319</v>
      </c>
      <c r="M2079" s="48" t="n">
        <v>1467305030517</v>
      </c>
      <c r="N2079" s="48" t="n">
        <v>3056</v>
      </c>
      <c r="O2079" s="48" t="n">
        <v>60576983</v>
      </c>
      <c r="P2079" s="48" t="n">
        <v>69564312</v>
      </c>
      <c r="Q2079" s="48" t="n">
        <v>2201</v>
      </c>
      <c r="R2079" s="48" t="n">
        <v>894</v>
      </c>
      <c r="S2079" s="48" t="n">
        <v>69931336</v>
      </c>
      <c r="T2079" s="48" t="n">
        <v>60944007</v>
      </c>
      <c r="U2079" s="46" t="n">
        <f aca="false">IF($A2079=$A2078,$U2078+1,1)</f>
        <v>255</v>
      </c>
      <c r="V2079" s="48" t="n">
        <f aca="false">IF($U2079&gt;=MA_SHORT,AVERAGE(INDEX($I$1679:$I2079,402-MA_SHORT):$I2079),"")</f>
        <v>11594.2</v>
      </c>
      <c r="W2079" s="48" t="n">
        <f aca="false">IF($U2079&gt;=MA_MED,AVERAGE(INDEX($I$1679:$I2079,402-MA_MED):$I2079),"")</f>
        <v>12437.74</v>
      </c>
      <c r="X2079" s="48" t="n">
        <f aca="false">IF($U2079&gt;=MA_LONG1,AVERAGE(INDEX($I$1679:$I2079,402-MA_LONG1):$I2079),"")</f>
        <v>13601.26</v>
      </c>
      <c r="Y2079" s="48" t="n">
        <f aca="false">IF($U2079&gt;=MA_LONG2,AVERAGE(INDEX($I$1679:$I2079,402-MA_LONG2):$I2079),"")</f>
        <v>13334.895</v>
      </c>
      <c r="Z2079" s="48" t="n">
        <f aca="false">IF($U2079&gt;=MA_SHORT,AVERAGE(INDEX($L$1959:$L2079,122-MA_SHORT):$L2079),"")</f>
        <v>109081017.5</v>
      </c>
      <c r="AA2079" s="48" t="n">
        <f aca="false">IF($U2079=1,$G2079-$H2079,MAX($G2079-$H2079,ABS($G2079-$I2078),ABS($H2079-$I2078)))</f>
        <v>584</v>
      </c>
      <c r="AB2079" s="48" t="n">
        <f aca="false">IF($U2079&gt;=ATR_PER,AVERAGE(INDEX($AA$1959:$AA2079,122-ATR_PER):$AA2079),"")</f>
        <v>321.571428571429</v>
      </c>
      <c r="AC2079" s="48" t="n">
        <f aca="false">$O2079-$P2079</f>
        <v>-8987329</v>
      </c>
      <c r="AD2079" s="48" t="n">
        <f aca="false">$AC2079*$I2079</f>
        <v>-101044539947</v>
      </c>
      <c r="AE2079" s="49" t="n">
        <f aca="false">IF($Q2079&gt;0,$O2079*$I2079/$Q2079/1000000,"")</f>
        <v>309.43526572876</v>
      </c>
      <c r="AF2079" s="49" t="n">
        <f aca="false">IF($R2079&gt;0,$P2079*$I2079/$R2079/1000000,"")</f>
        <v>874.845145208054</v>
      </c>
      <c r="AG2079" s="50" t="n">
        <f aca="false">IF(AND(ISNUMBER($AE2079),ISNUMBER($AF2079),$AF2079&gt;0),$AE2079/$AF2079,"")</f>
        <v>0.353702900934737</v>
      </c>
      <c r="AH2079" s="48" t="n">
        <f aca="false">IF($U2079&gt;=5,SUM(INDEX($AD$2049:$AD2079,32-5):$AD2079),"")</f>
        <v>899410570774</v>
      </c>
      <c r="AI2079" s="48" t="n">
        <f aca="false">IF($U2079&gt;=STRUCT_S,MAX(INDEX($G$1929:$G2079,152-STRUCT_S):$G2079),"")</f>
        <v>12351</v>
      </c>
      <c r="AJ2079" s="48" t="n">
        <f aca="false">IF($U2079&gt;=STRUCT_S,MIN(INDEX($H$1929:$H2079,152-STRUCT_S):$H2079),"")</f>
        <v>11077</v>
      </c>
      <c r="AK2079" s="48" t="n">
        <f aca="false">IF($U2079&gt;=STRUCT_L,MAX(INDEX($G$1829:$G2079,252-STRUCT_L):$G2079),"")</f>
        <v>16062</v>
      </c>
      <c r="AL2079" s="48" t="n">
        <f aca="false">IF($U2079&gt;=STRUCT_L,MIN(INDEX($H$1829:$H2079,252-STRUCT_L):$H2079),"")</f>
        <v>11077</v>
      </c>
      <c r="AM2079" s="46" t="n">
        <f aca="false">IF($A2079&lt;&gt;$A2080,1,0)</f>
        <v>0</v>
      </c>
      <c r="AN2079" s="47" t="str">
        <f aca="false">IF($AM2079=1,$A2079,"")</f>
        <v/>
      </c>
    </row>
    <row r="2080" customFormat="false" ht="15" hidden="false" customHeight="false" outlineLevel="0" collapsed="false">
      <c r="A2080" s="43" t="s">
        <v>167</v>
      </c>
      <c r="B2080" s="44" t="s">
        <v>169</v>
      </c>
      <c r="C2080" s="45" t="n">
        <v>46263</v>
      </c>
      <c r="D2080" s="46" t="n">
        <v>20260829</v>
      </c>
      <c r="E2080" s="47" t="s">
        <v>543</v>
      </c>
      <c r="F2080" s="48" t="n">
        <v>11336</v>
      </c>
      <c r="G2080" s="48" t="n">
        <v>11399</v>
      </c>
      <c r="H2080" s="48" t="n">
        <v>11001</v>
      </c>
      <c r="I2080" s="48" t="n">
        <v>11156</v>
      </c>
      <c r="J2080" s="48" t="n">
        <v>11207</v>
      </c>
      <c r="K2080" s="48" t="n">
        <v>11243</v>
      </c>
      <c r="L2080" s="48" t="n">
        <v>83232292</v>
      </c>
      <c r="M2080" s="48" t="n">
        <v>928539449552</v>
      </c>
      <c r="N2080" s="48" t="n">
        <v>1884</v>
      </c>
      <c r="O2080" s="48" t="n">
        <v>46937147</v>
      </c>
      <c r="P2080" s="48" t="n">
        <v>40385671</v>
      </c>
      <c r="Q2080" s="48" t="n">
        <v>1070</v>
      </c>
      <c r="R2080" s="48" t="n">
        <v>513</v>
      </c>
      <c r="S2080" s="48" t="n">
        <v>36295145</v>
      </c>
      <c r="T2080" s="48" t="n">
        <v>42846621</v>
      </c>
      <c r="U2080" s="46" t="n">
        <f aca="false">IF($A2080=$A2079,$U2079+1,1)</f>
        <v>256</v>
      </c>
      <c r="V2080" s="48" t="n">
        <f aca="false">IF($U2080&gt;=MA_SHORT,AVERAGE(INDEX($I$1680:$I2080,402-MA_SHORT):$I2080),"")</f>
        <v>11579.9</v>
      </c>
      <c r="W2080" s="48" t="n">
        <f aca="false">IF($U2080&gt;=MA_MED,AVERAGE(INDEX($I$1680:$I2080,402-MA_MED):$I2080),"")</f>
        <v>12364.56</v>
      </c>
      <c r="X2080" s="48" t="n">
        <f aca="false">IF($U2080&gt;=MA_LONG1,AVERAGE(INDEX($I$1680:$I2080,402-MA_LONG1):$I2080),"")</f>
        <v>13576.47</v>
      </c>
      <c r="Y2080" s="48" t="n">
        <f aca="false">IF($U2080&gt;=MA_LONG2,AVERAGE(INDEX($I$1680:$I2080,402-MA_LONG2):$I2080),"")</f>
        <v>13331.34</v>
      </c>
      <c r="Z2080" s="48" t="n">
        <f aca="false">IF($U2080&gt;=MA_SHORT,AVERAGE(INDEX($L$1960:$L2080,122-MA_SHORT):$L2080),"")</f>
        <v>108119136.3</v>
      </c>
      <c r="AA2080" s="48" t="n">
        <f aca="false">IF($U2080=1,$G2080-$H2080,MAX($G2080-$H2080,ABS($G2080-$I2079),ABS($H2080-$I2079)))</f>
        <v>398</v>
      </c>
      <c r="AB2080" s="48" t="n">
        <f aca="false">IF($U2080&gt;=ATR_PER,AVERAGE(INDEX($AA$1960:$AA2080,122-ATR_PER):$AA2080),"")</f>
        <v>341.142857142857</v>
      </c>
      <c r="AC2080" s="48" t="n">
        <f aca="false">$O2080-$P2080</f>
        <v>6551476</v>
      </c>
      <c r="AD2080" s="48" t="n">
        <f aca="false">$AC2080*$I2080</f>
        <v>73088266256</v>
      </c>
      <c r="AE2080" s="49" t="n">
        <f aca="false">IF($Q2080&gt;0,$O2080*$I2080/$Q2080/1000000,"")</f>
        <v>489.374590590654</v>
      </c>
      <c r="AF2080" s="49" t="n">
        <f aca="false">IF($R2080&gt;0,$P2080*$I2080/$R2080/1000000,"")</f>
        <v>878.250576366472</v>
      </c>
      <c r="AG2080" s="50" t="n">
        <f aca="false">IF(AND(ISNUMBER($AE2080),ISNUMBER($AF2080),$AF2080&gt;0),$AE2080/$AF2080,"")</f>
        <v>0.557215222807267</v>
      </c>
      <c r="AH2080" s="48" t="n">
        <f aca="false">IF($U2080&gt;=5,SUM(INDEX($AD$2050:$AD2080,32-5):$AD2080),"")</f>
        <v>347545963625</v>
      </c>
      <c r="AI2080" s="48" t="n">
        <f aca="false">IF($U2080&gt;=STRUCT_S,MAX(INDEX($G$1930:$G2080,152-STRUCT_S):$G2080),"")</f>
        <v>12351</v>
      </c>
      <c r="AJ2080" s="48" t="n">
        <f aca="false">IF($U2080&gt;=STRUCT_S,MIN(INDEX($H$1930:$H2080,152-STRUCT_S):$H2080),"")</f>
        <v>11001</v>
      </c>
      <c r="AK2080" s="48" t="n">
        <f aca="false">IF($U2080&gt;=STRUCT_L,MAX(INDEX($G$1830:$G2080,252-STRUCT_L):$G2080),"")</f>
        <v>16062</v>
      </c>
      <c r="AL2080" s="48" t="n">
        <f aca="false">IF($U2080&gt;=STRUCT_L,MIN(INDEX($H$1830:$H2080,252-STRUCT_L):$H2080),"")</f>
        <v>11001</v>
      </c>
      <c r="AM2080" s="46" t="n">
        <f aca="false">IF($A2080&lt;&gt;$A2081,1,0)</f>
        <v>0</v>
      </c>
      <c r="AN2080" s="47" t="str">
        <f aca="false">IF($AM2080=1,$A2080,"")</f>
        <v/>
      </c>
    </row>
    <row r="2081" customFormat="false" ht="15" hidden="false" customHeight="false" outlineLevel="0" collapsed="false">
      <c r="A2081" s="43" t="s">
        <v>167</v>
      </c>
      <c r="B2081" s="44" t="s">
        <v>169</v>
      </c>
      <c r="C2081" s="45" t="n">
        <v>46264</v>
      </c>
      <c r="D2081" s="46" t="n">
        <v>20260830</v>
      </c>
      <c r="E2081" s="47" t="s">
        <v>544</v>
      </c>
      <c r="F2081" s="48" t="n">
        <v>11150</v>
      </c>
      <c r="G2081" s="48" t="n">
        <v>11245</v>
      </c>
      <c r="H2081" s="48" t="n">
        <v>11108</v>
      </c>
      <c r="I2081" s="48" t="n">
        <v>11197</v>
      </c>
      <c r="J2081" s="48" t="n">
        <v>11212</v>
      </c>
      <c r="K2081" s="48" t="n">
        <v>11156</v>
      </c>
      <c r="L2081" s="48" t="n">
        <v>81293283</v>
      </c>
      <c r="M2081" s="48" t="n">
        <v>910240889751</v>
      </c>
      <c r="N2081" s="48" t="n">
        <v>5546</v>
      </c>
      <c r="O2081" s="48" t="n">
        <v>53491246</v>
      </c>
      <c r="P2081" s="48" t="n">
        <v>28543179</v>
      </c>
      <c r="Q2081" s="48" t="n">
        <v>1566</v>
      </c>
      <c r="R2081" s="48" t="n">
        <v>2837</v>
      </c>
      <c r="S2081" s="48" t="n">
        <v>27802037</v>
      </c>
      <c r="T2081" s="48" t="n">
        <v>52750104</v>
      </c>
      <c r="U2081" s="46" t="n">
        <f aca="false">IF($A2081=$A2080,$U2080+1,1)</f>
        <v>257</v>
      </c>
      <c r="V2081" s="48" t="n">
        <f aca="false">IF($U2081&gt;=MA_SHORT,AVERAGE(INDEX($I$1681:$I2081,402-MA_SHORT):$I2081),"")</f>
        <v>11547.4</v>
      </c>
      <c r="W2081" s="48" t="n">
        <f aca="false">IF($U2081&gt;=MA_MED,AVERAGE(INDEX($I$1681:$I2081,402-MA_MED):$I2081),"")</f>
        <v>12296.12</v>
      </c>
      <c r="X2081" s="48" t="n">
        <f aca="false">IF($U2081&gt;=MA_LONG1,AVERAGE(INDEX($I$1681:$I2081,402-MA_LONG1):$I2081),"")</f>
        <v>13556.55</v>
      </c>
      <c r="Y2081" s="48" t="n">
        <f aca="false">IF($U2081&gt;=MA_LONG2,AVERAGE(INDEX($I$1681:$I2081,402-MA_LONG2):$I2081),"")</f>
        <v>13326.98</v>
      </c>
      <c r="Z2081" s="48" t="n">
        <f aca="false">IF($U2081&gt;=MA_SHORT,AVERAGE(INDEX($L$1961:$L2081,122-MA_SHORT):$L2081),"")</f>
        <v>98620239.3</v>
      </c>
      <c r="AA2081" s="48" t="n">
        <f aca="false">IF($U2081=1,$G2081-$H2081,MAX($G2081-$H2081,ABS($G2081-$I2080),ABS($H2081-$I2080)))</f>
        <v>137</v>
      </c>
      <c r="AB2081" s="48" t="n">
        <f aca="false">IF($U2081&gt;=ATR_PER,AVERAGE(INDEX($AA$1961:$AA2081,122-ATR_PER):$AA2081),"")</f>
        <v>325.928571428571</v>
      </c>
      <c r="AC2081" s="48" t="n">
        <f aca="false">$O2081-$P2081</f>
        <v>24948067</v>
      </c>
      <c r="AD2081" s="48" t="n">
        <f aca="false">$AC2081*$I2081</f>
        <v>279343506199</v>
      </c>
      <c r="AE2081" s="49" t="n">
        <f aca="false">IF($Q2081&gt;0,$O2081*$I2081/$Q2081/1000000,"")</f>
        <v>382.465824688378</v>
      </c>
      <c r="AF2081" s="49" t="n">
        <f aca="false">IF($R2081&gt;0,$P2081*$I2081/$R2081/1000000,"")</f>
        <v>112.653498506521</v>
      </c>
      <c r="AG2081" s="50" t="n">
        <f aca="false">IF(AND(ISNUMBER($AE2081),ISNUMBER($AF2081),$AF2081&gt;0),$AE2081/$AF2081,"")</f>
        <v>3.39506388846183</v>
      </c>
      <c r="AH2081" s="48" t="n">
        <f aca="false">IF($U2081&gt;=5,SUM(INDEX($AD$2051:$AD2081,32-5):$AD2081),"")</f>
        <v>726308940676</v>
      </c>
      <c r="AI2081" s="48" t="n">
        <f aca="false">IF($U2081&gt;=STRUCT_S,MAX(INDEX($G$1931:$G2081,152-STRUCT_S):$G2081),"")</f>
        <v>12351</v>
      </c>
      <c r="AJ2081" s="48" t="n">
        <f aca="false">IF($U2081&gt;=STRUCT_S,MIN(INDEX($H$1931:$H2081,152-STRUCT_S):$H2081),"")</f>
        <v>11001</v>
      </c>
      <c r="AK2081" s="48" t="n">
        <f aca="false">IF($U2081&gt;=STRUCT_L,MAX(INDEX($G$1831:$G2081,252-STRUCT_L):$G2081),"")</f>
        <v>16062</v>
      </c>
      <c r="AL2081" s="48" t="n">
        <f aca="false">IF($U2081&gt;=STRUCT_L,MIN(INDEX($H$1831:$H2081,252-STRUCT_L):$H2081),"")</f>
        <v>11001</v>
      </c>
      <c r="AM2081" s="46" t="n">
        <f aca="false">IF($A2081&lt;&gt;$A2082,1,0)</f>
        <v>0</v>
      </c>
      <c r="AN2081" s="47" t="str">
        <f aca="false">IF($AM2081=1,$A2081,"")</f>
        <v/>
      </c>
    </row>
    <row r="2082" customFormat="false" ht="15" hidden="false" customHeight="false" outlineLevel="0" collapsed="false">
      <c r="A2082" s="43" t="s">
        <v>167</v>
      </c>
      <c r="B2082" s="44" t="s">
        <v>169</v>
      </c>
      <c r="C2082" s="45" t="n">
        <v>46265</v>
      </c>
      <c r="D2082" s="46" t="n">
        <v>20260831</v>
      </c>
      <c r="E2082" s="47" t="s">
        <v>545</v>
      </c>
      <c r="F2082" s="48" t="n">
        <v>11310</v>
      </c>
      <c r="G2082" s="48" t="n">
        <v>11365</v>
      </c>
      <c r="H2082" s="48" t="n">
        <v>11170</v>
      </c>
      <c r="I2082" s="48" t="n">
        <v>11338</v>
      </c>
      <c r="J2082" s="48" t="n">
        <v>11303</v>
      </c>
      <c r="K2082" s="48" t="n">
        <v>11197</v>
      </c>
      <c r="L2082" s="48" t="n">
        <v>85549040</v>
      </c>
      <c r="M2082" s="48" t="n">
        <v>969955015520</v>
      </c>
      <c r="N2082" s="48" t="n">
        <v>2257</v>
      </c>
      <c r="O2082" s="48" t="n">
        <v>57004000</v>
      </c>
      <c r="P2082" s="48" t="n">
        <v>29000813</v>
      </c>
      <c r="Q2082" s="48" t="n">
        <v>683</v>
      </c>
      <c r="R2082" s="48" t="n">
        <v>1061</v>
      </c>
      <c r="S2082" s="48" t="n">
        <v>28545040</v>
      </c>
      <c r="T2082" s="48" t="n">
        <v>56548227</v>
      </c>
      <c r="U2082" s="46" t="n">
        <f aca="false">IF($A2082=$A2081,$U2081+1,1)</f>
        <v>258</v>
      </c>
      <c r="V2082" s="48" t="n">
        <f aca="false">IF($U2082&gt;=MA_SHORT,AVERAGE(INDEX($I$1682:$I2082,402-MA_SHORT):$I2082),"")</f>
        <v>11520.9</v>
      </c>
      <c r="W2082" s="48" t="n">
        <f aca="false">IF($U2082&gt;=MA_MED,AVERAGE(INDEX($I$1682:$I2082,402-MA_MED):$I2082),"")</f>
        <v>12236.3</v>
      </c>
      <c r="X2082" s="48" t="n">
        <f aca="false">IF($U2082&gt;=MA_LONG1,AVERAGE(INDEX($I$1682:$I2082,402-MA_LONG1):$I2082),"")</f>
        <v>13535.72</v>
      </c>
      <c r="Y2082" s="48" t="n">
        <f aca="false">IF($U2082&gt;=MA_LONG2,AVERAGE(INDEX($I$1682:$I2082,402-MA_LONG2):$I2082),"")</f>
        <v>13323.72</v>
      </c>
      <c r="Z2082" s="48" t="n">
        <f aca="false">IF($U2082&gt;=MA_SHORT,AVERAGE(INDEX($L$1962:$L2082,122-MA_SHORT):$L2082),"")</f>
        <v>98878425.5</v>
      </c>
      <c r="AA2082" s="48" t="n">
        <f aca="false">IF($U2082=1,$G2082-$H2082,MAX($G2082-$H2082,ABS($G2082-$I2081),ABS($H2082-$I2081)))</f>
        <v>195</v>
      </c>
      <c r="AB2082" s="48" t="n">
        <f aca="false">IF($U2082&gt;=ATR_PER,AVERAGE(INDEX($AA$1962:$AA2082,122-ATR_PER):$AA2082),"")</f>
        <v>316.785714285714</v>
      </c>
      <c r="AC2082" s="48" t="n">
        <f aca="false">$O2082-$P2082</f>
        <v>28003187</v>
      </c>
      <c r="AD2082" s="48" t="n">
        <f aca="false">$AC2082*$I2082</f>
        <v>317500134206</v>
      </c>
      <c r="AE2082" s="49" t="n">
        <f aca="false">IF($Q2082&gt;0,$O2082*$I2082/$Q2082/1000000,"")</f>
        <v>946.283092240117</v>
      </c>
      <c r="AF2082" s="49" t="n">
        <f aca="false">IF($R2082&gt;0,$P2082*$I2082/$R2082/1000000,"")</f>
        <v>309.906897072573</v>
      </c>
      <c r="AG2082" s="50" t="n">
        <f aca="false">IF(AND(ISNUMBER($AE2082),ISNUMBER($AF2082),$AF2082&gt;0),$AE2082/$AF2082,"")</f>
        <v>3.05344315076189</v>
      </c>
      <c r="AH2082" s="48" t="n">
        <f aca="false">IF($U2082&gt;=5,SUM(INDEX($AD$2052:$AD2082,32-5):$AD2082),"")</f>
        <v>778792751272</v>
      </c>
      <c r="AI2082" s="48" t="n">
        <f aca="false">IF($U2082&gt;=STRUCT_S,MAX(INDEX($G$1932:$G2082,152-STRUCT_S):$G2082),"")</f>
        <v>12351</v>
      </c>
      <c r="AJ2082" s="48" t="n">
        <f aca="false">IF($U2082&gt;=STRUCT_S,MIN(INDEX($H$1932:$H2082,152-STRUCT_S):$H2082),"")</f>
        <v>11001</v>
      </c>
      <c r="AK2082" s="48" t="n">
        <f aca="false">IF($U2082&gt;=STRUCT_L,MAX(INDEX($G$1832:$G2082,252-STRUCT_L):$G2082),"")</f>
        <v>15735</v>
      </c>
      <c r="AL2082" s="48" t="n">
        <f aca="false">IF($U2082&gt;=STRUCT_L,MIN(INDEX($H$1832:$H2082,252-STRUCT_L):$H2082),"")</f>
        <v>11001</v>
      </c>
      <c r="AM2082" s="46" t="n">
        <f aca="false">IF($A2082&lt;&gt;$A2083,1,0)</f>
        <v>0</v>
      </c>
      <c r="AN2082" s="47" t="str">
        <f aca="false">IF($AM2082=1,$A2082,"")</f>
        <v/>
      </c>
    </row>
    <row r="2083" customFormat="false" ht="15" hidden="false" customHeight="false" outlineLevel="0" collapsed="false">
      <c r="A2083" s="43" t="s">
        <v>167</v>
      </c>
      <c r="B2083" s="44" t="s">
        <v>169</v>
      </c>
      <c r="C2083" s="45" t="n">
        <v>46266</v>
      </c>
      <c r="D2083" s="46" t="n">
        <v>20260901</v>
      </c>
      <c r="E2083" s="47" t="s">
        <v>546</v>
      </c>
      <c r="F2083" s="48" t="n">
        <v>11277</v>
      </c>
      <c r="G2083" s="48" t="n">
        <v>11532</v>
      </c>
      <c r="H2083" s="48" t="n">
        <v>11071</v>
      </c>
      <c r="I2083" s="48" t="n">
        <v>11264</v>
      </c>
      <c r="J2083" s="48" t="n">
        <v>11093</v>
      </c>
      <c r="K2083" s="48" t="n">
        <v>11338</v>
      </c>
      <c r="L2083" s="48" t="n">
        <v>130094625</v>
      </c>
      <c r="M2083" s="48" t="n">
        <v>1465385856000</v>
      </c>
      <c r="N2083" s="48" t="n">
        <v>4610</v>
      </c>
      <c r="O2083" s="48" t="n">
        <v>75028118</v>
      </c>
      <c r="P2083" s="48" t="n">
        <v>53894336</v>
      </c>
      <c r="Q2083" s="48" t="n">
        <v>3288</v>
      </c>
      <c r="R2083" s="48" t="n">
        <v>1499</v>
      </c>
      <c r="S2083" s="48" t="n">
        <v>55066507</v>
      </c>
      <c r="T2083" s="48" t="n">
        <v>76200289</v>
      </c>
      <c r="U2083" s="46" t="n">
        <f aca="false">IF($A2083=$A2082,$U2082+1,1)</f>
        <v>259</v>
      </c>
      <c r="V2083" s="48" t="n">
        <f aca="false">IF($U2083&gt;=MA_SHORT,AVERAGE(INDEX($I$1683:$I2083,402-MA_SHORT):$I2083),"")</f>
        <v>11477.9</v>
      </c>
      <c r="W2083" s="48" t="n">
        <f aca="false">IF($U2083&gt;=MA_MED,AVERAGE(INDEX($I$1683:$I2083,402-MA_MED):$I2083),"")</f>
        <v>12173.1</v>
      </c>
      <c r="X2083" s="48" t="n">
        <f aca="false">IF($U2083&gt;=MA_LONG1,AVERAGE(INDEX($I$1683:$I2083,402-MA_LONG1):$I2083),"")</f>
        <v>13508.73</v>
      </c>
      <c r="Y2083" s="48" t="n">
        <f aca="false">IF($U2083&gt;=MA_LONG2,AVERAGE(INDEX($I$1683:$I2083,402-MA_LONG2):$I2083),"")</f>
        <v>13319.73</v>
      </c>
      <c r="Z2083" s="48" t="n">
        <f aca="false">IF($U2083&gt;=MA_SHORT,AVERAGE(INDEX($L$1963:$L2083,122-MA_SHORT):$L2083),"")</f>
        <v>100891474.6</v>
      </c>
      <c r="AA2083" s="48" t="n">
        <f aca="false">IF($U2083=1,$G2083-$H2083,MAX($G2083-$H2083,ABS($G2083-$I2082),ABS($H2083-$I2082)))</f>
        <v>461</v>
      </c>
      <c r="AB2083" s="48" t="n">
        <f aca="false">IF($U2083&gt;=ATR_PER,AVERAGE(INDEX($AA$1963:$AA2083,122-ATR_PER):$AA2083),"")</f>
        <v>328.071428571429</v>
      </c>
      <c r="AC2083" s="48" t="n">
        <f aca="false">$O2083-$P2083</f>
        <v>21133782</v>
      </c>
      <c r="AD2083" s="48" t="n">
        <f aca="false">$AC2083*$I2083</f>
        <v>238050920448</v>
      </c>
      <c r="AE2083" s="49" t="n">
        <f aca="false">IF($Q2083&gt;0,$O2083*$I2083/$Q2083/1000000,"")</f>
        <v>257.030632953771</v>
      </c>
      <c r="AF2083" s="49" t="n">
        <f aca="false">IF($R2083&gt;0,$P2083*$I2083/$R2083/1000000,"")</f>
        <v>404.980520816544</v>
      </c>
      <c r="AG2083" s="50" t="n">
        <f aca="false">IF(AND(ISNUMBER($AE2083),ISNUMBER($AF2083),$AF2083&gt;0),$AE2083/$AF2083,"")</f>
        <v>0.634674063916783</v>
      </c>
      <c r="AH2083" s="48" t="n">
        <f aca="false">IF($U2083&gt;=5,SUM(INDEX($AD$2053:$AD2083,32-5):$AD2083),"")</f>
        <v>806938287162</v>
      </c>
      <c r="AI2083" s="48" t="n">
        <f aca="false">IF($U2083&gt;=STRUCT_S,MAX(INDEX($G$1933:$G2083,152-STRUCT_S):$G2083),"")</f>
        <v>12351</v>
      </c>
      <c r="AJ2083" s="48" t="n">
        <f aca="false">IF($U2083&gt;=STRUCT_S,MIN(INDEX($H$1933:$H2083,152-STRUCT_S):$H2083),"")</f>
        <v>11001</v>
      </c>
      <c r="AK2083" s="48" t="n">
        <f aca="false">IF($U2083&gt;=STRUCT_L,MAX(INDEX($G$1833:$G2083,252-STRUCT_L):$G2083),"")</f>
        <v>15470</v>
      </c>
      <c r="AL2083" s="48" t="n">
        <f aca="false">IF($U2083&gt;=STRUCT_L,MIN(INDEX($H$1833:$H2083,252-STRUCT_L):$H2083),"")</f>
        <v>11001</v>
      </c>
      <c r="AM2083" s="46" t="n">
        <f aca="false">IF($A2083&lt;&gt;$A2084,1,0)</f>
        <v>0</v>
      </c>
      <c r="AN2083" s="47" t="str">
        <f aca="false">IF($AM2083=1,$A2083,"")</f>
        <v/>
      </c>
    </row>
    <row r="2084" customFormat="false" ht="15" hidden="false" customHeight="false" outlineLevel="0" collapsed="false">
      <c r="A2084" s="43" t="s">
        <v>167</v>
      </c>
      <c r="B2084" s="44" t="s">
        <v>169</v>
      </c>
      <c r="C2084" s="45" t="n">
        <v>46267</v>
      </c>
      <c r="D2084" s="46" t="n">
        <v>20260902</v>
      </c>
      <c r="E2084" s="47" t="s">
        <v>547</v>
      </c>
      <c r="F2084" s="48" t="n">
        <v>11128</v>
      </c>
      <c r="G2084" s="48" t="n">
        <v>11303</v>
      </c>
      <c r="H2084" s="48" t="n">
        <v>11019</v>
      </c>
      <c r="I2084" s="48" t="n">
        <v>11057</v>
      </c>
      <c r="J2084" s="48" t="n">
        <v>11194</v>
      </c>
      <c r="K2084" s="48" t="n">
        <v>11264</v>
      </c>
      <c r="L2084" s="48" t="n">
        <v>99021680</v>
      </c>
      <c r="M2084" s="48" t="n">
        <v>1094882715760</v>
      </c>
      <c r="N2084" s="48" t="n">
        <v>5618</v>
      </c>
      <c r="O2084" s="48" t="n">
        <v>60162013</v>
      </c>
      <c r="P2084" s="48" t="n">
        <v>35796893</v>
      </c>
      <c r="Q2084" s="48" t="n">
        <v>3750</v>
      </c>
      <c r="R2084" s="48" t="n">
        <v>1458</v>
      </c>
      <c r="S2084" s="48" t="n">
        <v>38859667</v>
      </c>
      <c r="T2084" s="48" t="n">
        <v>63224787</v>
      </c>
      <c r="U2084" s="46" t="n">
        <f aca="false">IF($A2084=$A2083,$U2083+1,1)</f>
        <v>260</v>
      </c>
      <c r="V2084" s="48" t="n">
        <f aca="false">IF($U2084&gt;=MA_SHORT,AVERAGE(INDEX($I$1684:$I2084,402-MA_SHORT):$I2084),"")</f>
        <v>11445.8</v>
      </c>
      <c r="W2084" s="48" t="n">
        <f aca="false">IF($U2084&gt;=MA_MED,AVERAGE(INDEX($I$1684:$I2084,402-MA_MED):$I2084),"")</f>
        <v>12111.18</v>
      </c>
      <c r="X2084" s="48" t="n">
        <f aca="false">IF($U2084&gt;=MA_LONG1,AVERAGE(INDEX($I$1684:$I2084,402-MA_LONG1):$I2084),"")</f>
        <v>13481.26</v>
      </c>
      <c r="Y2084" s="48" t="n">
        <f aca="false">IF($U2084&gt;=MA_LONG2,AVERAGE(INDEX($I$1684:$I2084,402-MA_LONG2):$I2084),"")</f>
        <v>13315.27</v>
      </c>
      <c r="Z2084" s="48" t="n">
        <f aca="false">IF($U2084&gt;=MA_SHORT,AVERAGE(INDEX($L$1964:$L2084,122-MA_SHORT):$L2084),"")</f>
        <v>99819958.15</v>
      </c>
      <c r="AA2084" s="48" t="n">
        <f aca="false">IF($U2084=1,$G2084-$H2084,MAX($G2084-$H2084,ABS($G2084-$I2083),ABS($H2084-$I2083)))</f>
        <v>284</v>
      </c>
      <c r="AB2084" s="48" t="n">
        <f aca="false">IF($U2084&gt;=ATR_PER,AVERAGE(INDEX($AA$1964:$AA2084,122-ATR_PER):$AA2084),"")</f>
        <v>329.857142857143</v>
      </c>
      <c r="AC2084" s="48" t="n">
        <f aca="false">$O2084-$P2084</f>
        <v>24365120</v>
      </c>
      <c r="AD2084" s="48" t="n">
        <f aca="false">$AC2084*$I2084</f>
        <v>269405131840</v>
      </c>
      <c r="AE2084" s="49" t="n">
        <f aca="false">IF($Q2084&gt;0,$O2084*$I2084/$Q2084/1000000,"")</f>
        <v>177.389700730933</v>
      </c>
      <c r="AF2084" s="49" t="n">
        <f aca="false">IF($R2084&gt;0,$P2084*$I2084/$R2084/1000000,"")</f>
        <v>271.472047943073</v>
      </c>
      <c r="AG2084" s="50" t="n">
        <f aca="false">IF(AND(ISNUMBER($AE2084),ISNUMBER($AF2084),$AF2084&gt;0),$AE2084/$AF2084,"")</f>
        <v>0.653436337460908</v>
      </c>
      <c r="AH2084" s="48" t="n">
        <f aca="false">IF($U2084&gt;=5,SUM(INDEX($AD$2054:$AD2084,32-5):$AD2084),"")</f>
        <v>1177387958949</v>
      </c>
      <c r="AI2084" s="48" t="n">
        <f aca="false">IF($U2084&gt;=STRUCT_S,MAX(INDEX($G$1934:$G2084,152-STRUCT_S):$G2084),"")</f>
        <v>11906</v>
      </c>
      <c r="AJ2084" s="48" t="n">
        <f aca="false">IF($U2084&gt;=STRUCT_S,MIN(INDEX($H$1934:$H2084,152-STRUCT_S):$H2084),"")</f>
        <v>11001</v>
      </c>
      <c r="AK2084" s="48" t="n">
        <f aca="false">IF($U2084&gt;=STRUCT_L,MAX(INDEX($G$1834:$G2084,252-STRUCT_L):$G2084),"")</f>
        <v>15439</v>
      </c>
      <c r="AL2084" s="48" t="n">
        <f aca="false">IF($U2084&gt;=STRUCT_L,MIN(INDEX($H$1834:$H2084,252-STRUCT_L):$H2084),"")</f>
        <v>11001</v>
      </c>
      <c r="AM2084" s="46" t="n">
        <f aca="false">IF($A2084&lt;&gt;$A2085,1,0)</f>
        <v>1</v>
      </c>
      <c r="AN2084" s="47" t="str">
        <f aca="false">IF($AM2084=1,$A2084,"")</f>
        <v>كگل</v>
      </c>
    </row>
  </sheetData>
  <autoFilter ref="A4:AN2084"/>
  <mergeCells count="2">
    <mergeCell ref="A1:AN1"/>
    <mergeCell ref="A2:A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6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3" min="1" style="0" width="12"/>
    <col collapsed="false" customWidth="true" hidden="false" outlineLevel="0" max="4" min="4" style="0" width="14"/>
    <col collapsed="false" customWidth="true" hidden="false" outlineLevel="0" max="5" min="5" style="0" width="12"/>
    <col collapsed="false" customWidth="true" hidden="false" outlineLevel="0" max="8" min="6" style="0" width="13"/>
    <col collapsed="false" customWidth="true" hidden="false" outlineLevel="0" max="9" min="9" style="0" width="14"/>
    <col collapsed="false" customWidth="true" hidden="false" outlineLevel="0" max="10" min="10" style="0" width="12"/>
    <col collapsed="false" customWidth="true" hidden="false" outlineLevel="0" max="13" min="11" style="0" width="13"/>
    <col collapsed="false" customWidth="true" hidden="false" outlineLevel="0" max="14" min="14" style="0" width="9"/>
    <col collapsed="false" customWidth="true" hidden="false" outlineLevel="0" max="16" min="16" style="0" width="34"/>
    <col collapsed="false" customWidth="true" hidden="false" outlineLevel="0" max="17" min="17" style="0" width="18"/>
  </cols>
  <sheetData>
    <row r="1" customFormat="false" ht="27.75" hidden="false" customHeight="true" outlineLevel="0" collapsed="false">
      <c r="A1" s="1" t="s">
        <v>548</v>
      </c>
      <c r="B1" s="1"/>
      <c r="C1" s="1"/>
      <c r="D1" s="1"/>
      <c r="E1" s="1"/>
      <c r="F1" s="1"/>
      <c r="G1" s="1"/>
      <c r="H1" s="1"/>
      <c r="I1" s="1"/>
      <c r="J1" s="1"/>
      <c r="K1" s="1"/>
      <c r="L1" s="1"/>
      <c r="M1" s="1"/>
      <c r="N1" s="1"/>
    </row>
    <row r="2" customFormat="false" ht="18" hidden="false" customHeight="true" outlineLevel="0" collapsed="false">
      <c r="A2" s="30" t="s">
        <v>549</v>
      </c>
      <c r="B2" s="30"/>
      <c r="C2" s="30"/>
      <c r="D2" s="30"/>
      <c r="E2" s="30"/>
      <c r="F2" s="30"/>
      <c r="G2" s="30"/>
      <c r="H2" s="30"/>
      <c r="I2" s="30"/>
      <c r="J2" s="30"/>
      <c r="K2" s="30"/>
      <c r="L2" s="30"/>
      <c r="M2" s="30"/>
      <c r="N2" s="30"/>
    </row>
    <row r="3" customFormat="false" ht="30" hidden="false" customHeight="true" outlineLevel="0" collapsed="false">
      <c r="A3" s="31" t="s">
        <v>252</v>
      </c>
      <c r="B3" s="31" t="s">
        <v>253</v>
      </c>
      <c r="C3" s="31" t="s">
        <v>254</v>
      </c>
      <c r="D3" s="31" t="s">
        <v>5</v>
      </c>
      <c r="E3" s="31" t="s">
        <v>550</v>
      </c>
      <c r="F3" s="31" t="s">
        <v>551</v>
      </c>
      <c r="G3" s="31" t="s">
        <v>552</v>
      </c>
      <c r="H3" s="31" t="s">
        <v>553</v>
      </c>
      <c r="I3" s="31" t="s">
        <v>554</v>
      </c>
      <c r="J3" s="31" t="s">
        <v>11</v>
      </c>
      <c r="K3" s="31" t="s">
        <v>555</v>
      </c>
      <c r="L3" s="31" t="s">
        <v>556</v>
      </c>
      <c r="M3" s="31" t="s">
        <v>557</v>
      </c>
      <c r="N3" s="31" t="s">
        <v>558</v>
      </c>
    </row>
    <row r="4" customFormat="false" ht="21.75" hidden="false" customHeight="true" outlineLevel="0" collapsed="false">
      <c r="A4" s="36" t="s">
        <v>129</v>
      </c>
      <c r="B4" s="36" t="s">
        <v>268</v>
      </c>
      <c r="C4" s="36" t="s">
        <v>129</v>
      </c>
      <c r="D4" s="36" t="s">
        <v>559</v>
      </c>
      <c r="E4" s="36" t="s">
        <v>129</v>
      </c>
      <c r="F4" s="36" t="s">
        <v>129</v>
      </c>
      <c r="G4" s="36" t="s">
        <v>129</v>
      </c>
      <c r="H4" s="36" t="s">
        <v>129</v>
      </c>
      <c r="I4" s="36" t="s">
        <v>559</v>
      </c>
      <c r="J4" s="36" t="s">
        <v>129</v>
      </c>
      <c r="K4" s="36" t="s">
        <v>129</v>
      </c>
      <c r="L4" s="36" t="s">
        <v>129</v>
      </c>
      <c r="M4" s="36" t="s">
        <v>129</v>
      </c>
      <c r="N4" s="36" t="s">
        <v>272</v>
      </c>
    </row>
    <row r="5" customFormat="false" ht="15" hidden="false" customHeight="false" outlineLevel="0" collapsed="false">
      <c r="A5" s="45" t="n">
        <v>45906</v>
      </c>
      <c r="B5" s="46" t="n">
        <v>20250906</v>
      </c>
      <c r="C5" s="47" t="s">
        <v>288</v>
      </c>
      <c r="D5" s="51" t="n">
        <v>2155861.47</v>
      </c>
      <c r="E5" s="52" t="str">
        <f aca="false">IF($N5&gt;1,$D5/$D4-1,"")</f>
        <v/>
      </c>
      <c r="F5" s="51" t="str">
        <f aca="false">IF($N5&gt;=MA_SHORT,AVERAGE(INDEX($D$5:$D5,2-MA_SHORT):$D5),"")</f>
        <v/>
      </c>
      <c r="G5" s="51" t="str">
        <f aca="false">IF($N5&gt;=MA_MED,AVERAGE(INDEX($D$5:$D5,2-MA_MED):$D5),"")</f>
        <v/>
      </c>
      <c r="H5" s="51" t="str">
        <f aca="false">IF($N5&gt;=MA_LONG2,AVERAGE(INDEX($D$5:$D5,2-MA_LONG2):$D5),"")</f>
        <v/>
      </c>
      <c r="I5" s="51" t="n">
        <v>714961.92</v>
      </c>
      <c r="J5" s="52" t="str">
        <f aca="false">IF($N5&gt;1,$I5/$I4-1,"")</f>
        <v/>
      </c>
      <c r="K5" s="51" t="str">
        <f aca="false">IF($N5&gt;=MA_SHORT,AVERAGE(INDEX($I$5:$I5,2-MA_SHORT):$I5),"")</f>
        <v/>
      </c>
      <c r="L5" s="51" t="str">
        <f aca="false">IF($N5&gt;=MA_MED,AVERAGE(INDEX($I$5:$I5,2-MA_MED):$I5),"")</f>
        <v/>
      </c>
      <c r="M5" s="51" t="str">
        <f aca="false">IF($N5&gt;=MA_LONG2,AVERAGE(INDEX($I$5:$I5,2-MA_LONG2):$I5),"")</f>
        <v/>
      </c>
      <c r="N5" s="46" t="n">
        <f aca="false">IF($A5=$A4,$N4+1,1)</f>
        <v>1</v>
      </c>
      <c r="P5" s="4" t="s">
        <v>560</v>
      </c>
      <c r="Q5" s="53" t="n">
        <f aca="false">COUNT($A$5:$A$100000)+4</f>
        <v>264</v>
      </c>
    </row>
    <row r="6" customFormat="false" ht="15" hidden="false" customHeight="false" outlineLevel="0" collapsed="false">
      <c r="A6" s="45" t="n">
        <v>45907</v>
      </c>
      <c r="B6" s="46" t="n">
        <v>20250907</v>
      </c>
      <c r="C6" s="47" t="s">
        <v>289</v>
      </c>
      <c r="D6" s="51" t="n">
        <v>2125290.22</v>
      </c>
      <c r="E6" s="52" t="str">
        <f aca="false">IF($N6&gt;1,$D6/$D5-1,"")</f>
        <v/>
      </c>
      <c r="F6" s="51" t="str">
        <f aca="false">IF($N6&gt;=MA_SHORT,AVERAGE(INDEX($D$5:$D6,3-MA_SHORT):$D6),"")</f>
        <v/>
      </c>
      <c r="G6" s="51" t="str">
        <f aca="false">IF($N6&gt;=MA_MED,AVERAGE(INDEX($D$5:$D6,3-MA_MED):$D6),"")</f>
        <v/>
      </c>
      <c r="H6" s="51" t="str">
        <f aca="false">IF($N6&gt;=MA_LONG2,AVERAGE(INDEX($D$5:$D6,3-MA_LONG2):$D6),"")</f>
        <v/>
      </c>
      <c r="I6" s="51" t="n">
        <v>716475.01</v>
      </c>
      <c r="J6" s="52" t="str">
        <f aca="false">IF($N6&gt;1,$I6/$I5-1,"")</f>
        <v/>
      </c>
      <c r="K6" s="51" t="str">
        <f aca="false">IF($N6&gt;=MA_SHORT,AVERAGE(INDEX($I$5:$I6,3-MA_SHORT):$I6),"")</f>
        <v/>
      </c>
      <c r="L6" s="51" t="str">
        <f aca="false">IF($N6&gt;=MA_MED,AVERAGE(INDEX($I$5:$I6,3-MA_MED):$I6),"")</f>
        <v/>
      </c>
      <c r="M6" s="51" t="str">
        <f aca="false">IF($N6&gt;=MA_LONG2,AVERAGE(INDEX($I$5:$I6,3-MA_LONG2):$I6),"")</f>
        <v/>
      </c>
      <c r="N6" s="46" t="n">
        <f aca="false">IF($A6=$A5,$N5+1,1)</f>
        <v>1</v>
      </c>
      <c r="P6" s="4" t="s">
        <v>3</v>
      </c>
      <c r="Q6" s="24" t="str">
        <f aca="false">IFERROR(INDEX($C$1:$C$5000,$Q$5),"")</f>
        <v>1405/06/11</v>
      </c>
    </row>
    <row r="7" customFormat="false" ht="15" hidden="false" customHeight="false" outlineLevel="0" collapsed="false">
      <c r="A7" s="45" t="n">
        <v>45908</v>
      </c>
      <c r="B7" s="46" t="n">
        <v>20250908</v>
      </c>
      <c r="C7" s="47" t="s">
        <v>290</v>
      </c>
      <c r="D7" s="51" t="n">
        <v>2113947.33</v>
      </c>
      <c r="E7" s="52" t="str">
        <f aca="false">IF($N7&gt;1,$D7/$D6-1,"")</f>
        <v/>
      </c>
      <c r="F7" s="51" t="str">
        <f aca="false">IF($N7&gt;=MA_SHORT,AVERAGE(INDEX($D$5:$D7,4-MA_SHORT):$D7),"")</f>
        <v/>
      </c>
      <c r="G7" s="51" t="str">
        <f aca="false">IF($N7&gt;=MA_MED,AVERAGE(INDEX($D$5:$D7,4-MA_MED):$D7),"")</f>
        <v/>
      </c>
      <c r="H7" s="51" t="str">
        <f aca="false">IF($N7&gt;=MA_LONG2,AVERAGE(INDEX($D$5:$D7,4-MA_LONG2):$D7),"")</f>
        <v/>
      </c>
      <c r="I7" s="51" t="n">
        <v>707333.23</v>
      </c>
      <c r="J7" s="52" t="str">
        <f aca="false">IF($N7&gt;1,$I7/$I6-1,"")</f>
        <v/>
      </c>
      <c r="K7" s="51" t="str">
        <f aca="false">IF($N7&gt;=MA_SHORT,AVERAGE(INDEX($I$5:$I7,4-MA_SHORT):$I7),"")</f>
        <v/>
      </c>
      <c r="L7" s="51" t="str">
        <f aca="false">IF($N7&gt;=MA_MED,AVERAGE(INDEX($I$5:$I7,4-MA_MED):$I7),"")</f>
        <v/>
      </c>
      <c r="M7" s="51" t="str">
        <f aca="false">IF($N7&gt;=MA_LONG2,AVERAGE(INDEX($I$5:$I7,4-MA_LONG2):$I7),"")</f>
        <v/>
      </c>
      <c r="N7" s="46" t="n">
        <f aca="false">IF($A7=$A6,$N6+1,1)</f>
        <v>1</v>
      </c>
      <c r="P7" s="4" t="s">
        <v>5</v>
      </c>
      <c r="Q7" s="54" t="n">
        <f aca="false">IFERROR(INDEX($D$1:$D$5000,$Q$5),"")</f>
        <v>2159994.4</v>
      </c>
    </row>
    <row r="8" customFormat="false" ht="15" hidden="false" customHeight="false" outlineLevel="0" collapsed="false">
      <c r="A8" s="45" t="n">
        <v>45909</v>
      </c>
      <c r="B8" s="46" t="n">
        <v>20250909</v>
      </c>
      <c r="C8" s="47" t="s">
        <v>291</v>
      </c>
      <c r="D8" s="51" t="n">
        <v>2119513.64</v>
      </c>
      <c r="E8" s="52" t="str">
        <f aca="false">IF($N8&gt;1,$D8/$D7-1,"")</f>
        <v/>
      </c>
      <c r="F8" s="51" t="str">
        <f aca="false">IF($N8&gt;=MA_SHORT,AVERAGE(INDEX($D$5:$D8,5-MA_SHORT):$D8),"")</f>
        <v/>
      </c>
      <c r="G8" s="51" t="str">
        <f aca="false">IF($N8&gt;=MA_MED,AVERAGE(INDEX($D$5:$D8,5-MA_MED):$D8),"")</f>
        <v/>
      </c>
      <c r="H8" s="51" t="str">
        <f aca="false">IF($N8&gt;=MA_LONG2,AVERAGE(INDEX($D$5:$D8,5-MA_LONG2):$D8),"")</f>
        <v/>
      </c>
      <c r="I8" s="51" t="n">
        <v>714591.78</v>
      </c>
      <c r="J8" s="52" t="str">
        <f aca="false">IF($N8&gt;1,$I8/$I7-1,"")</f>
        <v/>
      </c>
      <c r="K8" s="51" t="str">
        <f aca="false">IF($N8&gt;=MA_SHORT,AVERAGE(INDEX($I$5:$I8,5-MA_SHORT):$I8),"")</f>
        <v/>
      </c>
      <c r="L8" s="51" t="str">
        <f aca="false">IF($N8&gt;=MA_MED,AVERAGE(INDEX($I$5:$I8,5-MA_MED):$I8),"")</f>
        <v/>
      </c>
      <c r="M8" s="51" t="str">
        <f aca="false">IF($N8&gt;=MA_LONG2,AVERAGE(INDEX($I$5:$I8,5-MA_LONG2):$I8),"")</f>
        <v/>
      </c>
      <c r="N8" s="46" t="n">
        <f aca="false">IF($A8=$A7,$N7+1,1)</f>
        <v>1</v>
      </c>
      <c r="P8" s="4" t="s">
        <v>561</v>
      </c>
      <c r="Q8" s="55" t="str">
        <f aca="false">IFERROR(INDEX($E$1:$E$5000,$Q$5),"")</f>
        <v/>
      </c>
    </row>
    <row r="9" customFormat="false" ht="15" hidden="false" customHeight="false" outlineLevel="0" collapsed="false">
      <c r="A9" s="45" t="n">
        <v>45910</v>
      </c>
      <c r="B9" s="46" t="n">
        <v>20250910</v>
      </c>
      <c r="C9" s="47" t="s">
        <v>292</v>
      </c>
      <c r="D9" s="51" t="n">
        <v>2121831.77</v>
      </c>
      <c r="E9" s="52" t="str">
        <f aca="false">IF($N9&gt;1,$D9/$D8-1,"")</f>
        <v/>
      </c>
      <c r="F9" s="51" t="str">
        <f aca="false">IF($N9&gt;=MA_SHORT,AVERAGE(INDEX($D$5:$D9,6-MA_SHORT):$D9),"")</f>
        <v/>
      </c>
      <c r="G9" s="51" t="str">
        <f aca="false">IF($N9&gt;=MA_MED,AVERAGE(INDEX($D$5:$D9,6-MA_MED):$D9),"")</f>
        <v/>
      </c>
      <c r="H9" s="51" t="str">
        <f aca="false">IF($N9&gt;=MA_LONG2,AVERAGE(INDEX($D$5:$D9,6-MA_LONG2):$D9),"")</f>
        <v/>
      </c>
      <c r="I9" s="51" t="n">
        <v>723781.09</v>
      </c>
      <c r="J9" s="52" t="str">
        <f aca="false">IF($N9&gt;1,$I9/$I8-1,"")</f>
        <v/>
      </c>
      <c r="K9" s="51" t="str">
        <f aca="false">IF($N9&gt;=MA_SHORT,AVERAGE(INDEX($I$5:$I9,6-MA_SHORT):$I9),"")</f>
        <v/>
      </c>
      <c r="L9" s="51" t="str">
        <f aca="false">IF($N9&gt;=MA_MED,AVERAGE(INDEX($I$5:$I9,6-MA_MED):$I9),"")</f>
        <v/>
      </c>
      <c r="M9" s="51" t="str">
        <f aca="false">IF($N9&gt;=MA_LONG2,AVERAGE(INDEX($I$5:$I9,6-MA_LONG2):$I9),"")</f>
        <v/>
      </c>
      <c r="N9" s="46" t="n">
        <f aca="false">IF($A9=$A8,$N8+1,1)</f>
        <v>1</v>
      </c>
      <c r="P9" s="4" t="s">
        <v>562</v>
      </c>
      <c r="Q9" s="24" t="str">
        <f aca="false">IFERROR(IF(INDEX($D$1:$D$5000,$Q$5)&gt;INDEX($G$1:$G$5000,$Q$5),"بالای MA","زیر MA"),"")</f>
        <v>زیر MA</v>
      </c>
    </row>
    <row r="10" customFormat="false" ht="15" hidden="false" customHeight="false" outlineLevel="0" collapsed="false">
      <c r="A10" s="45" t="n">
        <v>45913</v>
      </c>
      <c r="B10" s="46" t="n">
        <v>20250913</v>
      </c>
      <c r="C10" s="47" t="s">
        <v>293</v>
      </c>
      <c r="D10" s="51" t="n">
        <v>2133690.95</v>
      </c>
      <c r="E10" s="52" t="str">
        <f aca="false">IF($N10&gt;1,$D10/$D9-1,"")</f>
        <v/>
      </c>
      <c r="F10" s="51" t="str">
        <f aca="false">IF($N10&gt;=MA_SHORT,AVERAGE(INDEX($D$5:$D10,7-MA_SHORT):$D10),"")</f>
        <v/>
      </c>
      <c r="G10" s="51" t="str">
        <f aca="false">IF($N10&gt;=MA_MED,AVERAGE(INDEX($D$5:$D10,7-MA_MED):$D10),"")</f>
        <v/>
      </c>
      <c r="H10" s="51" t="str">
        <f aca="false">IF($N10&gt;=MA_LONG2,AVERAGE(INDEX($D$5:$D10,7-MA_LONG2):$D10),"")</f>
        <v/>
      </c>
      <c r="I10" s="51" t="n">
        <v>746195.43</v>
      </c>
      <c r="J10" s="52" t="str">
        <f aca="false">IF($N10&gt;1,$I10/$I9-1,"")</f>
        <v/>
      </c>
      <c r="K10" s="51" t="str">
        <f aca="false">IF($N10&gt;=MA_SHORT,AVERAGE(INDEX($I$5:$I10,7-MA_SHORT):$I10),"")</f>
        <v/>
      </c>
      <c r="L10" s="51" t="str">
        <f aca="false">IF($N10&gt;=MA_MED,AVERAGE(INDEX($I$5:$I10,7-MA_MED):$I10),"")</f>
        <v/>
      </c>
      <c r="M10" s="51" t="str">
        <f aca="false">IF($N10&gt;=MA_LONG2,AVERAGE(INDEX($I$5:$I10,7-MA_LONG2):$I10),"")</f>
        <v/>
      </c>
      <c r="N10" s="46" t="n">
        <f aca="false">IF($A10=$A9,$N9+1,1)</f>
        <v>1</v>
      </c>
      <c r="P10" s="4" t="s">
        <v>563</v>
      </c>
      <c r="Q10" s="24" t="str">
        <f aca="false">IFERROR(IF(INDEX($D$1:$D$5000,$Q$5)&gt;INDEX($H$1:$H$5000,$Q$5),"بالای MA","زیر MA"),"")</f>
        <v>زیر MA</v>
      </c>
    </row>
    <row r="11" customFormat="false" ht="15" hidden="false" customHeight="false" outlineLevel="0" collapsed="false">
      <c r="A11" s="45" t="n">
        <v>45914</v>
      </c>
      <c r="B11" s="46" t="n">
        <v>20250914</v>
      </c>
      <c r="C11" s="47" t="s">
        <v>294</v>
      </c>
      <c r="D11" s="51" t="n">
        <v>2145493.27</v>
      </c>
      <c r="E11" s="52" t="str">
        <f aca="false">IF($N11&gt;1,$D11/$D10-1,"")</f>
        <v/>
      </c>
      <c r="F11" s="51" t="str">
        <f aca="false">IF($N11&gt;=MA_SHORT,AVERAGE(INDEX($D$5:$D11,8-MA_SHORT):$D11),"")</f>
        <v/>
      </c>
      <c r="G11" s="51" t="str">
        <f aca="false">IF($N11&gt;=MA_MED,AVERAGE(INDEX($D$5:$D11,8-MA_MED):$D11),"")</f>
        <v/>
      </c>
      <c r="H11" s="51" t="str">
        <f aca="false">IF($N11&gt;=MA_LONG2,AVERAGE(INDEX($D$5:$D11,8-MA_LONG2):$D11),"")</f>
        <v/>
      </c>
      <c r="I11" s="51" t="n">
        <v>756854.32</v>
      </c>
      <c r="J11" s="52" t="str">
        <f aca="false">IF($N11&gt;1,$I11/$I10-1,"")</f>
        <v/>
      </c>
      <c r="K11" s="51" t="str">
        <f aca="false">IF($N11&gt;=MA_SHORT,AVERAGE(INDEX($I$5:$I11,8-MA_SHORT):$I11),"")</f>
        <v/>
      </c>
      <c r="L11" s="51" t="str">
        <f aca="false">IF($N11&gt;=MA_MED,AVERAGE(INDEX($I$5:$I11,8-MA_MED):$I11),"")</f>
        <v/>
      </c>
      <c r="M11" s="51" t="str">
        <f aca="false">IF($N11&gt;=MA_LONG2,AVERAGE(INDEX($I$5:$I11,8-MA_LONG2):$I11),"")</f>
        <v/>
      </c>
      <c r="N11" s="46" t="n">
        <f aca="false">IF($A11=$A10,$N10+1,1)</f>
        <v>1</v>
      </c>
      <c r="P11" s="4" t="s">
        <v>554</v>
      </c>
      <c r="Q11" s="54" t="n">
        <f aca="false">IFERROR(INDEX($I$1:$I$5000,$Q$5),"")</f>
        <v>796843.24</v>
      </c>
    </row>
    <row r="12" customFormat="false" ht="15" hidden="false" customHeight="false" outlineLevel="0" collapsed="false">
      <c r="A12" s="45" t="n">
        <v>45915</v>
      </c>
      <c r="B12" s="46" t="n">
        <v>20250915</v>
      </c>
      <c r="C12" s="47" t="s">
        <v>295</v>
      </c>
      <c r="D12" s="51" t="n">
        <v>2141267.14</v>
      </c>
      <c r="E12" s="52" t="str">
        <f aca="false">IF($N12&gt;1,$D12/$D11-1,"")</f>
        <v/>
      </c>
      <c r="F12" s="51" t="str">
        <f aca="false">IF($N12&gt;=MA_SHORT,AVERAGE(INDEX($D$5:$D12,9-MA_SHORT):$D12),"")</f>
        <v/>
      </c>
      <c r="G12" s="51" t="str">
        <f aca="false">IF($N12&gt;=MA_MED,AVERAGE(INDEX($D$5:$D12,9-MA_MED):$D12),"")</f>
        <v/>
      </c>
      <c r="H12" s="51" t="str">
        <f aca="false">IF($N12&gt;=MA_LONG2,AVERAGE(INDEX($D$5:$D12,9-MA_LONG2):$D12),"")</f>
        <v/>
      </c>
      <c r="I12" s="51" t="n">
        <v>766003.28</v>
      </c>
      <c r="J12" s="52" t="str">
        <f aca="false">IF($N12&gt;1,$I12/$I11-1,"")</f>
        <v/>
      </c>
      <c r="K12" s="51" t="str">
        <f aca="false">IF($N12&gt;=MA_SHORT,AVERAGE(INDEX($I$5:$I12,9-MA_SHORT):$I12),"")</f>
        <v/>
      </c>
      <c r="L12" s="51" t="str">
        <f aca="false">IF($N12&gt;=MA_MED,AVERAGE(INDEX($I$5:$I12,9-MA_MED):$I12),"")</f>
        <v/>
      </c>
      <c r="M12" s="51" t="str">
        <f aca="false">IF($N12&gt;=MA_LONG2,AVERAGE(INDEX($I$5:$I12,9-MA_LONG2):$I12),"")</f>
        <v/>
      </c>
      <c r="N12" s="46" t="n">
        <f aca="false">IF($A12=$A11,$N11+1,1)</f>
        <v>1</v>
      </c>
      <c r="P12" s="4" t="s">
        <v>564</v>
      </c>
      <c r="Q12" s="55" t="str">
        <f aca="false">IFERROR(INDEX($J$1:$J$5000,$Q$5),"")</f>
        <v/>
      </c>
    </row>
    <row r="13" customFormat="false" ht="15" hidden="false" customHeight="false" outlineLevel="0" collapsed="false">
      <c r="A13" s="45" t="n">
        <v>45916</v>
      </c>
      <c r="B13" s="46" t="n">
        <v>20250916</v>
      </c>
      <c r="C13" s="47" t="s">
        <v>296</v>
      </c>
      <c r="D13" s="51" t="n">
        <v>2144104.07</v>
      </c>
      <c r="E13" s="52" t="str">
        <f aca="false">IF($N13&gt;1,$D13/$D12-1,"")</f>
        <v/>
      </c>
      <c r="F13" s="51" t="str">
        <f aca="false">IF($N13&gt;=MA_SHORT,AVERAGE(INDEX($D$5:$D13,10-MA_SHORT):$D13),"")</f>
        <v/>
      </c>
      <c r="G13" s="51" t="str">
        <f aca="false">IF($N13&gt;=MA_MED,AVERAGE(INDEX($D$5:$D13,10-MA_MED):$D13),"")</f>
        <v/>
      </c>
      <c r="H13" s="51" t="str">
        <f aca="false">IF($N13&gt;=MA_LONG2,AVERAGE(INDEX($D$5:$D13,10-MA_LONG2):$D13),"")</f>
        <v/>
      </c>
      <c r="I13" s="51" t="n">
        <v>764869.97</v>
      </c>
      <c r="J13" s="52" t="str">
        <f aca="false">IF($N13&gt;1,$I13/$I12-1,"")</f>
        <v/>
      </c>
      <c r="K13" s="51" t="str">
        <f aca="false">IF($N13&gt;=MA_SHORT,AVERAGE(INDEX($I$5:$I13,10-MA_SHORT):$I13),"")</f>
        <v/>
      </c>
      <c r="L13" s="51" t="str">
        <f aca="false">IF($N13&gt;=MA_MED,AVERAGE(INDEX($I$5:$I13,10-MA_MED):$I13),"")</f>
        <v/>
      </c>
      <c r="M13" s="51" t="str">
        <f aca="false">IF($N13&gt;=MA_LONG2,AVERAGE(INDEX($I$5:$I13,10-MA_LONG2):$I13),"")</f>
        <v/>
      </c>
      <c r="N13" s="46" t="n">
        <f aca="false">IF($A13=$A12,$N12+1,1)</f>
        <v>1</v>
      </c>
      <c r="P13" s="4" t="s">
        <v>565</v>
      </c>
      <c r="Q13" s="24" t="str">
        <f aca="false">IFERROR(IF(INDEX($I$1:$I$5000,$Q$5)&gt;INDEX($L$1:$L$5000,$Q$5),"بالای MA","زیر MA"),"")</f>
        <v>زیر MA</v>
      </c>
    </row>
    <row r="14" customFormat="false" ht="15" hidden="false" customHeight="false" outlineLevel="0" collapsed="false">
      <c r="A14" s="45" t="n">
        <v>45917</v>
      </c>
      <c r="B14" s="46" t="n">
        <v>20250917</v>
      </c>
      <c r="C14" s="47" t="s">
        <v>297</v>
      </c>
      <c r="D14" s="51" t="n">
        <v>2129594.39</v>
      </c>
      <c r="E14" s="52" t="str">
        <f aca="false">IF($N14&gt;1,$D14/$D13-1,"")</f>
        <v/>
      </c>
      <c r="F14" s="51" t="str">
        <f aca="false">IF($N14&gt;=MA_SHORT,AVERAGE(INDEX($D$5:$D14,11-MA_SHORT):$D14),"")</f>
        <v/>
      </c>
      <c r="G14" s="51" t="str">
        <f aca="false">IF($N14&gt;=MA_MED,AVERAGE(INDEX($D$5:$D14,11-MA_MED):$D14),"")</f>
        <v/>
      </c>
      <c r="H14" s="51" t="str">
        <f aca="false">IF($N14&gt;=MA_LONG2,AVERAGE(INDEX($D$5:$D14,11-MA_LONG2):$D14),"")</f>
        <v/>
      </c>
      <c r="I14" s="51" t="n">
        <v>764446.88</v>
      </c>
      <c r="J14" s="52" t="str">
        <f aca="false">IF($N14&gt;1,$I14/$I13-1,"")</f>
        <v/>
      </c>
      <c r="K14" s="51" t="str">
        <f aca="false">IF($N14&gt;=MA_SHORT,AVERAGE(INDEX($I$5:$I14,11-MA_SHORT):$I14),"")</f>
        <v/>
      </c>
      <c r="L14" s="51" t="str">
        <f aca="false">IF($N14&gt;=MA_MED,AVERAGE(INDEX($I$5:$I14,11-MA_MED):$I14),"")</f>
        <v/>
      </c>
      <c r="M14" s="51" t="str">
        <f aca="false">IF($N14&gt;=MA_LONG2,AVERAGE(INDEX($I$5:$I14,11-MA_LONG2):$I14),"")</f>
        <v/>
      </c>
      <c r="N14" s="46" t="n">
        <f aca="false">IF($A14=$A13,$N13+1,1)</f>
        <v>1</v>
      </c>
      <c r="P14" s="4" t="s">
        <v>566</v>
      </c>
      <c r="Q14" s="24" t="str">
        <f aca="false">IFERROR(IF(INDEX($I$1:$I$5000,$Q$5)&gt;INDEX($M$1:$M$5000,$Q$5),"بالای MA","زیر MA"),"")</f>
        <v>زیر MA</v>
      </c>
    </row>
    <row r="15" customFormat="false" ht="15" hidden="false" customHeight="false" outlineLevel="0" collapsed="false">
      <c r="A15" s="45" t="n">
        <v>45920</v>
      </c>
      <c r="B15" s="46" t="n">
        <v>20250920</v>
      </c>
      <c r="C15" s="47" t="s">
        <v>298</v>
      </c>
      <c r="D15" s="51" t="n">
        <v>2160017.68</v>
      </c>
      <c r="E15" s="52" t="str">
        <f aca="false">IF($N15&gt;1,$D15/$D14-1,"")</f>
        <v/>
      </c>
      <c r="F15" s="51" t="str">
        <f aca="false">IF($N15&gt;=MA_SHORT,AVERAGE(INDEX($D$5:$D15,12-MA_SHORT):$D15),"")</f>
        <v/>
      </c>
      <c r="G15" s="51" t="str">
        <f aca="false">IF($N15&gt;=MA_MED,AVERAGE(INDEX($D$5:$D15,12-MA_MED):$D15),"")</f>
        <v/>
      </c>
      <c r="H15" s="51" t="str">
        <f aca="false">IF($N15&gt;=MA_LONG2,AVERAGE(INDEX($D$5:$D15,12-MA_LONG2):$D15),"")</f>
        <v/>
      </c>
      <c r="I15" s="51" t="n">
        <v>759052.34</v>
      </c>
      <c r="J15" s="52" t="str">
        <f aca="false">IF($N15&gt;1,$I15/$I14-1,"")</f>
        <v/>
      </c>
      <c r="K15" s="51" t="str">
        <f aca="false">IF($N15&gt;=MA_SHORT,AVERAGE(INDEX($I$5:$I15,12-MA_SHORT):$I15),"")</f>
        <v/>
      </c>
      <c r="L15" s="51" t="str">
        <f aca="false">IF($N15&gt;=MA_MED,AVERAGE(INDEX($I$5:$I15,12-MA_MED):$I15),"")</f>
        <v/>
      </c>
      <c r="M15" s="51" t="str">
        <f aca="false">IF($N15&gt;=MA_LONG2,AVERAGE(INDEX($I$5:$I15,12-MA_LONG2):$I15),"")</f>
        <v/>
      </c>
      <c r="N15" s="46" t="n">
        <f aca="false">IF($A15=$A14,$N14+1,1)</f>
        <v>1</v>
      </c>
      <c r="P15" s="4" t="s">
        <v>567</v>
      </c>
      <c r="Q15" s="55" t="n">
        <f aca="false">IFERROR(INDEX($I$1:$I$5000,$Q$5)/INDEX($I$1:$I$5000,$Q$5-5)-1,"")</f>
        <v>-0.0328344358479107</v>
      </c>
    </row>
    <row r="16" customFormat="false" ht="15" hidden="false" customHeight="false" outlineLevel="0" collapsed="false">
      <c r="A16" s="45" t="n">
        <v>45921</v>
      </c>
      <c r="B16" s="46" t="n">
        <v>20250921</v>
      </c>
      <c r="C16" s="47" t="s">
        <v>299</v>
      </c>
      <c r="D16" s="51" t="n">
        <v>2187616.11</v>
      </c>
      <c r="E16" s="52" t="str">
        <f aca="false">IF($N16&gt;1,$D16/$D15-1,"")</f>
        <v/>
      </c>
      <c r="F16" s="51" t="str">
        <f aca="false">IF($N16&gt;=MA_SHORT,AVERAGE(INDEX($D$5:$D16,13-MA_SHORT):$D16),"")</f>
        <v/>
      </c>
      <c r="G16" s="51" t="str">
        <f aca="false">IF($N16&gt;=MA_MED,AVERAGE(INDEX($D$5:$D16,13-MA_MED):$D16),"")</f>
        <v/>
      </c>
      <c r="H16" s="51" t="str">
        <f aca="false">IF($N16&gt;=MA_LONG2,AVERAGE(INDEX($D$5:$D16,13-MA_LONG2):$D16),"")</f>
        <v/>
      </c>
      <c r="I16" s="51" t="n">
        <v>758068.77</v>
      </c>
      <c r="J16" s="52" t="str">
        <f aca="false">IF($N16&gt;1,$I16/$I15-1,"")</f>
        <v/>
      </c>
      <c r="K16" s="51" t="str">
        <f aca="false">IF($N16&gt;=MA_SHORT,AVERAGE(INDEX($I$5:$I16,13-MA_SHORT):$I16),"")</f>
        <v/>
      </c>
      <c r="L16" s="51" t="str">
        <f aca="false">IF($N16&gt;=MA_MED,AVERAGE(INDEX($I$5:$I16,13-MA_MED):$I16),"")</f>
        <v/>
      </c>
      <c r="M16" s="51" t="str">
        <f aca="false">IF($N16&gt;=MA_LONG2,AVERAGE(INDEX($I$5:$I16,13-MA_LONG2):$I16),"")</f>
        <v/>
      </c>
      <c r="N16" s="46" t="n">
        <f aca="false">IF($A16=$A15,$N15+1,1)</f>
        <v>1</v>
      </c>
      <c r="P16" s="4" t="s">
        <v>568</v>
      </c>
      <c r="Q16" s="55" t="n">
        <f aca="false">IFERROR(INDEX($I$1:$I$5000,$Q$5)/INDEX($I$1:$I$5000,$Q$5-20)-1,"")</f>
        <v>0.0683773900010103</v>
      </c>
    </row>
    <row r="17" customFormat="false" ht="15" hidden="false" customHeight="false" outlineLevel="0" collapsed="false">
      <c r="A17" s="45" t="n">
        <v>45922</v>
      </c>
      <c r="B17" s="46" t="n">
        <v>20250922</v>
      </c>
      <c r="C17" s="47" t="s">
        <v>300</v>
      </c>
      <c r="D17" s="51" t="n">
        <v>2193703.07</v>
      </c>
      <c r="E17" s="52" t="str">
        <f aca="false">IF($N17&gt;1,$D17/$D16-1,"")</f>
        <v/>
      </c>
      <c r="F17" s="51" t="str">
        <f aca="false">IF($N17&gt;=MA_SHORT,AVERAGE(INDEX($D$5:$D17,14-MA_SHORT):$D17),"")</f>
        <v/>
      </c>
      <c r="G17" s="51" t="str">
        <f aca="false">IF($N17&gt;=MA_MED,AVERAGE(INDEX($D$5:$D17,14-MA_MED):$D17),"")</f>
        <v/>
      </c>
      <c r="H17" s="51" t="str">
        <f aca="false">IF($N17&gt;=MA_LONG2,AVERAGE(INDEX($D$5:$D17,14-MA_LONG2):$D17),"")</f>
        <v/>
      </c>
      <c r="I17" s="51" t="n">
        <v>773859.7</v>
      </c>
      <c r="J17" s="52" t="str">
        <f aca="false">IF($N17&gt;1,$I17/$I16-1,"")</f>
        <v/>
      </c>
      <c r="K17" s="51" t="str">
        <f aca="false">IF($N17&gt;=MA_SHORT,AVERAGE(INDEX($I$5:$I17,14-MA_SHORT):$I17),"")</f>
        <v/>
      </c>
      <c r="L17" s="51" t="str">
        <f aca="false">IF($N17&gt;=MA_MED,AVERAGE(INDEX($I$5:$I17,14-MA_MED):$I17),"")</f>
        <v/>
      </c>
      <c r="M17" s="51" t="str">
        <f aca="false">IF($N17&gt;=MA_LONG2,AVERAGE(INDEX($I$5:$I17,14-MA_LONG2):$I17),"")</f>
        <v/>
      </c>
      <c r="N17" s="46" t="n">
        <f aca="false">IF($A17=$A16,$N16+1,1)</f>
        <v>1</v>
      </c>
      <c r="P17" s="56" t="s">
        <v>569</v>
      </c>
      <c r="Q17" s="57"/>
    </row>
    <row r="18" customFormat="false" ht="15" hidden="false" customHeight="false" outlineLevel="0" collapsed="false">
      <c r="A18" s="45" t="n">
        <v>45923</v>
      </c>
      <c r="B18" s="46" t="n">
        <v>20250923</v>
      </c>
      <c r="C18" s="47" t="s">
        <v>301</v>
      </c>
      <c r="D18" s="51" t="n">
        <v>2160794.59</v>
      </c>
      <c r="E18" s="52" t="str">
        <f aca="false">IF($N18&gt;1,$D18/$D17-1,"")</f>
        <v/>
      </c>
      <c r="F18" s="51" t="str">
        <f aca="false">IF($N18&gt;=MA_SHORT,AVERAGE(INDEX($D$5:$D18,15-MA_SHORT):$D18),"")</f>
        <v/>
      </c>
      <c r="G18" s="51" t="str">
        <f aca="false">IF($N18&gt;=MA_MED,AVERAGE(INDEX($D$5:$D18,15-MA_MED):$D18),"")</f>
        <v/>
      </c>
      <c r="H18" s="51" t="str">
        <f aca="false">IF($N18&gt;=MA_LONG2,AVERAGE(INDEX($D$5:$D18,15-MA_LONG2):$D18),"")</f>
        <v/>
      </c>
      <c r="I18" s="51" t="n">
        <v>787876.84</v>
      </c>
      <c r="J18" s="52" t="str">
        <f aca="false">IF($N18&gt;1,$I18/$I17-1,"")</f>
        <v/>
      </c>
      <c r="K18" s="51" t="str">
        <f aca="false">IF($N18&gt;=MA_SHORT,AVERAGE(INDEX($I$5:$I18,15-MA_SHORT):$I18),"")</f>
        <v/>
      </c>
      <c r="L18" s="51" t="str">
        <f aca="false">IF($N18&gt;=MA_MED,AVERAGE(INDEX($I$5:$I18,15-MA_MED):$I18),"")</f>
        <v/>
      </c>
      <c r="M18" s="51" t="str">
        <f aca="false">IF($N18&gt;=MA_LONG2,AVERAGE(INDEX($I$5:$I18,15-MA_LONG2):$I18),"")</f>
        <v/>
      </c>
      <c r="N18" s="46" t="n">
        <f aca="false">IF($A18=$A17,$N17+1,1)</f>
        <v>1</v>
      </c>
      <c r="P18" s="4" t="s">
        <v>570</v>
      </c>
      <c r="Q18" s="58" t="n">
        <f aca="false">IFERROR(IF(INDEX($D$1:$D$5000,$Q$5)&gt;INDEX($G$1:$G$5000,$Q$5),1.5,-1.5),0)</f>
        <v>-1.5</v>
      </c>
    </row>
    <row r="19" customFormat="false" ht="15" hidden="false" customHeight="false" outlineLevel="0" collapsed="false">
      <c r="A19" s="45" t="n">
        <v>45924</v>
      </c>
      <c r="B19" s="46" t="n">
        <v>20250924</v>
      </c>
      <c r="C19" s="47" t="s">
        <v>302</v>
      </c>
      <c r="D19" s="51" t="n">
        <v>2196155.82</v>
      </c>
      <c r="E19" s="52" t="str">
        <f aca="false">IF($N19&gt;1,$D19/$D18-1,"")</f>
        <v/>
      </c>
      <c r="F19" s="51" t="str">
        <f aca="false">IF($N19&gt;=MA_SHORT,AVERAGE(INDEX($D$5:$D19,16-MA_SHORT):$D19),"")</f>
        <v/>
      </c>
      <c r="G19" s="51" t="str">
        <f aca="false">IF($N19&gt;=MA_MED,AVERAGE(INDEX($D$5:$D19,16-MA_MED):$D19),"")</f>
        <v/>
      </c>
      <c r="H19" s="51" t="str">
        <f aca="false">IF($N19&gt;=MA_LONG2,AVERAGE(INDEX($D$5:$D19,16-MA_LONG2):$D19),"")</f>
        <v/>
      </c>
      <c r="I19" s="51" t="n">
        <v>785744.84</v>
      </c>
      <c r="J19" s="52" t="str">
        <f aca="false">IF($N19&gt;1,$I19/$I18-1,"")</f>
        <v/>
      </c>
      <c r="K19" s="51" t="str">
        <f aca="false">IF($N19&gt;=MA_SHORT,AVERAGE(INDEX($I$5:$I19,16-MA_SHORT):$I19),"")</f>
        <v/>
      </c>
      <c r="L19" s="51" t="str">
        <f aca="false">IF($N19&gt;=MA_MED,AVERAGE(INDEX($I$5:$I19,16-MA_MED):$I19),"")</f>
        <v/>
      </c>
      <c r="M19" s="51" t="str">
        <f aca="false">IF($N19&gt;=MA_LONG2,AVERAGE(INDEX($I$5:$I19,16-MA_LONG2):$I19),"")</f>
        <v/>
      </c>
      <c r="N19" s="46" t="n">
        <f aca="false">IF($A19=$A18,$N18+1,1)</f>
        <v>1</v>
      </c>
      <c r="P19" s="4" t="s">
        <v>571</v>
      </c>
      <c r="Q19" s="58" t="n">
        <f aca="false">IFERROR(IF(INDEX($D$1:$D$5000,$Q$5)&gt;INDEX($H$1:$H$5000,$Q$5),1.5,-1.5),0)</f>
        <v>-1.5</v>
      </c>
    </row>
    <row r="20" customFormat="false" ht="15" hidden="false" customHeight="false" outlineLevel="0" collapsed="false">
      <c r="A20" s="45" t="n">
        <v>45927</v>
      </c>
      <c r="B20" s="46" t="n">
        <v>20250927</v>
      </c>
      <c r="C20" s="47" t="s">
        <v>303</v>
      </c>
      <c r="D20" s="51" t="n">
        <v>2212574.49</v>
      </c>
      <c r="E20" s="52" t="str">
        <f aca="false">IF($N20&gt;1,$D20/$D19-1,"")</f>
        <v/>
      </c>
      <c r="F20" s="51" t="str">
        <f aca="false">IF($N20&gt;=MA_SHORT,AVERAGE(INDEX($D$5:$D20,17-MA_SHORT):$D20),"")</f>
        <v/>
      </c>
      <c r="G20" s="51" t="str">
        <f aca="false">IF($N20&gt;=MA_MED,AVERAGE(INDEX($D$5:$D20,17-MA_MED):$D20),"")</f>
        <v/>
      </c>
      <c r="H20" s="51" t="str">
        <f aca="false">IF($N20&gt;=MA_LONG2,AVERAGE(INDEX($D$5:$D20,17-MA_LONG2):$D20),"")</f>
        <v/>
      </c>
      <c r="I20" s="51" t="n">
        <v>782778.49</v>
      </c>
      <c r="J20" s="52" t="str">
        <f aca="false">IF($N20&gt;1,$I20/$I19-1,"")</f>
        <v/>
      </c>
      <c r="K20" s="51" t="str">
        <f aca="false">IF($N20&gt;=MA_SHORT,AVERAGE(INDEX($I$5:$I20,17-MA_SHORT):$I20),"")</f>
        <v/>
      </c>
      <c r="L20" s="51" t="str">
        <f aca="false">IF($N20&gt;=MA_MED,AVERAGE(INDEX($I$5:$I20,17-MA_MED):$I20),"")</f>
        <v/>
      </c>
      <c r="M20" s="51" t="str">
        <f aca="false">IF($N20&gt;=MA_LONG2,AVERAGE(INDEX($I$5:$I20,17-MA_LONG2):$I20),"")</f>
        <v/>
      </c>
      <c r="N20" s="46" t="n">
        <f aca="false">IF($A20=$A19,$N19+1,1)</f>
        <v>1</v>
      </c>
      <c r="P20" s="4" t="s">
        <v>572</v>
      </c>
      <c r="Q20" s="58" t="n">
        <f aca="false">IFERROR(IF(INDEX($I$1:$I$5000,$Q$5)&gt;INDEX($L$1:$L$5000,$Q$5),2,-2),0)</f>
        <v>-2</v>
      </c>
    </row>
    <row r="21" customFormat="false" ht="15" hidden="false" customHeight="false" outlineLevel="0" collapsed="false">
      <c r="A21" s="45" t="n">
        <v>45928</v>
      </c>
      <c r="B21" s="46" t="n">
        <v>20250928</v>
      </c>
      <c r="C21" s="47" t="s">
        <v>304</v>
      </c>
      <c r="D21" s="51" t="n">
        <v>2238268.02</v>
      </c>
      <c r="E21" s="52" t="str">
        <f aca="false">IF($N21&gt;1,$D21/$D20-1,"")</f>
        <v/>
      </c>
      <c r="F21" s="51" t="str">
        <f aca="false">IF($N21&gt;=MA_SHORT,AVERAGE(INDEX($D$5:$D21,18-MA_SHORT):$D21),"")</f>
        <v/>
      </c>
      <c r="G21" s="51" t="str">
        <f aca="false">IF($N21&gt;=MA_MED,AVERAGE(INDEX($D$5:$D21,18-MA_MED):$D21),"")</f>
        <v/>
      </c>
      <c r="H21" s="51" t="str">
        <f aca="false">IF($N21&gt;=MA_LONG2,AVERAGE(INDEX($D$5:$D21,18-MA_LONG2):$D21),"")</f>
        <v/>
      </c>
      <c r="I21" s="51" t="n">
        <v>778034.04</v>
      </c>
      <c r="J21" s="52" t="str">
        <f aca="false">IF($N21&gt;1,$I21/$I20-1,"")</f>
        <v/>
      </c>
      <c r="K21" s="51" t="str">
        <f aca="false">IF($N21&gt;=MA_SHORT,AVERAGE(INDEX($I$5:$I21,18-MA_SHORT):$I21),"")</f>
        <v/>
      </c>
      <c r="L21" s="51" t="str">
        <f aca="false">IF($N21&gt;=MA_MED,AVERAGE(INDEX($I$5:$I21,18-MA_MED):$I21),"")</f>
        <v/>
      </c>
      <c r="M21" s="51" t="str">
        <f aca="false">IF($N21&gt;=MA_LONG2,AVERAGE(INDEX($I$5:$I21,18-MA_LONG2):$I21),"")</f>
        <v/>
      </c>
      <c r="N21" s="46" t="n">
        <f aca="false">IF($A21=$A20,$N20+1,1)</f>
        <v>1</v>
      </c>
      <c r="P21" s="4" t="s">
        <v>573</v>
      </c>
      <c r="Q21" s="58" t="n">
        <f aca="false">IFERROR(IF(INDEX($I$1:$I$5000,$Q$5)&gt;INDEX($M$1:$M$5000,$Q$5),2,-2),0)</f>
        <v>-2</v>
      </c>
    </row>
    <row r="22" customFormat="false" ht="15" hidden="false" customHeight="false" outlineLevel="0" collapsed="false">
      <c r="A22" s="45" t="n">
        <v>45929</v>
      </c>
      <c r="B22" s="46" t="n">
        <v>20250929</v>
      </c>
      <c r="C22" s="47" t="s">
        <v>305</v>
      </c>
      <c r="D22" s="51" t="n">
        <v>2237115.93</v>
      </c>
      <c r="E22" s="52" t="str">
        <f aca="false">IF($N22&gt;1,$D22/$D21-1,"")</f>
        <v/>
      </c>
      <c r="F22" s="51" t="str">
        <f aca="false">IF($N22&gt;=MA_SHORT,AVERAGE(INDEX($D$5:$D22,19-MA_SHORT):$D22),"")</f>
        <v/>
      </c>
      <c r="G22" s="51" t="str">
        <f aca="false">IF($N22&gt;=MA_MED,AVERAGE(INDEX($D$5:$D22,19-MA_MED):$D22),"")</f>
        <v/>
      </c>
      <c r="H22" s="51" t="str">
        <f aca="false">IF($N22&gt;=MA_LONG2,AVERAGE(INDEX($D$5:$D22,19-MA_LONG2):$D22),"")</f>
        <v/>
      </c>
      <c r="I22" s="51" t="n">
        <v>786966.88</v>
      </c>
      <c r="J22" s="52" t="str">
        <f aca="false">IF($N22&gt;1,$I22/$I21-1,"")</f>
        <v/>
      </c>
      <c r="K22" s="51" t="str">
        <f aca="false">IF($N22&gt;=MA_SHORT,AVERAGE(INDEX($I$5:$I22,19-MA_SHORT):$I22),"")</f>
        <v/>
      </c>
      <c r="L22" s="51" t="str">
        <f aca="false">IF($N22&gt;=MA_MED,AVERAGE(INDEX($I$5:$I22,19-MA_MED):$I22),"")</f>
        <v/>
      </c>
      <c r="M22" s="51" t="str">
        <f aca="false">IF($N22&gt;=MA_LONG2,AVERAGE(INDEX($I$5:$I22,19-MA_LONG2):$I22),"")</f>
        <v/>
      </c>
      <c r="N22" s="46" t="n">
        <f aca="false">IF($A22=$A21,$N21+1,1)</f>
        <v>1</v>
      </c>
      <c r="P22" s="4" t="s">
        <v>574</v>
      </c>
      <c r="Q22" s="58" t="n">
        <f aca="false">IFERROR(IF($Q$15&gt;0,1.5,-1.5),0)</f>
        <v>-1.5</v>
      </c>
    </row>
    <row r="23" customFormat="false" ht="15" hidden="false" customHeight="false" outlineLevel="0" collapsed="false">
      <c r="A23" s="45" t="n">
        <v>45930</v>
      </c>
      <c r="B23" s="46" t="n">
        <v>20250930</v>
      </c>
      <c r="C23" s="47" t="s">
        <v>306</v>
      </c>
      <c r="D23" s="51" t="n">
        <v>2227738.88</v>
      </c>
      <c r="E23" s="52" t="str">
        <f aca="false">IF($N23&gt;1,$D23/$D22-1,"")</f>
        <v/>
      </c>
      <c r="F23" s="51" t="str">
        <f aca="false">IF($N23&gt;=MA_SHORT,AVERAGE(INDEX($D$5:$D23,20-MA_SHORT):$D23),"")</f>
        <v/>
      </c>
      <c r="G23" s="51" t="str">
        <f aca="false">IF($N23&gt;=MA_MED,AVERAGE(INDEX($D$5:$D23,20-MA_MED):$D23),"")</f>
        <v/>
      </c>
      <c r="H23" s="51" t="str">
        <f aca="false">IF($N23&gt;=MA_LONG2,AVERAGE(INDEX($D$5:$D23,20-MA_LONG2):$D23),"")</f>
        <v/>
      </c>
      <c r="I23" s="51" t="n">
        <v>796107.15</v>
      </c>
      <c r="J23" s="52" t="str">
        <f aca="false">IF($N23&gt;1,$I23/$I22-1,"")</f>
        <v/>
      </c>
      <c r="K23" s="51" t="str">
        <f aca="false">IF($N23&gt;=MA_SHORT,AVERAGE(INDEX($I$5:$I23,20-MA_SHORT):$I23),"")</f>
        <v/>
      </c>
      <c r="L23" s="51" t="str">
        <f aca="false">IF($N23&gt;=MA_MED,AVERAGE(INDEX($I$5:$I23,20-MA_MED):$I23),"")</f>
        <v/>
      </c>
      <c r="M23" s="51" t="str">
        <f aca="false">IF($N23&gt;=MA_LONG2,AVERAGE(INDEX($I$5:$I23,20-MA_LONG2):$I23),"")</f>
        <v/>
      </c>
      <c r="N23" s="46" t="n">
        <f aca="false">IF($A23=$A22,$N22+1,1)</f>
        <v>1</v>
      </c>
      <c r="P23" s="4" t="s">
        <v>575</v>
      </c>
      <c r="Q23" s="58" t="n">
        <f aca="false">IFERROR(IF($Q$16&gt;0,1.5,-1.5),0)</f>
        <v>1.5</v>
      </c>
    </row>
    <row r="24" customFormat="false" ht="15" hidden="false" customHeight="false" outlineLevel="0" collapsed="false">
      <c r="A24" s="45" t="n">
        <v>45931</v>
      </c>
      <c r="B24" s="46" t="n">
        <v>20251001</v>
      </c>
      <c r="C24" s="47" t="s">
        <v>307</v>
      </c>
      <c r="D24" s="51" t="n">
        <v>2181895.15</v>
      </c>
      <c r="E24" s="52" t="str">
        <f aca="false">IF($N24&gt;1,$D24/$D23-1,"")</f>
        <v/>
      </c>
      <c r="F24" s="51" t="str">
        <f aca="false">IF($N24&gt;=MA_SHORT,AVERAGE(INDEX($D$5:$D24,21-MA_SHORT):$D24),"")</f>
        <v/>
      </c>
      <c r="G24" s="51" t="str">
        <f aca="false">IF($N24&gt;=MA_MED,AVERAGE(INDEX($D$5:$D24,21-MA_MED):$D24),"")</f>
        <v/>
      </c>
      <c r="H24" s="51" t="str">
        <f aca="false">IF($N24&gt;=MA_LONG2,AVERAGE(INDEX($D$5:$D24,21-MA_LONG2):$D24),"")</f>
        <v/>
      </c>
      <c r="I24" s="51" t="n">
        <v>791844.47</v>
      </c>
      <c r="J24" s="52" t="str">
        <f aca="false">IF($N24&gt;1,$I24/$I23-1,"")</f>
        <v/>
      </c>
      <c r="K24" s="51" t="str">
        <f aca="false">IF($N24&gt;=MA_SHORT,AVERAGE(INDEX($I$5:$I24,21-MA_SHORT):$I24),"")</f>
        <v/>
      </c>
      <c r="L24" s="51" t="str">
        <f aca="false">IF($N24&gt;=MA_MED,AVERAGE(INDEX($I$5:$I24,21-MA_MED):$I24),"")</f>
        <v/>
      </c>
      <c r="M24" s="51" t="str">
        <f aca="false">IF($N24&gt;=MA_LONG2,AVERAGE(INDEX($I$5:$I24,21-MA_LONG2):$I24),"")</f>
        <v/>
      </c>
      <c r="N24" s="46" t="n">
        <f aca="false">IF($A24=$A23,$N23+1,1)</f>
        <v>1</v>
      </c>
      <c r="P24" s="59" t="s">
        <v>13</v>
      </c>
      <c r="Q24" s="60" t="n">
        <f aca="false">MAX(-10,MIN(10,SUM($Q$18:$Q$23)))</f>
        <v>-7</v>
      </c>
    </row>
    <row r="25" customFormat="false" ht="15" hidden="false" customHeight="false" outlineLevel="0" collapsed="false">
      <c r="A25" s="45" t="n">
        <v>45934</v>
      </c>
      <c r="B25" s="46" t="n">
        <v>20251004</v>
      </c>
      <c r="C25" s="47" t="s">
        <v>308</v>
      </c>
      <c r="D25" s="51" t="n">
        <v>2174621.43</v>
      </c>
      <c r="E25" s="52" t="str">
        <f aca="false">IF($N25&gt;1,$D25/$D24-1,"")</f>
        <v/>
      </c>
      <c r="F25" s="51" t="str">
        <f aca="false">IF($N25&gt;=MA_SHORT,AVERAGE(INDEX($D$5:$D25,22-MA_SHORT):$D25),"")</f>
        <v/>
      </c>
      <c r="G25" s="51" t="str">
        <f aca="false">IF($N25&gt;=MA_MED,AVERAGE(INDEX($D$5:$D25,22-MA_MED):$D25),"")</f>
        <v/>
      </c>
      <c r="H25" s="51" t="str">
        <f aca="false">IF($N25&gt;=MA_LONG2,AVERAGE(INDEX($D$5:$D25,22-MA_LONG2):$D25),"")</f>
        <v/>
      </c>
      <c r="I25" s="51" t="n">
        <v>800420.9</v>
      </c>
      <c r="J25" s="52" t="str">
        <f aca="false">IF($N25&gt;1,$I25/$I24-1,"")</f>
        <v/>
      </c>
      <c r="K25" s="51" t="str">
        <f aca="false">IF($N25&gt;=MA_SHORT,AVERAGE(INDEX($I$5:$I25,22-MA_SHORT):$I25),"")</f>
        <v/>
      </c>
      <c r="L25" s="51" t="str">
        <f aca="false">IF($N25&gt;=MA_MED,AVERAGE(INDEX($I$5:$I25,22-MA_MED):$I25),"")</f>
        <v/>
      </c>
      <c r="M25" s="51" t="str">
        <f aca="false">IF($N25&gt;=MA_LONG2,AVERAGE(INDEX($I$5:$I25,22-MA_LONG2):$I25),"")</f>
        <v/>
      </c>
      <c r="N25" s="46" t="n">
        <f aca="false">IF($A25=$A24,$N24+1,1)</f>
        <v>1</v>
      </c>
      <c r="P25" s="61" t="s">
        <v>15</v>
      </c>
      <c r="Q25" s="62" t="str">
        <f aca="false">IF($Q$24&gt;=5,"صعودی قوی",IF($Q$24&gt;=2,"صعودی",IF($Q$24&lt;=-5,"نزولی قوی",IF($Q$24&lt;=-2,"نزولی","خنثی / بی‌روند"))))</f>
        <v>نزولی قوی</v>
      </c>
    </row>
    <row r="26" customFormat="false" ht="15" hidden="false" customHeight="false" outlineLevel="0" collapsed="false">
      <c r="A26" s="45" t="n">
        <v>45935</v>
      </c>
      <c r="B26" s="46" t="n">
        <v>20251005</v>
      </c>
      <c r="C26" s="47" t="s">
        <v>309</v>
      </c>
      <c r="D26" s="51" t="n">
        <v>2186015.23</v>
      </c>
      <c r="E26" s="52" t="str">
        <f aca="false">IF($N26&gt;1,$D26/$D25-1,"")</f>
        <v/>
      </c>
      <c r="F26" s="51" t="str">
        <f aca="false">IF($N26&gt;=MA_SHORT,AVERAGE(INDEX($D$5:$D26,23-MA_SHORT):$D26),"")</f>
        <v/>
      </c>
      <c r="G26" s="51" t="str">
        <f aca="false">IF($N26&gt;=MA_MED,AVERAGE(INDEX($D$5:$D26,23-MA_MED):$D26),"")</f>
        <v/>
      </c>
      <c r="H26" s="51" t="str">
        <f aca="false">IF($N26&gt;=MA_LONG2,AVERAGE(INDEX($D$5:$D26,23-MA_LONG2):$D26),"")</f>
        <v/>
      </c>
      <c r="I26" s="51" t="n">
        <v>805673.5</v>
      </c>
      <c r="J26" s="52" t="str">
        <f aca="false">IF($N26&gt;1,$I26/$I25-1,"")</f>
        <v/>
      </c>
      <c r="K26" s="51" t="str">
        <f aca="false">IF($N26&gt;=MA_SHORT,AVERAGE(INDEX($I$5:$I26,23-MA_SHORT):$I26),"")</f>
        <v/>
      </c>
      <c r="L26" s="51" t="str">
        <f aca="false">IF($N26&gt;=MA_MED,AVERAGE(INDEX($I$5:$I26,23-MA_MED):$I26),"")</f>
        <v/>
      </c>
      <c r="M26" s="51" t="str">
        <f aca="false">IF($N26&gt;=MA_LONG2,AVERAGE(INDEX($I$5:$I26,23-MA_LONG2):$I26),"")</f>
        <v/>
      </c>
      <c r="N26" s="46" t="n">
        <f aca="false">IF($A26=$A25,$N25+1,1)</f>
        <v>1</v>
      </c>
    </row>
    <row r="27" customFormat="false" ht="15" hidden="false" customHeight="false" outlineLevel="0" collapsed="false">
      <c r="A27" s="45" t="n">
        <v>45936</v>
      </c>
      <c r="B27" s="46" t="n">
        <v>20251006</v>
      </c>
      <c r="C27" s="47" t="s">
        <v>310</v>
      </c>
      <c r="D27" s="51" t="n">
        <v>2159718.2</v>
      </c>
      <c r="E27" s="52" t="str">
        <f aca="false">IF($N27&gt;1,$D27/$D26-1,"")</f>
        <v/>
      </c>
      <c r="F27" s="51" t="str">
        <f aca="false">IF($N27&gt;=MA_SHORT,AVERAGE(INDEX($D$5:$D27,24-MA_SHORT):$D27),"")</f>
        <v/>
      </c>
      <c r="G27" s="51" t="str">
        <f aca="false">IF($N27&gt;=MA_MED,AVERAGE(INDEX($D$5:$D27,24-MA_MED):$D27),"")</f>
        <v/>
      </c>
      <c r="H27" s="51" t="str">
        <f aca="false">IF($N27&gt;=MA_LONG2,AVERAGE(INDEX($D$5:$D27,24-MA_LONG2):$D27),"")</f>
        <v/>
      </c>
      <c r="I27" s="51" t="n">
        <v>815611.21</v>
      </c>
      <c r="J27" s="52" t="str">
        <f aca="false">IF($N27&gt;1,$I27/$I26-1,"")</f>
        <v/>
      </c>
      <c r="K27" s="51" t="str">
        <f aca="false">IF($N27&gt;=MA_SHORT,AVERAGE(INDEX($I$5:$I27,24-MA_SHORT):$I27),"")</f>
        <v/>
      </c>
      <c r="L27" s="51" t="str">
        <f aca="false">IF($N27&gt;=MA_MED,AVERAGE(INDEX($I$5:$I27,24-MA_MED):$I27),"")</f>
        <v/>
      </c>
      <c r="M27" s="51" t="str">
        <f aca="false">IF($N27&gt;=MA_LONG2,AVERAGE(INDEX($I$5:$I27,24-MA_LONG2):$I27),"")</f>
        <v/>
      </c>
      <c r="N27" s="46" t="n">
        <f aca="false">IF($A27=$A26,$N26+1,1)</f>
        <v>1</v>
      </c>
    </row>
    <row r="28" customFormat="false" ht="15" hidden="false" customHeight="false" outlineLevel="0" collapsed="false">
      <c r="A28" s="45" t="n">
        <v>45937</v>
      </c>
      <c r="B28" s="46" t="n">
        <v>20251007</v>
      </c>
      <c r="C28" s="47" t="s">
        <v>311</v>
      </c>
      <c r="D28" s="51" t="n">
        <v>2176435.78</v>
      </c>
      <c r="E28" s="52" t="str">
        <f aca="false">IF($N28&gt;1,$D28/$D27-1,"")</f>
        <v/>
      </c>
      <c r="F28" s="51" t="str">
        <f aca="false">IF($N28&gt;=MA_SHORT,AVERAGE(INDEX($D$5:$D28,25-MA_SHORT):$D28),"")</f>
        <v/>
      </c>
      <c r="G28" s="51" t="str">
        <f aca="false">IF($N28&gt;=MA_MED,AVERAGE(INDEX($D$5:$D28,25-MA_MED):$D28),"")</f>
        <v/>
      </c>
      <c r="H28" s="51" t="str">
        <f aca="false">IF($N28&gt;=MA_LONG2,AVERAGE(INDEX($D$5:$D28,25-MA_LONG2):$D28),"")</f>
        <v/>
      </c>
      <c r="I28" s="51" t="n">
        <v>814690</v>
      </c>
      <c r="J28" s="52" t="str">
        <f aca="false">IF($N28&gt;1,$I28/$I27-1,"")</f>
        <v/>
      </c>
      <c r="K28" s="51" t="str">
        <f aca="false">IF($N28&gt;=MA_SHORT,AVERAGE(INDEX($I$5:$I28,25-MA_SHORT):$I28),"")</f>
        <v/>
      </c>
      <c r="L28" s="51" t="str">
        <f aca="false">IF($N28&gt;=MA_MED,AVERAGE(INDEX($I$5:$I28,25-MA_MED):$I28),"")</f>
        <v/>
      </c>
      <c r="M28" s="51" t="str">
        <f aca="false">IF($N28&gt;=MA_LONG2,AVERAGE(INDEX($I$5:$I28,25-MA_LONG2):$I28),"")</f>
        <v/>
      </c>
      <c r="N28" s="46" t="n">
        <f aca="false">IF($A28=$A27,$N27+1,1)</f>
        <v>1</v>
      </c>
    </row>
    <row r="29" customFormat="false" ht="15" hidden="false" customHeight="false" outlineLevel="0" collapsed="false">
      <c r="A29" s="45" t="n">
        <v>45938</v>
      </c>
      <c r="B29" s="46" t="n">
        <v>20251008</v>
      </c>
      <c r="C29" s="47" t="s">
        <v>312</v>
      </c>
      <c r="D29" s="51" t="n">
        <v>2213004.09</v>
      </c>
      <c r="E29" s="52" t="str">
        <f aca="false">IF($N29&gt;1,$D29/$D28-1,"")</f>
        <v/>
      </c>
      <c r="F29" s="51" t="str">
        <f aca="false">IF($N29&gt;=MA_SHORT,AVERAGE(INDEX($D$5:$D29,26-MA_SHORT):$D29),"")</f>
        <v/>
      </c>
      <c r="G29" s="51" t="str">
        <f aca="false">IF($N29&gt;=MA_MED,AVERAGE(INDEX($D$5:$D29,26-MA_MED):$D29),"")</f>
        <v/>
      </c>
      <c r="H29" s="51" t="str">
        <f aca="false">IF($N29&gt;=MA_LONG2,AVERAGE(INDEX($D$5:$D29,26-MA_LONG2):$D29),"")</f>
        <v/>
      </c>
      <c r="I29" s="51" t="n">
        <v>813112.53</v>
      </c>
      <c r="J29" s="52" t="str">
        <f aca="false">IF($N29&gt;1,$I29/$I28-1,"")</f>
        <v/>
      </c>
      <c r="K29" s="51" t="str">
        <f aca="false">IF($N29&gt;=MA_SHORT,AVERAGE(INDEX($I$5:$I29,26-MA_SHORT):$I29),"")</f>
        <v/>
      </c>
      <c r="L29" s="51" t="str">
        <f aca="false">IF($N29&gt;=MA_MED,AVERAGE(INDEX($I$5:$I29,26-MA_MED):$I29),"")</f>
        <v/>
      </c>
      <c r="M29" s="51" t="str">
        <f aca="false">IF($N29&gt;=MA_LONG2,AVERAGE(INDEX($I$5:$I29,26-MA_LONG2):$I29),"")</f>
        <v/>
      </c>
      <c r="N29" s="46" t="n">
        <f aca="false">IF($A29=$A28,$N28+1,1)</f>
        <v>1</v>
      </c>
    </row>
    <row r="30" customFormat="false" ht="15" hidden="false" customHeight="false" outlineLevel="0" collapsed="false">
      <c r="A30" s="45" t="n">
        <v>45941</v>
      </c>
      <c r="B30" s="46" t="n">
        <v>20251011</v>
      </c>
      <c r="C30" s="47" t="s">
        <v>313</v>
      </c>
      <c r="D30" s="51" t="n">
        <v>2225567.68</v>
      </c>
      <c r="E30" s="52" t="str">
        <f aca="false">IF($N30&gt;1,$D30/$D29-1,"")</f>
        <v/>
      </c>
      <c r="F30" s="51" t="str">
        <f aca="false">IF($N30&gt;=MA_SHORT,AVERAGE(INDEX($D$5:$D30,27-MA_SHORT):$D30),"")</f>
        <v/>
      </c>
      <c r="G30" s="51" t="str">
        <f aca="false">IF($N30&gt;=MA_MED,AVERAGE(INDEX($D$5:$D30,27-MA_MED):$D30),"")</f>
        <v/>
      </c>
      <c r="H30" s="51" t="str">
        <f aca="false">IF($N30&gt;=MA_LONG2,AVERAGE(INDEX($D$5:$D30,27-MA_LONG2):$D30),"")</f>
        <v/>
      </c>
      <c r="I30" s="51" t="n">
        <v>822409.7</v>
      </c>
      <c r="J30" s="52" t="str">
        <f aca="false">IF($N30&gt;1,$I30/$I29-1,"")</f>
        <v/>
      </c>
      <c r="K30" s="51" t="str">
        <f aca="false">IF($N30&gt;=MA_SHORT,AVERAGE(INDEX($I$5:$I30,27-MA_SHORT):$I30),"")</f>
        <v/>
      </c>
      <c r="L30" s="51" t="str">
        <f aca="false">IF($N30&gt;=MA_MED,AVERAGE(INDEX($I$5:$I30,27-MA_MED):$I30),"")</f>
        <v/>
      </c>
      <c r="M30" s="51" t="str">
        <f aca="false">IF($N30&gt;=MA_LONG2,AVERAGE(INDEX($I$5:$I30,27-MA_LONG2):$I30),"")</f>
        <v/>
      </c>
      <c r="N30" s="46" t="n">
        <f aca="false">IF($A30=$A29,$N29+1,1)</f>
        <v>1</v>
      </c>
    </row>
    <row r="31" customFormat="false" ht="15" hidden="false" customHeight="false" outlineLevel="0" collapsed="false">
      <c r="A31" s="45" t="n">
        <v>45942</v>
      </c>
      <c r="B31" s="46" t="n">
        <v>20251012</v>
      </c>
      <c r="C31" s="47" t="s">
        <v>314</v>
      </c>
      <c r="D31" s="51" t="n">
        <v>2252337.05</v>
      </c>
      <c r="E31" s="52" t="str">
        <f aca="false">IF($N31&gt;1,$D31/$D30-1,"")</f>
        <v/>
      </c>
      <c r="F31" s="51" t="str">
        <f aca="false">IF($N31&gt;=MA_SHORT,AVERAGE(INDEX($D$5:$D31,28-MA_SHORT):$D31),"")</f>
        <v/>
      </c>
      <c r="G31" s="51" t="str">
        <f aca="false">IF($N31&gt;=MA_MED,AVERAGE(INDEX($D$5:$D31,28-MA_MED):$D31),"")</f>
        <v/>
      </c>
      <c r="H31" s="51" t="str">
        <f aca="false">IF($N31&gt;=MA_LONG2,AVERAGE(INDEX($D$5:$D31,28-MA_LONG2):$D31),"")</f>
        <v/>
      </c>
      <c r="I31" s="51" t="n">
        <v>828293.1</v>
      </c>
      <c r="J31" s="52" t="str">
        <f aca="false">IF($N31&gt;1,$I31/$I30-1,"")</f>
        <v/>
      </c>
      <c r="K31" s="51" t="str">
        <f aca="false">IF($N31&gt;=MA_SHORT,AVERAGE(INDEX($I$5:$I31,28-MA_SHORT):$I31),"")</f>
        <v/>
      </c>
      <c r="L31" s="51" t="str">
        <f aca="false">IF($N31&gt;=MA_MED,AVERAGE(INDEX($I$5:$I31,28-MA_MED):$I31),"")</f>
        <v/>
      </c>
      <c r="M31" s="51" t="str">
        <f aca="false">IF($N31&gt;=MA_LONG2,AVERAGE(INDEX($I$5:$I31,28-MA_LONG2):$I31),"")</f>
        <v/>
      </c>
      <c r="N31" s="46" t="n">
        <f aca="false">IF($A31=$A30,$N30+1,1)</f>
        <v>1</v>
      </c>
    </row>
    <row r="32" customFormat="false" ht="15" hidden="false" customHeight="false" outlineLevel="0" collapsed="false">
      <c r="A32" s="45" t="n">
        <v>45943</v>
      </c>
      <c r="B32" s="46" t="n">
        <v>20251013</v>
      </c>
      <c r="C32" s="47" t="s">
        <v>315</v>
      </c>
      <c r="D32" s="51" t="n">
        <v>2272228.69</v>
      </c>
      <c r="E32" s="52" t="str">
        <f aca="false">IF($N32&gt;1,$D32/$D31-1,"")</f>
        <v/>
      </c>
      <c r="F32" s="51" t="str">
        <f aca="false">IF($N32&gt;=MA_SHORT,AVERAGE(INDEX($D$5:$D32,29-MA_SHORT):$D32),"")</f>
        <v/>
      </c>
      <c r="G32" s="51" t="str">
        <f aca="false">IF($N32&gt;=MA_MED,AVERAGE(INDEX($D$5:$D32,29-MA_MED):$D32),"")</f>
        <v/>
      </c>
      <c r="H32" s="51" t="str">
        <f aca="false">IF($N32&gt;=MA_LONG2,AVERAGE(INDEX($D$5:$D32,29-MA_LONG2):$D32),"")</f>
        <v/>
      </c>
      <c r="I32" s="51" t="n">
        <v>825068.42</v>
      </c>
      <c r="J32" s="52" t="str">
        <f aca="false">IF($N32&gt;1,$I32/$I31-1,"")</f>
        <v/>
      </c>
      <c r="K32" s="51" t="str">
        <f aca="false">IF($N32&gt;=MA_SHORT,AVERAGE(INDEX($I$5:$I32,29-MA_SHORT):$I32),"")</f>
        <v/>
      </c>
      <c r="L32" s="51" t="str">
        <f aca="false">IF($N32&gt;=MA_MED,AVERAGE(INDEX($I$5:$I32,29-MA_MED):$I32),"")</f>
        <v/>
      </c>
      <c r="M32" s="51" t="str">
        <f aca="false">IF($N32&gt;=MA_LONG2,AVERAGE(INDEX($I$5:$I32,29-MA_LONG2):$I32),"")</f>
        <v/>
      </c>
      <c r="N32" s="46" t="n">
        <f aca="false">IF($A32=$A31,$N31+1,1)</f>
        <v>1</v>
      </c>
    </row>
    <row r="33" customFormat="false" ht="15" hidden="false" customHeight="false" outlineLevel="0" collapsed="false">
      <c r="A33" s="45" t="n">
        <v>45944</v>
      </c>
      <c r="B33" s="46" t="n">
        <v>20251014</v>
      </c>
      <c r="C33" s="47" t="s">
        <v>316</v>
      </c>
      <c r="D33" s="51" t="n">
        <v>2272289.82</v>
      </c>
      <c r="E33" s="52" t="str">
        <f aca="false">IF($N33&gt;1,$D33/$D32-1,"")</f>
        <v/>
      </c>
      <c r="F33" s="51" t="str">
        <f aca="false">IF($N33&gt;=MA_SHORT,AVERAGE(INDEX($D$5:$D33,30-MA_SHORT):$D33),"")</f>
        <v/>
      </c>
      <c r="G33" s="51" t="str">
        <f aca="false">IF($N33&gt;=MA_MED,AVERAGE(INDEX($D$5:$D33,30-MA_MED):$D33),"")</f>
        <v/>
      </c>
      <c r="H33" s="51" t="str">
        <f aca="false">IF($N33&gt;=MA_LONG2,AVERAGE(INDEX($D$5:$D33,30-MA_LONG2):$D33),"")</f>
        <v/>
      </c>
      <c r="I33" s="51" t="n">
        <v>811228.01</v>
      </c>
      <c r="J33" s="52" t="str">
        <f aca="false">IF($N33&gt;1,$I33/$I32-1,"")</f>
        <v/>
      </c>
      <c r="K33" s="51" t="str">
        <f aca="false">IF($N33&gt;=MA_SHORT,AVERAGE(INDEX($I$5:$I33,30-MA_SHORT):$I33),"")</f>
        <v/>
      </c>
      <c r="L33" s="51" t="str">
        <f aca="false">IF($N33&gt;=MA_MED,AVERAGE(INDEX($I$5:$I33,30-MA_MED):$I33),"")</f>
        <v/>
      </c>
      <c r="M33" s="51" t="str">
        <f aca="false">IF($N33&gt;=MA_LONG2,AVERAGE(INDEX($I$5:$I33,30-MA_LONG2):$I33),"")</f>
        <v/>
      </c>
      <c r="N33" s="46" t="n">
        <f aca="false">IF($A33=$A32,$N32+1,1)</f>
        <v>1</v>
      </c>
    </row>
    <row r="34" customFormat="false" ht="15" hidden="false" customHeight="false" outlineLevel="0" collapsed="false">
      <c r="A34" s="45" t="n">
        <v>45945</v>
      </c>
      <c r="B34" s="46" t="n">
        <v>20251015</v>
      </c>
      <c r="C34" s="47" t="s">
        <v>317</v>
      </c>
      <c r="D34" s="51" t="n">
        <v>2239756.76</v>
      </c>
      <c r="E34" s="52" t="str">
        <f aca="false">IF($N34&gt;1,$D34/$D33-1,"")</f>
        <v/>
      </c>
      <c r="F34" s="51" t="str">
        <f aca="false">IF($N34&gt;=MA_SHORT,AVERAGE(INDEX($D$5:$D34,31-MA_SHORT):$D34),"")</f>
        <v/>
      </c>
      <c r="G34" s="51" t="str">
        <f aca="false">IF($N34&gt;=MA_MED,AVERAGE(INDEX($D$5:$D34,31-MA_MED):$D34),"")</f>
        <v/>
      </c>
      <c r="H34" s="51" t="str">
        <f aca="false">IF($N34&gt;=MA_LONG2,AVERAGE(INDEX($D$5:$D34,31-MA_LONG2):$D34),"")</f>
        <v/>
      </c>
      <c r="I34" s="51" t="n">
        <v>796032.77</v>
      </c>
      <c r="J34" s="52" t="str">
        <f aca="false">IF($N34&gt;1,$I34/$I33-1,"")</f>
        <v/>
      </c>
      <c r="K34" s="51" t="str">
        <f aca="false">IF($N34&gt;=MA_SHORT,AVERAGE(INDEX($I$5:$I34,31-MA_SHORT):$I34),"")</f>
        <v/>
      </c>
      <c r="L34" s="51" t="str">
        <f aca="false">IF($N34&gt;=MA_MED,AVERAGE(INDEX($I$5:$I34,31-MA_MED):$I34),"")</f>
        <v/>
      </c>
      <c r="M34" s="51" t="str">
        <f aca="false">IF($N34&gt;=MA_LONG2,AVERAGE(INDEX($I$5:$I34,31-MA_LONG2):$I34),"")</f>
        <v/>
      </c>
      <c r="N34" s="46" t="n">
        <f aca="false">IF($A34=$A33,$N33+1,1)</f>
        <v>1</v>
      </c>
    </row>
    <row r="35" customFormat="false" ht="15" hidden="false" customHeight="false" outlineLevel="0" collapsed="false">
      <c r="A35" s="45" t="n">
        <v>45948</v>
      </c>
      <c r="B35" s="46" t="n">
        <v>20251018</v>
      </c>
      <c r="C35" s="47" t="s">
        <v>318</v>
      </c>
      <c r="D35" s="51" t="n">
        <v>2213597.47</v>
      </c>
      <c r="E35" s="52" t="str">
        <f aca="false">IF($N35&gt;1,$D35/$D34-1,"")</f>
        <v/>
      </c>
      <c r="F35" s="51" t="str">
        <f aca="false">IF($N35&gt;=MA_SHORT,AVERAGE(INDEX($D$5:$D35,32-MA_SHORT):$D35),"")</f>
        <v/>
      </c>
      <c r="G35" s="51" t="str">
        <f aca="false">IF($N35&gt;=MA_MED,AVERAGE(INDEX($D$5:$D35,32-MA_MED):$D35),"")</f>
        <v/>
      </c>
      <c r="H35" s="51" t="str">
        <f aca="false">IF($N35&gt;=MA_LONG2,AVERAGE(INDEX($D$5:$D35,32-MA_LONG2):$D35),"")</f>
        <v/>
      </c>
      <c r="I35" s="51" t="n">
        <v>793763.21</v>
      </c>
      <c r="J35" s="52" t="str">
        <f aca="false">IF($N35&gt;1,$I35/$I34-1,"")</f>
        <v/>
      </c>
      <c r="K35" s="51" t="str">
        <f aca="false">IF($N35&gt;=MA_SHORT,AVERAGE(INDEX($I$5:$I35,32-MA_SHORT):$I35),"")</f>
        <v/>
      </c>
      <c r="L35" s="51" t="str">
        <f aca="false">IF($N35&gt;=MA_MED,AVERAGE(INDEX($I$5:$I35,32-MA_MED):$I35),"")</f>
        <v/>
      </c>
      <c r="M35" s="51" t="str">
        <f aca="false">IF($N35&gt;=MA_LONG2,AVERAGE(INDEX($I$5:$I35,32-MA_LONG2):$I35),"")</f>
        <v/>
      </c>
      <c r="N35" s="46" t="n">
        <f aca="false">IF($A35=$A34,$N34+1,1)</f>
        <v>1</v>
      </c>
    </row>
    <row r="36" customFormat="false" ht="15" hidden="false" customHeight="false" outlineLevel="0" collapsed="false">
      <c r="A36" s="45" t="n">
        <v>45949</v>
      </c>
      <c r="B36" s="46" t="n">
        <v>20251019</v>
      </c>
      <c r="C36" s="47" t="s">
        <v>319</v>
      </c>
      <c r="D36" s="51" t="n">
        <v>2233353.09</v>
      </c>
      <c r="E36" s="52" t="str">
        <f aca="false">IF($N36&gt;1,$D36/$D35-1,"")</f>
        <v/>
      </c>
      <c r="F36" s="51" t="str">
        <f aca="false">IF($N36&gt;=MA_SHORT,AVERAGE(INDEX($D$5:$D36,33-MA_SHORT):$D36),"")</f>
        <v/>
      </c>
      <c r="G36" s="51" t="str">
        <f aca="false">IF($N36&gt;=MA_MED,AVERAGE(INDEX($D$5:$D36,33-MA_MED):$D36),"")</f>
        <v/>
      </c>
      <c r="H36" s="51" t="str">
        <f aca="false">IF($N36&gt;=MA_LONG2,AVERAGE(INDEX($D$5:$D36,33-MA_LONG2):$D36),"")</f>
        <v/>
      </c>
      <c r="I36" s="51" t="n">
        <v>799833.3</v>
      </c>
      <c r="J36" s="52" t="str">
        <f aca="false">IF($N36&gt;1,$I36/$I35-1,"")</f>
        <v/>
      </c>
      <c r="K36" s="51" t="str">
        <f aca="false">IF($N36&gt;=MA_SHORT,AVERAGE(INDEX($I$5:$I36,33-MA_SHORT):$I36),"")</f>
        <v/>
      </c>
      <c r="L36" s="51" t="str">
        <f aca="false">IF($N36&gt;=MA_MED,AVERAGE(INDEX($I$5:$I36,33-MA_MED):$I36),"")</f>
        <v/>
      </c>
      <c r="M36" s="51" t="str">
        <f aca="false">IF($N36&gt;=MA_LONG2,AVERAGE(INDEX($I$5:$I36,33-MA_LONG2):$I36),"")</f>
        <v/>
      </c>
      <c r="N36" s="46" t="n">
        <f aca="false">IF($A36=$A35,$N35+1,1)</f>
        <v>1</v>
      </c>
    </row>
    <row r="37" customFormat="false" ht="15" hidden="false" customHeight="false" outlineLevel="0" collapsed="false">
      <c r="A37" s="45" t="n">
        <v>45950</v>
      </c>
      <c r="B37" s="46" t="n">
        <v>20251020</v>
      </c>
      <c r="C37" s="47" t="s">
        <v>320</v>
      </c>
      <c r="D37" s="51" t="n">
        <v>2238395.4</v>
      </c>
      <c r="E37" s="52" t="str">
        <f aca="false">IF($N37&gt;1,$D37/$D36-1,"")</f>
        <v/>
      </c>
      <c r="F37" s="51" t="str">
        <f aca="false">IF($N37&gt;=MA_SHORT,AVERAGE(INDEX($D$5:$D37,34-MA_SHORT):$D37),"")</f>
        <v/>
      </c>
      <c r="G37" s="51" t="str">
        <f aca="false">IF($N37&gt;=MA_MED,AVERAGE(INDEX($D$5:$D37,34-MA_MED):$D37),"")</f>
        <v/>
      </c>
      <c r="H37" s="51" t="str">
        <f aca="false">IF($N37&gt;=MA_LONG2,AVERAGE(INDEX($D$5:$D37,34-MA_LONG2):$D37),"")</f>
        <v/>
      </c>
      <c r="I37" s="51" t="n">
        <v>808666.04</v>
      </c>
      <c r="J37" s="52" t="str">
        <f aca="false">IF($N37&gt;1,$I37/$I36-1,"")</f>
        <v/>
      </c>
      <c r="K37" s="51" t="str">
        <f aca="false">IF($N37&gt;=MA_SHORT,AVERAGE(INDEX($I$5:$I37,34-MA_SHORT):$I37),"")</f>
        <v/>
      </c>
      <c r="L37" s="51" t="str">
        <f aca="false">IF($N37&gt;=MA_MED,AVERAGE(INDEX($I$5:$I37,34-MA_MED):$I37),"")</f>
        <v/>
      </c>
      <c r="M37" s="51" t="str">
        <f aca="false">IF($N37&gt;=MA_LONG2,AVERAGE(INDEX($I$5:$I37,34-MA_LONG2):$I37),"")</f>
        <v/>
      </c>
      <c r="N37" s="46" t="n">
        <f aca="false">IF($A37=$A36,$N36+1,1)</f>
        <v>1</v>
      </c>
    </row>
    <row r="38" customFormat="false" ht="15" hidden="false" customHeight="false" outlineLevel="0" collapsed="false">
      <c r="A38" s="45" t="n">
        <v>45951</v>
      </c>
      <c r="B38" s="46" t="n">
        <v>20251021</v>
      </c>
      <c r="C38" s="47" t="s">
        <v>321</v>
      </c>
      <c r="D38" s="51" t="n">
        <v>2240246.6</v>
      </c>
      <c r="E38" s="52" t="str">
        <f aca="false">IF($N38&gt;1,$D38/$D37-1,"")</f>
        <v/>
      </c>
      <c r="F38" s="51" t="str">
        <f aca="false">IF($N38&gt;=MA_SHORT,AVERAGE(INDEX($D$5:$D38,35-MA_SHORT):$D38),"")</f>
        <v/>
      </c>
      <c r="G38" s="51" t="str">
        <f aca="false">IF($N38&gt;=MA_MED,AVERAGE(INDEX($D$5:$D38,35-MA_MED):$D38),"")</f>
        <v/>
      </c>
      <c r="H38" s="51" t="str">
        <f aca="false">IF($N38&gt;=MA_LONG2,AVERAGE(INDEX($D$5:$D38,35-MA_LONG2):$D38),"")</f>
        <v/>
      </c>
      <c r="I38" s="51" t="n">
        <v>800018.68</v>
      </c>
      <c r="J38" s="52" t="str">
        <f aca="false">IF($N38&gt;1,$I38/$I37-1,"")</f>
        <v/>
      </c>
      <c r="K38" s="51" t="str">
        <f aca="false">IF($N38&gt;=MA_SHORT,AVERAGE(INDEX($I$5:$I38,35-MA_SHORT):$I38),"")</f>
        <v/>
      </c>
      <c r="L38" s="51" t="str">
        <f aca="false">IF($N38&gt;=MA_MED,AVERAGE(INDEX($I$5:$I38,35-MA_MED):$I38),"")</f>
        <v/>
      </c>
      <c r="M38" s="51" t="str">
        <f aca="false">IF($N38&gt;=MA_LONG2,AVERAGE(INDEX($I$5:$I38,35-MA_LONG2):$I38),"")</f>
        <v/>
      </c>
      <c r="N38" s="46" t="n">
        <f aca="false">IF($A38=$A37,$N37+1,1)</f>
        <v>1</v>
      </c>
    </row>
    <row r="39" customFormat="false" ht="15" hidden="false" customHeight="false" outlineLevel="0" collapsed="false">
      <c r="A39" s="45" t="n">
        <v>45952</v>
      </c>
      <c r="B39" s="46" t="n">
        <v>20251022</v>
      </c>
      <c r="C39" s="47" t="s">
        <v>322</v>
      </c>
      <c r="D39" s="51" t="n">
        <v>2237828.11</v>
      </c>
      <c r="E39" s="52" t="str">
        <f aca="false">IF($N39&gt;1,$D39/$D38-1,"")</f>
        <v/>
      </c>
      <c r="F39" s="51" t="str">
        <f aca="false">IF($N39&gt;=MA_SHORT,AVERAGE(INDEX($D$5:$D39,36-MA_SHORT):$D39),"")</f>
        <v/>
      </c>
      <c r="G39" s="51" t="str">
        <f aca="false">IF($N39&gt;=MA_MED,AVERAGE(INDEX($D$5:$D39,36-MA_MED):$D39),"")</f>
        <v/>
      </c>
      <c r="H39" s="51" t="str">
        <f aca="false">IF($N39&gt;=MA_LONG2,AVERAGE(INDEX($D$5:$D39,36-MA_LONG2):$D39),"")</f>
        <v/>
      </c>
      <c r="I39" s="51" t="n">
        <v>788713.39</v>
      </c>
      <c r="J39" s="52" t="str">
        <f aca="false">IF($N39&gt;1,$I39/$I38-1,"")</f>
        <v/>
      </c>
      <c r="K39" s="51" t="str">
        <f aca="false">IF($N39&gt;=MA_SHORT,AVERAGE(INDEX($I$5:$I39,36-MA_SHORT):$I39),"")</f>
        <v/>
      </c>
      <c r="L39" s="51" t="str">
        <f aca="false">IF($N39&gt;=MA_MED,AVERAGE(INDEX($I$5:$I39,36-MA_MED):$I39),"")</f>
        <v/>
      </c>
      <c r="M39" s="51" t="str">
        <f aca="false">IF($N39&gt;=MA_LONG2,AVERAGE(INDEX($I$5:$I39,36-MA_LONG2):$I39),"")</f>
        <v/>
      </c>
      <c r="N39" s="46" t="n">
        <f aca="false">IF($A39=$A38,$N38+1,1)</f>
        <v>1</v>
      </c>
    </row>
    <row r="40" customFormat="false" ht="15" hidden="false" customHeight="false" outlineLevel="0" collapsed="false">
      <c r="A40" s="45" t="n">
        <v>45955</v>
      </c>
      <c r="B40" s="46" t="n">
        <v>20251025</v>
      </c>
      <c r="C40" s="47" t="s">
        <v>323</v>
      </c>
      <c r="D40" s="51" t="n">
        <v>2241055.38</v>
      </c>
      <c r="E40" s="52" t="str">
        <f aca="false">IF($N40&gt;1,$D40/$D39-1,"")</f>
        <v/>
      </c>
      <c r="F40" s="51" t="str">
        <f aca="false">IF($N40&gt;=MA_SHORT,AVERAGE(INDEX($D$5:$D40,37-MA_SHORT):$D40),"")</f>
        <v/>
      </c>
      <c r="G40" s="51" t="str">
        <f aca="false">IF($N40&gt;=MA_MED,AVERAGE(INDEX($D$5:$D40,37-MA_MED):$D40),"")</f>
        <v/>
      </c>
      <c r="H40" s="51" t="str">
        <f aca="false">IF($N40&gt;=MA_LONG2,AVERAGE(INDEX($D$5:$D40,37-MA_LONG2):$D40),"")</f>
        <v/>
      </c>
      <c r="I40" s="51" t="n">
        <v>768792.01</v>
      </c>
      <c r="J40" s="52" t="str">
        <f aca="false">IF($N40&gt;1,$I40/$I39-1,"")</f>
        <v/>
      </c>
      <c r="K40" s="51" t="str">
        <f aca="false">IF($N40&gt;=MA_SHORT,AVERAGE(INDEX($I$5:$I40,37-MA_SHORT):$I40),"")</f>
        <v/>
      </c>
      <c r="L40" s="51" t="str">
        <f aca="false">IF($N40&gt;=MA_MED,AVERAGE(INDEX($I$5:$I40,37-MA_MED):$I40),"")</f>
        <v/>
      </c>
      <c r="M40" s="51" t="str">
        <f aca="false">IF($N40&gt;=MA_LONG2,AVERAGE(INDEX($I$5:$I40,37-MA_LONG2):$I40),"")</f>
        <v/>
      </c>
      <c r="N40" s="46" t="n">
        <f aca="false">IF($A40=$A39,$N39+1,1)</f>
        <v>1</v>
      </c>
    </row>
    <row r="41" customFormat="false" ht="15" hidden="false" customHeight="false" outlineLevel="0" collapsed="false">
      <c r="A41" s="45" t="n">
        <v>45956</v>
      </c>
      <c r="B41" s="46" t="n">
        <v>20251026</v>
      </c>
      <c r="C41" s="47" t="s">
        <v>324</v>
      </c>
      <c r="D41" s="51" t="n">
        <v>2219896.5</v>
      </c>
      <c r="E41" s="52" t="str">
        <f aca="false">IF($N41&gt;1,$D41/$D40-1,"")</f>
        <v/>
      </c>
      <c r="F41" s="51" t="str">
        <f aca="false">IF($N41&gt;=MA_SHORT,AVERAGE(INDEX($D$5:$D41,38-MA_SHORT):$D41),"")</f>
        <v/>
      </c>
      <c r="G41" s="51" t="str">
        <f aca="false">IF($N41&gt;=MA_MED,AVERAGE(INDEX($D$5:$D41,38-MA_MED):$D41),"")</f>
        <v/>
      </c>
      <c r="H41" s="51" t="str">
        <f aca="false">IF($N41&gt;=MA_LONG2,AVERAGE(INDEX($D$5:$D41,38-MA_LONG2):$D41),"")</f>
        <v/>
      </c>
      <c r="I41" s="51" t="n">
        <v>778246.59</v>
      </c>
      <c r="J41" s="52" t="str">
        <f aca="false">IF($N41&gt;1,$I41/$I40-1,"")</f>
        <v/>
      </c>
      <c r="K41" s="51" t="str">
        <f aca="false">IF($N41&gt;=MA_SHORT,AVERAGE(INDEX($I$5:$I41,38-MA_SHORT):$I41),"")</f>
        <v/>
      </c>
      <c r="L41" s="51" t="str">
        <f aca="false">IF($N41&gt;=MA_MED,AVERAGE(INDEX($I$5:$I41,38-MA_MED):$I41),"")</f>
        <v/>
      </c>
      <c r="M41" s="51" t="str">
        <f aca="false">IF($N41&gt;=MA_LONG2,AVERAGE(INDEX($I$5:$I41,38-MA_LONG2):$I41),"")</f>
        <v/>
      </c>
      <c r="N41" s="46" t="n">
        <f aca="false">IF($A41=$A40,$N40+1,1)</f>
        <v>1</v>
      </c>
    </row>
    <row r="42" customFormat="false" ht="15" hidden="false" customHeight="false" outlineLevel="0" collapsed="false">
      <c r="A42" s="45" t="n">
        <v>45957</v>
      </c>
      <c r="B42" s="46" t="n">
        <v>20251027</v>
      </c>
      <c r="C42" s="47" t="s">
        <v>325</v>
      </c>
      <c r="D42" s="51" t="n">
        <v>2219757.36</v>
      </c>
      <c r="E42" s="52" t="str">
        <f aca="false">IF($N42&gt;1,$D42/$D41-1,"")</f>
        <v/>
      </c>
      <c r="F42" s="51" t="str">
        <f aca="false">IF($N42&gt;=MA_SHORT,AVERAGE(INDEX($D$5:$D42,39-MA_SHORT):$D42),"")</f>
        <v/>
      </c>
      <c r="G42" s="51" t="str">
        <f aca="false">IF($N42&gt;=MA_MED,AVERAGE(INDEX($D$5:$D42,39-MA_MED):$D42),"")</f>
        <v/>
      </c>
      <c r="H42" s="51" t="str">
        <f aca="false">IF($N42&gt;=MA_LONG2,AVERAGE(INDEX($D$5:$D42,39-MA_LONG2):$D42),"")</f>
        <v/>
      </c>
      <c r="I42" s="51" t="n">
        <v>756275.41</v>
      </c>
      <c r="J42" s="52" t="str">
        <f aca="false">IF($N42&gt;1,$I42/$I41-1,"")</f>
        <v/>
      </c>
      <c r="K42" s="51" t="str">
        <f aca="false">IF($N42&gt;=MA_SHORT,AVERAGE(INDEX($I$5:$I42,39-MA_SHORT):$I42),"")</f>
        <v/>
      </c>
      <c r="L42" s="51" t="str">
        <f aca="false">IF($N42&gt;=MA_MED,AVERAGE(INDEX($I$5:$I42,39-MA_MED):$I42),"")</f>
        <v/>
      </c>
      <c r="M42" s="51" t="str">
        <f aca="false">IF($N42&gt;=MA_LONG2,AVERAGE(INDEX($I$5:$I42,39-MA_LONG2):$I42),"")</f>
        <v/>
      </c>
      <c r="N42" s="46" t="n">
        <f aca="false">IF($A42=$A41,$N41+1,1)</f>
        <v>1</v>
      </c>
    </row>
    <row r="43" customFormat="false" ht="15" hidden="false" customHeight="false" outlineLevel="0" collapsed="false">
      <c r="A43" s="45" t="n">
        <v>45958</v>
      </c>
      <c r="B43" s="46" t="n">
        <v>20251028</v>
      </c>
      <c r="C43" s="47" t="s">
        <v>326</v>
      </c>
      <c r="D43" s="51" t="n">
        <v>2194732.29</v>
      </c>
      <c r="E43" s="52" t="str">
        <f aca="false">IF($N43&gt;1,$D43/$D42-1,"")</f>
        <v/>
      </c>
      <c r="F43" s="51" t="str">
        <f aca="false">IF($N43&gt;=MA_SHORT,AVERAGE(INDEX($D$5:$D43,40-MA_SHORT):$D43),"")</f>
        <v/>
      </c>
      <c r="G43" s="51" t="str">
        <f aca="false">IF($N43&gt;=MA_MED,AVERAGE(INDEX($D$5:$D43,40-MA_MED):$D43),"")</f>
        <v/>
      </c>
      <c r="H43" s="51" t="str">
        <f aca="false">IF($N43&gt;=MA_LONG2,AVERAGE(INDEX($D$5:$D43,40-MA_LONG2):$D43),"")</f>
        <v/>
      </c>
      <c r="I43" s="51" t="n">
        <v>745952.8</v>
      </c>
      <c r="J43" s="52" t="str">
        <f aca="false">IF($N43&gt;1,$I43/$I42-1,"")</f>
        <v/>
      </c>
      <c r="K43" s="51" t="str">
        <f aca="false">IF($N43&gt;=MA_SHORT,AVERAGE(INDEX($I$5:$I43,40-MA_SHORT):$I43),"")</f>
        <v/>
      </c>
      <c r="L43" s="51" t="str">
        <f aca="false">IF($N43&gt;=MA_MED,AVERAGE(INDEX($I$5:$I43,40-MA_MED):$I43),"")</f>
        <v/>
      </c>
      <c r="M43" s="51" t="str">
        <f aca="false">IF($N43&gt;=MA_LONG2,AVERAGE(INDEX($I$5:$I43,40-MA_LONG2):$I43),"")</f>
        <v/>
      </c>
      <c r="N43" s="46" t="n">
        <f aca="false">IF($A43=$A42,$N42+1,1)</f>
        <v>1</v>
      </c>
    </row>
    <row r="44" customFormat="false" ht="15" hidden="false" customHeight="false" outlineLevel="0" collapsed="false">
      <c r="A44" s="45" t="n">
        <v>45959</v>
      </c>
      <c r="B44" s="46" t="n">
        <v>20251029</v>
      </c>
      <c r="C44" s="47" t="s">
        <v>327</v>
      </c>
      <c r="D44" s="51" t="n">
        <v>2212345.16</v>
      </c>
      <c r="E44" s="52" t="str">
        <f aca="false">IF($N44&gt;1,$D44/$D43-1,"")</f>
        <v/>
      </c>
      <c r="F44" s="51" t="str">
        <f aca="false">IF($N44&gt;=MA_SHORT,AVERAGE(INDEX($D$5:$D44,41-MA_SHORT):$D44),"")</f>
        <v/>
      </c>
      <c r="G44" s="51" t="str">
        <f aca="false">IF($N44&gt;=MA_MED,AVERAGE(INDEX($D$5:$D44,41-MA_MED):$D44),"")</f>
        <v/>
      </c>
      <c r="H44" s="51" t="str">
        <f aca="false">IF($N44&gt;=MA_LONG2,AVERAGE(INDEX($D$5:$D44,41-MA_LONG2):$D44),"")</f>
        <v/>
      </c>
      <c r="I44" s="51" t="n">
        <v>746954.07</v>
      </c>
      <c r="J44" s="52" t="str">
        <f aca="false">IF($N44&gt;1,$I44/$I43-1,"")</f>
        <v/>
      </c>
      <c r="K44" s="51" t="str">
        <f aca="false">IF($N44&gt;=MA_SHORT,AVERAGE(INDEX($I$5:$I44,41-MA_SHORT):$I44),"")</f>
        <v/>
      </c>
      <c r="L44" s="51" t="str">
        <f aca="false">IF($N44&gt;=MA_MED,AVERAGE(INDEX($I$5:$I44,41-MA_MED):$I44),"")</f>
        <v/>
      </c>
      <c r="M44" s="51" t="str">
        <f aca="false">IF($N44&gt;=MA_LONG2,AVERAGE(INDEX($I$5:$I44,41-MA_LONG2):$I44),"")</f>
        <v/>
      </c>
      <c r="N44" s="46" t="n">
        <f aca="false">IF($A44=$A43,$N43+1,1)</f>
        <v>1</v>
      </c>
    </row>
    <row r="45" customFormat="false" ht="15" hidden="false" customHeight="false" outlineLevel="0" collapsed="false">
      <c r="A45" s="45" t="n">
        <v>45962</v>
      </c>
      <c r="B45" s="46" t="n">
        <v>20251101</v>
      </c>
      <c r="C45" s="47" t="s">
        <v>328</v>
      </c>
      <c r="D45" s="51" t="n">
        <v>2164671.79</v>
      </c>
      <c r="E45" s="52" t="str">
        <f aca="false">IF($N45&gt;1,$D45/$D44-1,"")</f>
        <v/>
      </c>
      <c r="F45" s="51" t="str">
        <f aca="false">IF($N45&gt;=MA_SHORT,AVERAGE(INDEX($D$5:$D45,42-MA_SHORT):$D45),"")</f>
        <v/>
      </c>
      <c r="G45" s="51" t="str">
        <f aca="false">IF($N45&gt;=MA_MED,AVERAGE(INDEX($D$5:$D45,42-MA_MED):$D45),"")</f>
        <v/>
      </c>
      <c r="H45" s="51" t="str">
        <f aca="false">IF($N45&gt;=MA_LONG2,AVERAGE(INDEX($D$5:$D45,42-MA_LONG2):$D45),"")</f>
        <v/>
      </c>
      <c r="I45" s="51" t="n">
        <v>737629.79</v>
      </c>
      <c r="J45" s="52" t="str">
        <f aca="false">IF($N45&gt;1,$I45/$I44-1,"")</f>
        <v/>
      </c>
      <c r="K45" s="51" t="str">
        <f aca="false">IF($N45&gt;=MA_SHORT,AVERAGE(INDEX($I$5:$I45,42-MA_SHORT):$I45),"")</f>
        <v/>
      </c>
      <c r="L45" s="51" t="str">
        <f aca="false">IF($N45&gt;=MA_MED,AVERAGE(INDEX($I$5:$I45,42-MA_MED):$I45),"")</f>
        <v/>
      </c>
      <c r="M45" s="51" t="str">
        <f aca="false">IF($N45&gt;=MA_LONG2,AVERAGE(INDEX($I$5:$I45,42-MA_LONG2):$I45),"")</f>
        <v/>
      </c>
      <c r="N45" s="46" t="n">
        <f aca="false">IF($A45=$A44,$N44+1,1)</f>
        <v>1</v>
      </c>
    </row>
    <row r="46" customFormat="false" ht="15" hidden="false" customHeight="false" outlineLevel="0" collapsed="false">
      <c r="A46" s="45" t="n">
        <v>45963</v>
      </c>
      <c r="B46" s="46" t="n">
        <v>20251102</v>
      </c>
      <c r="C46" s="47" t="s">
        <v>329</v>
      </c>
      <c r="D46" s="51" t="n">
        <v>2201117.93</v>
      </c>
      <c r="E46" s="52" t="str">
        <f aca="false">IF($N46&gt;1,$D46/$D45-1,"")</f>
        <v/>
      </c>
      <c r="F46" s="51" t="str">
        <f aca="false">IF($N46&gt;=MA_SHORT,AVERAGE(INDEX($D$5:$D46,43-MA_SHORT):$D46),"")</f>
        <v/>
      </c>
      <c r="G46" s="51" t="str">
        <f aca="false">IF($N46&gt;=MA_MED,AVERAGE(INDEX($D$5:$D46,43-MA_MED):$D46),"")</f>
        <v/>
      </c>
      <c r="H46" s="51" t="str">
        <f aca="false">IF($N46&gt;=MA_LONG2,AVERAGE(INDEX($D$5:$D46,43-MA_LONG2):$D46),"")</f>
        <v/>
      </c>
      <c r="I46" s="51" t="n">
        <v>740940.85</v>
      </c>
      <c r="J46" s="52" t="str">
        <f aca="false">IF($N46&gt;1,$I46/$I45-1,"")</f>
        <v/>
      </c>
      <c r="K46" s="51" t="str">
        <f aca="false">IF($N46&gt;=MA_SHORT,AVERAGE(INDEX($I$5:$I46,43-MA_SHORT):$I46),"")</f>
        <v/>
      </c>
      <c r="L46" s="51" t="str">
        <f aca="false">IF($N46&gt;=MA_MED,AVERAGE(INDEX($I$5:$I46,43-MA_MED):$I46),"")</f>
        <v/>
      </c>
      <c r="M46" s="51" t="str">
        <f aca="false">IF($N46&gt;=MA_LONG2,AVERAGE(INDEX($I$5:$I46,43-MA_LONG2):$I46),"")</f>
        <v/>
      </c>
      <c r="N46" s="46" t="n">
        <f aca="false">IF($A46=$A45,$N45+1,1)</f>
        <v>1</v>
      </c>
    </row>
    <row r="47" customFormat="false" ht="15" hidden="false" customHeight="false" outlineLevel="0" collapsed="false">
      <c r="A47" s="45" t="n">
        <v>45964</v>
      </c>
      <c r="B47" s="46" t="n">
        <v>20251103</v>
      </c>
      <c r="C47" s="47" t="s">
        <v>330</v>
      </c>
      <c r="D47" s="51" t="n">
        <v>2206842.98</v>
      </c>
      <c r="E47" s="52" t="str">
        <f aca="false">IF($N47&gt;1,$D47/$D46-1,"")</f>
        <v/>
      </c>
      <c r="F47" s="51" t="str">
        <f aca="false">IF($N47&gt;=MA_SHORT,AVERAGE(INDEX($D$5:$D47,44-MA_SHORT):$D47),"")</f>
        <v/>
      </c>
      <c r="G47" s="51" t="str">
        <f aca="false">IF($N47&gt;=MA_MED,AVERAGE(INDEX($D$5:$D47,44-MA_MED):$D47),"")</f>
        <v/>
      </c>
      <c r="H47" s="51" t="str">
        <f aca="false">IF($N47&gt;=MA_LONG2,AVERAGE(INDEX($D$5:$D47,44-MA_LONG2):$D47),"")</f>
        <v/>
      </c>
      <c r="I47" s="51" t="n">
        <v>744694.84</v>
      </c>
      <c r="J47" s="52" t="str">
        <f aca="false">IF($N47&gt;1,$I47/$I46-1,"")</f>
        <v/>
      </c>
      <c r="K47" s="51" t="str">
        <f aca="false">IF($N47&gt;=MA_SHORT,AVERAGE(INDEX($I$5:$I47,44-MA_SHORT):$I47),"")</f>
        <v/>
      </c>
      <c r="L47" s="51" t="str">
        <f aca="false">IF($N47&gt;=MA_MED,AVERAGE(INDEX($I$5:$I47,44-MA_MED):$I47),"")</f>
        <v/>
      </c>
      <c r="M47" s="51" t="str">
        <f aca="false">IF($N47&gt;=MA_LONG2,AVERAGE(INDEX($I$5:$I47,44-MA_LONG2):$I47),"")</f>
        <v/>
      </c>
      <c r="N47" s="46" t="n">
        <f aca="false">IF($A47=$A46,$N46+1,1)</f>
        <v>1</v>
      </c>
    </row>
    <row r="48" customFormat="false" ht="15" hidden="false" customHeight="false" outlineLevel="0" collapsed="false">
      <c r="A48" s="45" t="n">
        <v>45965</v>
      </c>
      <c r="B48" s="46" t="n">
        <v>20251104</v>
      </c>
      <c r="C48" s="47" t="s">
        <v>331</v>
      </c>
      <c r="D48" s="51" t="n">
        <v>2216251.93</v>
      </c>
      <c r="E48" s="52" t="str">
        <f aca="false">IF($N48&gt;1,$D48/$D47-1,"")</f>
        <v/>
      </c>
      <c r="F48" s="51" t="str">
        <f aca="false">IF($N48&gt;=MA_SHORT,AVERAGE(INDEX($D$5:$D48,45-MA_SHORT):$D48),"")</f>
        <v/>
      </c>
      <c r="G48" s="51" t="str">
        <f aca="false">IF($N48&gt;=MA_MED,AVERAGE(INDEX($D$5:$D48,45-MA_MED):$D48),"")</f>
        <v/>
      </c>
      <c r="H48" s="51" t="str">
        <f aca="false">IF($N48&gt;=MA_LONG2,AVERAGE(INDEX($D$5:$D48,45-MA_LONG2):$D48),"")</f>
        <v/>
      </c>
      <c r="I48" s="51" t="n">
        <v>724689.86</v>
      </c>
      <c r="J48" s="52" t="str">
        <f aca="false">IF($N48&gt;1,$I48/$I47-1,"")</f>
        <v/>
      </c>
      <c r="K48" s="51" t="str">
        <f aca="false">IF($N48&gt;=MA_SHORT,AVERAGE(INDEX($I$5:$I48,45-MA_SHORT):$I48),"")</f>
        <v/>
      </c>
      <c r="L48" s="51" t="str">
        <f aca="false">IF($N48&gt;=MA_MED,AVERAGE(INDEX($I$5:$I48,45-MA_MED):$I48),"")</f>
        <v/>
      </c>
      <c r="M48" s="51" t="str">
        <f aca="false">IF($N48&gt;=MA_LONG2,AVERAGE(INDEX($I$5:$I48,45-MA_LONG2):$I48),"")</f>
        <v/>
      </c>
      <c r="N48" s="46" t="n">
        <f aca="false">IF($A48=$A47,$N47+1,1)</f>
        <v>1</v>
      </c>
    </row>
    <row r="49" customFormat="false" ht="15" hidden="false" customHeight="false" outlineLevel="0" collapsed="false">
      <c r="A49" s="45" t="n">
        <v>45966</v>
      </c>
      <c r="B49" s="46" t="n">
        <v>20251105</v>
      </c>
      <c r="C49" s="47" t="s">
        <v>332</v>
      </c>
      <c r="D49" s="51" t="n">
        <v>2186416.14</v>
      </c>
      <c r="E49" s="52" t="str">
        <f aca="false">IF($N49&gt;1,$D49/$D48-1,"")</f>
        <v/>
      </c>
      <c r="F49" s="51" t="str">
        <f aca="false">IF($N49&gt;=MA_SHORT,AVERAGE(INDEX($D$5:$D49,46-MA_SHORT):$D49),"")</f>
        <v/>
      </c>
      <c r="G49" s="51" t="str">
        <f aca="false">IF($N49&gt;=MA_MED,AVERAGE(INDEX($D$5:$D49,46-MA_MED):$D49),"")</f>
        <v/>
      </c>
      <c r="H49" s="51" t="str">
        <f aca="false">IF($N49&gt;=MA_LONG2,AVERAGE(INDEX($D$5:$D49,46-MA_LONG2):$D49),"")</f>
        <v/>
      </c>
      <c r="I49" s="51" t="n">
        <v>726345.49</v>
      </c>
      <c r="J49" s="52" t="str">
        <f aca="false">IF($N49&gt;1,$I49/$I48-1,"")</f>
        <v/>
      </c>
      <c r="K49" s="51" t="str">
        <f aca="false">IF($N49&gt;=MA_SHORT,AVERAGE(INDEX($I$5:$I49,46-MA_SHORT):$I49),"")</f>
        <v/>
      </c>
      <c r="L49" s="51" t="str">
        <f aca="false">IF($N49&gt;=MA_MED,AVERAGE(INDEX($I$5:$I49,46-MA_MED):$I49),"")</f>
        <v/>
      </c>
      <c r="M49" s="51" t="str">
        <f aca="false">IF($N49&gt;=MA_LONG2,AVERAGE(INDEX($I$5:$I49,46-MA_LONG2):$I49),"")</f>
        <v/>
      </c>
      <c r="N49" s="46" t="n">
        <f aca="false">IF($A49=$A48,$N48+1,1)</f>
        <v>1</v>
      </c>
    </row>
    <row r="50" customFormat="false" ht="15" hidden="false" customHeight="false" outlineLevel="0" collapsed="false">
      <c r="A50" s="45" t="n">
        <v>45969</v>
      </c>
      <c r="B50" s="46" t="n">
        <v>20251108</v>
      </c>
      <c r="C50" s="47" t="s">
        <v>333</v>
      </c>
      <c r="D50" s="51" t="n">
        <v>2169815.5</v>
      </c>
      <c r="E50" s="52" t="str">
        <f aca="false">IF($N50&gt;1,$D50/$D49-1,"")</f>
        <v/>
      </c>
      <c r="F50" s="51" t="str">
        <f aca="false">IF($N50&gt;=MA_SHORT,AVERAGE(INDEX($D$5:$D50,47-MA_SHORT):$D50),"")</f>
        <v/>
      </c>
      <c r="G50" s="51" t="str">
        <f aca="false">IF($N50&gt;=MA_MED,AVERAGE(INDEX($D$5:$D50,47-MA_MED):$D50),"")</f>
        <v/>
      </c>
      <c r="H50" s="51" t="str">
        <f aca="false">IF($N50&gt;=MA_LONG2,AVERAGE(INDEX($D$5:$D50,47-MA_LONG2):$D50),"")</f>
        <v/>
      </c>
      <c r="I50" s="51" t="n">
        <v>741460.69</v>
      </c>
      <c r="J50" s="52" t="str">
        <f aca="false">IF($N50&gt;1,$I50/$I49-1,"")</f>
        <v/>
      </c>
      <c r="K50" s="51" t="str">
        <f aca="false">IF($N50&gt;=MA_SHORT,AVERAGE(INDEX($I$5:$I50,47-MA_SHORT):$I50),"")</f>
        <v/>
      </c>
      <c r="L50" s="51" t="str">
        <f aca="false">IF($N50&gt;=MA_MED,AVERAGE(INDEX($I$5:$I50,47-MA_MED):$I50),"")</f>
        <v/>
      </c>
      <c r="M50" s="51" t="str">
        <f aca="false">IF($N50&gt;=MA_LONG2,AVERAGE(INDEX($I$5:$I50,47-MA_LONG2):$I50),"")</f>
        <v/>
      </c>
      <c r="N50" s="46" t="n">
        <f aca="false">IF($A50=$A49,$N49+1,1)</f>
        <v>1</v>
      </c>
    </row>
    <row r="51" customFormat="false" ht="15" hidden="false" customHeight="false" outlineLevel="0" collapsed="false">
      <c r="A51" s="45" t="n">
        <v>45970</v>
      </c>
      <c r="B51" s="46" t="n">
        <v>20251109</v>
      </c>
      <c r="C51" s="47" t="s">
        <v>334</v>
      </c>
      <c r="D51" s="51" t="n">
        <v>2117746.73</v>
      </c>
      <c r="E51" s="52" t="str">
        <f aca="false">IF($N51&gt;1,$D51/$D50-1,"")</f>
        <v/>
      </c>
      <c r="F51" s="51" t="str">
        <f aca="false">IF($N51&gt;=MA_SHORT,AVERAGE(INDEX($D$5:$D51,48-MA_SHORT):$D51),"")</f>
        <v/>
      </c>
      <c r="G51" s="51" t="str">
        <f aca="false">IF($N51&gt;=MA_MED,AVERAGE(INDEX($D$5:$D51,48-MA_MED):$D51),"")</f>
        <v/>
      </c>
      <c r="H51" s="51" t="str">
        <f aca="false">IF($N51&gt;=MA_LONG2,AVERAGE(INDEX($D$5:$D51,48-MA_LONG2):$D51),"")</f>
        <v/>
      </c>
      <c r="I51" s="51" t="n">
        <v>748081.73</v>
      </c>
      <c r="J51" s="52" t="str">
        <f aca="false">IF($N51&gt;1,$I51/$I50-1,"")</f>
        <v/>
      </c>
      <c r="K51" s="51" t="str">
        <f aca="false">IF($N51&gt;=MA_SHORT,AVERAGE(INDEX($I$5:$I51,48-MA_SHORT):$I51),"")</f>
        <v/>
      </c>
      <c r="L51" s="51" t="str">
        <f aca="false">IF($N51&gt;=MA_MED,AVERAGE(INDEX($I$5:$I51,48-MA_MED):$I51),"")</f>
        <v/>
      </c>
      <c r="M51" s="51" t="str">
        <f aca="false">IF($N51&gt;=MA_LONG2,AVERAGE(INDEX($I$5:$I51,48-MA_LONG2):$I51),"")</f>
        <v/>
      </c>
      <c r="N51" s="46" t="n">
        <f aca="false">IF($A51=$A50,$N50+1,1)</f>
        <v>1</v>
      </c>
    </row>
    <row r="52" customFormat="false" ht="15" hidden="false" customHeight="false" outlineLevel="0" collapsed="false">
      <c r="A52" s="45" t="n">
        <v>45971</v>
      </c>
      <c r="B52" s="46" t="n">
        <v>20251110</v>
      </c>
      <c r="C52" s="47" t="s">
        <v>335</v>
      </c>
      <c r="D52" s="51" t="n">
        <v>2118261.83</v>
      </c>
      <c r="E52" s="52" t="str">
        <f aca="false">IF($N52&gt;1,$D52/$D51-1,"")</f>
        <v/>
      </c>
      <c r="F52" s="51" t="str">
        <f aca="false">IF($N52&gt;=MA_SHORT,AVERAGE(INDEX($D$5:$D52,49-MA_SHORT):$D52),"")</f>
        <v/>
      </c>
      <c r="G52" s="51" t="str">
        <f aca="false">IF($N52&gt;=MA_MED,AVERAGE(INDEX($D$5:$D52,49-MA_MED):$D52),"")</f>
        <v/>
      </c>
      <c r="H52" s="51" t="str">
        <f aca="false">IF($N52&gt;=MA_LONG2,AVERAGE(INDEX($D$5:$D52,49-MA_LONG2):$D52),"")</f>
        <v/>
      </c>
      <c r="I52" s="51" t="n">
        <v>751083.52</v>
      </c>
      <c r="J52" s="52" t="str">
        <f aca="false">IF($N52&gt;1,$I52/$I51-1,"")</f>
        <v/>
      </c>
      <c r="K52" s="51" t="str">
        <f aca="false">IF($N52&gt;=MA_SHORT,AVERAGE(INDEX($I$5:$I52,49-MA_SHORT):$I52),"")</f>
        <v/>
      </c>
      <c r="L52" s="51" t="str">
        <f aca="false">IF($N52&gt;=MA_MED,AVERAGE(INDEX($I$5:$I52,49-MA_MED):$I52),"")</f>
        <v/>
      </c>
      <c r="M52" s="51" t="str">
        <f aca="false">IF($N52&gt;=MA_LONG2,AVERAGE(INDEX($I$5:$I52,49-MA_LONG2):$I52),"")</f>
        <v/>
      </c>
      <c r="N52" s="46" t="n">
        <f aca="false">IF($A52=$A51,$N51+1,1)</f>
        <v>1</v>
      </c>
    </row>
    <row r="53" customFormat="false" ht="15" hidden="false" customHeight="false" outlineLevel="0" collapsed="false">
      <c r="A53" s="45" t="n">
        <v>45972</v>
      </c>
      <c r="B53" s="46" t="n">
        <v>20251111</v>
      </c>
      <c r="C53" s="47" t="s">
        <v>336</v>
      </c>
      <c r="D53" s="51" t="n">
        <v>2142955.16</v>
      </c>
      <c r="E53" s="52" t="str">
        <f aca="false">IF($N53&gt;1,$D53/$D52-1,"")</f>
        <v/>
      </c>
      <c r="F53" s="51" t="str">
        <f aca="false">IF($N53&gt;=MA_SHORT,AVERAGE(INDEX($D$5:$D53,50-MA_SHORT):$D53),"")</f>
        <v/>
      </c>
      <c r="G53" s="51" t="str">
        <f aca="false">IF($N53&gt;=MA_MED,AVERAGE(INDEX($D$5:$D53,50-MA_MED):$D53),"")</f>
        <v/>
      </c>
      <c r="H53" s="51" t="str">
        <f aca="false">IF($N53&gt;=MA_LONG2,AVERAGE(INDEX($D$5:$D53,50-MA_LONG2):$D53),"")</f>
        <v/>
      </c>
      <c r="I53" s="51" t="n">
        <v>755578.02</v>
      </c>
      <c r="J53" s="52" t="str">
        <f aca="false">IF($N53&gt;1,$I53/$I52-1,"")</f>
        <v/>
      </c>
      <c r="K53" s="51" t="str">
        <f aca="false">IF($N53&gt;=MA_SHORT,AVERAGE(INDEX($I$5:$I53,50-MA_SHORT):$I53),"")</f>
        <v/>
      </c>
      <c r="L53" s="51" t="str">
        <f aca="false">IF($N53&gt;=MA_MED,AVERAGE(INDEX($I$5:$I53,50-MA_MED):$I53),"")</f>
        <v/>
      </c>
      <c r="M53" s="51" t="str">
        <f aca="false">IF($N53&gt;=MA_LONG2,AVERAGE(INDEX($I$5:$I53,50-MA_LONG2):$I53),"")</f>
        <v/>
      </c>
      <c r="N53" s="46" t="n">
        <f aca="false">IF($A53=$A52,$N52+1,1)</f>
        <v>1</v>
      </c>
    </row>
    <row r="54" customFormat="false" ht="15" hidden="false" customHeight="false" outlineLevel="0" collapsed="false">
      <c r="A54" s="45" t="n">
        <v>45973</v>
      </c>
      <c r="B54" s="46" t="n">
        <v>20251112</v>
      </c>
      <c r="C54" s="47" t="s">
        <v>337</v>
      </c>
      <c r="D54" s="51" t="n">
        <v>2136620.2</v>
      </c>
      <c r="E54" s="52" t="str">
        <f aca="false">IF($N54&gt;1,$D54/$D53-1,"")</f>
        <v/>
      </c>
      <c r="F54" s="51" t="str">
        <f aca="false">IF($N54&gt;=MA_SHORT,AVERAGE(INDEX($D$5:$D54,51-MA_SHORT):$D54),"")</f>
        <v/>
      </c>
      <c r="G54" s="51" t="str">
        <f aca="false">IF($N54&gt;=MA_MED,AVERAGE(INDEX($D$5:$D54,51-MA_MED):$D54),"")</f>
        <v/>
      </c>
      <c r="H54" s="51" t="str">
        <f aca="false">IF($N54&gt;=MA_LONG2,AVERAGE(INDEX($D$5:$D54,51-MA_LONG2):$D54),"")</f>
        <v/>
      </c>
      <c r="I54" s="51" t="n">
        <v>741583.56</v>
      </c>
      <c r="J54" s="52" t="str">
        <f aca="false">IF($N54&gt;1,$I54/$I53-1,"")</f>
        <v/>
      </c>
      <c r="K54" s="51" t="str">
        <f aca="false">IF($N54&gt;=MA_SHORT,AVERAGE(INDEX($I$5:$I54,51-MA_SHORT):$I54),"")</f>
        <v/>
      </c>
      <c r="L54" s="51" t="str">
        <f aca="false">IF($N54&gt;=MA_MED,AVERAGE(INDEX($I$5:$I54,51-MA_MED):$I54),"")</f>
        <v/>
      </c>
      <c r="M54" s="51" t="str">
        <f aca="false">IF($N54&gt;=MA_LONG2,AVERAGE(INDEX($I$5:$I54,51-MA_LONG2):$I54),"")</f>
        <v/>
      </c>
      <c r="N54" s="46" t="n">
        <f aca="false">IF($A54=$A53,$N53+1,1)</f>
        <v>1</v>
      </c>
    </row>
    <row r="55" customFormat="false" ht="15" hidden="false" customHeight="false" outlineLevel="0" collapsed="false">
      <c r="A55" s="45" t="n">
        <v>45976</v>
      </c>
      <c r="B55" s="46" t="n">
        <v>20251115</v>
      </c>
      <c r="C55" s="47" t="s">
        <v>338</v>
      </c>
      <c r="D55" s="51" t="n">
        <v>2132450</v>
      </c>
      <c r="E55" s="52" t="str">
        <f aca="false">IF($N55&gt;1,$D55/$D54-1,"")</f>
        <v/>
      </c>
      <c r="F55" s="51" t="str">
        <f aca="false">IF($N55&gt;=MA_SHORT,AVERAGE(INDEX($D$5:$D55,52-MA_SHORT):$D55),"")</f>
        <v/>
      </c>
      <c r="G55" s="51" t="str">
        <f aca="false">IF($N55&gt;=MA_MED,AVERAGE(INDEX($D$5:$D55,52-MA_MED):$D55),"")</f>
        <v/>
      </c>
      <c r="H55" s="51" t="str">
        <f aca="false">IF($N55&gt;=MA_LONG2,AVERAGE(INDEX($D$5:$D55,52-MA_LONG2):$D55),"")</f>
        <v/>
      </c>
      <c r="I55" s="51" t="n">
        <v>732156.83</v>
      </c>
      <c r="J55" s="52" t="str">
        <f aca="false">IF($N55&gt;1,$I55/$I54-1,"")</f>
        <v/>
      </c>
      <c r="K55" s="51" t="str">
        <f aca="false">IF($N55&gt;=MA_SHORT,AVERAGE(INDEX($I$5:$I55,52-MA_SHORT):$I55),"")</f>
        <v/>
      </c>
      <c r="L55" s="51" t="str">
        <f aca="false">IF($N55&gt;=MA_MED,AVERAGE(INDEX($I$5:$I55,52-MA_MED):$I55),"")</f>
        <v/>
      </c>
      <c r="M55" s="51" t="str">
        <f aca="false">IF($N55&gt;=MA_LONG2,AVERAGE(INDEX($I$5:$I55,52-MA_LONG2):$I55),"")</f>
        <v/>
      </c>
      <c r="N55" s="46" t="n">
        <f aca="false">IF($A55=$A54,$N54+1,1)</f>
        <v>1</v>
      </c>
    </row>
    <row r="56" customFormat="false" ht="15" hidden="false" customHeight="false" outlineLevel="0" collapsed="false">
      <c r="A56" s="45" t="n">
        <v>45977</v>
      </c>
      <c r="B56" s="46" t="n">
        <v>20251116</v>
      </c>
      <c r="C56" s="47" t="s">
        <v>339</v>
      </c>
      <c r="D56" s="51" t="n">
        <v>2124580.41</v>
      </c>
      <c r="E56" s="52" t="str">
        <f aca="false">IF($N56&gt;1,$D56/$D55-1,"")</f>
        <v/>
      </c>
      <c r="F56" s="51" t="str">
        <f aca="false">IF($N56&gt;=MA_SHORT,AVERAGE(INDEX($D$5:$D56,53-MA_SHORT):$D56),"")</f>
        <v/>
      </c>
      <c r="G56" s="51" t="str">
        <f aca="false">IF($N56&gt;=MA_MED,AVERAGE(INDEX($D$5:$D56,53-MA_MED):$D56),"")</f>
        <v/>
      </c>
      <c r="H56" s="51" t="str">
        <f aca="false">IF($N56&gt;=MA_LONG2,AVERAGE(INDEX($D$5:$D56,53-MA_LONG2):$D56),"")</f>
        <v/>
      </c>
      <c r="I56" s="51" t="n">
        <v>726004.47</v>
      </c>
      <c r="J56" s="52" t="str">
        <f aca="false">IF($N56&gt;1,$I56/$I55-1,"")</f>
        <v/>
      </c>
      <c r="K56" s="51" t="str">
        <f aca="false">IF($N56&gt;=MA_SHORT,AVERAGE(INDEX($I$5:$I56,53-MA_SHORT):$I56),"")</f>
        <v/>
      </c>
      <c r="L56" s="51" t="str">
        <f aca="false">IF($N56&gt;=MA_MED,AVERAGE(INDEX($I$5:$I56,53-MA_MED):$I56),"")</f>
        <v/>
      </c>
      <c r="M56" s="51" t="str">
        <f aca="false">IF($N56&gt;=MA_LONG2,AVERAGE(INDEX($I$5:$I56,53-MA_LONG2):$I56),"")</f>
        <v/>
      </c>
      <c r="N56" s="46" t="n">
        <f aca="false">IF($A56=$A55,$N55+1,1)</f>
        <v>1</v>
      </c>
    </row>
    <row r="57" customFormat="false" ht="15" hidden="false" customHeight="false" outlineLevel="0" collapsed="false">
      <c r="A57" s="45" t="n">
        <v>45978</v>
      </c>
      <c r="B57" s="46" t="n">
        <v>20251117</v>
      </c>
      <c r="C57" s="47" t="s">
        <v>340</v>
      </c>
      <c r="D57" s="51" t="n">
        <v>2069795.11</v>
      </c>
      <c r="E57" s="52" t="str">
        <f aca="false">IF($N57&gt;1,$D57/$D56-1,"")</f>
        <v/>
      </c>
      <c r="F57" s="51" t="str">
        <f aca="false">IF($N57&gt;=MA_SHORT,AVERAGE(INDEX($D$5:$D57,54-MA_SHORT):$D57),"")</f>
        <v/>
      </c>
      <c r="G57" s="51" t="str">
        <f aca="false">IF($N57&gt;=MA_MED,AVERAGE(INDEX($D$5:$D57,54-MA_MED):$D57),"")</f>
        <v/>
      </c>
      <c r="H57" s="51" t="str">
        <f aca="false">IF($N57&gt;=MA_LONG2,AVERAGE(INDEX($D$5:$D57,54-MA_LONG2):$D57),"")</f>
        <v/>
      </c>
      <c r="I57" s="51" t="n">
        <v>725887.12</v>
      </c>
      <c r="J57" s="52" t="str">
        <f aca="false">IF($N57&gt;1,$I57/$I56-1,"")</f>
        <v/>
      </c>
      <c r="K57" s="51" t="str">
        <f aca="false">IF($N57&gt;=MA_SHORT,AVERAGE(INDEX($I$5:$I57,54-MA_SHORT):$I57),"")</f>
        <v/>
      </c>
      <c r="L57" s="51" t="str">
        <f aca="false">IF($N57&gt;=MA_MED,AVERAGE(INDEX($I$5:$I57,54-MA_MED):$I57),"")</f>
        <v/>
      </c>
      <c r="M57" s="51" t="str">
        <f aca="false">IF($N57&gt;=MA_LONG2,AVERAGE(INDEX($I$5:$I57,54-MA_LONG2):$I57),"")</f>
        <v/>
      </c>
      <c r="N57" s="46" t="n">
        <f aca="false">IF($A57=$A56,$N56+1,1)</f>
        <v>1</v>
      </c>
    </row>
    <row r="58" customFormat="false" ht="15" hidden="false" customHeight="false" outlineLevel="0" collapsed="false">
      <c r="A58" s="45" t="n">
        <v>45979</v>
      </c>
      <c r="B58" s="46" t="n">
        <v>20251118</v>
      </c>
      <c r="C58" s="47" t="s">
        <v>341</v>
      </c>
      <c r="D58" s="51" t="n">
        <v>2067861.68</v>
      </c>
      <c r="E58" s="52" t="str">
        <f aca="false">IF($N58&gt;1,$D58/$D57-1,"")</f>
        <v/>
      </c>
      <c r="F58" s="51" t="str">
        <f aca="false">IF($N58&gt;=MA_SHORT,AVERAGE(INDEX($D$5:$D58,55-MA_SHORT):$D58),"")</f>
        <v/>
      </c>
      <c r="G58" s="51" t="str">
        <f aca="false">IF($N58&gt;=MA_MED,AVERAGE(INDEX($D$5:$D58,55-MA_MED):$D58),"")</f>
        <v/>
      </c>
      <c r="H58" s="51" t="str">
        <f aca="false">IF($N58&gt;=MA_LONG2,AVERAGE(INDEX($D$5:$D58,55-MA_LONG2):$D58),"")</f>
        <v/>
      </c>
      <c r="I58" s="51" t="n">
        <v>711000.18</v>
      </c>
      <c r="J58" s="52" t="str">
        <f aca="false">IF($N58&gt;1,$I58/$I57-1,"")</f>
        <v/>
      </c>
      <c r="K58" s="51" t="str">
        <f aca="false">IF($N58&gt;=MA_SHORT,AVERAGE(INDEX($I$5:$I58,55-MA_SHORT):$I58),"")</f>
        <v/>
      </c>
      <c r="L58" s="51" t="str">
        <f aca="false">IF($N58&gt;=MA_MED,AVERAGE(INDEX($I$5:$I58,55-MA_MED):$I58),"")</f>
        <v/>
      </c>
      <c r="M58" s="51" t="str">
        <f aca="false">IF($N58&gt;=MA_LONG2,AVERAGE(INDEX($I$5:$I58,55-MA_LONG2):$I58),"")</f>
        <v/>
      </c>
      <c r="N58" s="46" t="n">
        <f aca="false">IF($A58=$A57,$N57+1,1)</f>
        <v>1</v>
      </c>
    </row>
    <row r="59" customFormat="false" ht="15" hidden="false" customHeight="false" outlineLevel="0" collapsed="false">
      <c r="A59" s="45" t="n">
        <v>45980</v>
      </c>
      <c r="B59" s="46" t="n">
        <v>20251119</v>
      </c>
      <c r="C59" s="47" t="s">
        <v>342</v>
      </c>
      <c r="D59" s="51" t="n">
        <v>2083678.45</v>
      </c>
      <c r="E59" s="52" t="str">
        <f aca="false">IF($N59&gt;1,$D59/$D58-1,"")</f>
        <v/>
      </c>
      <c r="F59" s="51" t="str">
        <f aca="false">IF($N59&gt;=MA_SHORT,AVERAGE(INDEX($D$5:$D59,56-MA_SHORT):$D59),"")</f>
        <v/>
      </c>
      <c r="G59" s="51" t="str">
        <f aca="false">IF($N59&gt;=MA_MED,AVERAGE(INDEX($D$5:$D59,56-MA_MED):$D59),"")</f>
        <v/>
      </c>
      <c r="H59" s="51" t="str">
        <f aca="false">IF($N59&gt;=MA_LONG2,AVERAGE(INDEX($D$5:$D59,56-MA_LONG2):$D59),"")</f>
        <v/>
      </c>
      <c r="I59" s="51" t="n">
        <v>721220.5</v>
      </c>
      <c r="J59" s="52" t="str">
        <f aca="false">IF($N59&gt;1,$I59/$I58-1,"")</f>
        <v/>
      </c>
      <c r="K59" s="51" t="str">
        <f aca="false">IF($N59&gt;=MA_SHORT,AVERAGE(INDEX($I$5:$I59,56-MA_SHORT):$I59),"")</f>
        <v/>
      </c>
      <c r="L59" s="51" t="str">
        <f aca="false">IF($N59&gt;=MA_MED,AVERAGE(INDEX($I$5:$I59,56-MA_MED):$I59),"")</f>
        <v/>
      </c>
      <c r="M59" s="51" t="str">
        <f aca="false">IF($N59&gt;=MA_LONG2,AVERAGE(INDEX($I$5:$I59,56-MA_LONG2):$I59),"")</f>
        <v/>
      </c>
      <c r="N59" s="46" t="n">
        <f aca="false">IF($A59=$A58,$N58+1,1)</f>
        <v>1</v>
      </c>
    </row>
    <row r="60" customFormat="false" ht="15" hidden="false" customHeight="false" outlineLevel="0" collapsed="false">
      <c r="A60" s="45" t="n">
        <v>45983</v>
      </c>
      <c r="B60" s="46" t="n">
        <v>20251122</v>
      </c>
      <c r="C60" s="47" t="s">
        <v>343</v>
      </c>
      <c r="D60" s="51" t="n">
        <v>2110992.13</v>
      </c>
      <c r="E60" s="52" t="str">
        <f aca="false">IF($N60&gt;1,$D60/$D59-1,"")</f>
        <v/>
      </c>
      <c r="F60" s="51" t="str">
        <f aca="false">IF($N60&gt;=MA_SHORT,AVERAGE(INDEX($D$5:$D60,57-MA_SHORT):$D60),"")</f>
        <v/>
      </c>
      <c r="G60" s="51" t="str">
        <f aca="false">IF($N60&gt;=MA_MED,AVERAGE(INDEX($D$5:$D60,57-MA_MED):$D60),"")</f>
        <v/>
      </c>
      <c r="H60" s="51" t="str">
        <f aca="false">IF($N60&gt;=MA_LONG2,AVERAGE(INDEX($D$5:$D60,57-MA_LONG2):$D60),"")</f>
        <v/>
      </c>
      <c r="I60" s="51" t="n">
        <v>722120.07</v>
      </c>
      <c r="J60" s="52" t="str">
        <f aca="false">IF($N60&gt;1,$I60/$I59-1,"")</f>
        <v/>
      </c>
      <c r="K60" s="51" t="str">
        <f aca="false">IF($N60&gt;=MA_SHORT,AVERAGE(INDEX($I$5:$I60,57-MA_SHORT):$I60),"")</f>
        <v/>
      </c>
      <c r="L60" s="51" t="str">
        <f aca="false">IF($N60&gt;=MA_MED,AVERAGE(INDEX($I$5:$I60,57-MA_MED):$I60),"")</f>
        <v/>
      </c>
      <c r="M60" s="51" t="str">
        <f aca="false">IF($N60&gt;=MA_LONG2,AVERAGE(INDEX($I$5:$I60,57-MA_LONG2):$I60),"")</f>
        <v/>
      </c>
      <c r="N60" s="46" t="n">
        <f aca="false">IF($A60=$A59,$N59+1,1)</f>
        <v>1</v>
      </c>
    </row>
    <row r="61" customFormat="false" ht="15" hidden="false" customHeight="false" outlineLevel="0" collapsed="false">
      <c r="A61" s="45" t="n">
        <v>45984</v>
      </c>
      <c r="B61" s="46" t="n">
        <v>20251123</v>
      </c>
      <c r="C61" s="47" t="s">
        <v>344</v>
      </c>
      <c r="D61" s="51" t="n">
        <v>2092077.03</v>
      </c>
      <c r="E61" s="52" t="str">
        <f aca="false">IF($N61&gt;1,$D61/$D60-1,"")</f>
        <v/>
      </c>
      <c r="F61" s="51" t="str">
        <f aca="false">IF($N61&gt;=MA_SHORT,AVERAGE(INDEX($D$5:$D61,58-MA_SHORT):$D61),"")</f>
        <v/>
      </c>
      <c r="G61" s="51" t="str">
        <f aca="false">IF($N61&gt;=MA_MED,AVERAGE(INDEX($D$5:$D61,58-MA_MED):$D61),"")</f>
        <v/>
      </c>
      <c r="H61" s="51" t="str">
        <f aca="false">IF($N61&gt;=MA_LONG2,AVERAGE(INDEX($D$5:$D61,58-MA_LONG2):$D61),"")</f>
        <v/>
      </c>
      <c r="I61" s="51" t="n">
        <v>727035.33</v>
      </c>
      <c r="J61" s="52" t="str">
        <f aca="false">IF($N61&gt;1,$I61/$I60-1,"")</f>
        <v/>
      </c>
      <c r="K61" s="51" t="str">
        <f aca="false">IF($N61&gt;=MA_SHORT,AVERAGE(INDEX($I$5:$I61,58-MA_SHORT):$I61),"")</f>
        <v/>
      </c>
      <c r="L61" s="51" t="str">
        <f aca="false">IF($N61&gt;=MA_MED,AVERAGE(INDEX($I$5:$I61,58-MA_MED):$I61),"")</f>
        <v/>
      </c>
      <c r="M61" s="51" t="str">
        <f aca="false">IF($N61&gt;=MA_LONG2,AVERAGE(INDEX($I$5:$I61,58-MA_LONG2):$I61),"")</f>
        <v/>
      </c>
      <c r="N61" s="46" t="n">
        <f aca="false">IF($A61=$A60,$N60+1,1)</f>
        <v>1</v>
      </c>
    </row>
    <row r="62" customFormat="false" ht="15" hidden="false" customHeight="false" outlineLevel="0" collapsed="false">
      <c r="A62" s="45" t="n">
        <v>45985</v>
      </c>
      <c r="B62" s="46" t="n">
        <v>20251124</v>
      </c>
      <c r="C62" s="47" t="s">
        <v>345</v>
      </c>
      <c r="D62" s="51" t="n">
        <v>2120649.46</v>
      </c>
      <c r="E62" s="52" t="str">
        <f aca="false">IF($N62&gt;1,$D62/$D61-1,"")</f>
        <v/>
      </c>
      <c r="F62" s="51" t="str">
        <f aca="false">IF($N62&gt;=MA_SHORT,AVERAGE(INDEX($D$5:$D62,59-MA_SHORT):$D62),"")</f>
        <v/>
      </c>
      <c r="G62" s="51" t="str">
        <f aca="false">IF($N62&gt;=MA_MED,AVERAGE(INDEX($D$5:$D62,59-MA_MED):$D62),"")</f>
        <v/>
      </c>
      <c r="H62" s="51" t="str">
        <f aca="false">IF($N62&gt;=MA_LONG2,AVERAGE(INDEX($D$5:$D62,59-MA_LONG2):$D62),"")</f>
        <v/>
      </c>
      <c r="I62" s="51" t="n">
        <v>743306.72</v>
      </c>
      <c r="J62" s="52" t="str">
        <f aca="false">IF($N62&gt;1,$I62/$I61-1,"")</f>
        <v/>
      </c>
      <c r="K62" s="51" t="str">
        <f aca="false">IF($N62&gt;=MA_SHORT,AVERAGE(INDEX($I$5:$I62,59-MA_SHORT):$I62),"")</f>
        <v/>
      </c>
      <c r="L62" s="51" t="str">
        <f aca="false">IF($N62&gt;=MA_MED,AVERAGE(INDEX($I$5:$I62,59-MA_MED):$I62),"")</f>
        <v/>
      </c>
      <c r="M62" s="51" t="str">
        <f aca="false">IF($N62&gt;=MA_LONG2,AVERAGE(INDEX($I$5:$I62,59-MA_LONG2):$I62),"")</f>
        <v/>
      </c>
      <c r="N62" s="46" t="n">
        <f aca="false">IF($A62=$A61,$N61+1,1)</f>
        <v>1</v>
      </c>
    </row>
    <row r="63" customFormat="false" ht="15" hidden="false" customHeight="false" outlineLevel="0" collapsed="false">
      <c r="A63" s="45" t="n">
        <v>45986</v>
      </c>
      <c r="B63" s="46" t="n">
        <v>20251125</v>
      </c>
      <c r="C63" s="47" t="s">
        <v>346</v>
      </c>
      <c r="D63" s="51" t="n">
        <v>2075259.64</v>
      </c>
      <c r="E63" s="52" t="str">
        <f aca="false">IF($N63&gt;1,$D63/$D62-1,"")</f>
        <v/>
      </c>
      <c r="F63" s="51" t="str">
        <f aca="false">IF($N63&gt;=MA_SHORT,AVERAGE(INDEX($D$5:$D63,60-MA_SHORT):$D63),"")</f>
        <v/>
      </c>
      <c r="G63" s="51" t="str">
        <f aca="false">IF($N63&gt;=MA_MED,AVERAGE(INDEX($D$5:$D63,60-MA_MED):$D63),"")</f>
        <v/>
      </c>
      <c r="H63" s="51" t="str">
        <f aca="false">IF($N63&gt;=MA_LONG2,AVERAGE(INDEX($D$5:$D63,60-MA_LONG2):$D63),"")</f>
        <v/>
      </c>
      <c r="I63" s="51" t="n">
        <v>743470.81</v>
      </c>
      <c r="J63" s="52" t="str">
        <f aca="false">IF($N63&gt;1,$I63/$I62-1,"")</f>
        <v/>
      </c>
      <c r="K63" s="51" t="str">
        <f aca="false">IF($N63&gt;=MA_SHORT,AVERAGE(INDEX($I$5:$I63,60-MA_SHORT):$I63),"")</f>
        <v/>
      </c>
      <c r="L63" s="51" t="str">
        <f aca="false">IF($N63&gt;=MA_MED,AVERAGE(INDEX($I$5:$I63,60-MA_MED):$I63),"")</f>
        <v/>
      </c>
      <c r="M63" s="51" t="str">
        <f aca="false">IF($N63&gt;=MA_LONG2,AVERAGE(INDEX($I$5:$I63,60-MA_LONG2):$I63),"")</f>
        <v/>
      </c>
      <c r="N63" s="46" t="n">
        <f aca="false">IF($A63=$A62,$N62+1,1)</f>
        <v>1</v>
      </c>
    </row>
    <row r="64" customFormat="false" ht="15" hidden="false" customHeight="false" outlineLevel="0" collapsed="false">
      <c r="A64" s="45" t="n">
        <v>45987</v>
      </c>
      <c r="B64" s="46" t="n">
        <v>20251126</v>
      </c>
      <c r="C64" s="47" t="s">
        <v>347</v>
      </c>
      <c r="D64" s="51" t="n">
        <v>2072958.26</v>
      </c>
      <c r="E64" s="52" t="str">
        <f aca="false">IF($N64&gt;1,$D64/$D63-1,"")</f>
        <v/>
      </c>
      <c r="F64" s="51" t="str">
        <f aca="false">IF($N64&gt;=MA_SHORT,AVERAGE(INDEX($D$5:$D64,61-MA_SHORT):$D64),"")</f>
        <v/>
      </c>
      <c r="G64" s="51" t="str">
        <f aca="false">IF($N64&gt;=MA_MED,AVERAGE(INDEX($D$5:$D64,61-MA_MED):$D64),"")</f>
        <v/>
      </c>
      <c r="H64" s="51" t="str">
        <f aca="false">IF($N64&gt;=MA_LONG2,AVERAGE(INDEX($D$5:$D64,61-MA_LONG2):$D64),"")</f>
        <v/>
      </c>
      <c r="I64" s="51" t="n">
        <v>746964.41</v>
      </c>
      <c r="J64" s="52" t="str">
        <f aca="false">IF($N64&gt;1,$I64/$I63-1,"")</f>
        <v/>
      </c>
      <c r="K64" s="51" t="str">
        <f aca="false">IF($N64&gt;=MA_SHORT,AVERAGE(INDEX($I$5:$I64,61-MA_SHORT):$I64),"")</f>
        <v/>
      </c>
      <c r="L64" s="51" t="str">
        <f aca="false">IF($N64&gt;=MA_MED,AVERAGE(INDEX($I$5:$I64,61-MA_MED):$I64),"")</f>
        <v/>
      </c>
      <c r="M64" s="51" t="str">
        <f aca="false">IF($N64&gt;=MA_LONG2,AVERAGE(INDEX($I$5:$I64,61-MA_LONG2):$I64),"")</f>
        <v/>
      </c>
      <c r="N64" s="46" t="n">
        <f aca="false">IF($A64=$A63,$N63+1,1)</f>
        <v>1</v>
      </c>
    </row>
    <row r="65" customFormat="false" ht="15" hidden="false" customHeight="false" outlineLevel="0" collapsed="false">
      <c r="A65" s="45" t="n">
        <v>45990</v>
      </c>
      <c r="B65" s="46" t="n">
        <v>20251129</v>
      </c>
      <c r="C65" s="47" t="s">
        <v>348</v>
      </c>
      <c r="D65" s="51" t="n">
        <v>2057497.59</v>
      </c>
      <c r="E65" s="52" t="str">
        <f aca="false">IF($N65&gt;1,$D65/$D64-1,"")</f>
        <v/>
      </c>
      <c r="F65" s="51" t="str">
        <f aca="false">IF($N65&gt;=MA_SHORT,AVERAGE(INDEX($D$5:$D65,62-MA_SHORT):$D65),"")</f>
        <v/>
      </c>
      <c r="G65" s="51" t="str">
        <f aca="false">IF($N65&gt;=MA_MED,AVERAGE(INDEX($D$5:$D65,62-MA_MED):$D65),"")</f>
        <v/>
      </c>
      <c r="H65" s="51" t="str">
        <f aca="false">IF($N65&gt;=MA_LONG2,AVERAGE(INDEX($D$5:$D65,62-MA_LONG2):$D65),"")</f>
        <v/>
      </c>
      <c r="I65" s="51" t="n">
        <v>748153.01</v>
      </c>
      <c r="J65" s="52" t="str">
        <f aca="false">IF($N65&gt;1,$I65/$I64-1,"")</f>
        <v/>
      </c>
      <c r="K65" s="51" t="str">
        <f aca="false">IF($N65&gt;=MA_SHORT,AVERAGE(INDEX($I$5:$I65,62-MA_SHORT):$I65),"")</f>
        <v/>
      </c>
      <c r="L65" s="51" t="str">
        <f aca="false">IF($N65&gt;=MA_MED,AVERAGE(INDEX($I$5:$I65,62-MA_MED):$I65),"")</f>
        <v/>
      </c>
      <c r="M65" s="51" t="str">
        <f aca="false">IF($N65&gt;=MA_LONG2,AVERAGE(INDEX($I$5:$I65,62-MA_LONG2):$I65),"")</f>
        <v/>
      </c>
      <c r="N65" s="46" t="n">
        <f aca="false">IF($A65=$A64,$N64+1,1)</f>
        <v>1</v>
      </c>
    </row>
    <row r="66" customFormat="false" ht="15" hidden="false" customHeight="false" outlineLevel="0" collapsed="false">
      <c r="A66" s="45" t="n">
        <v>45991</v>
      </c>
      <c r="B66" s="46" t="n">
        <v>20251130</v>
      </c>
      <c r="C66" s="47" t="s">
        <v>349</v>
      </c>
      <c r="D66" s="51" t="n">
        <v>2095148.59</v>
      </c>
      <c r="E66" s="52" t="str">
        <f aca="false">IF($N66&gt;1,$D66/$D65-1,"")</f>
        <v/>
      </c>
      <c r="F66" s="51" t="str">
        <f aca="false">IF($N66&gt;=MA_SHORT,AVERAGE(INDEX($D$5:$D66,63-MA_SHORT):$D66),"")</f>
        <v/>
      </c>
      <c r="G66" s="51" t="str">
        <f aca="false">IF($N66&gt;=MA_MED,AVERAGE(INDEX($D$5:$D66,63-MA_MED):$D66),"")</f>
        <v/>
      </c>
      <c r="H66" s="51" t="str">
        <f aca="false">IF($N66&gt;=MA_LONG2,AVERAGE(INDEX($D$5:$D66,63-MA_LONG2):$D66),"")</f>
        <v/>
      </c>
      <c r="I66" s="51" t="n">
        <v>750529.72</v>
      </c>
      <c r="J66" s="52" t="str">
        <f aca="false">IF($N66&gt;1,$I66/$I65-1,"")</f>
        <v/>
      </c>
      <c r="K66" s="51" t="str">
        <f aca="false">IF($N66&gt;=MA_SHORT,AVERAGE(INDEX($I$5:$I66,63-MA_SHORT):$I66),"")</f>
        <v/>
      </c>
      <c r="L66" s="51" t="str">
        <f aca="false">IF($N66&gt;=MA_MED,AVERAGE(INDEX($I$5:$I66,63-MA_MED):$I66),"")</f>
        <v/>
      </c>
      <c r="M66" s="51" t="str">
        <f aca="false">IF($N66&gt;=MA_LONG2,AVERAGE(INDEX($I$5:$I66,63-MA_LONG2):$I66),"")</f>
        <v/>
      </c>
      <c r="N66" s="46" t="n">
        <f aca="false">IF($A66=$A65,$N65+1,1)</f>
        <v>1</v>
      </c>
    </row>
    <row r="67" customFormat="false" ht="15" hidden="false" customHeight="false" outlineLevel="0" collapsed="false">
      <c r="A67" s="45" t="n">
        <v>45992</v>
      </c>
      <c r="B67" s="46" t="n">
        <v>20251201</v>
      </c>
      <c r="C67" s="47" t="s">
        <v>350</v>
      </c>
      <c r="D67" s="51" t="n">
        <v>2077667.26</v>
      </c>
      <c r="E67" s="52" t="str">
        <f aca="false">IF($N67&gt;1,$D67/$D66-1,"")</f>
        <v/>
      </c>
      <c r="F67" s="51" t="str">
        <f aca="false">IF($N67&gt;=MA_SHORT,AVERAGE(INDEX($D$5:$D67,64-MA_SHORT):$D67),"")</f>
        <v/>
      </c>
      <c r="G67" s="51" t="str">
        <f aca="false">IF($N67&gt;=MA_MED,AVERAGE(INDEX($D$5:$D67,64-MA_MED):$D67),"")</f>
        <v/>
      </c>
      <c r="H67" s="51" t="str">
        <f aca="false">IF($N67&gt;=MA_LONG2,AVERAGE(INDEX($D$5:$D67,64-MA_LONG2):$D67),"")</f>
        <v/>
      </c>
      <c r="I67" s="51" t="n">
        <v>744546.83</v>
      </c>
      <c r="J67" s="52" t="str">
        <f aca="false">IF($N67&gt;1,$I67/$I66-1,"")</f>
        <v/>
      </c>
      <c r="K67" s="51" t="str">
        <f aca="false">IF($N67&gt;=MA_SHORT,AVERAGE(INDEX($I$5:$I67,64-MA_SHORT):$I67),"")</f>
        <v/>
      </c>
      <c r="L67" s="51" t="str">
        <f aca="false">IF($N67&gt;=MA_MED,AVERAGE(INDEX($I$5:$I67,64-MA_MED):$I67),"")</f>
        <v/>
      </c>
      <c r="M67" s="51" t="str">
        <f aca="false">IF($N67&gt;=MA_LONG2,AVERAGE(INDEX($I$5:$I67,64-MA_LONG2):$I67),"")</f>
        <v/>
      </c>
      <c r="N67" s="46" t="n">
        <f aca="false">IF($A67=$A66,$N66+1,1)</f>
        <v>1</v>
      </c>
    </row>
    <row r="68" customFormat="false" ht="15" hidden="false" customHeight="false" outlineLevel="0" collapsed="false">
      <c r="A68" s="45" t="n">
        <v>45993</v>
      </c>
      <c r="B68" s="46" t="n">
        <v>20251202</v>
      </c>
      <c r="C68" s="47" t="s">
        <v>351</v>
      </c>
      <c r="D68" s="51" t="n">
        <v>2032751.48</v>
      </c>
      <c r="E68" s="52" t="str">
        <f aca="false">IF($N68&gt;1,$D68/$D67-1,"")</f>
        <v/>
      </c>
      <c r="F68" s="51" t="str">
        <f aca="false">IF($N68&gt;=MA_SHORT,AVERAGE(INDEX($D$5:$D68,65-MA_SHORT):$D68),"")</f>
        <v/>
      </c>
      <c r="G68" s="51" t="str">
        <f aca="false">IF($N68&gt;=MA_MED,AVERAGE(INDEX($D$5:$D68,65-MA_MED):$D68),"")</f>
        <v/>
      </c>
      <c r="H68" s="51" t="str">
        <f aca="false">IF($N68&gt;=MA_LONG2,AVERAGE(INDEX($D$5:$D68,65-MA_LONG2):$D68),"")</f>
        <v/>
      </c>
      <c r="I68" s="51" t="n">
        <v>744514.77</v>
      </c>
      <c r="J68" s="52" t="str">
        <f aca="false">IF($N68&gt;1,$I68/$I67-1,"")</f>
        <v/>
      </c>
      <c r="K68" s="51" t="str">
        <f aca="false">IF($N68&gt;=MA_SHORT,AVERAGE(INDEX($I$5:$I68,65-MA_SHORT):$I68),"")</f>
        <v/>
      </c>
      <c r="L68" s="51" t="str">
        <f aca="false">IF($N68&gt;=MA_MED,AVERAGE(INDEX($I$5:$I68,65-MA_MED):$I68),"")</f>
        <v/>
      </c>
      <c r="M68" s="51" t="str">
        <f aca="false">IF($N68&gt;=MA_LONG2,AVERAGE(INDEX($I$5:$I68,65-MA_LONG2):$I68),"")</f>
        <v/>
      </c>
      <c r="N68" s="46" t="n">
        <f aca="false">IF($A68=$A67,$N67+1,1)</f>
        <v>1</v>
      </c>
    </row>
    <row r="69" customFormat="false" ht="15" hidden="false" customHeight="false" outlineLevel="0" collapsed="false">
      <c r="A69" s="45" t="n">
        <v>45994</v>
      </c>
      <c r="B69" s="46" t="n">
        <v>20251203</v>
      </c>
      <c r="C69" s="47" t="s">
        <v>352</v>
      </c>
      <c r="D69" s="51" t="n">
        <v>2035206.71</v>
      </c>
      <c r="E69" s="52" t="str">
        <f aca="false">IF($N69&gt;1,$D69/$D68-1,"")</f>
        <v/>
      </c>
      <c r="F69" s="51" t="str">
        <f aca="false">IF($N69&gt;=MA_SHORT,AVERAGE(INDEX($D$5:$D69,66-MA_SHORT):$D69),"")</f>
        <v/>
      </c>
      <c r="G69" s="51" t="str">
        <f aca="false">IF($N69&gt;=MA_MED,AVERAGE(INDEX($D$5:$D69,66-MA_MED):$D69),"")</f>
        <v/>
      </c>
      <c r="H69" s="51" t="str">
        <f aca="false">IF($N69&gt;=MA_LONG2,AVERAGE(INDEX($D$5:$D69,66-MA_LONG2):$D69),"")</f>
        <v/>
      </c>
      <c r="I69" s="51" t="n">
        <v>757973.99</v>
      </c>
      <c r="J69" s="52" t="str">
        <f aca="false">IF($N69&gt;1,$I69/$I68-1,"")</f>
        <v/>
      </c>
      <c r="K69" s="51" t="str">
        <f aca="false">IF($N69&gt;=MA_SHORT,AVERAGE(INDEX($I$5:$I69,66-MA_SHORT):$I69),"")</f>
        <v/>
      </c>
      <c r="L69" s="51" t="str">
        <f aca="false">IF($N69&gt;=MA_MED,AVERAGE(INDEX($I$5:$I69,66-MA_MED):$I69),"")</f>
        <v/>
      </c>
      <c r="M69" s="51" t="str">
        <f aca="false">IF($N69&gt;=MA_LONG2,AVERAGE(INDEX($I$5:$I69,66-MA_LONG2):$I69),"")</f>
        <v/>
      </c>
      <c r="N69" s="46" t="n">
        <f aca="false">IF($A69=$A68,$N68+1,1)</f>
        <v>1</v>
      </c>
    </row>
    <row r="70" customFormat="false" ht="15" hidden="false" customHeight="false" outlineLevel="0" collapsed="false">
      <c r="A70" s="45" t="n">
        <v>45997</v>
      </c>
      <c r="B70" s="46" t="n">
        <v>20251206</v>
      </c>
      <c r="C70" s="47" t="s">
        <v>353</v>
      </c>
      <c r="D70" s="51" t="n">
        <v>2035037.55</v>
      </c>
      <c r="E70" s="52" t="str">
        <f aca="false">IF($N70&gt;1,$D70/$D69-1,"")</f>
        <v/>
      </c>
      <c r="F70" s="51" t="str">
        <f aca="false">IF($N70&gt;=MA_SHORT,AVERAGE(INDEX($D$5:$D70,67-MA_SHORT):$D70),"")</f>
        <v/>
      </c>
      <c r="G70" s="51" t="str">
        <f aca="false">IF($N70&gt;=MA_MED,AVERAGE(INDEX($D$5:$D70,67-MA_MED):$D70),"")</f>
        <v/>
      </c>
      <c r="H70" s="51" t="str">
        <f aca="false">IF($N70&gt;=MA_LONG2,AVERAGE(INDEX($D$5:$D70,67-MA_LONG2):$D70),"")</f>
        <v/>
      </c>
      <c r="I70" s="51" t="n">
        <v>754408.55</v>
      </c>
      <c r="J70" s="52" t="str">
        <f aca="false">IF($N70&gt;1,$I70/$I69-1,"")</f>
        <v/>
      </c>
      <c r="K70" s="51" t="str">
        <f aca="false">IF($N70&gt;=MA_SHORT,AVERAGE(INDEX($I$5:$I70,67-MA_SHORT):$I70),"")</f>
        <v/>
      </c>
      <c r="L70" s="51" t="str">
        <f aca="false">IF($N70&gt;=MA_MED,AVERAGE(INDEX($I$5:$I70,67-MA_MED):$I70),"")</f>
        <v/>
      </c>
      <c r="M70" s="51" t="str">
        <f aca="false">IF($N70&gt;=MA_LONG2,AVERAGE(INDEX($I$5:$I70,67-MA_LONG2):$I70),"")</f>
        <v/>
      </c>
      <c r="N70" s="46" t="n">
        <f aca="false">IF($A70=$A69,$N69+1,1)</f>
        <v>1</v>
      </c>
    </row>
    <row r="71" customFormat="false" ht="15" hidden="false" customHeight="false" outlineLevel="0" collapsed="false">
      <c r="A71" s="45" t="n">
        <v>45998</v>
      </c>
      <c r="B71" s="46" t="n">
        <v>20251207</v>
      </c>
      <c r="C71" s="47" t="s">
        <v>354</v>
      </c>
      <c r="D71" s="51" t="n">
        <v>2051334.8</v>
      </c>
      <c r="E71" s="52" t="str">
        <f aca="false">IF($N71&gt;1,$D71/$D70-1,"")</f>
        <v/>
      </c>
      <c r="F71" s="51" t="str">
        <f aca="false">IF($N71&gt;=MA_SHORT,AVERAGE(INDEX($D$5:$D71,68-MA_SHORT):$D71),"")</f>
        <v/>
      </c>
      <c r="G71" s="51" t="str">
        <f aca="false">IF($N71&gt;=MA_MED,AVERAGE(INDEX($D$5:$D71,68-MA_MED):$D71),"")</f>
        <v/>
      </c>
      <c r="H71" s="51" t="str">
        <f aca="false">IF($N71&gt;=MA_LONG2,AVERAGE(INDEX($D$5:$D71,68-MA_LONG2):$D71),"")</f>
        <v/>
      </c>
      <c r="I71" s="51" t="n">
        <v>753101.17</v>
      </c>
      <c r="J71" s="52" t="str">
        <f aca="false">IF($N71&gt;1,$I71/$I70-1,"")</f>
        <v/>
      </c>
      <c r="K71" s="51" t="str">
        <f aca="false">IF($N71&gt;=MA_SHORT,AVERAGE(INDEX($I$5:$I71,68-MA_SHORT):$I71),"")</f>
        <v/>
      </c>
      <c r="L71" s="51" t="str">
        <f aca="false">IF($N71&gt;=MA_MED,AVERAGE(INDEX($I$5:$I71,68-MA_MED):$I71),"")</f>
        <v/>
      </c>
      <c r="M71" s="51" t="str">
        <f aca="false">IF($N71&gt;=MA_LONG2,AVERAGE(INDEX($I$5:$I71,68-MA_LONG2):$I71),"")</f>
        <v/>
      </c>
      <c r="N71" s="46" t="n">
        <f aca="false">IF($A71=$A70,$N70+1,1)</f>
        <v>1</v>
      </c>
    </row>
    <row r="72" customFormat="false" ht="15" hidden="false" customHeight="false" outlineLevel="0" collapsed="false">
      <c r="A72" s="45" t="n">
        <v>45999</v>
      </c>
      <c r="B72" s="46" t="n">
        <v>20251208</v>
      </c>
      <c r="C72" s="47" t="s">
        <v>355</v>
      </c>
      <c r="D72" s="51" t="n">
        <v>2019129.9</v>
      </c>
      <c r="E72" s="52" t="str">
        <f aca="false">IF($N72&gt;1,$D72/$D71-1,"")</f>
        <v/>
      </c>
      <c r="F72" s="51" t="str">
        <f aca="false">IF($N72&gt;=MA_SHORT,AVERAGE(INDEX($D$5:$D72,69-MA_SHORT):$D72),"")</f>
        <v/>
      </c>
      <c r="G72" s="51" t="str">
        <f aca="false">IF($N72&gt;=MA_MED,AVERAGE(INDEX($D$5:$D72,69-MA_MED):$D72),"")</f>
        <v/>
      </c>
      <c r="H72" s="51" t="str">
        <f aca="false">IF($N72&gt;=MA_LONG2,AVERAGE(INDEX($D$5:$D72,69-MA_LONG2):$D72),"")</f>
        <v/>
      </c>
      <c r="I72" s="51" t="n">
        <v>765419.6</v>
      </c>
      <c r="J72" s="52" t="str">
        <f aca="false">IF($N72&gt;1,$I72/$I71-1,"")</f>
        <v/>
      </c>
      <c r="K72" s="51" t="str">
        <f aca="false">IF($N72&gt;=MA_SHORT,AVERAGE(INDEX($I$5:$I72,69-MA_SHORT):$I72),"")</f>
        <v/>
      </c>
      <c r="L72" s="51" t="str">
        <f aca="false">IF($N72&gt;=MA_MED,AVERAGE(INDEX($I$5:$I72,69-MA_MED):$I72),"")</f>
        <v/>
      </c>
      <c r="M72" s="51" t="str">
        <f aca="false">IF($N72&gt;=MA_LONG2,AVERAGE(INDEX($I$5:$I72,69-MA_LONG2):$I72),"")</f>
        <v/>
      </c>
      <c r="N72" s="46" t="n">
        <f aca="false">IF($A72=$A71,$N71+1,1)</f>
        <v>1</v>
      </c>
    </row>
    <row r="73" customFormat="false" ht="15" hidden="false" customHeight="false" outlineLevel="0" collapsed="false">
      <c r="A73" s="45" t="n">
        <v>46000</v>
      </c>
      <c r="B73" s="46" t="n">
        <v>20251209</v>
      </c>
      <c r="C73" s="47" t="s">
        <v>356</v>
      </c>
      <c r="D73" s="51" t="n">
        <v>2013428.17</v>
      </c>
      <c r="E73" s="52" t="str">
        <f aca="false">IF($N73&gt;1,$D73/$D72-1,"")</f>
        <v/>
      </c>
      <c r="F73" s="51" t="str">
        <f aca="false">IF($N73&gt;=MA_SHORT,AVERAGE(INDEX($D$5:$D73,70-MA_SHORT):$D73),"")</f>
        <v/>
      </c>
      <c r="G73" s="51" t="str">
        <f aca="false">IF($N73&gt;=MA_MED,AVERAGE(INDEX($D$5:$D73,70-MA_MED):$D73),"")</f>
        <v/>
      </c>
      <c r="H73" s="51" t="str">
        <f aca="false">IF($N73&gt;=MA_LONG2,AVERAGE(INDEX($D$5:$D73,70-MA_LONG2):$D73),"")</f>
        <v/>
      </c>
      <c r="I73" s="51" t="n">
        <v>750759.26</v>
      </c>
      <c r="J73" s="52" t="str">
        <f aca="false">IF($N73&gt;1,$I73/$I72-1,"")</f>
        <v/>
      </c>
      <c r="K73" s="51" t="str">
        <f aca="false">IF($N73&gt;=MA_SHORT,AVERAGE(INDEX($I$5:$I73,70-MA_SHORT):$I73),"")</f>
        <v/>
      </c>
      <c r="L73" s="51" t="str">
        <f aca="false">IF($N73&gt;=MA_MED,AVERAGE(INDEX($I$5:$I73,70-MA_MED):$I73),"")</f>
        <v/>
      </c>
      <c r="M73" s="51" t="str">
        <f aca="false">IF($N73&gt;=MA_LONG2,AVERAGE(INDEX($I$5:$I73,70-MA_LONG2):$I73),"")</f>
        <v/>
      </c>
      <c r="N73" s="46" t="n">
        <f aca="false">IF($A73=$A72,$N72+1,1)</f>
        <v>1</v>
      </c>
    </row>
    <row r="74" customFormat="false" ht="15" hidden="false" customHeight="false" outlineLevel="0" collapsed="false">
      <c r="A74" s="45" t="n">
        <v>46001</v>
      </c>
      <c r="B74" s="46" t="n">
        <v>20251210</v>
      </c>
      <c r="C74" s="47" t="s">
        <v>357</v>
      </c>
      <c r="D74" s="51" t="n">
        <v>1996251.12</v>
      </c>
      <c r="E74" s="52" t="str">
        <f aca="false">IF($N74&gt;1,$D74/$D73-1,"")</f>
        <v/>
      </c>
      <c r="F74" s="51" t="str">
        <f aca="false">IF($N74&gt;=MA_SHORT,AVERAGE(INDEX($D$5:$D74,71-MA_SHORT):$D74),"")</f>
        <v/>
      </c>
      <c r="G74" s="51" t="str">
        <f aca="false">IF($N74&gt;=MA_MED,AVERAGE(INDEX($D$5:$D74,71-MA_MED):$D74),"")</f>
        <v/>
      </c>
      <c r="H74" s="51" t="str">
        <f aca="false">IF($N74&gt;=MA_LONG2,AVERAGE(INDEX($D$5:$D74,71-MA_LONG2):$D74),"")</f>
        <v/>
      </c>
      <c r="I74" s="51" t="n">
        <v>751354.14</v>
      </c>
      <c r="J74" s="52" t="str">
        <f aca="false">IF($N74&gt;1,$I74/$I73-1,"")</f>
        <v/>
      </c>
      <c r="K74" s="51" t="str">
        <f aca="false">IF($N74&gt;=MA_SHORT,AVERAGE(INDEX($I$5:$I74,71-MA_SHORT):$I74),"")</f>
        <v/>
      </c>
      <c r="L74" s="51" t="str">
        <f aca="false">IF($N74&gt;=MA_MED,AVERAGE(INDEX($I$5:$I74,71-MA_MED):$I74),"")</f>
        <v/>
      </c>
      <c r="M74" s="51" t="str">
        <f aca="false">IF($N74&gt;=MA_LONG2,AVERAGE(INDEX($I$5:$I74,71-MA_LONG2):$I74),"")</f>
        <v/>
      </c>
      <c r="N74" s="46" t="n">
        <f aca="false">IF($A74=$A73,$N73+1,1)</f>
        <v>1</v>
      </c>
    </row>
    <row r="75" customFormat="false" ht="15" hidden="false" customHeight="false" outlineLevel="0" collapsed="false">
      <c r="A75" s="45" t="n">
        <v>46004</v>
      </c>
      <c r="B75" s="46" t="n">
        <v>20251213</v>
      </c>
      <c r="C75" s="47" t="s">
        <v>358</v>
      </c>
      <c r="D75" s="51" t="n">
        <v>1961914.77</v>
      </c>
      <c r="E75" s="52" t="str">
        <f aca="false">IF($N75&gt;1,$D75/$D74-1,"")</f>
        <v/>
      </c>
      <c r="F75" s="51" t="str">
        <f aca="false">IF($N75&gt;=MA_SHORT,AVERAGE(INDEX($D$5:$D75,72-MA_SHORT):$D75),"")</f>
        <v/>
      </c>
      <c r="G75" s="51" t="str">
        <f aca="false">IF($N75&gt;=MA_MED,AVERAGE(INDEX($D$5:$D75,72-MA_MED):$D75),"")</f>
        <v/>
      </c>
      <c r="H75" s="51" t="str">
        <f aca="false">IF($N75&gt;=MA_LONG2,AVERAGE(INDEX($D$5:$D75,72-MA_LONG2):$D75),"")</f>
        <v/>
      </c>
      <c r="I75" s="51" t="n">
        <v>750386.71</v>
      </c>
      <c r="J75" s="52" t="str">
        <f aca="false">IF($N75&gt;1,$I75/$I74-1,"")</f>
        <v/>
      </c>
      <c r="K75" s="51" t="str">
        <f aca="false">IF($N75&gt;=MA_SHORT,AVERAGE(INDEX($I$5:$I75,72-MA_SHORT):$I75),"")</f>
        <v/>
      </c>
      <c r="L75" s="51" t="str">
        <f aca="false">IF($N75&gt;=MA_MED,AVERAGE(INDEX($I$5:$I75,72-MA_MED):$I75),"")</f>
        <v/>
      </c>
      <c r="M75" s="51" t="str">
        <f aca="false">IF($N75&gt;=MA_LONG2,AVERAGE(INDEX($I$5:$I75,72-MA_LONG2):$I75),"")</f>
        <v/>
      </c>
      <c r="N75" s="46" t="n">
        <f aca="false">IF($A75=$A74,$N74+1,1)</f>
        <v>1</v>
      </c>
    </row>
    <row r="76" customFormat="false" ht="15" hidden="false" customHeight="false" outlineLevel="0" collapsed="false">
      <c r="A76" s="45" t="n">
        <v>46005</v>
      </c>
      <c r="B76" s="46" t="n">
        <v>20251214</v>
      </c>
      <c r="C76" s="47" t="s">
        <v>359</v>
      </c>
      <c r="D76" s="51" t="n">
        <v>1953437.79</v>
      </c>
      <c r="E76" s="52" t="str">
        <f aca="false">IF($N76&gt;1,$D76/$D75-1,"")</f>
        <v/>
      </c>
      <c r="F76" s="51" t="str">
        <f aca="false">IF($N76&gt;=MA_SHORT,AVERAGE(INDEX($D$5:$D76,73-MA_SHORT):$D76),"")</f>
        <v/>
      </c>
      <c r="G76" s="51" t="str">
        <f aca="false">IF($N76&gt;=MA_MED,AVERAGE(INDEX($D$5:$D76,73-MA_MED):$D76),"")</f>
        <v/>
      </c>
      <c r="H76" s="51" t="str">
        <f aca="false">IF($N76&gt;=MA_LONG2,AVERAGE(INDEX($D$5:$D76,73-MA_LONG2):$D76),"")</f>
        <v/>
      </c>
      <c r="I76" s="51" t="n">
        <v>758098.52</v>
      </c>
      <c r="J76" s="52" t="str">
        <f aca="false">IF($N76&gt;1,$I76/$I75-1,"")</f>
        <v/>
      </c>
      <c r="K76" s="51" t="str">
        <f aca="false">IF($N76&gt;=MA_SHORT,AVERAGE(INDEX($I$5:$I76,73-MA_SHORT):$I76),"")</f>
        <v/>
      </c>
      <c r="L76" s="51" t="str">
        <f aca="false">IF($N76&gt;=MA_MED,AVERAGE(INDEX($I$5:$I76,73-MA_MED):$I76),"")</f>
        <v/>
      </c>
      <c r="M76" s="51" t="str">
        <f aca="false">IF($N76&gt;=MA_LONG2,AVERAGE(INDEX($I$5:$I76,73-MA_LONG2):$I76),"")</f>
        <v/>
      </c>
      <c r="N76" s="46" t="n">
        <f aca="false">IF($A76=$A75,$N75+1,1)</f>
        <v>1</v>
      </c>
    </row>
    <row r="77" customFormat="false" ht="15" hidden="false" customHeight="false" outlineLevel="0" collapsed="false">
      <c r="A77" s="45" t="n">
        <v>46006</v>
      </c>
      <c r="B77" s="46" t="n">
        <v>20251215</v>
      </c>
      <c r="C77" s="47" t="s">
        <v>360</v>
      </c>
      <c r="D77" s="51" t="n">
        <v>1960947.49</v>
      </c>
      <c r="E77" s="52" t="str">
        <f aca="false">IF($N77&gt;1,$D77/$D76-1,"")</f>
        <v/>
      </c>
      <c r="F77" s="51" t="str">
        <f aca="false">IF($N77&gt;=MA_SHORT,AVERAGE(INDEX($D$5:$D77,74-MA_SHORT):$D77),"")</f>
        <v/>
      </c>
      <c r="G77" s="51" t="str">
        <f aca="false">IF($N77&gt;=MA_MED,AVERAGE(INDEX($D$5:$D77,74-MA_MED):$D77),"")</f>
        <v/>
      </c>
      <c r="H77" s="51" t="str">
        <f aca="false">IF($N77&gt;=MA_LONG2,AVERAGE(INDEX($D$5:$D77,74-MA_LONG2):$D77),"")</f>
        <v/>
      </c>
      <c r="I77" s="51" t="n">
        <v>756795.18</v>
      </c>
      <c r="J77" s="52" t="str">
        <f aca="false">IF($N77&gt;1,$I77/$I76-1,"")</f>
        <v/>
      </c>
      <c r="K77" s="51" t="str">
        <f aca="false">IF($N77&gt;=MA_SHORT,AVERAGE(INDEX($I$5:$I77,74-MA_SHORT):$I77),"")</f>
        <v/>
      </c>
      <c r="L77" s="51" t="str">
        <f aca="false">IF($N77&gt;=MA_MED,AVERAGE(INDEX($I$5:$I77,74-MA_MED):$I77),"")</f>
        <v/>
      </c>
      <c r="M77" s="51" t="str">
        <f aca="false">IF($N77&gt;=MA_LONG2,AVERAGE(INDEX($I$5:$I77,74-MA_LONG2):$I77),"")</f>
        <v/>
      </c>
      <c r="N77" s="46" t="n">
        <f aca="false">IF($A77=$A76,$N76+1,1)</f>
        <v>1</v>
      </c>
    </row>
    <row r="78" customFormat="false" ht="15" hidden="false" customHeight="false" outlineLevel="0" collapsed="false">
      <c r="A78" s="45" t="n">
        <v>46007</v>
      </c>
      <c r="B78" s="46" t="n">
        <v>20251216</v>
      </c>
      <c r="C78" s="47" t="s">
        <v>361</v>
      </c>
      <c r="D78" s="51" t="n">
        <v>1966670.53</v>
      </c>
      <c r="E78" s="52" t="str">
        <f aca="false">IF($N78&gt;1,$D78/$D77-1,"")</f>
        <v/>
      </c>
      <c r="F78" s="51" t="str">
        <f aca="false">IF($N78&gt;=MA_SHORT,AVERAGE(INDEX($D$5:$D78,75-MA_SHORT):$D78),"")</f>
        <v/>
      </c>
      <c r="G78" s="51" t="str">
        <f aca="false">IF($N78&gt;=MA_MED,AVERAGE(INDEX($D$5:$D78,75-MA_MED):$D78),"")</f>
        <v/>
      </c>
      <c r="H78" s="51" t="str">
        <f aca="false">IF($N78&gt;=MA_LONG2,AVERAGE(INDEX($D$5:$D78,75-MA_LONG2):$D78),"")</f>
        <v/>
      </c>
      <c r="I78" s="51" t="n">
        <v>747485.17</v>
      </c>
      <c r="J78" s="52" t="str">
        <f aca="false">IF($N78&gt;1,$I78/$I77-1,"")</f>
        <v/>
      </c>
      <c r="K78" s="51" t="str">
        <f aca="false">IF($N78&gt;=MA_SHORT,AVERAGE(INDEX($I$5:$I78,75-MA_SHORT):$I78),"")</f>
        <v/>
      </c>
      <c r="L78" s="51" t="str">
        <f aca="false">IF($N78&gt;=MA_MED,AVERAGE(INDEX($I$5:$I78,75-MA_MED):$I78),"")</f>
        <v/>
      </c>
      <c r="M78" s="51" t="str">
        <f aca="false">IF($N78&gt;=MA_LONG2,AVERAGE(INDEX($I$5:$I78,75-MA_LONG2):$I78),"")</f>
        <v/>
      </c>
      <c r="N78" s="46" t="n">
        <f aca="false">IF($A78=$A77,$N77+1,1)</f>
        <v>1</v>
      </c>
    </row>
    <row r="79" customFormat="false" ht="15" hidden="false" customHeight="false" outlineLevel="0" collapsed="false">
      <c r="A79" s="45" t="n">
        <v>46008</v>
      </c>
      <c r="B79" s="46" t="n">
        <v>20251217</v>
      </c>
      <c r="C79" s="47" t="s">
        <v>362</v>
      </c>
      <c r="D79" s="51" t="n">
        <v>1929015.1</v>
      </c>
      <c r="E79" s="52" t="str">
        <f aca="false">IF($N79&gt;1,$D79/$D78-1,"")</f>
        <v/>
      </c>
      <c r="F79" s="51" t="str">
        <f aca="false">IF($N79&gt;=MA_SHORT,AVERAGE(INDEX($D$5:$D79,76-MA_SHORT):$D79),"")</f>
        <v/>
      </c>
      <c r="G79" s="51" t="str">
        <f aca="false">IF($N79&gt;=MA_MED,AVERAGE(INDEX($D$5:$D79,76-MA_MED):$D79),"")</f>
        <v/>
      </c>
      <c r="H79" s="51" t="str">
        <f aca="false">IF($N79&gt;=MA_LONG2,AVERAGE(INDEX($D$5:$D79,76-MA_LONG2):$D79),"")</f>
        <v/>
      </c>
      <c r="I79" s="51" t="n">
        <v>738660.78</v>
      </c>
      <c r="J79" s="52" t="str">
        <f aca="false">IF($N79&gt;1,$I79/$I78-1,"")</f>
        <v/>
      </c>
      <c r="K79" s="51" t="str">
        <f aca="false">IF($N79&gt;=MA_SHORT,AVERAGE(INDEX($I$5:$I79,76-MA_SHORT):$I79),"")</f>
        <v/>
      </c>
      <c r="L79" s="51" t="str">
        <f aca="false">IF($N79&gt;=MA_MED,AVERAGE(INDEX($I$5:$I79,76-MA_MED):$I79),"")</f>
        <v/>
      </c>
      <c r="M79" s="51" t="str">
        <f aca="false">IF($N79&gt;=MA_LONG2,AVERAGE(INDEX($I$5:$I79,76-MA_LONG2):$I79),"")</f>
        <v/>
      </c>
      <c r="N79" s="46" t="n">
        <f aca="false">IF($A79=$A78,$N78+1,1)</f>
        <v>1</v>
      </c>
    </row>
    <row r="80" customFormat="false" ht="15" hidden="false" customHeight="false" outlineLevel="0" collapsed="false">
      <c r="A80" s="45" t="n">
        <v>46011</v>
      </c>
      <c r="B80" s="46" t="n">
        <v>20251220</v>
      </c>
      <c r="C80" s="47" t="s">
        <v>363</v>
      </c>
      <c r="D80" s="51" t="n">
        <v>1952196.42</v>
      </c>
      <c r="E80" s="52" t="str">
        <f aca="false">IF($N80&gt;1,$D80/$D79-1,"")</f>
        <v/>
      </c>
      <c r="F80" s="51" t="str">
        <f aca="false">IF($N80&gt;=MA_SHORT,AVERAGE(INDEX($D$5:$D80,77-MA_SHORT):$D80),"")</f>
        <v/>
      </c>
      <c r="G80" s="51" t="str">
        <f aca="false">IF($N80&gt;=MA_MED,AVERAGE(INDEX($D$5:$D80,77-MA_MED):$D80),"")</f>
        <v/>
      </c>
      <c r="H80" s="51" t="str">
        <f aca="false">IF($N80&gt;=MA_LONG2,AVERAGE(INDEX($D$5:$D80,77-MA_LONG2):$D80),"")</f>
        <v/>
      </c>
      <c r="I80" s="51" t="n">
        <v>730898.47</v>
      </c>
      <c r="J80" s="52" t="str">
        <f aca="false">IF($N80&gt;1,$I80/$I79-1,"")</f>
        <v/>
      </c>
      <c r="K80" s="51" t="str">
        <f aca="false">IF($N80&gt;=MA_SHORT,AVERAGE(INDEX($I$5:$I80,77-MA_SHORT):$I80),"")</f>
        <v/>
      </c>
      <c r="L80" s="51" t="str">
        <f aca="false">IF($N80&gt;=MA_MED,AVERAGE(INDEX($I$5:$I80,77-MA_MED):$I80),"")</f>
        <v/>
      </c>
      <c r="M80" s="51" t="str">
        <f aca="false">IF($N80&gt;=MA_LONG2,AVERAGE(INDEX($I$5:$I80,77-MA_LONG2):$I80),"")</f>
        <v/>
      </c>
      <c r="N80" s="46" t="n">
        <f aca="false">IF($A80=$A79,$N79+1,1)</f>
        <v>1</v>
      </c>
    </row>
    <row r="81" customFormat="false" ht="15" hidden="false" customHeight="false" outlineLevel="0" collapsed="false">
      <c r="A81" s="45" t="n">
        <v>46012</v>
      </c>
      <c r="B81" s="46" t="n">
        <v>20251221</v>
      </c>
      <c r="C81" s="47" t="s">
        <v>364</v>
      </c>
      <c r="D81" s="51" t="n">
        <v>1922104.18</v>
      </c>
      <c r="E81" s="52" t="str">
        <f aca="false">IF($N81&gt;1,$D81/$D80-1,"")</f>
        <v/>
      </c>
      <c r="F81" s="51" t="str">
        <f aca="false">IF($N81&gt;=MA_SHORT,AVERAGE(INDEX($D$5:$D81,78-MA_SHORT):$D81),"")</f>
        <v/>
      </c>
      <c r="G81" s="51" t="str">
        <f aca="false">IF($N81&gt;=MA_MED,AVERAGE(INDEX($D$5:$D81,78-MA_MED):$D81),"")</f>
        <v/>
      </c>
      <c r="H81" s="51" t="str">
        <f aca="false">IF($N81&gt;=MA_LONG2,AVERAGE(INDEX($D$5:$D81,78-MA_LONG2):$D81),"")</f>
        <v/>
      </c>
      <c r="I81" s="51" t="n">
        <v>719768.65</v>
      </c>
      <c r="J81" s="52" t="str">
        <f aca="false">IF($N81&gt;1,$I81/$I80-1,"")</f>
        <v/>
      </c>
      <c r="K81" s="51" t="str">
        <f aca="false">IF($N81&gt;=MA_SHORT,AVERAGE(INDEX($I$5:$I81,78-MA_SHORT):$I81),"")</f>
        <v/>
      </c>
      <c r="L81" s="51" t="str">
        <f aca="false">IF($N81&gt;=MA_MED,AVERAGE(INDEX($I$5:$I81,78-MA_MED):$I81),"")</f>
        <v/>
      </c>
      <c r="M81" s="51" t="str">
        <f aca="false">IF($N81&gt;=MA_LONG2,AVERAGE(INDEX($I$5:$I81,78-MA_LONG2):$I81),"")</f>
        <v/>
      </c>
      <c r="N81" s="46" t="n">
        <f aca="false">IF($A81=$A80,$N80+1,1)</f>
        <v>1</v>
      </c>
    </row>
    <row r="82" customFormat="false" ht="15" hidden="false" customHeight="false" outlineLevel="0" collapsed="false">
      <c r="A82" s="45" t="n">
        <v>46013</v>
      </c>
      <c r="B82" s="46" t="n">
        <v>20251222</v>
      </c>
      <c r="C82" s="47" t="s">
        <v>365</v>
      </c>
      <c r="D82" s="51" t="n">
        <v>1909345.31</v>
      </c>
      <c r="E82" s="52" t="str">
        <f aca="false">IF($N82&gt;1,$D82/$D81-1,"")</f>
        <v/>
      </c>
      <c r="F82" s="51" t="str">
        <f aca="false">IF($N82&gt;=MA_SHORT,AVERAGE(INDEX($D$5:$D82,79-MA_SHORT):$D82),"")</f>
        <v/>
      </c>
      <c r="G82" s="51" t="str">
        <f aca="false">IF($N82&gt;=MA_MED,AVERAGE(INDEX($D$5:$D82,79-MA_MED):$D82),"")</f>
        <v/>
      </c>
      <c r="H82" s="51" t="str">
        <f aca="false">IF($N82&gt;=MA_LONG2,AVERAGE(INDEX($D$5:$D82,79-MA_LONG2):$D82),"")</f>
        <v/>
      </c>
      <c r="I82" s="51" t="n">
        <v>720272.82</v>
      </c>
      <c r="J82" s="52" t="str">
        <f aca="false">IF($N82&gt;1,$I82/$I81-1,"")</f>
        <v/>
      </c>
      <c r="K82" s="51" t="str">
        <f aca="false">IF($N82&gt;=MA_SHORT,AVERAGE(INDEX($I$5:$I82,79-MA_SHORT):$I82),"")</f>
        <v/>
      </c>
      <c r="L82" s="51" t="str">
        <f aca="false">IF($N82&gt;=MA_MED,AVERAGE(INDEX($I$5:$I82,79-MA_MED):$I82),"")</f>
        <v/>
      </c>
      <c r="M82" s="51" t="str">
        <f aca="false">IF($N82&gt;=MA_LONG2,AVERAGE(INDEX($I$5:$I82,79-MA_LONG2):$I82),"")</f>
        <v/>
      </c>
      <c r="N82" s="46" t="n">
        <f aca="false">IF($A82=$A81,$N81+1,1)</f>
        <v>1</v>
      </c>
    </row>
    <row r="83" customFormat="false" ht="15" hidden="false" customHeight="false" outlineLevel="0" collapsed="false">
      <c r="A83" s="45" t="n">
        <v>46014</v>
      </c>
      <c r="B83" s="46" t="n">
        <v>20251223</v>
      </c>
      <c r="C83" s="47" t="s">
        <v>366</v>
      </c>
      <c r="D83" s="51" t="n">
        <v>1888726.6</v>
      </c>
      <c r="E83" s="52" t="str">
        <f aca="false">IF($N83&gt;1,$D83/$D82-1,"")</f>
        <v/>
      </c>
      <c r="F83" s="51" t="str">
        <f aca="false">IF($N83&gt;=MA_SHORT,AVERAGE(INDEX($D$5:$D83,80-MA_SHORT):$D83),"")</f>
        <v/>
      </c>
      <c r="G83" s="51" t="str">
        <f aca="false">IF($N83&gt;=MA_MED,AVERAGE(INDEX($D$5:$D83,80-MA_MED):$D83),"")</f>
        <v/>
      </c>
      <c r="H83" s="51" t="str">
        <f aca="false">IF($N83&gt;=MA_LONG2,AVERAGE(INDEX($D$5:$D83,80-MA_LONG2):$D83),"")</f>
        <v/>
      </c>
      <c r="I83" s="51" t="n">
        <v>713609.06</v>
      </c>
      <c r="J83" s="52" t="str">
        <f aca="false">IF($N83&gt;1,$I83/$I82-1,"")</f>
        <v/>
      </c>
      <c r="K83" s="51" t="str">
        <f aca="false">IF($N83&gt;=MA_SHORT,AVERAGE(INDEX($I$5:$I83,80-MA_SHORT):$I83),"")</f>
        <v/>
      </c>
      <c r="L83" s="51" t="str">
        <f aca="false">IF($N83&gt;=MA_MED,AVERAGE(INDEX($I$5:$I83,80-MA_MED):$I83),"")</f>
        <v/>
      </c>
      <c r="M83" s="51" t="str">
        <f aca="false">IF($N83&gt;=MA_LONG2,AVERAGE(INDEX($I$5:$I83,80-MA_LONG2):$I83),"")</f>
        <v/>
      </c>
      <c r="N83" s="46" t="n">
        <f aca="false">IF($A83=$A82,$N82+1,1)</f>
        <v>1</v>
      </c>
    </row>
    <row r="84" customFormat="false" ht="15" hidden="false" customHeight="false" outlineLevel="0" collapsed="false">
      <c r="A84" s="45" t="n">
        <v>46015</v>
      </c>
      <c r="B84" s="46" t="n">
        <v>20251224</v>
      </c>
      <c r="C84" s="47" t="s">
        <v>367</v>
      </c>
      <c r="D84" s="51" t="n">
        <v>1875365.22</v>
      </c>
      <c r="E84" s="52" t="str">
        <f aca="false">IF($N84&gt;1,$D84/$D83-1,"")</f>
        <v/>
      </c>
      <c r="F84" s="51" t="str">
        <f aca="false">IF($N84&gt;=MA_SHORT,AVERAGE(INDEX($D$5:$D84,81-MA_SHORT):$D84),"")</f>
        <v/>
      </c>
      <c r="G84" s="51" t="str">
        <f aca="false">IF($N84&gt;=MA_MED,AVERAGE(INDEX($D$5:$D84,81-MA_MED):$D84),"")</f>
        <v/>
      </c>
      <c r="H84" s="51" t="str">
        <f aca="false">IF($N84&gt;=MA_LONG2,AVERAGE(INDEX($D$5:$D84,81-MA_LONG2):$D84),"")</f>
        <v/>
      </c>
      <c r="I84" s="51" t="n">
        <v>714494.94</v>
      </c>
      <c r="J84" s="52" t="str">
        <f aca="false">IF($N84&gt;1,$I84/$I83-1,"")</f>
        <v/>
      </c>
      <c r="K84" s="51" t="str">
        <f aca="false">IF($N84&gt;=MA_SHORT,AVERAGE(INDEX($I$5:$I84,81-MA_SHORT):$I84),"")</f>
        <v/>
      </c>
      <c r="L84" s="51" t="str">
        <f aca="false">IF($N84&gt;=MA_MED,AVERAGE(INDEX($I$5:$I84,81-MA_MED):$I84),"")</f>
        <v/>
      </c>
      <c r="M84" s="51" t="str">
        <f aca="false">IF($N84&gt;=MA_LONG2,AVERAGE(INDEX($I$5:$I84,81-MA_LONG2):$I84),"")</f>
        <v/>
      </c>
      <c r="N84" s="46" t="n">
        <f aca="false">IF($A84=$A83,$N83+1,1)</f>
        <v>1</v>
      </c>
    </row>
    <row r="85" customFormat="false" ht="15" hidden="false" customHeight="false" outlineLevel="0" collapsed="false">
      <c r="A85" s="45" t="n">
        <v>46018</v>
      </c>
      <c r="B85" s="46" t="n">
        <v>20251227</v>
      </c>
      <c r="C85" s="47" t="s">
        <v>368</v>
      </c>
      <c r="D85" s="51" t="n">
        <v>1856448.66</v>
      </c>
      <c r="E85" s="52" t="str">
        <f aca="false">IF($N85&gt;1,$D85/$D84-1,"")</f>
        <v/>
      </c>
      <c r="F85" s="51" t="str">
        <f aca="false">IF($N85&gt;=MA_SHORT,AVERAGE(INDEX($D$5:$D85,82-MA_SHORT):$D85),"")</f>
        <v/>
      </c>
      <c r="G85" s="51" t="str">
        <f aca="false">IF($N85&gt;=MA_MED,AVERAGE(INDEX($D$5:$D85,82-MA_MED):$D85),"")</f>
        <v/>
      </c>
      <c r="H85" s="51" t="str">
        <f aca="false">IF($N85&gt;=MA_LONG2,AVERAGE(INDEX($D$5:$D85,82-MA_LONG2):$D85),"")</f>
        <v/>
      </c>
      <c r="I85" s="51" t="n">
        <v>693098.85</v>
      </c>
      <c r="J85" s="52" t="str">
        <f aca="false">IF($N85&gt;1,$I85/$I84-1,"")</f>
        <v/>
      </c>
      <c r="K85" s="51" t="str">
        <f aca="false">IF($N85&gt;=MA_SHORT,AVERAGE(INDEX($I$5:$I85,82-MA_SHORT):$I85),"")</f>
        <v/>
      </c>
      <c r="L85" s="51" t="str">
        <f aca="false">IF($N85&gt;=MA_MED,AVERAGE(INDEX($I$5:$I85,82-MA_MED):$I85),"")</f>
        <v/>
      </c>
      <c r="M85" s="51" t="str">
        <f aca="false">IF($N85&gt;=MA_LONG2,AVERAGE(INDEX($I$5:$I85,82-MA_LONG2):$I85),"")</f>
        <v/>
      </c>
      <c r="N85" s="46" t="n">
        <f aca="false">IF($A85=$A84,$N84+1,1)</f>
        <v>1</v>
      </c>
    </row>
    <row r="86" customFormat="false" ht="15" hidden="false" customHeight="false" outlineLevel="0" collapsed="false">
      <c r="A86" s="45" t="n">
        <v>46019</v>
      </c>
      <c r="B86" s="46" t="n">
        <v>20251228</v>
      </c>
      <c r="C86" s="47" t="s">
        <v>369</v>
      </c>
      <c r="D86" s="51" t="n">
        <v>1865849.33</v>
      </c>
      <c r="E86" s="52" t="str">
        <f aca="false">IF($N86&gt;1,$D86/$D85-1,"")</f>
        <v/>
      </c>
      <c r="F86" s="51" t="str">
        <f aca="false">IF($N86&gt;=MA_SHORT,AVERAGE(INDEX($D$5:$D86,83-MA_SHORT):$D86),"")</f>
        <v/>
      </c>
      <c r="G86" s="51" t="str">
        <f aca="false">IF($N86&gt;=MA_MED,AVERAGE(INDEX($D$5:$D86,83-MA_MED):$D86),"")</f>
        <v/>
      </c>
      <c r="H86" s="51" t="str">
        <f aca="false">IF($N86&gt;=MA_LONG2,AVERAGE(INDEX($D$5:$D86,83-MA_LONG2):$D86),"")</f>
        <v/>
      </c>
      <c r="I86" s="51" t="n">
        <v>677758.31</v>
      </c>
      <c r="J86" s="52" t="str">
        <f aca="false">IF($N86&gt;1,$I86/$I85-1,"")</f>
        <v/>
      </c>
      <c r="K86" s="51" t="str">
        <f aca="false">IF($N86&gt;=MA_SHORT,AVERAGE(INDEX($I$5:$I86,83-MA_SHORT):$I86),"")</f>
        <v/>
      </c>
      <c r="L86" s="51" t="str">
        <f aca="false">IF($N86&gt;=MA_MED,AVERAGE(INDEX($I$5:$I86,83-MA_MED):$I86),"")</f>
        <v/>
      </c>
      <c r="M86" s="51" t="str">
        <f aca="false">IF($N86&gt;=MA_LONG2,AVERAGE(INDEX($I$5:$I86,83-MA_LONG2):$I86),"")</f>
        <v/>
      </c>
      <c r="N86" s="46" t="n">
        <f aca="false">IF($A86=$A85,$N85+1,1)</f>
        <v>1</v>
      </c>
    </row>
    <row r="87" customFormat="false" ht="15" hidden="false" customHeight="false" outlineLevel="0" collapsed="false">
      <c r="A87" s="45" t="n">
        <v>46020</v>
      </c>
      <c r="B87" s="46" t="n">
        <v>20251229</v>
      </c>
      <c r="C87" s="47" t="s">
        <v>370</v>
      </c>
      <c r="D87" s="51" t="n">
        <v>1876524.36</v>
      </c>
      <c r="E87" s="52" t="str">
        <f aca="false">IF($N87&gt;1,$D87/$D86-1,"")</f>
        <v/>
      </c>
      <c r="F87" s="51" t="str">
        <f aca="false">IF($N87&gt;=MA_SHORT,AVERAGE(INDEX($D$5:$D87,84-MA_SHORT):$D87),"")</f>
        <v/>
      </c>
      <c r="G87" s="51" t="str">
        <f aca="false">IF($N87&gt;=MA_MED,AVERAGE(INDEX($D$5:$D87,84-MA_MED):$D87),"")</f>
        <v/>
      </c>
      <c r="H87" s="51" t="str">
        <f aca="false">IF($N87&gt;=MA_LONG2,AVERAGE(INDEX($D$5:$D87,84-MA_LONG2):$D87),"")</f>
        <v/>
      </c>
      <c r="I87" s="51" t="n">
        <v>675416.25</v>
      </c>
      <c r="J87" s="52" t="str">
        <f aca="false">IF($N87&gt;1,$I87/$I86-1,"")</f>
        <v/>
      </c>
      <c r="K87" s="51" t="str">
        <f aca="false">IF($N87&gt;=MA_SHORT,AVERAGE(INDEX($I$5:$I87,84-MA_SHORT):$I87),"")</f>
        <v/>
      </c>
      <c r="L87" s="51" t="str">
        <f aca="false">IF($N87&gt;=MA_MED,AVERAGE(INDEX($I$5:$I87,84-MA_MED):$I87),"")</f>
        <v/>
      </c>
      <c r="M87" s="51" t="str">
        <f aca="false">IF($N87&gt;=MA_LONG2,AVERAGE(INDEX($I$5:$I87,84-MA_LONG2):$I87),"")</f>
        <v/>
      </c>
      <c r="N87" s="46" t="n">
        <f aca="false">IF($A87=$A86,$N86+1,1)</f>
        <v>1</v>
      </c>
    </row>
    <row r="88" customFormat="false" ht="15" hidden="false" customHeight="false" outlineLevel="0" collapsed="false">
      <c r="A88" s="45" t="n">
        <v>46021</v>
      </c>
      <c r="B88" s="46" t="n">
        <v>20251230</v>
      </c>
      <c r="C88" s="47" t="s">
        <v>371</v>
      </c>
      <c r="D88" s="51" t="n">
        <v>1864073.02</v>
      </c>
      <c r="E88" s="52" t="str">
        <f aca="false">IF($N88&gt;1,$D88/$D87-1,"")</f>
        <v/>
      </c>
      <c r="F88" s="51" t="str">
        <f aca="false">IF($N88&gt;=MA_SHORT,AVERAGE(INDEX($D$5:$D88,85-MA_SHORT):$D88),"")</f>
        <v/>
      </c>
      <c r="G88" s="51" t="str">
        <f aca="false">IF($N88&gt;=MA_MED,AVERAGE(INDEX($D$5:$D88,85-MA_MED):$D88),"")</f>
        <v/>
      </c>
      <c r="H88" s="51" t="str">
        <f aca="false">IF($N88&gt;=MA_LONG2,AVERAGE(INDEX($D$5:$D88,85-MA_LONG2):$D88),"")</f>
        <v/>
      </c>
      <c r="I88" s="51" t="n">
        <v>675270.48</v>
      </c>
      <c r="J88" s="52" t="str">
        <f aca="false">IF($N88&gt;1,$I88/$I87-1,"")</f>
        <v/>
      </c>
      <c r="K88" s="51" t="str">
        <f aca="false">IF($N88&gt;=MA_SHORT,AVERAGE(INDEX($I$5:$I88,85-MA_SHORT):$I88),"")</f>
        <v/>
      </c>
      <c r="L88" s="51" t="str">
        <f aca="false">IF($N88&gt;=MA_MED,AVERAGE(INDEX($I$5:$I88,85-MA_MED):$I88),"")</f>
        <v/>
      </c>
      <c r="M88" s="51" t="str">
        <f aca="false">IF($N88&gt;=MA_LONG2,AVERAGE(INDEX($I$5:$I88,85-MA_LONG2):$I88),"")</f>
        <v/>
      </c>
      <c r="N88" s="46" t="n">
        <f aca="false">IF($A88=$A87,$N87+1,1)</f>
        <v>1</v>
      </c>
    </row>
    <row r="89" customFormat="false" ht="15" hidden="false" customHeight="false" outlineLevel="0" collapsed="false">
      <c r="A89" s="45" t="n">
        <v>46022</v>
      </c>
      <c r="B89" s="46" t="n">
        <v>20251231</v>
      </c>
      <c r="C89" s="47" t="s">
        <v>372</v>
      </c>
      <c r="D89" s="51" t="n">
        <v>1873381.67</v>
      </c>
      <c r="E89" s="52" t="str">
        <f aca="false">IF($N89&gt;1,$D89/$D88-1,"")</f>
        <v/>
      </c>
      <c r="F89" s="51" t="str">
        <f aca="false">IF($N89&gt;=MA_SHORT,AVERAGE(INDEX($D$5:$D89,86-MA_SHORT):$D89),"")</f>
        <v/>
      </c>
      <c r="G89" s="51" t="str">
        <f aca="false">IF($N89&gt;=MA_MED,AVERAGE(INDEX($D$5:$D89,86-MA_MED):$D89),"")</f>
        <v/>
      </c>
      <c r="H89" s="51" t="str">
        <f aca="false">IF($N89&gt;=MA_LONG2,AVERAGE(INDEX($D$5:$D89,86-MA_LONG2):$D89),"")</f>
        <v/>
      </c>
      <c r="I89" s="51" t="n">
        <v>671088.72</v>
      </c>
      <c r="J89" s="52" t="str">
        <f aca="false">IF($N89&gt;1,$I89/$I88-1,"")</f>
        <v/>
      </c>
      <c r="K89" s="51" t="str">
        <f aca="false">IF($N89&gt;=MA_SHORT,AVERAGE(INDEX($I$5:$I89,86-MA_SHORT):$I89),"")</f>
        <v/>
      </c>
      <c r="L89" s="51" t="str">
        <f aca="false">IF($N89&gt;=MA_MED,AVERAGE(INDEX($I$5:$I89,86-MA_MED):$I89),"")</f>
        <v/>
      </c>
      <c r="M89" s="51" t="str">
        <f aca="false">IF($N89&gt;=MA_LONG2,AVERAGE(INDEX($I$5:$I89,86-MA_LONG2):$I89),"")</f>
        <v/>
      </c>
      <c r="N89" s="46" t="n">
        <f aca="false">IF($A89=$A88,$N88+1,1)</f>
        <v>1</v>
      </c>
    </row>
    <row r="90" customFormat="false" ht="15" hidden="false" customHeight="false" outlineLevel="0" collapsed="false">
      <c r="A90" s="45" t="n">
        <v>46025</v>
      </c>
      <c r="B90" s="46" t="n">
        <v>20260103</v>
      </c>
      <c r="C90" s="47" t="s">
        <v>373</v>
      </c>
      <c r="D90" s="51" t="n">
        <v>1871598.64</v>
      </c>
      <c r="E90" s="52" t="str">
        <f aca="false">IF($N90&gt;1,$D90/$D89-1,"")</f>
        <v/>
      </c>
      <c r="F90" s="51" t="str">
        <f aca="false">IF($N90&gt;=MA_SHORT,AVERAGE(INDEX($D$5:$D90,87-MA_SHORT):$D90),"")</f>
        <v/>
      </c>
      <c r="G90" s="51" t="str">
        <f aca="false">IF($N90&gt;=MA_MED,AVERAGE(INDEX($D$5:$D90,87-MA_MED):$D90),"")</f>
        <v/>
      </c>
      <c r="H90" s="51" t="str">
        <f aca="false">IF($N90&gt;=MA_LONG2,AVERAGE(INDEX($D$5:$D90,87-MA_LONG2):$D90),"")</f>
        <v/>
      </c>
      <c r="I90" s="51" t="n">
        <v>666880.4</v>
      </c>
      <c r="J90" s="52" t="str">
        <f aca="false">IF($N90&gt;1,$I90/$I89-1,"")</f>
        <v/>
      </c>
      <c r="K90" s="51" t="str">
        <f aca="false">IF($N90&gt;=MA_SHORT,AVERAGE(INDEX($I$5:$I90,87-MA_SHORT):$I90),"")</f>
        <v/>
      </c>
      <c r="L90" s="51" t="str">
        <f aca="false">IF($N90&gt;=MA_MED,AVERAGE(INDEX($I$5:$I90,87-MA_MED):$I90),"")</f>
        <v/>
      </c>
      <c r="M90" s="51" t="str">
        <f aca="false">IF($N90&gt;=MA_LONG2,AVERAGE(INDEX($I$5:$I90,87-MA_LONG2):$I90),"")</f>
        <v/>
      </c>
      <c r="N90" s="46" t="n">
        <f aca="false">IF($A90=$A89,$N89+1,1)</f>
        <v>1</v>
      </c>
    </row>
    <row r="91" customFormat="false" ht="15" hidden="false" customHeight="false" outlineLevel="0" collapsed="false">
      <c r="A91" s="45" t="n">
        <v>46026</v>
      </c>
      <c r="B91" s="46" t="n">
        <v>20260104</v>
      </c>
      <c r="C91" s="47" t="s">
        <v>374</v>
      </c>
      <c r="D91" s="51" t="n">
        <v>1854379.31</v>
      </c>
      <c r="E91" s="52" t="str">
        <f aca="false">IF($N91&gt;1,$D91/$D90-1,"")</f>
        <v/>
      </c>
      <c r="F91" s="51" t="str">
        <f aca="false">IF($N91&gt;=MA_SHORT,AVERAGE(INDEX($D$5:$D91,88-MA_SHORT):$D91),"")</f>
        <v/>
      </c>
      <c r="G91" s="51" t="str">
        <f aca="false">IF($N91&gt;=MA_MED,AVERAGE(INDEX($D$5:$D91,88-MA_MED):$D91),"")</f>
        <v/>
      </c>
      <c r="H91" s="51" t="str">
        <f aca="false">IF($N91&gt;=MA_LONG2,AVERAGE(INDEX($D$5:$D91,88-MA_LONG2):$D91),"")</f>
        <v/>
      </c>
      <c r="I91" s="51" t="n">
        <v>683122.95</v>
      </c>
      <c r="J91" s="52" t="str">
        <f aca="false">IF($N91&gt;1,$I91/$I90-1,"")</f>
        <v/>
      </c>
      <c r="K91" s="51" t="str">
        <f aca="false">IF($N91&gt;=MA_SHORT,AVERAGE(INDEX($I$5:$I91,88-MA_SHORT):$I91),"")</f>
        <v/>
      </c>
      <c r="L91" s="51" t="str">
        <f aca="false">IF($N91&gt;=MA_MED,AVERAGE(INDEX($I$5:$I91,88-MA_MED):$I91),"")</f>
        <v/>
      </c>
      <c r="M91" s="51" t="str">
        <f aca="false">IF($N91&gt;=MA_LONG2,AVERAGE(INDEX($I$5:$I91,88-MA_LONG2):$I91),"")</f>
        <v/>
      </c>
      <c r="N91" s="46" t="n">
        <f aca="false">IF($A91=$A90,$N90+1,1)</f>
        <v>1</v>
      </c>
    </row>
    <row r="92" customFormat="false" ht="15" hidden="false" customHeight="false" outlineLevel="0" collapsed="false">
      <c r="A92" s="45" t="n">
        <v>46027</v>
      </c>
      <c r="B92" s="46" t="n">
        <v>20260105</v>
      </c>
      <c r="C92" s="47" t="s">
        <v>375</v>
      </c>
      <c r="D92" s="51" t="n">
        <v>1854577.75</v>
      </c>
      <c r="E92" s="52" t="str">
        <f aca="false">IF($N92&gt;1,$D92/$D91-1,"")</f>
        <v/>
      </c>
      <c r="F92" s="51" t="str">
        <f aca="false">IF($N92&gt;=MA_SHORT,AVERAGE(INDEX($D$5:$D92,89-MA_SHORT):$D92),"")</f>
        <v/>
      </c>
      <c r="G92" s="51" t="str">
        <f aca="false">IF($N92&gt;=MA_MED,AVERAGE(INDEX($D$5:$D92,89-MA_MED):$D92),"")</f>
        <v/>
      </c>
      <c r="H92" s="51" t="str">
        <f aca="false">IF($N92&gt;=MA_LONG2,AVERAGE(INDEX($D$5:$D92,89-MA_LONG2):$D92),"")</f>
        <v/>
      </c>
      <c r="I92" s="51" t="n">
        <v>700559.92</v>
      </c>
      <c r="J92" s="52" t="str">
        <f aca="false">IF($N92&gt;1,$I92/$I91-1,"")</f>
        <v/>
      </c>
      <c r="K92" s="51" t="str">
        <f aca="false">IF($N92&gt;=MA_SHORT,AVERAGE(INDEX($I$5:$I92,89-MA_SHORT):$I92),"")</f>
        <v/>
      </c>
      <c r="L92" s="51" t="str">
        <f aca="false">IF($N92&gt;=MA_MED,AVERAGE(INDEX($I$5:$I92,89-MA_MED):$I92),"")</f>
        <v/>
      </c>
      <c r="M92" s="51" t="str">
        <f aca="false">IF($N92&gt;=MA_LONG2,AVERAGE(INDEX($I$5:$I92,89-MA_LONG2):$I92),"")</f>
        <v/>
      </c>
      <c r="N92" s="46" t="n">
        <f aca="false">IF($A92=$A91,$N91+1,1)</f>
        <v>1</v>
      </c>
    </row>
    <row r="93" customFormat="false" ht="15" hidden="false" customHeight="false" outlineLevel="0" collapsed="false">
      <c r="A93" s="45" t="n">
        <v>46028</v>
      </c>
      <c r="B93" s="46" t="n">
        <v>20260106</v>
      </c>
      <c r="C93" s="47" t="s">
        <v>376</v>
      </c>
      <c r="D93" s="51" t="n">
        <v>1844075.2</v>
      </c>
      <c r="E93" s="52" t="str">
        <f aca="false">IF($N93&gt;1,$D93/$D92-1,"")</f>
        <v/>
      </c>
      <c r="F93" s="51" t="str">
        <f aca="false">IF($N93&gt;=MA_SHORT,AVERAGE(INDEX($D$5:$D93,90-MA_SHORT):$D93),"")</f>
        <v/>
      </c>
      <c r="G93" s="51" t="str">
        <f aca="false">IF($N93&gt;=MA_MED,AVERAGE(INDEX($D$5:$D93,90-MA_MED):$D93),"")</f>
        <v/>
      </c>
      <c r="H93" s="51" t="str">
        <f aca="false">IF($N93&gt;=MA_LONG2,AVERAGE(INDEX($D$5:$D93,90-MA_LONG2):$D93),"")</f>
        <v/>
      </c>
      <c r="I93" s="51" t="n">
        <v>694898.51</v>
      </c>
      <c r="J93" s="52" t="str">
        <f aca="false">IF($N93&gt;1,$I93/$I92-1,"")</f>
        <v/>
      </c>
      <c r="K93" s="51" t="str">
        <f aca="false">IF($N93&gt;=MA_SHORT,AVERAGE(INDEX($I$5:$I93,90-MA_SHORT):$I93),"")</f>
        <v/>
      </c>
      <c r="L93" s="51" t="str">
        <f aca="false">IF($N93&gt;=MA_MED,AVERAGE(INDEX($I$5:$I93,90-MA_MED):$I93),"")</f>
        <v/>
      </c>
      <c r="M93" s="51" t="str">
        <f aca="false">IF($N93&gt;=MA_LONG2,AVERAGE(INDEX($I$5:$I93,90-MA_LONG2):$I93),"")</f>
        <v/>
      </c>
      <c r="N93" s="46" t="n">
        <f aca="false">IF($A93=$A92,$N92+1,1)</f>
        <v>1</v>
      </c>
    </row>
    <row r="94" customFormat="false" ht="15" hidden="false" customHeight="false" outlineLevel="0" collapsed="false">
      <c r="A94" s="45" t="n">
        <v>46029</v>
      </c>
      <c r="B94" s="46" t="n">
        <v>20260107</v>
      </c>
      <c r="C94" s="47" t="s">
        <v>377</v>
      </c>
      <c r="D94" s="51" t="n">
        <v>1864106.28</v>
      </c>
      <c r="E94" s="52" t="str">
        <f aca="false">IF($N94&gt;1,$D94/$D93-1,"")</f>
        <v/>
      </c>
      <c r="F94" s="51" t="str">
        <f aca="false">IF($N94&gt;=MA_SHORT,AVERAGE(INDEX($D$5:$D94,91-MA_SHORT):$D94),"")</f>
        <v/>
      </c>
      <c r="G94" s="51" t="str">
        <f aca="false">IF($N94&gt;=MA_MED,AVERAGE(INDEX($D$5:$D94,91-MA_MED):$D94),"")</f>
        <v/>
      </c>
      <c r="H94" s="51" t="str">
        <f aca="false">IF($N94&gt;=MA_LONG2,AVERAGE(INDEX($D$5:$D94,91-MA_LONG2):$D94),"")</f>
        <v/>
      </c>
      <c r="I94" s="51" t="n">
        <v>698594.02</v>
      </c>
      <c r="J94" s="52" t="str">
        <f aca="false">IF($N94&gt;1,$I94/$I93-1,"")</f>
        <v/>
      </c>
      <c r="K94" s="51" t="str">
        <f aca="false">IF($N94&gt;=MA_SHORT,AVERAGE(INDEX($I$5:$I94,91-MA_SHORT):$I94),"")</f>
        <v/>
      </c>
      <c r="L94" s="51" t="str">
        <f aca="false">IF($N94&gt;=MA_MED,AVERAGE(INDEX($I$5:$I94,91-MA_MED):$I94),"")</f>
        <v/>
      </c>
      <c r="M94" s="51" t="str">
        <f aca="false">IF($N94&gt;=MA_LONG2,AVERAGE(INDEX($I$5:$I94,91-MA_LONG2):$I94),"")</f>
        <v/>
      </c>
      <c r="N94" s="46" t="n">
        <f aca="false">IF($A94=$A93,$N93+1,1)</f>
        <v>1</v>
      </c>
    </row>
    <row r="95" customFormat="false" ht="15" hidden="false" customHeight="false" outlineLevel="0" collapsed="false">
      <c r="A95" s="45" t="n">
        <v>46032</v>
      </c>
      <c r="B95" s="46" t="n">
        <v>20260110</v>
      </c>
      <c r="C95" s="47" t="s">
        <v>378</v>
      </c>
      <c r="D95" s="51" t="n">
        <v>1866121.99</v>
      </c>
      <c r="E95" s="52" t="str">
        <f aca="false">IF($N95&gt;1,$D95/$D94-1,"")</f>
        <v/>
      </c>
      <c r="F95" s="51" t="str">
        <f aca="false">IF($N95&gt;=MA_SHORT,AVERAGE(INDEX($D$5:$D95,92-MA_SHORT):$D95),"")</f>
        <v/>
      </c>
      <c r="G95" s="51" t="str">
        <f aca="false">IF($N95&gt;=MA_MED,AVERAGE(INDEX($D$5:$D95,92-MA_MED):$D95),"")</f>
        <v/>
      </c>
      <c r="H95" s="51" t="str">
        <f aca="false">IF($N95&gt;=MA_LONG2,AVERAGE(INDEX($D$5:$D95,92-MA_LONG2):$D95),"")</f>
        <v/>
      </c>
      <c r="I95" s="51" t="n">
        <v>701082.78</v>
      </c>
      <c r="J95" s="52" t="str">
        <f aca="false">IF($N95&gt;1,$I95/$I94-1,"")</f>
        <v/>
      </c>
      <c r="K95" s="51" t="str">
        <f aca="false">IF($N95&gt;=MA_SHORT,AVERAGE(INDEX($I$5:$I95,92-MA_SHORT):$I95),"")</f>
        <v/>
      </c>
      <c r="L95" s="51" t="str">
        <f aca="false">IF($N95&gt;=MA_MED,AVERAGE(INDEX($I$5:$I95,92-MA_MED):$I95),"")</f>
        <v/>
      </c>
      <c r="M95" s="51" t="str">
        <f aca="false">IF($N95&gt;=MA_LONG2,AVERAGE(INDEX($I$5:$I95,92-MA_LONG2):$I95),"")</f>
        <v/>
      </c>
      <c r="N95" s="46" t="n">
        <f aca="false">IF($A95=$A94,$N94+1,1)</f>
        <v>1</v>
      </c>
    </row>
    <row r="96" customFormat="false" ht="15" hidden="false" customHeight="false" outlineLevel="0" collapsed="false">
      <c r="A96" s="45" t="n">
        <v>46033</v>
      </c>
      <c r="B96" s="46" t="n">
        <v>20260111</v>
      </c>
      <c r="C96" s="47" t="s">
        <v>379</v>
      </c>
      <c r="D96" s="51" t="n">
        <v>1859779</v>
      </c>
      <c r="E96" s="52" t="str">
        <f aca="false">IF($N96&gt;1,$D96/$D95-1,"")</f>
        <v/>
      </c>
      <c r="F96" s="51" t="str">
        <f aca="false">IF($N96&gt;=MA_SHORT,AVERAGE(INDEX($D$5:$D96,93-MA_SHORT):$D96),"")</f>
        <v/>
      </c>
      <c r="G96" s="51" t="str">
        <f aca="false">IF($N96&gt;=MA_MED,AVERAGE(INDEX($D$5:$D96,93-MA_MED):$D96),"")</f>
        <v/>
      </c>
      <c r="H96" s="51" t="str">
        <f aca="false">IF($N96&gt;=MA_LONG2,AVERAGE(INDEX($D$5:$D96,93-MA_LONG2):$D96),"")</f>
        <v/>
      </c>
      <c r="I96" s="51" t="n">
        <v>702192.94</v>
      </c>
      <c r="J96" s="52" t="str">
        <f aca="false">IF($N96&gt;1,$I96/$I95-1,"")</f>
        <v/>
      </c>
      <c r="K96" s="51" t="str">
        <f aca="false">IF($N96&gt;=MA_SHORT,AVERAGE(INDEX($I$5:$I96,93-MA_SHORT):$I96),"")</f>
        <v/>
      </c>
      <c r="L96" s="51" t="str">
        <f aca="false">IF($N96&gt;=MA_MED,AVERAGE(INDEX($I$5:$I96,93-MA_MED):$I96),"")</f>
        <v/>
      </c>
      <c r="M96" s="51" t="str">
        <f aca="false">IF($N96&gt;=MA_LONG2,AVERAGE(INDEX($I$5:$I96,93-MA_LONG2):$I96),"")</f>
        <v/>
      </c>
      <c r="N96" s="46" t="n">
        <f aca="false">IF($A96=$A95,$N95+1,1)</f>
        <v>1</v>
      </c>
    </row>
    <row r="97" customFormat="false" ht="15" hidden="false" customHeight="false" outlineLevel="0" collapsed="false">
      <c r="A97" s="45" t="n">
        <v>46034</v>
      </c>
      <c r="B97" s="46" t="n">
        <v>20260112</v>
      </c>
      <c r="C97" s="47" t="s">
        <v>380</v>
      </c>
      <c r="D97" s="51" t="n">
        <v>1852053.24</v>
      </c>
      <c r="E97" s="52" t="str">
        <f aca="false">IF($N97&gt;1,$D97/$D96-1,"")</f>
        <v/>
      </c>
      <c r="F97" s="51" t="str">
        <f aca="false">IF($N97&gt;=MA_SHORT,AVERAGE(INDEX($D$5:$D97,94-MA_SHORT):$D97),"")</f>
        <v/>
      </c>
      <c r="G97" s="51" t="str">
        <f aca="false">IF($N97&gt;=MA_MED,AVERAGE(INDEX($D$5:$D97,94-MA_MED):$D97),"")</f>
        <v/>
      </c>
      <c r="H97" s="51" t="str">
        <f aca="false">IF($N97&gt;=MA_LONG2,AVERAGE(INDEX($D$5:$D97,94-MA_LONG2):$D97),"")</f>
        <v/>
      </c>
      <c r="I97" s="51" t="n">
        <v>698597.53</v>
      </c>
      <c r="J97" s="52" t="str">
        <f aca="false">IF($N97&gt;1,$I97/$I96-1,"")</f>
        <v/>
      </c>
      <c r="K97" s="51" t="str">
        <f aca="false">IF($N97&gt;=MA_SHORT,AVERAGE(INDEX($I$5:$I97,94-MA_SHORT):$I97),"")</f>
        <v/>
      </c>
      <c r="L97" s="51" t="str">
        <f aca="false">IF($N97&gt;=MA_MED,AVERAGE(INDEX($I$5:$I97,94-MA_MED):$I97),"")</f>
        <v/>
      </c>
      <c r="M97" s="51" t="str">
        <f aca="false">IF($N97&gt;=MA_LONG2,AVERAGE(INDEX($I$5:$I97,94-MA_LONG2):$I97),"")</f>
        <v/>
      </c>
      <c r="N97" s="46" t="n">
        <f aca="false">IF($A97=$A96,$N96+1,1)</f>
        <v>1</v>
      </c>
    </row>
    <row r="98" customFormat="false" ht="15" hidden="false" customHeight="false" outlineLevel="0" collapsed="false">
      <c r="A98" s="45" t="n">
        <v>46035</v>
      </c>
      <c r="B98" s="46" t="n">
        <v>20260113</v>
      </c>
      <c r="C98" s="47" t="s">
        <v>381</v>
      </c>
      <c r="D98" s="51" t="n">
        <v>1844797.63</v>
      </c>
      <c r="E98" s="52" t="str">
        <f aca="false">IF($N98&gt;1,$D98/$D97-1,"")</f>
        <v/>
      </c>
      <c r="F98" s="51" t="str">
        <f aca="false">IF($N98&gt;=MA_SHORT,AVERAGE(INDEX($D$5:$D98,95-MA_SHORT):$D98),"")</f>
        <v/>
      </c>
      <c r="G98" s="51" t="str">
        <f aca="false">IF($N98&gt;=MA_MED,AVERAGE(INDEX($D$5:$D98,95-MA_MED):$D98),"")</f>
        <v/>
      </c>
      <c r="H98" s="51" t="str">
        <f aca="false">IF($N98&gt;=MA_LONG2,AVERAGE(INDEX($D$5:$D98,95-MA_LONG2):$D98),"")</f>
        <v/>
      </c>
      <c r="I98" s="51" t="n">
        <v>697394.62</v>
      </c>
      <c r="J98" s="52" t="str">
        <f aca="false">IF($N98&gt;1,$I98/$I97-1,"")</f>
        <v/>
      </c>
      <c r="K98" s="51" t="str">
        <f aca="false">IF($N98&gt;=MA_SHORT,AVERAGE(INDEX($I$5:$I98,95-MA_SHORT):$I98),"")</f>
        <v/>
      </c>
      <c r="L98" s="51" t="str">
        <f aca="false">IF($N98&gt;=MA_MED,AVERAGE(INDEX($I$5:$I98,95-MA_MED):$I98),"")</f>
        <v/>
      </c>
      <c r="M98" s="51" t="str">
        <f aca="false">IF($N98&gt;=MA_LONG2,AVERAGE(INDEX($I$5:$I98,95-MA_LONG2):$I98),"")</f>
        <v/>
      </c>
      <c r="N98" s="46" t="n">
        <f aca="false">IF($A98=$A97,$N97+1,1)</f>
        <v>1</v>
      </c>
    </row>
    <row r="99" customFormat="false" ht="15" hidden="false" customHeight="false" outlineLevel="0" collapsed="false">
      <c r="A99" s="45" t="n">
        <v>46036</v>
      </c>
      <c r="B99" s="46" t="n">
        <v>20260114</v>
      </c>
      <c r="C99" s="47" t="s">
        <v>382</v>
      </c>
      <c r="D99" s="51" t="n">
        <v>1875737.02</v>
      </c>
      <c r="E99" s="52" t="str">
        <f aca="false">IF($N99&gt;1,$D99/$D98-1,"")</f>
        <v/>
      </c>
      <c r="F99" s="51" t="str">
        <f aca="false">IF($N99&gt;=MA_SHORT,AVERAGE(INDEX($D$5:$D99,96-MA_SHORT):$D99),"")</f>
        <v/>
      </c>
      <c r="G99" s="51" t="str">
        <f aca="false">IF($N99&gt;=MA_MED,AVERAGE(INDEX($D$5:$D99,96-MA_MED):$D99),"")</f>
        <v/>
      </c>
      <c r="H99" s="51" t="str">
        <f aca="false">IF($N99&gt;=MA_LONG2,AVERAGE(INDEX($D$5:$D99,96-MA_LONG2):$D99),"")</f>
        <v/>
      </c>
      <c r="I99" s="51" t="n">
        <v>682105.09</v>
      </c>
      <c r="J99" s="52" t="str">
        <f aca="false">IF($N99&gt;1,$I99/$I98-1,"")</f>
        <v/>
      </c>
      <c r="K99" s="51" t="str">
        <f aca="false">IF($N99&gt;=MA_SHORT,AVERAGE(INDEX($I$5:$I99,96-MA_SHORT):$I99),"")</f>
        <v/>
      </c>
      <c r="L99" s="51" t="str">
        <f aca="false">IF($N99&gt;=MA_MED,AVERAGE(INDEX($I$5:$I99,96-MA_MED):$I99),"")</f>
        <v/>
      </c>
      <c r="M99" s="51" t="str">
        <f aca="false">IF($N99&gt;=MA_LONG2,AVERAGE(INDEX($I$5:$I99,96-MA_LONG2):$I99),"")</f>
        <v/>
      </c>
      <c r="N99" s="46" t="n">
        <f aca="false">IF($A99=$A98,$N98+1,1)</f>
        <v>1</v>
      </c>
    </row>
    <row r="100" customFormat="false" ht="15" hidden="false" customHeight="false" outlineLevel="0" collapsed="false">
      <c r="A100" s="45" t="n">
        <v>46039</v>
      </c>
      <c r="B100" s="46" t="n">
        <v>20260117</v>
      </c>
      <c r="C100" s="47" t="s">
        <v>383</v>
      </c>
      <c r="D100" s="51" t="n">
        <v>1887032.17</v>
      </c>
      <c r="E100" s="52" t="str">
        <f aca="false">IF($N100&gt;1,$D100/$D99-1,"")</f>
        <v/>
      </c>
      <c r="F100" s="51" t="str">
        <f aca="false">IF($N100&gt;=MA_SHORT,AVERAGE(INDEX($D$5:$D100,97-MA_SHORT):$D100),"")</f>
        <v/>
      </c>
      <c r="G100" s="51" t="str">
        <f aca="false">IF($N100&gt;=MA_MED,AVERAGE(INDEX($D$5:$D100,97-MA_MED):$D100),"")</f>
        <v/>
      </c>
      <c r="H100" s="51" t="str">
        <f aca="false">IF($N100&gt;=MA_LONG2,AVERAGE(INDEX($D$5:$D100,97-MA_LONG2):$D100),"")</f>
        <v/>
      </c>
      <c r="I100" s="51" t="n">
        <v>688026.52</v>
      </c>
      <c r="J100" s="52" t="str">
        <f aca="false">IF($N100&gt;1,$I100/$I99-1,"")</f>
        <v/>
      </c>
      <c r="K100" s="51" t="str">
        <f aca="false">IF($N100&gt;=MA_SHORT,AVERAGE(INDEX($I$5:$I100,97-MA_SHORT):$I100),"")</f>
        <v/>
      </c>
      <c r="L100" s="51" t="str">
        <f aca="false">IF($N100&gt;=MA_MED,AVERAGE(INDEX($I$5:$I100,97-MA_MED):$I100),"")</f>
        <v/>
      </c>
      <c r="M100" s="51" t="str">
        <f aca="false">IF($N100&gt;=MA_LONG2,AVERAGE(INDEX($I$5:$I100,97-MA_LONG2):$I100),"")</f>
        <v/>
      </c>
      <c r="N100" s="46" t="n">
        <f aca="false">IF($A100=$A99,$N99+1,1)</f>
        <v>1</v>
      </c>
    </row>
    <row r="101" customFormat="false" ht="15" hidden="false" customHeight="false" outlineLevel="0" collapsed="false">
      <c r="A101" s="45" t="n">
        <v>46040</v>
      </c>
      <c r="B101" s="46" t="n">
        <v>20260118</v>
      </c>
      <c r="C101" s="47" t="s">
        <v>384</v>
      </c>
      <c r="D101" s="51" t="n">
        <v>1902557.91</v>
      </c>
      <c r="E101" s="52" t="str">
        <f aca="false">IF($N101&gt;1,$D101/$D100-1,"")</f>
        <v/>
      </c>
      <c r="F101" s="51" t="str">
        <f aca="false">IF($N101&gt;=MA_SHORT,AVERAGE(INDEX($D$5:$D101,98-MA_SHORT):$D101),"")</f>
        <v/>
      </c>
      <c r="G101" s="51" t="str">
        <f aca="false">IF($N101&gt;=MA_MED,AVERAGE(INDEX($D$5:$D101,98-MA_MED):$D101),"")</f>
        <v/>
      </c>
      <c r="H101" s="51" t="str">
        <f aca="false">IF($N101&gt;=MA_LONG2,AVERAGE(INDEX($D$5:$D101,98-MA_LONG2):$D101),"")</f>
        <v/>
      </c>
      <c r="I101" s="51" t="n">
        <v>666817.33</v>
      </c>
      <c r="J101" s="52" t="str">
        <f aca="false">IF($N101&gt;1,$I101/$I100-1,"")</f>
        <v/>
      </c>
      <c r="K101" s="51" t="str">
        <f aca="false">IF($N101&gt;=MA_SHORT,AVERAGE(INDEX($I$5:$I101,98-MA_SHORT):$I101),"")</f>
        <v/>
      </c>
      <c r="L101" s="51" t="str">
        <f aca="false">IF($N101&gt;=MA_MED,AVERAGE(INDEX($I$5:$I101,98-MA_MED):$I101),"")</f>
        <v/>
      </c>
      <c r="M101" s="51" t="str">
        <f aca="false">IF($N101&gt;=MA_LONG2,AVERAGE(INDEX($I$5:$I101,98-MA_LONG2):$I101),"")</f>
        <v/>
      </c>
      <c r="N101" s="46" t="n">
        <f aca="false">IF($A101=$A100,$N100+1,1)</f>
        <v>1</v>
      </c>
    </row>
    <row r="102" customFormat="false" ht="15" hidden="false" customHeight="false" outlineLevel="0" collapsed="false">
      <c r="A102" s="45" t="n">
        <v>46041</v>
      </c>
      <c r="B102" s="46" t="n">
        <v>20260119</v>
      </c>
      <c r="C102" s="47" t="s">
        <v>385</v>
      </c>
      <c r="D102" s="51" t="n">
        <v>1903742.34</v>
      </c>
      <c r="E102" s="52" t="str">
        <f aca="false">IF($N102&gt;1,$D102/$D101-1,"")</f>
        <v/>
      </c>
      <c r="F102" s="51" t="str">
        <f aca="false">IF($N102&gt;=MA_SHORT,AVERAGE(INDEX($D$5:$D102,99-MA_SHORT):$D102),"")</f>
        <v/>
      </c>
      <c r="G102" s="51" t="str">
        <f aca="false">IF($N102&gt;=MA_MED,AVERAGE(INDEX($D$5:$D102,99-MA_MED):$D102),"")</f>
        <v/>
      </c>
      <c r="H102" s="51" t="str">
        <f aca="false">IF($N102&gt;=MA_LONG2,AVERAGE(INDEX($D$5:$D102,99-MA_LONG2):$D102),"")</f>
        <v/>
      </c>
      <c r="I102" s="51" t="n">
        <v>667643.17</v>
      </c>
      <c r="J102" s="52" t="str">
        <f aca="false">IF($N102&gt;1,$I102/$I101-1,"")</f>
        <v/>
      </c>
      <c r="K102" s="51" t="str">
        <f aca="false">IF($N102&gt;=MA_SHORT,AVERAGE(INDEX($I$5:$I102,99-MA_SHORT):$I102),"")</f>
        <v/>
      </c>
      <c r="L102" s="51" t="str">
        <f aca="false">IF($N102&gt;=MA_MED,AVERAGE(INDEX($I$5:$I102,99-MA_MED):$I102),"")</f>
        <v/>
      </c>
      <c r="M102" s="51" t="str">
        <f aca="false">IF($N102&gt;=MA_LONG2,AVERAGE(INDEX($I$5:$I102,99-MA_LONG2):$I102),"")</f>
        <v/>
      </c>
      <c r="N102" s="46" t="n">
        <f aca="false">IF($A102=$A101,$N101+1,1)</f>
        <v>1</v>
      </c>
    </row>
    <row r="103" customFormat="false" ht="15" hidden="false" customHeight="false" outlineLevel="0" collapsed="false">
      <c r="A103" s="45" t="n">
        <v>46042</v>
      </c>
      <c r="B103" s="46" t="n">
        <v>20260120</v>
      </c>
      <c r="C103" s="47" t="s">
        <v>386</v>
      </c>
      <c r="D103" s="51" t="n">
        <v>1931880.9</v>
      </c>
      <c r="E103" s="52" t="str">
        <f aca="false">IF($N103&gt;1,$D103/$D102-1,"")</f>
        <v/>
      </c>
      <c r="F103" s="51" t="str">
        <f aca="false">IF($N103&gt;=MA_SHORT,AVERAGE(INDEX($D$5:$D103,100-MA_SHORT):$D103),"")</f>
        <v/>
      </c>
      <c r="G103" s="51" t="str">
        <f aca="false">IF($N103&gt;=MA_MED,AVERAGE(INDEX($D$5:$D103,100-MA_MED):$D103),"")</f>
        <v/>
      </c>
      <c r="H103" s="51" t="str">
        <f aca="false">IF($N103&gt;=MA_LONG2,AVERAGE(INDEX($D$5:$D103,100-MA_LONG2):$D103),"")</f>
        <v/>
      </c>
      <c r="I103" s="51" t="n">
        <v>664778.94</v>
      </c>
      <c r="J103" s="52" t="str">
        <f aca="false">IF($N103&gt;1,$I103/$I102-1,"")</f>
        <v/>
      </c>
      <c r="K103" s="51" t="str">
        <f aca="false">IF($N103&gt;=MA_SHORT,AVERAGE(INDEX($I$5:$I103,100-MA_SHORT):$I103),"")</f>
        <v/>
      </c>
      <c r="L103" s="51" t="str">
        <f aca="false">IF($N103&gt;=MA_MED,AVERAGE(INDEX($I$5:$I103,100-MA_MED):$I103),"")</f>
        <v/>
      </c>
      <c r="M103" s="51" t="str">
        <f aca="false">IF($N103&gt;=MA_LONG2,AVERAGE(INDEX($I$5:$I103,100-MA_LONG2):$I103),"")</f>
        <v/>
      </c>
      <c r="N103" s="46" t="n">
        <f aca="false">IF($A103=$A102,$N102+1,1)</f>
        <v>1</v>
      </c>
    </row>
    <row r="104" customFormat="false" ht="15" hidden="false" customHeight="false" outlineLevel="0" collapsed="false">
      <c r="A104" s="45" t="n">
        <v>46043</v>
      </c>
      <c r="B104" s="46" t="n">
        <v>20260121</v>
      </c>
      <c r="C104" s="47" t="s">
        <v>387</v>
      </c>
      <c r="D104" s="51" t="n">
        <v>1937326.2</v>
      </c>
      <c r="E104" s="52" t="str">
        <f aca="false">IF($N104&gt;1,$D104/$D103-1,"")</f>
        <v/>
      </c>
      <c r="F104" s="51" t="str">
        <f aca="false">IF($N104&gt;=MA_SHORT,AVERAGE(INDEX($D$5:$D104,101-MA_SHORT):$D104),"")</f>
        <v/>
      </c>
      <c r="G104" s="51" t="str">
        <f aca="false">IF($N104&gt;=MA_MED,AVERAGE(INDEX($D$5:$D104,101-MA_MED):$D104),"")</f>
        <v/>
      </c>
      <c r="H104" s="51" t="str">
        <f aca="false">IF($N104&gt;=MA_LONG2,AVERAGE(INDEX($D$5:$D104,101-MA_LONG2):$D104),"")</f>
        <v/>
      </c>
      <c r="I104" s="51" t="n">
        <v>669940.06</v>
      </c>
      <c r="J104" s="52" t="str">
        <f aca="false">IF($N104&gt;1,$I104/$I103-1,"")</f>
        <v/>
      </c>
      <c r="K104" s="51" t="str">
        <f aca="false">IF($N104&gt;=MA_SHORT,AVERAGE(INDEX($I$5:$I104,101-MA_SHORT):$I104),"")</f>
        <v/>
      </c>
      <c r="L104" s="51" t="str">
        <f aca="false">IF($N104&gt;=MA_MED,AVERAGE(INDEX($I$5:$I104,101-MA_MED):$I104),"")</f>
        <v/>
      </c>
      <c r="M104" s="51" t="str">
        <f aca="false">IF($N104&gt;=MA_LONG2,AVERAGE(INDEX($I$5:$I104,101-MA_LONG2):$I104),"")</f>
        <v/>
      </c>
      <c r="N104" s="46" t="n">
        <f aca="false">IF($A104=$A103,$N103+1,1)</f>
        <v>1</v>
      </c>
    </row>
    <row r="105" customFormat="false" ht="15" hidden="false" customHeight="false" outlineLevel="0" collapsed="false">
      <c r="A105" s="45" t="n">
        <v>46046</v>
      </c>
      <c r="B105" s="46" t="n">
        <v>20260124</v>
      </c>
      <c r="C105" s="47" t="s">
        <v>388</v>
      </c>
      <c r="D105" s="51" t="n">
        <v>1908564.41</v>
      </c>
      <c r="E105" s="52" t="str">
        <f aca="false">IF($N105&gt;1,$D105/$D104-1,"")</f>
        <v/>
      </c>
      <c r="F105" s="51" t="str">
        <f aca="false">IF($N105&gt;=MA_SHORT,AVERAGE(INDEX($D$5:$D105,102-MA_SHORT):$D105),"")</f>
        <v/>
      </c>
      <c r="G105" s="51" t="str">
        <f aca="false">IF($N105&gt;=MA_MED,AVERAGE(INDEX($D$5:$D105,102-MA_MED):$D105),"")</f>
        <v/>
      </c>
      <c r="H105" s="51" t="str">
        <f aca="false">IF($N105&gt;=MA_LONG2,AVERAGE(INDEX($D$5:$D105,102-MA_LONG2):$D105),"")</f>
        <v/>
      </c>
      <c r="I105" s="51" t="n">
        <v>684264.56</v>
      </c>
      <c r="J105" s="52" t="str">
        <f aca="false">IF($N105&gt;1,$I105/$I104-1,"")</f>
        <v/>
      </c>
      <c r="K105" s="51" t="str">
        <f aca="false">IF($N105&gt;=MA_SHORT,AVERAGE(INDEX($I$5:$I105,102-MA_SHORT):$I105),"")</f>
        <v/>
      </c>
      <c r="L105" s="51" t="str">
        <f aca="false">IF($N105&gt;=MA_MED,AVERAGE(INDEX($I$5:$I105,102-MA_MED):$I105),"")</f>
        <v/>
      </c>
      <c r="M105" s="51" t="str">
        <f aca="false">IF($N105&gt;=MA_LONG2,AVERAGE(INDEX($I$5:$I105,102-MA_LONG2):$I105),"")</f>
        <v/>
      </c>
      <c r="N105" s="46" t="n">
        <f aca="false">IF($A105=$A104,$N104+1,1)</f>
        <v>1</v>
      </c>
    </row>
    <row r="106" customFormat="false" ht="15" hidden="false" customHeight="false" outlineLevel="0" collapsed="false">
      <c r="A106" s="45" t="n">
        <v>46047</v>
      </c>
      <c r="B106" s="46" t="n">
        <v>20260125</v>
      </c>
      <c r="C106" s="47" t="s">
        <v>389</v>
      </c>
      <c r="D106" s="51" t="n">
        <v>1911904.08</v>
      </c>
      <c r="E106" s="52" t="str">
        <f aca="false">IF($N106&gt;1,$D106/$D105-1,"")</f>
        <v/>
      </c>
      <c r="F106" s="51" t="str">
        <f aca="false">IF($N106&gt;=MA_SHORT,AVERAGE(INDEX($D$5:$D106,103-MA_SHORT):$D106),"")</f>
        <v/>
      </c>
      <c r="G106" s="51" t="str">
        <f aca="false">IF($N106&gt;=MA_MED,AVERAGE(INDEX($D$5:$D106,103-MA_MED):$D106),"")</f>
        <v/>
      </c>
      <c r="H106" s="51" t="str">
        <f aca="false">IF($N106&gt;=MA_LONG2,AVERAGE(INDEX($D$5:$D106,103-MA_LONG2):$D106),"")</f>
        <v/>
      </c>
      <c r="I106" s="51" t="n">
        <v>683818.95</v>
      </c>
      <c r="J106" s="52" t="str">
        <f aca="false">IF($N106&gt;1,$I106/$I105-1,"")</f>
        <v/>
      </c>
      <c r="K106" s="51" t="str">
        <f aca="false">IF($N106&gt;=MA_SHORT,AVERAGE(INDEX($I$5:$I106,103-MA_SHORT):$I106),"")</f>
        <v/>
      </c>
      <c r="L106" s="51" t="str">
        <f aca="false">IF($N106&gt;=MA_MED,AVERAGE(INDEX($I$5:$I106,103-MA_MED):$I106),"")</f>
        <v/>
      </c>
      <c r="M106" s="51" t="str">
        <f aca="false">IF($N106&gt;=MA_LONG2,AVERAGE(INDEX($I$5:$I106,103-MA_LONG2):$I106),"")</f>
        <v/>
      </c>
      <c r="N106" s="46" t="n">
        <f aca="false">IF($A106=$A105,$N105+1,1)</f>
        <v>1</v>
      </c>
    </row>
    <row r="107" customFormat="false" ht="15" hidden="false" customHeight="false" outlineLevel="0" collapsed="false">
      <c r="A107" s="45" t="n">
        <v>46048</v>
      </c>
      <c r="B107" s="46" t="n">
        <v>20260126</v>
      </c>
      <c r="C107" s="47" t="s">
        <v>390</v>
      </c>
      <c r="D107" s="51" t="n">
        <v>1907290.13</v>
      </c>
      <c r="E107" s="52" t="str">
        <f aca="false">IF($N107&gt;1,$D107/$D106-1,"")</f>
        <v/>
      </c>
      <c r="F107" s="51" t="str">
        <f aca="false">IF($N107&gt;=MA_SHORT,AVERAGE(INDEX($D$5:$D107,104-MA_SHORT):$D107),"")</f>
        <v/>
      </c>
      <c r="G107" s="51" t="str">
        <f aca="false">IF($N107&gt;=MA_MED,AVERAGE(INDEX($D$5:$D107,104-MA_MED):$D107),"")</f>
        <v/>
      </c>
      <c r="H107" s="51" t="str">
        <f aca="false">IF($N107&gt;=MA_LONG2,AVERAGE(INDEX($D$5:$D107,104-MA_LONG2):$D107),"")</f>
        <v/>
      </c>
      <c r="I107" s="51" t="n">
        <v>695469.05</v>
      </c>
      <c r="J107" s="52" t="str">
        <f aca="false">IF($N107&gt;1,$I107/$I106-1,"")</f>
        <v/>
      </c>
      <c r="K107" s="51" t="str">
        <f aca="false">IF($N107&gt;=MA_SHORT,AVERAGE(INDEX($I$5:$I107,104-MA_SHORT):$I107),"")</f>
        <v/>
      </c>
      <c r="L107" s="51" t="str">
        <f aca="false">IF($N107&gt;=MA_MED,AVERAGE(INDEX($I$5:$I107,104-MA_MED):$I107),"")</f>
        <v/>
      </c>
      <c r="M107" s="51" t="str">
        <f aca="false">IF($N107&gt;=MA_LONG2,AVERAGE(INDEX($I$5:$I107,104-MA_LONG2):$I107),"")</f>
        <v/>
      </c>
      <c r="N107" s="46" t="n">
        <f aca="false">IF($A107=$A106,$N106+1,1)</f>
        <v>1</v>
      </c>
    </row>
    <row r="108" customFormat="false" ht="15" hidden="false" customHeight="false" outlineLevel="0" collapsed="false">
      <c r="A108" s="45" t="n">
        <v>46049</v>
      </c>
      <c r="B108" s="46" t="n">
        <v>20260127</v>
      </c>
      <c r="C108" s="47" t="s">
        <v>391</v>
      </c>
      <c r="D108" s="51" t="n">
        <v>1891461.35</v>
      </c>
      <c r="E108" s="52" t="str">
        <f aca="false">IF($N108&gt;1,$D108/$D107-1,"")</f>
        <v/>
      </c>
      <c r="F108" s="51" t="str">
        <f aca="false">IF($N108&gt;=MA_SHORT,AVERAGE(INDEX($D$5:$D108,105-MA_SHORT):$D108),"")</f>
        <v/>
      </c>
      <c r="G108" s="51" t="str">
        <f aca="false">IF($N108&gt;=MA_MED,AVERAGE(INDEX($D$5:$D108,105-MA_MED):$D108),"")</f>
        <v/>
      </c>
      <c r="H108" s="51" t="str">
        <f aca="false">IF($N108&gt;=MA_LONG2,AVERAGE(INDEX($D$5:$D108,105-MA_LONG2):$D108),"")</f>
        <v/>
      </c>
      <c r="I108" s="51" t="n">
        <v>696243.48</v>
      </c>
      <c r="J108" s="52" t="str">
        <f aca="false">IF($N108&gt;1,$I108/$I107-1,"")</f>
        <v/>
      </c>
      <c r="K108" s="51" t="str">
        <f aca="false">IF($N108&gt;=MA_SHORT,AVERAGE(INDEX($I$5:$I108,105-MA_SHORT):$I108),"")</f>
        <v/>
      </c>
      <c r="L108" s="51" t="str">
        <f aca="false">IF($N108&gt;=MA_MED,AVERAGE(INDEX($I$5:$I108,105-MA_MED):$I108),"")</f>
        <v/>
      </c>
      <c r="M108" s="51" t="str">
        <f aca="false">IF($N108&gt;=MA_LONG2,AVERAGE(INDEX($I$5:$I108,105-MA_LONG2):$I108),"")</f>
        <v/>
      </c>
      <c r="N108" s="46" t="n">
        <f aca="false">IF($A108=$A107,$N107+1,1)</f>
        <v>1</v>
      </c>
    </row>
    <row r="109" customFormat="false" ht="15" hidden="false" customHeight="false" outlineLevel="0" collapsed="false">
      <c r="A109" s="45" t="n">
        <v>46050</v>
      </c>
      <c r="B109" s="46" t="n">
        <v>20260128</v>
      </c>
      <c r="C109" s="47" t="s">
        <v>392</v>
      </c>
      <c r="D109" s="51" t="n">
        <v>1872008.91</v>
      </c>
      <c r="E109" s="52" t="str">
        <f aca="false">IF($N109&gt;1,$D109/$D108-1,"")</f>
        <v/>
      </c>
      <c r="F109" s="51" t="str">
        <f aca="false">IF($N109&gt;=MA_SHORT,AVERAGE(INDEX($D$5:$D109,106-MA_SHORT):$D109),"")</f>
        <v/>
      </c>
      <c r="G109" s="51" t="str">
        <f aca="false">IF($N109&gt;=MA_MED,AVERAGE(INDEX($D$5:$D109,106-MA_MED):$D109),"")</f>
        <v/>
      </c>
      <c r="H109" s="51" t="str">
        <f aca="false">IF($N109&gt;=MA_LONG2,AVERAGE(INDEX($D$5:$D109,106-MA_LONG2):$D109),"")</f>
        <v/>
      </c>
      <c r="I109" s="51" t="n">
        <v>695262.14</v>
      </c>
      <c r="J109" s="52" t="str">
        <f aca="false">IF($N109&gt;1,$I109/$I108-1,"")</f>
        <v/>
      </c>
      <c r="K109" s="51" t="str">
        <f aca="false">IF($N109&gt;=MA_SHORT,AVERAGE(INDEX($I$5:$I109,106-MA_SHORT):$I109),"")</f>
        <v/>
      </c>
      <c r="L109" s="51" t="str">
        <f aca="false">IF($N109&gt;=MA_MED,AVERAGE(INDEX($I$5:$I109,106-MA_MED):$I109),"")</f>
        <v/>
      </c>
      <c r="M109" s="51" t="str">
        <f aca="false">IF($N109&gt;=MA_LONG2,AVERAGE(INDEX($I$5:$I109,106-MA_LONG2):$I109),"")</f>
        <v/>
      </c>
      <c r="N109" s="46" t="n">
        <f aca="false">IF($A109=$A108,$N108+1,1)</f>
        <v>1</v>
      </c>
    </row>
    <row r="110" customFormat="false" ht="15" hidden="false" customHeight="false" outlineLevel="0" collapsed="false">
      <c r="A110" s="45" t="n">
        <v>46053</v>
      </c>
      <c r="B110" s="46" t="n">
        <v>20260131</v>
      </c>
      <c r="C110" s="47" t="s">
        <v>393</v>
      </c>
      <c r="D110" s="51" t="n">
        <v>1833129.65</v>
      </c>
      <c r="E110" s="52" t="str">
        <f aca="false">IF($N110&gt;1,$D110/$D109-1,"")</f>
        <v/>
      </c>
      <c r="F110" s="51" t="str">
        <f aca="false">IF($N110&gt;=MA_SHORT,AVERAGE(INDEX($D$5:$D110,107-MA_SHORT):$D110),"")</f>
        <v/>
      </c>
      <c r="G110" s="51" t="str">
        <f aca="false">IF($N110&gt;=MA_MED,AVERAGE(INDEX($D$5:$D110,107-MA_MED):$D110),"")</f>
        <v/>
      </c>
      <c r="H110" s="51" t="str">
        <f aca="false">IF($N110&gt;=MA_LONG2,AVERAGE(INDEX($D$5:$D110,107-MA_LONG2):$D110),"")</f>
        <v/>
      </c>
      <c r="I110" s="51" t="n">
        <v>680859.6</v>
      </c>
      <c r="J110" s="52" t="str">
        <f aca="false">IF($N110&gt;1,$I110/$I109-1,"")</f>
        <v/>
      </c>
      <c r="K110" s="51" t="str">
        <f aca="false">IF($N110&gt;=MA_SHORT,AVERAGE(INDEX($I$5:$I110,107-MA_SHORT):$I110),"")</f>
        <v/>
      </c>
      <c r="L110" s="51" t="str">
        <f aca="false">IF($N110&gt;=MA_MED,AVERAGE(INDEX($I$5:$I110,107-MA_MED):$I110),"")</f>
        <v/>
      </c>
      <c r="M110" s="51" t="str">
        <f aca="false">IF($N110&gt;=MA_LONG2,AVERAGE(INDEX($I$5:$I110,107-MA_LONG2):$I110),"")</f>
        <v/>
      </c>
      <c r="N110" s="46" t="n">
        <f aca="false">IF($A110=$A109,$N109+1,1)</f>
        <v>1</v>
      </c>
    </row>
    <row r="111" customFormat="false" ht="15" hidden="false" customHeight="false" outlineLevel="0" collapsed="false">
      <c r="A111" s="45" t="n">
        <v>46054</v>
      </c>
      <c r="B111" s="46" t="n">
        <v>20260201</v>
      </c>
      <c r="C111" s="47" t="s">
        <v>394</v>
      </c>
      <c r="D111" s="51" t="n">
        <v>1823083.69</v>
      </c>
      <c r="E111" s="52" t="str">
        <f aca="false">IF($N111&gt;1,$D111/$D110-1,"")</f>
        <v/>
      </c>
      <c r="F111" s="51" t="str">
        <f aca="false">IF($N111&gt;=MA_SHORT,AVERAGE(INDEX($D$5:$D111,108-MA_SHORT):$D111),"")</f>
        <v/>
      </c>
      <c r="G111" s="51" t="str">
        <f aca="false">IF($N111&gt;=MA_MED,AVERAGE(INDEX($D$5:$D111,108-MA_MED):$D111),"")</f>
        <v/>
      </c>
      <c r="H111" s="51" t="str">
        <f aca="false">IF($N111&gt;=MA_LONG2,AVERAGE(INDEX($D$5:$D111,108-MA_LONG2):$D111),"")</f>
        <v/>
      </c>
      <c r="I111" s="51" t="n">
        <v>680852.5</v>
      </c>
      <c r="J111" s="52" t="str">
        <f aca="false">IF($N111&gt;1,$I111/$I110-1,"")</f>
        <v/>
      </c>
      <c r="K111" s="51" t="str">
        <f aca="false">IF($N111&gt;=MA_SHORT,AVERAGE(INDEX($I$5:$I111,108-MA_SHORT):$I111),"")</f>
        <v/>
      </c>
      <c r="L111" s="51" t="str">
        <f aca="false">IF($N111&gt;=MA_MED,AVERAGE(INDEX($I$5:$I111,108-MA_MED):$I111),"")</f>
        <v/>
      </c>
      <c r="M111" s="51" t="str">
        <f aca="false">IF($N111&gt;=MA_LONG2,AVERAGE(INDEX($I$5:$I111,108-MA_LONG2):$I111),"")</f>
        <v/>
      </c>
      <c r="N111" s="46" t="n">
        <f aca="false">IF($A111=$A110,$N110+1,1)</f>
        <v>1</v>
      </c>
    </row>
    <row r="112" customFormat="false" ht="15" hidden="false" customHeight="false" outlineLevel="0" collapsed="false">
      <c r="A112" s="45" t="n">
        <v>46055</v>
      </c>
      <c r="B112" s="46" t="n">
        <v>20260202</v>
      </c>
      <c r="C112" s="47" t="s">
        <v>395</v>
      </c>
      <c r="D112" s="51" t="n">
        <v>1825910.83</v>
      </c>
      <c r="E112" s="52" t="str">
        <f aca="false">IF($N112&gt;1,$D112/$D111-1,"")</f>
        <v/>
      </c>
      <c r="F112" s="51" t="str">
        <f aca="false">IF($N112&gt;=MA_SHORT,AVERAGE(INDEX($D$5:$D112,109-MA_SHORT):$D112),"")</f>
        <v/>
      </c>
      <c r="G112" s="51" t="str">
        <f aca="false">IF($N112&gt;=MA_MED,AVERAGE(INDEX($D$5:$D112,109-MA_MED):$D112),"")</f>
        <v/>
      </c>
      <c r="H112" s="51" t="str">
        <f aca="false">IF($N112&gt;=MA_LONG2,AVERAGE(INDEX($D$5:$D112,109-MA_LONG2):$D112),"")</f>
        <v/>
      </c>
      <c r="I112" s="51" t="n">
        <v>683000.36</v>
      </c>
      <c r="J112" s="52" t="str">
        <f aca="false">IF($N112&gt;1,$I112/$I111-1,"")</f>
        <v/>
      </c>
      <c r="K112" s="51" t="str">
        <f aca="false">IF($N112&gt;=MA_SHORT,AVERAGE(INDEX($I$5:$I112,109-MA_SHORT):$I112),"")</f>
        <v/>
      </c>
      <c r="L112" s="51" t="str">
        <f aca="false">IF($N112&gt;=MA_MED,AVERAGE(INDEX($I$5:$I112,109-MA_MED):$I112),"")</f>
        <v/>
      </c>
      <c r="M112" s="51" t="str">
        <f aca="false">IF($N112&gt;=MA_LONG2,AVERAGE(INDEX($I$5:$I112,109-MA_LONG2):$I112),"")</f>
        <v/>
      </c>
      <c r="N112" s="46" t="n">
        <f aca="false">IF($A112=$A111,$N111+1,1)</f>
        <v>1</v>
      </c>
    </row>
    <row r="113" customFormat="false" ht="15" hidden="false" customHeight="false" outlineLevel="0" collapsed="false">
      <c r="A113" s="45" t="n">
        <v>46056</v>
      </c>
      <c r="B113" s="46" t="n">
        <v>20260203</v>
      </c>
      <c r="C113" s="47" t="s">
        <v>396</v>
      </c>
      <c r="D113" s="51" t="n">
        <v>1830043.77</v>
      </c>
      <c r="E113" s="52" t="str">
        <f aca="false">IF($N113&gt;1,$D113/$D112-1,"")</f>
        <v/>
      </c>
      <c r="F113" s="51" t="str">
        <f aca="false">IF($N113&gt;=MA_SHORT,AVERAGE(INDEX($D$5:$D113,110-MA_SHORT):$D113),"")</f>
        <v/>
      </c>
      <c r="G113" s="51" t="str">
        <f aca="false">IF($N113&gt;=MA_MED,AVERAGE(INDEX($D$5:$D113,110-MA_MED):$D113),"")</f>
        <v/>
      </c>
      <c r="H113" s="51" t="str">
        <f aca="false">IF($N113&gt;=MA_LONG2,AVERAGE(INDEX($D$5:$D113,110-MA_LONG2):$D113),"")</f>
        <v/>
      </c>
      <c r="I113" s="51" t="n">
        <v>681662.12</v>
      </c>
      <c r="J113" s="52" t="str">
        <f aca="false">IF($N113&gt;1,$I113/$I112-1,"")</f>
        <v/>
      </c>
      <c r="K113" s="51" t="str">
        <f aca="false">IF($N113&gt;=MA_SHORT,AVERAGE(INDEX($I$5:$I113,110-MA_SHORT):$I113),"")</f>
        <v/>
      </c>
      <c r="L113" s="51" t="str">
        <f aca="false">IF($N113&gt;=MA_MED,AVERAGE(INDEX($I$5:$I113,110-MA_MED):$I113),"")</f>
        <v/>
      </c>
      <c r="M113" s="51" t="str">
        <f aca="false">IF($N113&gt;=MA_LONG2,AVERAGE(INDEX($I$5:$I113,110-MA_LONG2):$I113),"")</f>
        <v/>
      </c>
      <c r="N113" s="46" t="n">
        <f aca="false">IF($A113=$A112,$N112+1,1)</f>
        <v>1</v>
      </c>
    </row>
    <row r="114" customFormat="false" ht="15" hidden="false" customHeight="false" outlineLevel="0" collapsed="false">
      <c r="A114" s="45" t="n">
        <v>46057</v>
      </c>
      <c r="B114" s="46" t="n">
        <v>20260204</v>
      </c>
      <c r="C114" s="47" t="s">
        <v>397</v>
      </c>
      <c r="D114" s="51" t="n">
        <v>1851773.68</v>
      </c>
      <c r="E114" s="52" t="str">
        <f aca="false">IF($N114&gt;1,$D114/$D113-1,"")</f>
        <v/>
      </c>
      <c r="F114" s="51" t="str">
        <f aca="false">IF($N114&gt;=MA_SHORT,AVERAGE(INDEX($D$5:$D114,111-MA_SHORT):$D114),"")</f>
        <v/>
      </c>
      <c r="G114" s="51" t="str">
        <f aca="false">IF($N114&gt;=MA_MED,AVERAGE(INDEX($D$5:$D114,111-MA_MED):$D114),"")</f>
        <v/>
      </c>
      <c r="H114" s="51" t="str">
        <f aca="false">IF($N114&gt;=MA_LONG2,AVERAGE(INDEX($D$5:$D114,111-MA_LONG2):$D114),"")</f>
        <v/>
      </c>
      <c r="I114" s="51" t="n">
        <v>685503.67</v>
      </c>
      <c r="J114" s="52" t="str">
        <f aca="false">IF($N114&gt;1,$I114/$I113-1,"")</f>
        <v/>
      </c>
      <c r="K114" s="51" t="str">
        <f aca="false">IF($N114&gt;=MA_SHORT,AVERAGE(INDEX($I$5:$I114,111-MA_SHORT):$I114),"")</f>
        <v/>
      </c>
      <c r="L114" s="51" t="str">
        <f aca="false">IF($N114&gt;=MA_MED,AVERAGE(INDEX($I$5:$I114,111-MA_MED):$I114),"")</f>
        <v/>
      </c>
      <c r="M114" s="51" t="str">
        <f aca="false">IF($N114&gt;=MA_LONG2,AVERAGE(INDEX($I$5:$I114,111-MA_LONG2):$I114),"")</f>
        <v/>
      </c>
      <c r="N114" s="46" t="n">
        <f aca="false">IF($A114=$A113,$N113+1,1)</f>
        <v>1</v>
      </c>
    </row>
    <row r="115" customFormat="false" ht="15" hidden="false" customHeight="false" outlineLevel="0" collapsed="false">
      <c r="A115" s="45" t="n">
        <v>46060</v>
      </c>
      <c r="B115" s="46" t="n">
        <v>20260207</v>
      </c>
      <c r="C115" s="47" t="s">
        <v>398</v>
      </c>
      <c r="D115" s="51" t="n">
        <v>1865637.12</v>
      </c>
      <c r="E115" s="52" t="str">
        <f aca="false">IF($N115&gt;1,$D115/$D114-1,"")</f>
        <v/>
      </c>
      <c r="F115" s="51" t="str">
        <f aca="false">IF($N115&gt;=MA_SHORT,AVERAGE(INDEX($D$5:$D115,112-MA_SHORT):$D115),"")</f>
        <v/>
      </c>
      <c r="G115" s="51" t="str">
        <f aca="false">IF($N115&gt;=MA_MED,AVERAGE(INDEX($D$5:$D115,112-MA_MED):$D115),"")</f>
        <v/>
      </c>
      <c r="H115" s="51" t="str">
        <f aca="false">IF($N115&gt;=MA_LONG2,AVERAGE(INDEX($D$5:$D115,112-MA_LONG2):$D115),"")</f>
        <v/>
      </c>
      <c r="I115" s="51" t="n">
        <v>691277.41</v>
      </c>
      <c r="J115" s="52" t="str">
        <f aca="false">IF($N115&gt;1,$I115/$I114-1,"")</f>
        <v/>
      </c>
      <c r="K115" s="51" t="str">
        <f aca="false">IF($N115&gt;=MA_SHORT,AVERAGE(INDEX($I$5:$I115,112-MA_SHORT):$I115),"")</f>
        <v/>
      </c>
      <c r="L115" s="51" t="str">
        <f aca="false">IF($N115&gt;=MA_MED,AVERAGE(INDEX($I$5:$I115,112-MA_MED):$I115),"")</f>
        <v/>
      </c>
      <c r="M115" s="51" t="str">
        <f aca="false">IF($N115&gt;=MA_LONG2,AVERAGE(INDEX($I$5:$I115,112-MA_LONG2):$I115),"")</f>
        <v/>
      </c>
      <c r="N115" s="46" t="n">
        <f aca="false">IF($A115=$A114,$N114+1,1)</f>
        <v>1</v>
      </c>
    </row>
    <row r="116" customFormat="false" ht="15" hidden="false" customHeight="false" outlineLevel="0" collapsed="false">
      <c r="A116" s="45" t="n">
        <v>46061</v>
      </c>
      <c r="B116" s="46" t="n">
        <v>20260208</v>
      </c>
      <c r="C116" s="47" t="s">
        <v>399</v>
      </c>
      <c r="D116" s="51" t="n">
        <v>1847879.35</v>
      </c>
      <c r="E116" s="52" t="str">
        <f aca="false">IF($N116&gt;1,$D116/$D115-1,"")</f>
        <v/>
      </c>
      <c r="F116" s="51" t="str">
        <f aca="false">IF($N116&gt;=MA_SHORT,AVERAGE(INDEX($D$5:$D116,113-MA_SHORT):$D116),"")</f>
        <v/>
      </c>
      <c r="G116" s="51" t="str">
        <f aca="false">IF($N116&gt;=MA_MED,AVERAGE(INDEX($D$5:$D116,113-MA_MED):$D116),"")</f>
        <v/>
      </c>
      <c r="H116" s="51" t="str">
        <f aca="false">IF($N116&gt;=MA_LONG2,AVERAGE(INDEX($D$5:$D116,113-MA_LONG2):$D116),"")</f>
        <v/>
      </c>
      <c r="I116" s="51" t="n">
        <v>697344.43</v>
      </c>
      <c r="J116" s="52" t="str">
        <f aca="false">IF($N116&gt;1,$I116/$I115-1,"")</f>
        <v/>
      </c>
      <c r="K116" s="51" t="str">
        <f aca="false">IF($N116&gt;=MA_SHORT,AVERAGE(INDEX($I$5:$I116,113-MA_SHORT):$I116),"")</f>
        <v/>
      </c>
      <c r="L116" s="51" t="str">
        <f aca="false">IF($N116&gt;=MA_MED,AVERAGE(INDEX($I$5:$I116,113-MA_MED):$I116),"")</f>
        <v/>
      </c>
      <c r="M116" s="51" t="str">
        <f aca="false">IF($N116&gt;=MA_LONG2,AVERAGE(INDEX($I$5:$I116,113-MA_LONG2):$I116),"")</f>
        <v/>
      </c>
      <c r="N116" s="46" t="n">
        <f aca="false">IF($A116=$A115,$N115+1,1)</f>
        <v>1</v>
      </c>
    </row>
    <row r="117" customFormat="false" ht="15" hidden="false" customHeight="false" outlineLevel="0" collapsed="false">
      <c r="A117" s="45" t="n">
        <v>46062</v>
      </c>
      <c r="B117" s="46" t="n">
        <v>20260209</v>
      </c>
      <c r="C117" s="47" t="s">
        <v>400</v>
      </c>
      <c r="D117" s="51" t="n">
        <v>1849285.79</v>
      </c>
      <c r="E117" s="52" t="str">
        <f aca="false">IF($N117&gt;1,$D117/$D116-1,"")</f>
        <v/>
      </c>
      <c r="F117" s="51" t="str">
        <f aca="false">IF($N117&gt;=MA_SHORT,AVERAGE(INDEX($D$5:$D117,114-MA_SHORT):$D117),"")</f>
        <v/>
      </c>
      <c r="G117" s="51" t="str">
        <f aca="false">IF($N117&gt;=MA_MED,AVERAGE(INDEX($D$5:$D117,114-MA_MED):$D117),"")</f>
        <v/>
      </c>
      <c r="H117" s="51" t="str">
        <f aca="false">IF($N117&gt;=MA_LONG2,AVERAGE(INDEX($D$5:$D117,114-MA_LONG2):$D117),"")</f>
        <v/>
      </c>
      <c r="I117" s="51" t="n">
        <v>684875.56</v>
      </c>
      <c r="J117" s="52" t="str">
        <f aca="false">IF($N117&gt;1,$I117/$I116-1,"")</f>
        <v/>
      </c>
      <c r="K117" s="51" t="str">
        <f aca="false">IF($N117&gt;=MA_SHORT,AVERAGE(INDEX($I$5:$I117,114-MA_SHORT):$I117),"")</f>
        <v/>
      </c>
      <c r="L117" s="51" t="str">
        <f aca="false">IF($N117&gt;=MA_MED,AVERAGE(INDEX($I$5:$I117,114-MA_MED):$I117),"")</f>
        <v/>
      </c>
      <c r="M117" s="51" t="str">
        <f aca="false">IF($N117&gt;=MA_LONG2,AVERAGE(INDEX($I$5:$I117,114-MA_LONG2):$I117),"")</f>
        <v/>
      </c>
      <c r="N117" s="46" t="n">
        <f aca="false">IF($A117=$A116,$N116+1,1)</f>
        <v>1</v>
      </c>
    </row>
    <row r="118" customFormat="false" ht="15" hidden="false" customHeight="false" outlineLevel="0" collapsed="false">
      <c r="A118" s="45" t="n">
        <v>46063</v>
      </c>
      <c r="B118" s="46" t="n">
        <v>20260210</v>
      </c>
      <c r="C118" s="47" t="s">
        <v>401</v>
      </c>
      <c r="D118" s="51" t="n">
        <v>1836275.34</v>
      </c>
      <c r="E118" s="52" t="str">
        <f aca="false">IF($N118&gt;1,$D118/$D117-1,"")</f>
        <v/>
      </c>
      <c r="F118" s="51" t="str">
        <f aca="false">IF($N118&gt;=MA_SHORT,AVERAGE(INDEX($D$5:$D118,115-MA_SHORT):$D118),"")</f>
        <v/>
      </c>
      <c r="G118" s="51" t="str">
        <f aca="false">IF($N118&gt;=MA_MED,AVERAGE(INDEX($D$5:$D118,115-MA_MED):$D118),"")</f>
        <v/>
      </c>
      <c r="H118" s="51" t="str">
        <f aca="false">IF($N118&gt;=MA_LONG2,AVERAGE(INDEX($D$5:$D118,115-MA_LONG2):$D118),"")</f>
        <v/>
      </c>
      <c r="I118" s="51" t="n">
        <v>693623.5</v>
      </c>
      <c r="J118" s="52" t="str">
        <f aca="false">IF($N118&gt;1,$I118/$I117-1,"")</f>
        <v/>
      </c>
      <c r="K118" s="51" t="str">
        <f aca="false">IF($N118&gt;=MA_SHORT,AVERAGE(INDEX($I$5:$I118,115-MA_SHORT):$I118),"")</f>
        <v/>
      </c>
      <c r="L118" s="51" t="str">
        <f aca="false">IF($N118&gt;=MA_MED,AVERAGE(INDEX($I$5:$I118,115-MA_MED):$I118),"")</f>
        <v/>
      </c>
      <c r="M118" s="51" t="str">
        <f aca="false">IF($N118&gt;=MA_LONG2,AVERAGE(INDEX($I$5:$I118,115-MA_LONG2):$I118),"")</f>
        <v/>
      </c>
      <c r="N118" s="46" t="n">
        <f aca="false">IF($A118=$A117,$N117+1,1)</f>
        <v>1</v>
      </c>
    </row>
    <row r="119" customFormat="false" ht="15" hidden="false" customHeight="false" outlineLevel="0" collapsed="false">
      <c r="A119" s="45" t="n">
        <v>46064</v>
      </c>
      <c r="B119" s="46" t="n">
        <v>20260211</v>
      </c>
      <c r="C119" s="47" t="s">
        <v>402</v>
      </c>
      <c r="D119" s="51" t="n">
        <v>1790950.9</v>
      </c>
      <c r="E119" s="52" t="str">
        <f aca="false">IF($N119&gt;1,$D119/$D118-1,"")</f>
        <v/>
      </c>
      <c r="F119" s="51" t="str">
        <f aca="false">IF($N119&gt;=MA_SHORT,AVERAGE(INDEX($D$5:$D119,116-MA_SHORT):$D119),"")</f>
        <v/>
      </c>
      <c r="G119" s="51" t="str">
        <f aca="false">IF($N119&gt;=MA_MED,AVERAGE(INDEX($D$5:$D119,116-MA_MED):$D119),"")</f>
        <v/>
      </c>
      <c r="H119" s="51" t="str">
        <f aca="false">IF($N119&gt;=MA_LONG2,AVERAGE(INDEX($D$5:$D119,116-MA_LONG2):$D119),"")</f>
        <v/>
      </c>
      <c r="I119" s="51" t="n">
        <v>699008.74</v>
      </c>
      <c r="J119" s="52" t="str">
        <f aca="false">IF($N119&gt;1,$I119/$I118-1,"")</f>
        <v/>
      </c>
      <c r="K119" s="51" t="str">
        <f aca="false">IF($N119&gt;=MA_SHORT,AVERAGE(INDEX($I$5:$I119,116-MA_SHORT):$I119),"")</f>
        <v/>
      </c>
      <c r="L119" s="51" t="str">
        <f aca="false">IF($N119&gt;=MA_MED,AVERAGE(INDEX($I$5:$I119,116-MA_MED):$I119),"")</f>
        <v/>
      </c>
      <c r="M119" s="51" t="str">
        <f aca="false">IF($N119&gt;=MA_LONG2,AVERAGE(INDEX($I$5:$I119,116-MA_LONG2):$I119),"")</f>
        <v/>
      </c>
      <c r="N119" s="46" t="n">
        <f aca="false">IF($A119=$A118,$N118+1,1)</f>
        <v>1</v>
      </c>
    </row>
    <row r="120" customFormat="false" ht="15" hidden="false" customHeight="false" outlineLevel="0" collapsed="false">
      <c r="A120" s="45" t="n">
        <v>46067</v>
      </c>
      <c r="B120" s="46" t="n">
        <v>20260214</v>
      </c>
      <c r="C120" s="47" t="s">
        <v>403</v>
      </c>
      <c r="D120" s="51" t="n">
        <v>1804331.56</v>
      </c>
      <c r="E120" s="52" t="str">
        <f aca="false">IF($N120&gt;1,$D120/$D119-1,"")</f>
        <v/>
      </c>
      <c r="F120" s="51" t="str">
        <f aca="false">IF($N120&gt;=MA_SHORT,AVERAGE(INDEX($D$5:$D120,117-MA_SHORT):$D120),"")</f>
        <v/>
      </c>
      <c r="G120" s="51" t="str">
        <f aca="false">IF($N120&gt;=MA_MED,AVERAGE(INDEX($D$5:$D120,117-MA_MED):$D120),"")</f>
        <v/>
      </c>
      <c r="H120" s="51" t="str">
        <f aca="false">IF($N120&gt;=MA_LONG2,AVERAGE(INDEX($D$5:$D120,117-MA_LONG2):$D120),"")</f>
        <v/>
      </c>
      <c r="I120" s="51" t="n">
        <v>684482.69</v>
      </c>
      <c r="J120" s="52" t="str">
        <f aca="false">IF($N120&gt;1,$I120/$I119-1,"")</f>
        <v/>
      </c>
      <c r="K120" s="51" t="str">
        <f aca="false">IF($N120&gt;=MA_SHORT,AVERAGE(INDEX($I$5:$I120,117-MA_SHORT):$I120),"")</f>
        <v/>
      </c>
      <c r="L120" s="51" t="str">
        <f aca="false">IF($N120&gt;=MA_MED,AVERAGE(INDEX($I$5:$I120,117-MA_MED):$I120),"")</f>
        <v/>
      </c>
      <c r="M120" s="51" t="str">
        <f aca="false">IF($N120&gt;=MA_LONG2,AVERAGE(INDEX($I$5:$I120,117-MA_LONG2):$I120),"")</f>
        <v/>
      </c>
      <c r="N120" s="46" t="n">
        <f aca="false">IF($A120=$A119,$N119+1,1)</f>
        <v>1</v>
      </c>
    </row>
    <row r="121" customFormat="false" ht="15" hidden="false" customHeight="false" outlineLevel="0" collapsed="false">
      <c r="A121" s="45" t="n">
        <v>46068</v>
      </c>
      <c r="B121" s="46" t="n">
        <v>20260215</v>
      </c>
      <c r="C121" s="47" t="s">
        <v>404</v>
      </c>
      <c r="D121" s="51" t="n">
        <v>1763725.11</v>
      </c>
      <c r="E121" s="52" t="str">
        <f aca="false">IF($N121&gt;1,$D121/$D120-1,"")</f>
        <v/>
      </c>
      <c r="F121" s="51" t="str">
        <f aca="false">IF($N121&gt;=MA_SHORT,AVERAGE(INDEX($D$5:$D121,118-MA_SHORT):$D121),"")</f>
        <v/>
      </c>
      <c r="G121" s="51" t="str">
        <f aca="false">IF($N121&gt;=MA_MED,AVERAGE(INDEX($D$5:$D121,118-MA_MED):$D121),"")</f>
        <v/>
      </c>
      <c r="H121" s="51" t="str">
        <f aca="false">IF($N121&gt;=MA_LONG2,AVERAGE(INDEX($D$5:$D121,118-MA_LONG2):$D121),"")</f>
        <v/>
      </c>
      <c r="I121" s="51" t="n">
        <v>703315.11</v>
      </c>
      <c r="J121" s="52" t="str">
        <f aca="false">IF($N121&gt;1,$I121/$I120-1,"")</f>
        <v/>
      </c>
      <c r="K121" s="51" t="str">
        <f aca="false">IF($N121&gt;=MA_SHORT,AVERAGE(INDEX($I$5:$I121,118-MA_SHORT):$I121),"")</f>
        <v/>
      </c>
      <c r="L121" s="51" t="str">
        <f aca="false">IF($N121&gt;=MA_MED,AVERAGE(INDEX($I$5:$I121,118-MA_MED):$I121),"")</f>
        <v/>
      </c>
      <c r="M121" s="51" t="str">
        <f aca="false">IF($N121&gt;=MA_LONG2,AVERAGE(INDEX($I$5:$I121,118-MA_LONG2):$I121),"")</f>
        <v/>
      </c>
      <c r="N121" s="46" t="n">
        <f aca="false">IF($A121=$A120,$N120+1,1)</f>
        <v>1</v>
      </c>
    </row>
    <row r="122" customFormat="false" ht="15" hidden="false" customHeight="false" outlineLevel="0" collapsed="false">
      <c r="A122" s="45" t="n">
        <v>46069</v>
      </c>
      <c r="B122" s="46" t="n">
        <v>20260216</v>
      </c>
      <c r="C122" s="47" t="s">
        <v>405</v>
      </c>
      <c r="D122" s="51" t="n">
        <v>1776534.66</v>
      </c>
      <c r="E122" s="52" t="str">
        <f aca="false">IF($N122&gt;1,$D122/$D121-1,"")</f>
        <v/>
      </c>
      <c r="F122" s="51" t="str">
        <f aca="false">IF($N122&gt;=MA_SHORT,AVERAGE(INDEX($D$5:$D122,119-MA_SHORT):$D122),"")</f>
        <v/>
      </c>
      <c r="G122" s="51" t="str">
        <f aca="false">IF($N122&gt;=MA_MED,AVERAGE(INDEX($D$5:$D122,119-MA_MED):$D122),"")</f>
        <v/>
      </c>
      <c r="H122" s="51" t="str">
        <f aca="false">IF($N122&gt;=MA_LONG2,AVERAGE(INDEX($D$5:$D122,119-MA_LONG2):$D122),"")</f>
        <v/>
      </c>
      <c r="I122" s="51" t="n">
        <v>695062.07</v>
      </c>
      <c r="J122" s="52" t="str">
        <f aca="false">IF($N122&gt;1,$I122/$I121-1,"")</f>
        <v/>
      </c>
      <c r="K122" s="51" t="str">
        <f aca="false">IF($N122&gt;=MA_SHORT,AVERAGE(INDEX($I$5:$I122,119-MA_SHORT):$I122),"")</f>
        <v/>
      </c>
      <c r="L122" s="51" t="str">
        <f aca="false">IF($N122&gt;=MA_MED,AVERAGE(INDEX($I$5:$I122,119-MA_MED):$I122),"")</f>
        <v/>
      </c>
      <c r="M122" s="51" t="str">
        <f aca="false">IF($N122&gt;=MA_LONG2,AVERAGE(INDEX($I$5:$I122,119-MA_LONG2):$I122),"")</f>
        <v/>
      </c>
      <c r="N122" s="46" t="n">
        <f aca="false">IF($A122=$A121,$N121+1,1)</f>
        <v>1</v>
      </c>
    </row>
    <row r="123" customFormat="false" ht="15" hidden="false" customHeight="false" outlineLevel="0" collapsed="false">
      <c r="A123" s="45" t="n">
        <v>46070</v>
      </c>
      <c r="B123" s="46" t="n">
        <v>20260217</v>
      </c>
      <c r="C123" s="47" t="s">
        <v>406</v>
      </c>
      <c r="D123" s="51" t="n">
        <v>1775538.38</v>
      </c>
      <c r="E123" s="52" t="str">
        <f aca="false">IF($N123&gt;1,$D123/$D122-1,"")</f>
        <v/>
      </c>
      <c r="F123" s="51" t="str">
        <f aca="false">IF($N123&gt;=MA_SHORT,AVERAGE(INDEX($D$5:$D123,120-MA_SHORT):$D123),"")</f>
        <v/>
      </c>
      <c r="G123" s="51" t="str">
        <f aca="false">IF($N123&gt;=MA_MED,AVERAGE(INDEX($D$5:$D123,120-MA_MED):$D123),"")</f>
        <v/>
      </c>
      <c r="H123" s="51" t="str">
        <f aca="false">IF($N123&gt;=MA_LONG2,AVERAGE(INDEX($D$5:$D123,120-MA_LONG2):$D123),"")</f>
        <v/>
      </c>
      <c r="I123" s="51" t="n">
        <v>696254.08</v>
      </c>
      <c r="J123" s="52" t="str">
        <f aca="false">IF($N123&gt;1,$I123/$I122-1,"")</f>
        <v/>
      </c>
      <c r="K123" s="51" t="str">
        <f aca="false">IF($N123&gt;=MA_SHORT,AVERAGE(INDEX($I$5:$I123,120-MA_SHORT):$I123),"")</f>
        <v/>
      </c>
      <c r="L123" s="51" t="str">
        <f aca="false">IF($N123&gt;=MA_MED,AVERAGE(INDEX($I$5:$I123,120-MA_MED):$I123),"")</f>
        <v/>
      </c>
      <c r="M123" s="51" t="str">
        <f aca="false">IF($N123&gt;=MA_LONG2,AVERAGE(INDEX($I$5:$I123,120-MA_LONG2):$I123),"")</f>
        <v/>
      </c>
      <c r="N123" s="46" t="n">
        <f aca="false">IF($A123=$A122,$N122+1,1)</f>
        <v>1</v>
      </c>
    </row>
    <row r="124" customFormat="false" ht="15" hidden="false" customHeight="false" outlineLevel="0" collapsed="false">
      <c r="A124" s="45" t="n">
        <v>46071</v>
      </c>
      <c r="B124" s="46" t="n">
        <v>20260218</v>
      </c>
      <c r="C124" s="47" t="s">
        <v>407</v>
      </c>
      <c r="D124" s="51" t="n">
        <v>1778849.15</v>
      </c>
      <c r="E124" s="52" t="str">
        <f aca="false">IF($N124&gt;1,$D124/$D123-1,"")</f>
        <v/>
      </c>
      <c r="F124" s="51" t="str">
        <f aca="false">IF($N124&gt;=MA_SHORT,AVERAGE(INDEX($D$5:$D124,121-MA_SHORT):$D124),"")</f>
        <v/>
      </c>
      <c r="G124" s="51" t="str">
        <f aca="false">IF($N124&gt;=MA_MED,AVERAGE(INDEX($D$5:$D124,121-MA_MED):$D124),"")</f>
        <v/>
      </c>
      <c r="H124" s="51" t="str">
        <f aca="false">IF($N124&gt;=MA_LONG2,AVERAGE(INDEX($D$5:$D124,121-MA_LONG2):$D124),"")</f>
        <v/>
      </c>
      <c r="I124" s="51" t="n">
        <v>699343.58</v>
      </c>
      <c r="J124" s="52" t="str">
        <f aca="false">IF($N124&gt;1,$I124/$I123-1,"")</f>
        <v/>
      </c>
      <c r="K124" s="51" t="str">
        <f aca="false">IF($N124&gt;=MA_SHORT,AVERAGE(INDEX($I$5:$I124,121-MA_SHORT):$I124),"")</f>
        <v/>
      </c>
      <c r="L124" s="51" t="str">
        <f aca="false">IF($N124&gt;=MA_MED,AVERAGE(INDEX($I$5:$I124,121-MA_MED):$I124),"")</f>
        <v/>
      </c>
      <c r="M124" s="51" t="str">
        <f aca="false">IF($N124&gt;=MA_LONG2,AVERAGE(INDEX($I$5:$I124,121-MA_LONG2):$I124),"")</f>
        <v/>
      </c>
      <c r="N124" s="46" t="n">
        <f aca="false">IF($A124=$A123,$N123+1,1)</f>
        <v>1</v>
      </c>
    </row>
    <row r="125" customFormat="false" ht="15" hidden="false" customHeight="false" outlineLevel="0" collapsed="false">
      <c r="A125" s="45" t="n">
        <v>46074</v>
      </c>
      <c r="B125" s="46" t="n">
        <v>20260221</v>
      </c>
      <c r="C125" s="47" t="s">
        <v>408</v>
      </c>
      <c r="D125" s="51" t="n">
        <v>1810601.54</v>
      </c>
      <c r="E125" s="52" t="str">
        <f aca="false">IF($N125&gt;1,$D125/$D124-1,"")</f>
        <v/>
      </c>
      <c r="F125" s="51" t="str">
        <f aca="false">IF($N125&gt;=MA_SHORT,AVERAGE(INDEX($D$5:$D125,122-MA_SHORT):$D125),"")</f>
        <v/>
      </c>
      <c r="G125" s="51" t="str">
        <f aca="false">IF($N125&gt;=MA_MED,AVERAGE(INDEX($D$5:$D125,122-MA_MED):$D125),"")</f>
        <v/>
      </c>
      <c r="H125" s="51" t="str">
        <f aca="false">IF($N125&gt;=MA_LONG2,AVERAGE(INDEX($D$5:$D125,122-MA_LONG2):$D125),"")</f>
        <v/>
      </c>
      <c r="I125" s="51" t="n">
        <v>698596.17</v>
      </c>
      <c r="J125" s="52" t="str">
        <f aca="false">IF($N125&gt;1,$I125/$I124-1,"")</f>
        <v/>
      </c>
      <c r="K125" s="51" t="str">
        <f aca="false">IF($N125&gt;=MA_SHORT,AVERAGE(INDEX($I$5:$I125,122-MA_SHORT):$I125),"")</f>
        <v/>
      </c>
      <c r="L125" s="51" t="str">
        <f aca="false">IF($N125&gt;=MA_MED,AVERAGE(INDEX($I$5:$I125,122-MA_MED):$I125),"")</f>
        <v/>
      </c>
      <c r="M125" s="51" t="str">
        <f aca="false">IF($N125&gt;=MA_LONG2,AVERAGE(INDEX($I$5:$I125,122-MA_LONG2):$I125),"")</f>
        <v/>
      </c>
      <c r="N125" s="46" t="n">
        <f aca="false">IF($A125=$A124,$N124+1,1)</f>
        <v>1</v>
      </c>
    </row>
    <row r="126" customFormat="false" ht="15" hidden="false" customHeight="false" outlineLevel="0" collapsed="false">
      <c r="A126" s="45" t="n">
        <v>46075</v>
      </c>
      <c r="B126" s="46" t="n">
        <v>20260222</v>
      </c>
      <c r="C126" s="47" t="s">
        <v>409</v>
      </c>
      <c r="D126" s="51" t="n">
        <v>1845030.82</v>
      </c>
      <c r="E126" s="52" t="str">
        <f aca="false">IF($N126&gt;1,$D126/$D125-1,"")</f>
        <v/>
      </c>
      <c r="F126" s="51" t="str">
        <f aca="false">IF($N126&gt;=MA_SHORT,AVERAGE(INDEX($D$5:$D126,123-MA_SHORT):$D126),"")</f>
        <v/>
      </c>
      <c r="G126" s="51" t="str">
        <f aca="false">IF($N126&gt;=MA_MED,AVERAGE(INDEX($D$5:$D126,123-MA_MED):$D126),"")</f>
        <v/>
      </c>
      <c r="H126" s="51" t="str">
        <f aca="false">IF($N126&gt;=MA_LONG2,AVERAGE(INDEX($D$5:$D126,123-MA_LONG2):$D126),"")</f>
        <v/>
      </c>
      <c r="I126" s="51" t="n">
        <v>690736.72</v>
      </c>
      <c r="J126" s="52" t="str">
        <f aca="false">IF($N126&gt;1,$I126/$I125-1,"")</f>
        <v/>
      </c>
      <c r="K126" s="51" t="str">
        <f aca="false">IF($N126&gt;=MA_SHORT,AVERAGE(INDEX($I$5:$I126,123-MA_SHORT):$I126),"")</f>
        <v/>
      </c>
      <c r="L126" s="51" t="str">
        <f aca="false">IF($N126&gt;=MA_MED,AVERAGE(INDEX($I$5:$I126,123-MA_MED):$I126),"")</f>
        <v/>
      </c>
      <c r="M126" s="51" t="str">
        <f aca="false">IF($N126&gt;=MA_LONG2,AVERAGE(INDEX($I$5:$I126,123-MA_LONG2):$I126),"")</f>
        <v/>
      </c>
      <c r="N126" s="46" t="n">
        <f aca="false">IF($A126=$A125,$N125+1,1)</f>
        <v>1</v>
      </c>
    </row>
    <row r="127" customFormat="false" ht="15" hidden="false" customHeight="false" outlineLevel="0" collapsed="false">
      <c r="A127" s="45" t="n">
        <v>46076</v>
      </c>
      <c r="B127" s="46" t="n">
        <v>20260223</v>
      </c>
      <c r="C127" s="47" t="s">
        <v>410</v>
      </c>
      <c r="D127" s="51" t="n">
        <v>1844571.6</v>
      </c>
      <c r="E127" s="52" t="str">
        <f aca="false">IF($N127&gt;1,$D127/$D126-1,"")</f>
        <v/>
      </c>
      <c r="F127" s="51" t="str">
        <f aca="false">IF($N127&gt;=MA_SHORT,AVERAGE(INDEX($D$5:$D127,124-MA_SHORT):$D127),"")</f>
        <v/>
      </c>
      <c r="G127" s="51" t="str">
        <f aca="false">IF($N127&gt;=MA_MED,AVERAGE(INDEX($D$5:$D127,124-MA_MED):$D127),"")</f>
        <v/>
      </c>
      <c r="H127" s="51" t="str">
        <f aca="false">IF($N127&gt;=MA_LONG2,AVERAGE(INDEX($D$5:$D127,124-MA_LONG2):$D127),"")</f>
        <v/>
      </c>
      <c r="I127" s="51" t="n">
        <v>687418.82</v>
      </c>
      <c r="J127" s="52" t="str">
        <f aca="false">IF($N127&gt;1,$I127/$I126-1,"")</f>
        <v/>
      </c>
      <c r="K127" s="51" t="str">
        <f aca="false">IF($N127&gt;=MA_SHORT,AVERAGE(INDEX($I$5:$I127,124-MA_SHORT):$I127),"")</f>
        <v/>
      </c>
      <c r="L127" s="51" t="str">
        <f aca="false">IF($N127&gt;=MA_MED,AVERAGE(INDEX($I$5:$I127,124-MA_MED):$I127),"")</f>
        <v/>
      </c>
      <c r="M127" s="51" t="str">
        <f aca="false">IF($N127&gt;=MA_LONG2,AVERAGE(INDEX($I$5:$I127,124-MA_LONG2):$I127),"")</f>
        <v/>
      </c>
      <c r="N127" s="46" t="n">
        <f aca="false">IF($A127=$A126,$N126+1,1)</f>
        <v>1</v>
      </c>
    </row>
    <row r="128" customFormat="false" ht="15" hidden="false" customHeight="false" outlineLevel="0" collapsed="false">
      <c r="A128" s="45" t="n">
        <v>46077</v>
      </c>
      <c r="B128" s="46" t="n">
        <v>20260224</v>
      </c>
      <c r="C128" s="47" t="s">
        <v>411</v>
      </c>
      <c r="D128" s="51" t="n">
        <v>1832786.12</v>
      </c>
      <c r="E128" s="52" t="str">
        <f aca="false">IF($N128&gt;1,$D128/$D127-1,"")</f>
        <v/>
      </c>
      <c r="F128" s="51" t="str">
        <f aca="false">IF($N128&gt;=MA_SHORT,AVERAGE(INDEX($D$5:$D128,125-MA_SHORT):$D128),"")</f>
        <v/>
      </c>
      <c r="G128" s="51" t="str">
        <f aca="false">IF($N128&gt;=MA_MED,AVERAGE(INDEX($D$5:$D128,125-MA_MED):$D128),"")</f>
        <v/>
      </c>
      <c r="H128" s="51" t="str">
        <f aca="false">IF($N128&gt;=MA_LONG2,AVERAGE(INDEX($D$5:$D128,125-MA_LONG2):$D128),"")</f>
        <v/>
      </c>
      <c r="I128" s="51" t="n">
        <v>683641.36</v>
      </c>
      <c r="J128" s="52" t="str">
        <f aca="false">IF($N128&gt;1,$I128/$I127-1,"")</f>
        <v/>
      </c>
      <c r="K128" s="51" t="str">
        <f aca="false">IF($N128&gt;=MA_SHORT,AVERAGE(INDEX($I$5:$I128,125-MA_SHORT):$I128),"")</f>
        <v/>
      </c>
      <c r="L128" s="51" t="str">
        <f aca="false">IF($N128&gt;=MA_MED,AVERAGE(INDEX($I$5:$I128,125-MA_MED):$I128),"")</f>
        <v/>
      </c>
      <c r="M128" s="51" t="str">
        <f aca="false">IF($N128&gt;=MA_LONG2,AVERAGE(INDEX($I$5:$I128,125-MA_LONG2):$I128),"")</f>
        <v/>
      </c>
      <c r="N128" s="46" t="n">
        <f aca="false">IF($A128=$A127,$N127+1,1)</f>
        <v>1</v>
      </c>
    </row>
    <row r="129" customFormat="false" ht="15" hidden="false" customHeight="false" outlineLevel="0" collapsed="false">
      <c r="A129" s="45" t="n">
        <v>46078</v>
      </c>
      <c r="B129" s="46" t="n">
        <v>20260225</v>
      </c>
      <c r="C129" s="47" t="s">
        <v>412</v>
      </c>
      <c r="D129" s="51" t="n">
        <v>1815180.38</v>
      </c>
      <c r="E129" s="52" t="str">
        <f aca="false">IF($N129&gt;1,$D129/$D128-1,"")</f>
        <v/>
      </c>
      <c r="F129" s="51" t="str">
        <f aca="false">IF($N129&gt;=MA_SHORT,AVERAGE(INDEX($D$5:$D129,126-MA_SHORT):$D129),"")</f>
        <v/>
      </c>
      <c r="G129" s="51" t="str">
        <f aca="false">IF($N129&gt;=MA_MED,AVERAGE(INDEX($D$5:$D129,126-MA_MED):$D129),"")</f>
        <v/>
      </c>
      <c r="H129" s="51" t="str">
        <f aca="false">IF($N129&gt;=MA_LONG2,AVERAGE(INDEX($D$5:$D129,126-MA_LONG2):$D129),"")</f>
        <v/>
      </c>
      <c r="I129" s="51" t="n">
        <v>674393.17</v>
      </c>
      <c r="J129" s="52" t="str">
        <f aca="false">IF($N129&gt;1,$I129/$I128-1,"")</f>
        <v/>
      </c>
      <c r="K129" s="51" t="str">
        <f aca="false">IF($N129&gt;=MA_SHORT,AVERAGE(INDEX($I$5:$I129,126-MA_SHORT):$I129),"")</f>
        <v/>
      </c>
      <c r="L129" s="51" t="str">
        <f aca="false">IF($N129&gt;=MA_MED,AVERAGE(INDEX($I$5:$I129,126-MA_MED):$I129),"")</f>
        <v/>
      </c>
      <c r="M129" s="51" t="str">
        <f aca="false">IF($N129&gt;=MA_LONG2,AVERAGE(INDEX($I$5:$I129,126-MA_LONG2):$I129),"")</f>
        <v/>
      </c>
      <c r="N129" s="46" t="n">
        <f aca="false">IF($A129=$A128,$N128+1,1)</f>
        <v>1</v>
      </c>
    </row>
    <row r="130" customFormat="false" ht="15" hidden="false" customHeight="false" outlineLevel="0" collapsed="false">
      <c r="A130" s="45" t="n">
        <v>46081</v>
      </c>
      <c r="B130" s="46" t="n">
        <v>20260228</v>
      </c>
      <c r="C130" s="47" t="s">
        <v>413</v>
      </c>
      <c r="D130" s="51" t="n">
        <v>1819138.15</v>
      </c>
      <c r="E130" s="52" t="str">
        <f aca="false">IF($N130&gt;1,$D130/$D129-1,"")</f>
        <v/>
      </c>
      <c r="F130" s="51" t="str">
        <f aca="false">IF($N130&gt;=MA_SHORT,AVERAGE(INDEX($D$5:$D130,127-MA_SHORT):$D130),"")</f>
        <v/>
      </c>
      <c r="G130" s="51" t="str">
        <f aca="false">IF($N130&gt;=MA_MED,AVERAGE(INDEX($D$5:$D130,127-MA_MED):$D130),"")</f>
        <v/>
      </c>
      <c r="H130" s="51" t="str">
        <f aca="false">IF($N130&gt;=MA_LONG2,AVERAGE(INDEX($D$5:$D130,127-MA_LONG2):$D130),"")</f>
        <v/>
      </c>
      <c r="I130" s="51" t="n">
        <v>671783.15</v>
      </c>
      <c r="J130" s="52" t="str">
        <f aca="false">IF($N130&gt;1,$I130/$I129-1,"")</f>
        <v/>
      </c>
      <c r="K130" s="51" t="str">
        <f aca="false">IF($N130&gt;=MA_SHORT,AVERAGE(INDEX($I$5:$I130,127-MA_SHORT):$I130),"")</f>
        <v/>
      </c>
      <c r="L130" s="51" t="str">
        <f aca="false">IF($N130&gt;=MA_MED,AVERAGE(INDEX($I$5:$I130,127-MA_MED):$I130),"")</f>
        <v/>
      </c>
      <c r="M130" s="51" t="str">
        <f aca="false">IF($N130&gt;=MA_LONG2,AVERAGE(INDEX($I$5:$I130,127-MA_LONG2):$I130),"")</f>
        <v/>
      </c>
      <c r="N130" s="46" t="n">
        <f aca="false">IF($A130=$A129,$N129+1,1)</f>
        <v>1</v>
      </c>
    </row>
    <row r="131" customFormat="false" ht="15" hidden="false" customHeight="false" outlineLevel="0" collapsed="false">
      <c r="A131" s="45" t="n">
        <v>46082</v>
      </c>
      <c r="B131" s="46" t="n">
        <v>20260301</v>
      </c>
      <c r="C131" s="47" t="s">
        <v>414</v>
      </c>
      <c r="D131" s="51" t="n">
        <v>1827990.26</v>
      </c>
      <c r="E131" s="52" t="str">
        <f aca="false">IF($N131&gt;1,$D131/$D130-1,"")</f>
        <v/>
      </c>
      <c r="F131" s="51" t="str">
        <f aca="false">IF($N131&gt;=MA_SHORT,AVERAGE(INDEX($D$5:$D131,128-MA_SHORT):$D131),"")</f>
        <v/>
      </c>
      <c r="G131" s="51" t="str">
        <f aca="false">IF($N131&gt;=MA_MED,AVERAGE(INDEX($D$5:$D131,128-MA_MED):$D131),"")</f>
        <v/>
      </c>
      <c r="H131" s="51" t="str">
        <f aca="false">IF($N131&gt;=MA_LONG2,AVERAGE(INDEX($D$5:$D131,128-MA_LONG2):$D131),"")</f>
        <v/>
      </c>
      <c r="I131" s="51" t="n">
        <v>667891.49</v>
      </c>
      <c r="J131" s="52" t="str">
        <f aca="false">IF($N131&gt;1,$I131/$I130-1,"")</f>
        <v/>
      </c>
      <c r="K131" s="51" t="str">
        <f aca="false">IF($N131&gt;=MA_SHORT,AVERAGE(INDEX($I$5:$I131,128-MA_SHORT):$I131),"")</f>
        <v/>
      </c>
      <c r="L131" s="51" t="str">
        <f aca="false">IF($N131&gt;=MA_MED,AVERAGE(INDEX($I$5:$I131,128-MA_MED):$I131),"")</f>
        <v/>
      </c>
      <c r="M131" s="51" t="str">
        <f aca="false">IF($N131&gt;=MA_LONG2,AVERAGE(INDEX($I$5:$I131,128-MA_LONG2):$I131),"")</f>
        <v/>
      </c>
      <c r="N131" s="46" t="n">
        <f aca="false">IF($A131=$A130,$N130+1,1)</f>
        <v>1</v>
      </c>
    </row>
    <row r="132" customFormat="false" ht="15" hidden="false" customHeight="false" outlineLevel="0" collapsed="false">
      <c r="A132" s="45" t="n">
        <v>46083</v>
      </c>
      <c r="B132" s="46" t="n">
        <v>20260302</v>
      </c>
      <c r="C132" s="47" t="s">
        <v>415</v>
      </c>
      <c r="D132" s="51" t="n">
        <v>1795900.7</v>
      </c>
      <c r="E132" s="52" t="str">
        <f aca="false">IF($N132&gt;1,$D132/$D131-1,"")</f>
        <v/>
      </c>
      <c r="F132" s="51" t="str">
        <f aca="false">IF($N132&gt;=MA_SHORT,AVERAGE(INDEX($D$5:$D132,129-MA_SHORT):$D132),"")</f>
        <v/>
      </c>
      <c r="G132" s="51" t="str">
        <f aca="false">IF($N132&gt;=MA_MED,AVERAGE(INDEX($D$5:$D132,129-MA_MED):$D132),"")</f>
        <v/>
      </c>
      <c r="H132" s="51" t="str">
        <f aca="false">IF($N132&gt;=MA_LONG2,AVERAGE(INDEX($D$5:$D132,129-MA_LONG2):$D132),"")</f>
        <v/>
      </c>
      <c r="I132" s="51" t="n">
        <v>657461.55</v>
      </c>
      <c r="J132" s="52" t="str">
        <f aca="false">IF($N132&gt;1,$I132/$I131-1,"")</f>
        <v/>
      </c>
      <c r="K132" s="51" t="str">
        <f aca="false">IF($N132&gt;=MA_SHORT,AVERAGE(INDEX($I$5:$I132,129-MA_SHORT):$I132),"")</f>
        <v/>
      </c>
      <c r="L132" s="51" t="str">
        <f aca="false">IF($N132&gt;=MA_MED,AVERAGE(INDEX($I$5:$I132,129-MA_MED):$I132),"")</f>
        <v/>
      </c>
      <c r="M132" s="51" t="str">
        <f aca="false">IF($N132&gt;=MA_LONG2,AVERAGE(INDEX($I$5:$I132,129-MA_LONG2):$I132),"")</f>
        <v/>
      </c>
      <c r="N132" s="46" t="n">
        <f aca="false">IF($A132=$A131,$N131+1,1)</f>
        <v>1</v>
      </c>
    </row>
    <row r="133" customFormat="false" ht="15" hidden="false" customHeight="false" outlineLevel="0" collapsed="false">
      <c r="A133" s="45" t="n">
        <v>46084</v>
      </c>
      <c r="B133" s="46" t="n">
        <v>20260303</v>
      </c>
      <c r="C133" s="47" t="s">
        <v>416</v>
      </c>
      <c r="D133" s="51" t="n">
        <v>1741241.54</v>
      </c>
      <c r="E133" s="52" t="str">
        <f aca="false">IF($N133&gt;1,$D133/$D132-1,"")</f>
        <v/>
      </c>
      <c r="F133" s="51" t="str">
        <f aca="false">IF($N133&gt;=MA_SHORT,AVERAGE(INDEX($D$5:$D133,130-MA_SHORT):$D133),"")</f>
        <v/>
      </c>
      <c r="G133" s="51" t="str">
        <f aca="false">IF($N133&gt;=MA_MED,AVERAGE(INDEX($D$5:$D133,130-MA_MED):$D133),"")</f>
        <v/>
      </c>
      <c r="H133" s="51" t="str">
        <f aca="false">IF($N133&gt;=MA_LONG2,AVERAGE(INDEX($D$5:$D133,130-MA_LONG2):$D133),"")</f>
        <v/>
      </c>
      <c r="I133" s="51" t="n">
        <v>660002.81</v>
      </c>
      <c r="J133" s="52" t="str">
        <f aca="false">IF($N133&gt;1,$I133/$I132-1,"")</f>
        <v/>
      </c>
      <c r="K133" s="51" t="str">
        <f aca="false">IF($N133&gt;=MA_SHORT,AVERAGE(INDEX($I$5:$I133,130-MA_SHORT):$I133),"")</f>
        <v/>
      </c>
      <c r="L133" s="51" t="str">
        <f aca="false">IF($N133&gt;=MA_MED,AVERAGE(INDEX($I$5:$I133,130-MA_MED):$I133),"")</f>
        <v/>
      </c>
      <c r="M133" s="51" t="str">
        <f aca="false">IF($N133&gt;=MA_LONG2,AVERAGE(INDEX($I$5:$I133,130-MA_LONG2):$I133),"")</f>
        <v/>
      </c>
      <c r="N133" s="46" t="n">
        <f aca="false">IF($A133=$A132,$N132+1,1)</f>
        <v>1</v>
      </c>
    </row>
    <row r="134" customFormat="false" ht="15" hidden="false" customHeight="false" outlineLevel="0" collapsed="false">
      <c r="A134" s="45" t="n">
        <v>46085</v>
      </c>
      <c r="B134" s="46" t="n">
        <v>20260304</v>
      </c>
      <c r="C134" s="47" t="s">
        <v>417</v>
      </c>
      <c r="D134" s="51" t="n">
        <v>1743046.01</v>
      </c>
      <c r="E134" s="52" t="str">
        <f aca="false">IF($N134&gt;1,$D134/$D133-1,"")</f>
        <v/>
      </c>
      <c r="F134" s="51" t="str">
        <f aca="false">IF($N134&gt;=MA_SHORT,AVERAGE(INDEX($D$5:$D134,131-MA_SHORT):$D134),"")</f>
        <v/>
      </c>
      <c r="G134" s="51" t="str">
        <f aca="false">IF($N134&gt;=MA_MED,AVERAGE(INDEX($D$5:$D134,131-MA_MED):$D134),"")</f>
        <v/>
      </c>
      <c r="H134" s="51" t="str">
        <f aca="false">IF($N134&gt;=MA_LONG2,AVERAGE(INDEX($D$5:$D134,131-MA_LONG2):$D134),"")</f>
        <v/>
      </c>
      <c r="I134" s="51" t="n">
        <v>657624.14</v>
      </c>
      <c r="J134" s="52" t="str">
        <f aca="false">IF($N134&gt;1,$I134/$I133-1,"")</f>
        <v/>
      </c>
      <c r="K134" s="51" t="str">
        <f aca="false">IF($N134&gt;=MA_SHORT,AVERAGE(INDEX($I$5:$I134,131-MA_SHORT):$I134),"")</f>
        <v/>
      </c>
      <c r="L134" s="51" t="str">
        <f aca="false">IF($N134&gt;=MA_MED,AVERAGE(INDEX($I$5:$I134,131-MA_MED):$I134),"")</f>
        <v/>
      </c>
      <c r="M134" s="51" t="str">
        <f aca="false">IF($N134&gt;=MA_LONG2,AVERAGE(INDEX($I$5:$I134,131-MA_LONG2):$I134),"")</f>
        <v/>
      </c>
      <c r="N134" s="46" t="n">
        <f aca="false">IF($A134=$A133,$N133+1,1)</f>
        <v>1</v>
      </c>
    </row>
    <row r="135" customFormat="false" ht="15" hidden="false" customHeight="false" outlineLevel="0" collapsed="false">
      <c r="A135" s="45" t="n">
        <v>46088</v>
      </c>
      <c r="B135" s="46" t="n">
        <v>20260307</v>
      </c>
      <c r="C135" s="47" t="s">
        <v>418</v>
      </c>
      <c r="D135" s="51" t="n">
        <v>1743466.52</v>
      </c>
      <c r="E135" s="52" t="str">
        <f aca="false">IF($N135&gt;1,$D135/$D134-1,"")</f>
        <v/>
      </c>
      <c r="F135" s="51" t="str">
        <f aca="false">IF($N135&gt;=MA_SHORT,AVERAGE(INDEX($D$5:$D135,132-MA_SHORT):$D135),"")</f>
        <v/>
      </c>
      <c r="G135" s="51" t="str">
        <f aca="false">IF($N135&gt;=MA_MED,AVERAGE(INDEX($D$5:$D135,132-MA_MED):$D135),"")</f>
        <v/>
      </c>
      <c r="H135" s="51" t="str">
        <f aca="false">IF($N135&gt;=MA_LONG2,AVERAGE(INDEX($D$5:$D135,132-MA_LONG2):$D135),"")</f>
        <v/>
      </c>
      <c r="I135" s="51" t="n">
        <v>659508.06</v>
      </c>
      <c r="J135" s="52" t="str">
        <f aca="false">IF($N135&gt;1,$I135/$I134-1,"")</f>
        <v/>
      </c>
      <c r="K135" s="51" t="str">
        <f aca="false">IF($N135&gt;=MA_SHORT,AVERAGE(INDEX($I$5:$I135,132-MA_SHORT):$I135),"")</f>
        <v/>
      </c>
      <c r="L135" s="51" t="str">
        <f aca="false">IF($N135&gt;=MA_MED,AVERAGE(INDEX($I$5:$I135,132-MA_MED):$I135),"")</f>
        <v/>
      </c>
      <c r="M135" s="51" t="str">
        <f aca="false">IF($N135&gt;=MA_LONG2,AVERAGE(INDEX($I$5:$I135,132-MA_LONG2):$I135),"")</f>
        <v/>
      </c>
      <c r="N135" s="46" t="n">
        <f aca="false">IF($A135=$A134,$N134+1,1)</f>
        <v>1</v>
      </c>
    </row>
    <row r="136" customFormat="false" ht="15" hidden="false" customHeight="false" outlineLevel="0" collapsed="false">
      <c r="A136" s="45" t="n">
        <v>46089</v>
      </c>
      <c r="B136" s="46" t="n">
        <v>20260308</v>
      </c>
      <c r="C136" s="47" t="s">
        <v>419</v>
      </c>
      <c r="D136" s="51" t="n">
        <v>1758280.8</v>
      </c>
      <c r="E136" s="52" t="str">
        <f aca="false">IF($N136&gt;1,$D136/$D135-1,"")</f>
        <v/>
      </c>
      <c r="F136" s="51" t="str">
        <f aca="false">IF($N136&gt;=MA_SHORT,AVERAGE(INDEX($D$5:$D136,133-MA_SHORT):$D136),"")</f>
        <v/>
      </c>
      <c r="G136" s="51" t="str">
        <f aca="false">IF($N136&gt;=MA_MED,AVERAGE(INDEX($D$5:$D136,133-MA_MED):$D136),"")</f>
        <v/>
      </c>
      <c r="H136" s="51" t="str">
        <f aca="false">IF($N136&gt;=MA_LONG2,AVERAGE(INDEX($D$5:$D136,133-MA_LONG2):$D136),"")</f>
        <v/>
      </c>
      <c r="I136" s="51" t="n">
        <v>662205.13</v>
      </c>
      <c r="J136" s="52" t="str">
        <f aca="false">IF($N136&gt;1,$I136/$I135-1,"")</f>
        <v/>
      </c>
      <c r="K136" s="51" t="str">
        <f aca="false">IF($N136&gt;=MA_SHORT,AVERAGE(INDEX($I$5:$I136,133-MA_SHORT):$I136),"")</f>
        <v/>
      </c>
      <c r="L136" s="51" t="str">
        <f aca="false">IF($N136&gt;=MA_MED,AVERAGE(INDEX($I$5:$I136,133-MA_MED):$I136),"")</f>
        <v/>
      </c>
      <c r="M136" s="51" t="str">
        <f aca="false">IF($N136&gt;=MA_LONG2,AVERAGE(INDEX($I$5:$I136,133-MA_LONG2):$I136),"")</f>
        <v/>
      </c>
      <c r="N136" s="46" t="n">
        <f aca="false">IF($A136=$A135,$N135+1,1)</f>
        <v>1</v>
      </c>
    </row>
    <row r="137" customFormat="false" ht="15" hidden="false" customHeight="false" outlineLevel="0" collapsed="false">
      <c r="A137" s="45" t="n">
        <v>46090</v>
      </c>
      <c r="B137" s="46" t="n">
        <v>20260309</v>
      </c>
      <c r="C137" s="47" t="s">
        <v>420</v>
      </c>
      <c r="D137" s="51" t="n">
        <v>1735650.44</v>
      </c>
      <c r="E137" s="52" t="str">
        <f aca="false">IF($N137&gt;1,$D137/$D136-1,"")</f>
        <v/>
      </c>
      <c r="F137" s="51" t="str">
        <f aca="false">IF($N137&gt;=MA_SHORT,AVERAGE(INDEX($D$5:$D137,134-MA_SHORT):$D137),"")</f>
        <v/>
      </c>
      <c r="G137" s="51" t="str">
        <f aca="false">IF($N137&gt;=MA_MED,AVERAGE(INDEX($D$5:$D137,134-MA_MED):$D137),"")</f>
        <v/>
      </c>
      <c r="H137" s="51" t="str">
        <f aca="false">IF($N137&gt;=MA_LONG2,AVERAGE(INDEX($D$5:$D137,134-MA_LONG2):$D137),"")</f>
        <v/>
      </c>
      <c r="I137" s="51" t="n">
        <v>669799.05</v>
      </c>
      <c r="J137" s="52" t="str">
        <f aca="false">IF($N137&gt;1,$I137/$I136-1,"")</f>
        <v/>
      </c>
      <c r="K137" s="51" t="str">
        <f aca="false">IF($N137&gt;=MA_SHORT,AVERAGE(INDEX($I$5:$I137,134-MA_SHORT):$I137),"")</f>
        <v/>
      </c>
      <c r="L137" s="51" t="str">
        <f aca="false">IF($N137&gt;=MA_MED,AVERAGE(INDEX($I$5:$I137,134-MA_MED):$I137),"")</f>
        <v/>
      </c>
      <c r="M137" s="51" t="str">
        <f aca="false">IF($N137&gt;=MA_LONG2,AVERAGE(INDEX($I$5:$I137,134-MA_LONG2):$I137),"")</f>
        <v/>
      </c>
      <c r="N137" s="46" t="n">
        <f aca="false">IF($A137=$A136,$N136+1,1)</f>
        <v>1</v>
      </c>
    </row>
    <row r="138" customFormat="false" ht="15" hidden="false" customHeight="false" outlineLevel="0" collapsed="false">
      <c r="A138" s="45" t="n">
        <v>46091</v>
      </c>
      <c r="B138" s="46" t="n">
        <v>20260310</v>
      </c>
      <c r="C138" s="47" t="s">
        <v>421</v>
      </c>
      <c r="D138" s="51" t="n">
        <v>1725205.92</v>
      </c>
      <c r="E138" s="52" t="str">
        <f aca="false">IF($N138&gt;1,$D138/$D137-1,"")</f>
        <v/>
      </c>
      <c r="F138" s="51" t="str">
        <f aca="false">IF($N138&gt;=MA_SHORT,AVERAGE(INDEX($D$5:$D138,135-MA_SHORT):$D138),"")</f>
        <v/>
      </c>
      <c r="G138" s="51" t="str">
        <f aca="false">IF($N138&gt;=MA_MED,AVERAGE(INDEX($D$5:$D138,135-MA_MED):$D138),"")</f>
        <v/>
      </c>
      <c r="H138" s="51" t="str">
        <f aca="false">IF($N138&gt;=MA_LONG2,AVERAGE(INDEX($D$5:$D138,135-MA_LONG2):$D138),"")</f>
        <v/>
      </c>
      <c r="I138" s="51" t="n">
        <v>667084.01</v>
      </c>
      <c r="J138" s="52" t="str">
        <f aca="false">IF($N138&gt;1,$I138/$I137-1,"")</f>
        <v/>
      </c>
      <c r="K138" s="51" t="str">
        <f aca="false">IF($N138&gt;=MA_SHORT,AVERAGE(INDEX($I$5:$I138,135-MA_SHORT):$I138),"")</f>
        <v/>
      </c>
      <c r="L138" s="51" t="str">
        <f aca="false">IF($N138&gt;=MA_MED,AVERAGE(INDEX($I$5:$I138,135-MA_MED):$I138),"")</f>
        <v/>
      </c>
      <c r="M138" s="51" t="str">
        <f aca="false">IF($N138&gt;=MA_LONG2,AVERAGE(INDEX($I$5:$I138,135-MA_LONG2):$I138),"")</f>
        <v/>
      </c>
      <c r="N138" s="46" t="n">
        <f aca="false">IF($A138=$A137,$N137+1,1)</f>
        <v>1</v>
      </c>
    </row>
    <row r="139" customFormat="false" ht="15" hidden="false" customHeight="false" outlineLevel="0" collapsed="false">
      <c r="A139" s="45" t="n">
        <v>46092</v>
      </c>
      <c r="B139" s="46" t="n">
        <v>20260311</v>
      </c>
      <c r="C139" s="47" t="s">
        <v>422</v>
      </c>
      <c r="D139" s="51" t="n">
        <v>1710024.95</v>
      </c>
      <c r="E139" s="52" t="str">
        <f aca="false">IF($N139&gt;1,$D139/$D138-1,"")</f>
        <v/>
      </c>
      <c r="F139" s="51" t="str">
        <f aca="false">IF($N139&gt;=MA_SHORT,AVERAGE(INDEX($D$5:$D139,136-MA_SHORT):$D139),"")</f>
        <v/>
      </c>
      <c r="G139" s="51" t="str">
        <f aca="false">IF($N139&gt;=MA_MED,AVERAGE(INDEX($D$5:$D139,136-MA_MED):$D139),"")</f>
        <v/>
      </c>
      <c r="H139" s="51" t="str">
        <f aca="false">IF($N139&gt;=MA_LONG2,AVERAGE(INDEX($D$5:$D139,136-MA_LONG2):$D139),"")</f>
        <v/>
      </c>
      <c r="I139" s="51" t="n">
        <v>669541.91</v>
      </c>
      <c r="J139" s="52" t="str">
        <f aca="false">IF($N139&gt;1,$I139/$I138-1,"")</f>
        <v/>
      </c>
      <c r="K139" s="51" t="str">
        <f aca="false">IF($N139&gt;=MA_SHORT,AVERAGE(INDEX($I$5:$I139,136-MA_SHORT):$I139),"")</f>
        <v/>
      </c>
      <c r="L139" s="51" t="str">
        <f aca="false">IF($N139&gt;=MA_MED,AVERAGE(INDEX($I$5:$I139,136-MA_MED):$I139),"")</f>
        <v/>
      </c>
      <c r="M139" s="51" t="str">
        <f aca="false">IF($N139&gt;=MA_LONG2,AVERAGE(INDEX($I$5:$I139,136-MA_LONG2):$I139),"")</f>
        <v/>
      </c>
      <c r="N139" s="46" t="n">
        <f aca="false">IF($A139=$A138,$N138+1,1)</f>
        <v>1</v>
      </c>
    </row>
    <row r="140" customFormat="false" ht="15" hidden="false" customHeight="false" outlineLevel="0" collapsed="false">
      <c r="A140" s="45" t="n">
        <v>46095</v>
      </c>
      <c r="B140" s="46" t="n">
        <v>20260314</v>
      </c>
      <c r="C140" s="47" t="s">
        <v>423</v>
      </c>
      <c r="D140" s="51" t="n">
        <v>1738518.68</v>
      </c>
      <c r="E140" s="52" t="str">
        <f aca="false">IF($N140&gt;1,$D140/$D139-1,"")</f>
        <v/>
      </c>
      <c r="F140" s="51" t="str">
        <f aca="false">IF($N140&gt;=MA_SHORT,AVERAGE(INDEX($D$5:$D140,137-MA_SHORT):$D140),"")</f>
        <v/>
      </c>
      <c r="G140" s="51" t="str">
        <f aca="false">IF($N140&gt;=MA_MED,AVERAGE(INDEX($D$5:$D140,137-MA_MED):$D140),"")</f>
        <v/>
      </c>
      <c r="H140" s="51" t="str">
        <f aca="false">IF($N140&gt;=MA_LONG2,AVERAGE(INDEX($D$5:$D140,137-MA_LONG2):$D140),"")</f>
        <v/>
      </c>
      <c r="I140" s="51" t="n">
        <v>678348.57</v>
      </c>
      <c r="J140" s="52" t="str">
        <f aca="false">IF($N140&gt;1,$I140/$I139-1,"")</f>
        <v/>
      </c>
      <c r="K140" s="51" t="str">
        <f aca="false">IF($N140&gt;=MA_SHORT,AVERAGE(INDEX($I$5:$I140,137-MA_SHORT):$I140),"")</f>
        <v/>
      </c>
      <c r="L140" s="51" t="str">
        <f aca="false">IF($N140&gt;=MA_MED,AVERAGE(INDEX($I$5:$I140,137-MA_MED):$I140),"")</f>
        <v/>
      </c>
      <c r="M140" s="51" t="str">
        <f aca="false">IF($N140&gt;=MA_LONG2,AVERAGE(INDEX($I$5:$I140,137-MA_LONG2):$I140),"")</f>
        <v/>
      </c>
      <c r="N140" s="46" t="n">
        <f aca="false">IF($A140=$A139,$N139+1,1)</f>
        <v>1</v>
      </c>
    </row>
    <row r="141" customFormat="false" ht="15" hidden="false" customHeight="false" outlineLevel="0" collapsed="false">
      <c r="A141" s="45" t="n">
        <v>46096</v>
      </c>
      <c r="B141" s="46" t="n">
        <v>20260315</v>
      </c>
      <c r="C141" s="47" t="s">
        <v>424</v>
      </c>
      <c r="D141" s="51" t="n">
        <v>1760040.69</v>
      </c>
      <c r="E141" s="52" t="str">
        <f aca="false">IF($N141&gt;1,$D141/$D140-1,"")</f>
        <v/>
      </c>
      <c r="F141" s="51" t="str">
        <f aca="false">IF($N141&gt;=MA_SHORT,AVERAGE(INDEX($D$5:$D141,138-MA_SHORT):$D141),"")</f>
        <v/>
      </c>
      <c r="G141" s="51" t="str">
        <f aca="false">IF($N141&gt;=MA_MED,AVERAGE(INDEX($D$5:$D141,138-MA_MED):$D141),"")</f>
        <v/>
      </c>
      <c r="H141" s="51" t="str">
        <f aca="false">IF($N141&gt;=MA_LONG2,AVERAGE(INDEX($D$5:$D141,138-MA_LONG2):$D141),"")</f>
        <v/>
      </c>
      <c r="I141" s="51" t="n">
        <v>668531.42</v>
      </c>
      <c r="J141" s="52" t="str">
        <f aca="false">IF($N141&gt;1,$I141/$I140-1,"")</f>
        <v/>
      </c>
      <c r="K141" s="51" t="str">
        <f aca="false">IF($N141&gt;=MA_SHORT,AVERAGE(INDEX($I$5:$I141,138-MA_SHORT):$I141),"")</f>
        <v/>
      </c>
      <c r="L141" s="51" t="str">
        <f aca="false">IF($N141&gt;=MA_MED,AVERAGE(INDEX($I$5:$I141,138-MA_MED):$I141),"")</f>
        <v/>
      </c>
      <c r="M141" s="51" t="str">
        <f aca="false">IF($N141&gt;=MA_LONG2,AVERAGE(INDEX($I$5:$I141,138-MA_LONG2):$I141),"")</f>
        <v/>
      </c>
      <c r="N141" s="46" t="n">
        <f aca="false">IF($A141=$A140,$N140+1,1)</f>
        <v>1</v>
      </c>
    </row>
    <row r="142" customFormat="false" ht="15" hidden="false" customHeight="false" outlineLevel="0" collapsed="false">
      <c r="A142" s="45" t="n">
        <v>46097</v>
      </c>
      <c r="B142" s="46" t="n">
        <v>20260316</v>
      </c>
      <c r="C142" s="47" t="s">
        <v>425</v>
      </c>
      <c r="D142" s="51" t="n">
        <v>1772104.38</v>
      </c>
      <c r="E142" s="52" t="str">
        <f aca="false">IF($N142&gt;1,$D142/$D141-1,"")</f>
        <v/>
      </c>
      <c r="F142" s="51" t="str">
        <f aca="false">IF($N142&gt;=MA_SHORT,AVERAGE(INDEX($D$5:$D142,139-MA_SHORT):$D142),"")</f>
        <v/>
      </c>
      <c r="G142" s="51" t="str">
        <f aca="false">IF($N142&gt;=MA_MED,AVERAGE(INDEX($D$5:$D142,139-MA_MED):$D142),"")</f>
        <v/>
      </c>
      <c r="H142" s="51" t="str">
        <f aca="false">IF($N142&gt;=MA_LONG2,AVERAGE(INDEX($D$5:$D142,139-MA_LONG2):$D142),"")</f>
        <v/>
      </c>
      <c r="I142" s="51" t="n">
        <v>663398.78</v>
      </c>
      <c r="J142" s="52" t="str">
        <f aca="false">IF($N142&gt;1,$I142/$I141-1,"")</f>
        <v/>
      </c>
      <c r="K142" s="51" t="str">
        <f aca="false">IF($N142&gt;=MA_SHORT,AVERAGE(INDEX($I$5:$I142,139-MA_SHORT):$I142),"")</f>
        <v/>
      </c>
      <c r="L142" s="51" t="str">
        <f aca="false">IF($N142&gt;=MA_MED,AVERAGE(INDEX($I$5:$I142,139-MA_MED):$I142),"")</f>
        <v/>
      </c>
      <c r="M142" s="51" t="str">
        <f aca="false">IF($N142&gt;=MA_LONG2,AVERAGE(INDEX($I$5:$I142,139-MA_LONG2):$I142),"")</f>
        <v/>
      </c>
      <c r="N142" s="46" t="n">
        <f aca="false">IF($A142=$A141,$N141+1,1)</f>
        <v>1</v>
      </c>
    </row>
    <row r="143" customFormat="false" ht="15" hidden="false" customHeight="false" outlineLevel="0" collapsed="false">
      <c r="A143" s="45" t="n">
        <v>46098</v>
      </c>
      <c r="B143" s="46" t="n">
        <v>20260317</v>
      </c>
      <c r="C143" s="47" t="s">
        <v>426</v>
      </c>
      <c r="D143" s="51" t="n">
        <v>1763944.89</v>
      </c>
      <c r="E143" s="52" t="str">
        <f aca="false">IF($N143&gt;1,$D143/$D142-1,"")</f>
        <v/>
      </c>
      <c r="F143" s="51" t="str">
        <f aca="false">IF($N143&gt;=MA_SHORT,AVERAGE(INDEX($D$5:$D143,140-MA_SHORT):$D143),"")</f>
        <v/>
      </c>
      <c r="G143" s="51" t="str">
        <f aca="false">IF($N143&gt;=MA_MED,AVERAGE(INDEX($D$5:$D143,140-MA_MED):$D143),"")</f>
        <v/>
      </c>
      <c r="H143" s="51" t="str">
        <f aca="false">IF($N143&gt;=MA_LONG2,AVERAGE(INDEX($D$5:$D143,140-MA_LONG2):$D143),"")</f>
        <v/>
      </c>
      <c r="I143" s="51" t="n">
        <v>669234.07</v>
      </c>
      <c r="J143" s="52" t="str">
        <f aca="false">IF($N143&gt;1,$I143/$I142-1,"")</f>
        <v/>
      </c>
      <c r="K143" s="51" t="str">
        <f aca="false">IF($N143&gt;=MA_SHORT,AVERAGE(INDEX($I$5:$I143,140-MA_SHORT):$I143),"")</f>
        <v/>
      </c>
      <c r="L143" s="51" t="str">
        <f aca="false">IF($N143&gt;=MA_MED,AVERAGE(INDEX($I$5:$I143,140-MA_MED):$I143),"")</f>
        <v/>
      </c>
      <c r="M143" s="51" t="str">
        <f aca="false">IF($N143&gt;=MA_LONG2,AVERAGE(INDEX($I$5:$I143,140-MA_LONG2):$I143),"")</f>
        <v/>
      </c>
      <c r="N143" s="46" t="n">
        <f aca="false">IF($A143=$A142,$N142+1,1)</f>
        <v>1</v>
      </c>
    </row>
    <row r="144" customFormat="false" ht="15" hidden="false" customHeight="false" outlineLevel="0" collapsed="false">
      <c r="A144" s="45" t="n">
        <v>46099</v>
      </c>
      <c r="B144" s="46" t="n">
        <v>20260318</v>
      </c>
      <c r="C144" s="47" t="s">
        <v>427</v>
      </c>
      <c r="D144" s="51" t="n">
        <v>1764555.1</v>
      </c>
      <c r="E144" s="52" t="str">
        <f aca="false">IF($N144&gt;1,$D144/$D143-1,"")</f>
        <v/>
      </c>
      <c r="F144" s="51" t="str">
        <f aca="false">IF($N144&gt;=MA_SHORT,AVERAGE(INDEX($D$5:$D144,141-MA_SHORT):$D144),"")</f>
        <v/>
      </c>
      <c r="G144" s="51" t="str">
        <f aca="false">IF($N144&gt;=MA_MED,AVERAGE(INDEX($D$5:$D144,141-MA_MED):$D144),"")</f>
        <v/>
      </c>
      <c r="H144" s="51" t="str">
        <f aca="false">IF($N144&gt;=MA_LONG2,AVERAGE(INDEX($D$5:$D144,141-MA_LONG2):$D144),"")</f>
        <v/>
      </c>
      <c r="I144" s="51" t="n">
        <v>670623.34</v>
      </c>
      <c r="J144" s="52" t="str">
        <f aca="false">IF($N144&gt;1,$I144/$I143-1,"")</f>
        <v/>
      </c>
      <c r="K144" s="51" t="str">
        <f aca="false">IF($N144&gt;=MA_SHORT,AVERAGE(INDEX($I$5:$I144,141-MA_SHORT):$I144),"")</f>
        <v/>
      </c>
      <c r="L144" s="51" t="str">
        <f aca="false">IF($N144&gt;=MA_MED,AVERAGE(INDEX($I$5:$I144,141-MA_MED):$I144),"")</f>
        <v/>
      </c>
      <c r="M144" s="51" t="str">
        <f aca="false">IF($N144&gt;=MA_LONG2,AVERAGE(INDEX($I$5:$I144,141-MA_LONG2):$I144),"")</f>
        <v/>
      </c>
      <c r="N144" s="46" t="n">
        <f aca="false">IF($A144=$A143,$N143+1,1)</f>
        <v>1</v>
      </c>
    </row>
    <row r="145" customFormat="false" ht="15" hidden="false" customHeight="false" outlineLevel="0" collapsed="false">
      <c r="A145" s="45" t="n">
        <v>46102</v>
      </c>
      <c r="B145" s="46" t="n">
        <v>20260321</v>
      </c>
      <c r="C145" s="47" t="s">
        <v>428</v>
      </c>
      <c r="D145" s="51" t="n">
        <v>1774890.02</v>
      </c>
      <c r="E145" s="52" t="str">
        <f aca="false">IF($N145&gt;1,$D145/$D144-1,"")</f>
        <v/>
      </c>
      <c r="F145" s="51" t="str">
        <f aca="false">IF($N145&gt;=MA_SHORT,AVERAGE(INDEX($D$5:$D145,142-MA_SHORT):$D145),"")</f>
        <v/>
      </c>
      <c r="G145" s="51" t="str">
        <f aca="false">IF($N145&gt;=MA_MED,AVERAGE(INDEX($D$5:$D145,142-MA_MED):$D145),"")</f>
        <v/>
      </c>
      <c r="H145" s="51" t="str">
        <f aca="false">IF($N145&gt;=MA_LONG2,AVERAGE(INDEX($D$5:$D145,142-MA_LONG2):$D145),"")</f>
        <v/>
      </c>
      <c r="I145" s="51" t="n">
        <v>656122.13</v>
      </c>
      <c r="J145" s="52" t="str">
        <f aca="false">IF($N145&gt;1,$I145/$I144-1,"")</f>
        <v/>
      </c>
      <c r="K145" s="51" t="str">
        <f aca="false">IF($N145&gt;=MA_SHORT,AVERAGE(INDEX($I$5:$I145,142-MA_SHORT):$I145),"")</f>
        <v/>
      </c>
      <c r="L145" s="51" t="str">
        <f aca="false">IF($N145&gt;=MA_MED,AVERAGE(INDEX($I$5:$I145,142-MA_MED):$I145),"")</f>
        <v/>
      </c>
      <c r="M145" s="51" t="str">
        <f aca="false">IF($N145&gt;=MA_LONG2,AVERAGE(INDEX($I$5:$I145,142-MA_LONG2):$I145),"")</f>
        <v/>
      </c>
      <c r="N145" s="46" t="n">
        <f aca="false">IF($A145=$A144,$N144+1,1)</f>
        <v>1</v>
      </c>
    </row>
    <row r="146" customFormat="false" ht="15" hidden="false" customHeight="false" outlineLevel="0" collapsed="false">
      <c r="A146" s="45" t="n">
        <v>46103</v>
      </c>
      <c r="B146" s="46" t="n">
        <v>20260322</v>
      </c>
      <c r="C146" s="47" t="s">
        <v>429</v>
      </c>
      <c r="D146" s="51" t="n">
        <v>1756657.65</v>
      </c>
      <c r="E146" s="52" t="str">
        <f aca="false">IF($N146&gt;1,$D146/$D145-1,"")</f>
        <v/>
      </c>
      <c r="F146" s="51" t="str">
        <f aca="false">IF($N146&gt;=MA_SHORT,AVERAGE(INDEX($D$5:$D146,143-MA_SHORT):$D146),"")</f>
        <v/>
      </c>
      <c r="G146" s="51" t="str">
        <f aca="false">IF($N146&gt;=MA_MED,AVERAGE(INDEX($D$5:$D146,143-MA_MED):$D146),"")</f>
        <v/>
      </c>
      <c r="H146" s="51" t="str">
        <f aca="false">IF($N146&gt;=MA_LONG2,AVERAGE(INDEX($D$5:$D146,143-MA_LONG2):$D146),"")</f>
        <v/>
      </c>
      <c r="I146" s="51" t="n">
        <v>647582.38</v>
      </c>
      <c r="J146" s="52" t="str">
        <f aca="false">IF($N146&gt;1,$I146/$I145-1,"")</f>
        <v/>
      </c>
      <c r="K146" s="51" t="str">
        <f aca="false">IF($N146&gt;=MA_SHORT,AVERAGE(INDEX($I$5:$I146,143-MA_SHORT):$I146),"")</f>
        <v/>
      </c>
      <c r="L146" s="51" t="str">
        <f aca="false">IF($N146&gt;=MA_MED,AVERAGE(INDEX($I$5:$I146,143-MA_MED):$I146),"")</f>
        <v/>
      </c>
      <c r="M146" s="51" t="str">
        <f aca="false">IF($N146&gt;=MA_LONG2,AVERAGE(INDEX($I$5:$I146,143-MA_LONG2):$I146),"")</f>
        <v/>
      </c>
      <c r="N146" s="46" t="n">
        <f aca="false">IF($A146=$A145,$N145+1,1)</f>
        <v>1</v>
      </c>
    </row>
    <row r="147" customFormat="false" ht="15" hidden="false" customHeight="false" outlineLevel="0" collapsed="false">
      <c r="A147" s="45" t="n">
        <v>46104</v>
      </c>
      <c r="B147" s="46" t="n">
        <v>20260323</v>
      </c>
      <c r="C147" s="47" t="s">
        <v>430</v>
      </c>
      <c r="D147" s="51" t="n">
        <v>1762761.45</v>
      </c>
      <c r="E147" s="52" t="str">
        <f aca="false">IF($N147&gt;1,$D147/$D146-1,"")</f>
        <v/>
      </c>
      <c r="F147" s="51" t="str">
        <f aca="false">IF($N147&gt;=MA_SHORT,AVERAGE(INDEX($D$5:$D147,144-MA_SHORT):$D147),"")</f>
        <v/>
      </c>
      <c r="G147" s="51" t="str">
        <f aca="false">IF($N147&gt;=MA_MED,AVERAGE(INDEX($D$5:$D147,144-MA_MED):$D147),"")</f>
        <v/>
      </c>
      <c r="H147" s="51" t="str">
        <f aca="false">IF($N147&gt;=MA_LONG2,AVERAGE(INDEX($D$5:$D147,144-MA_LONG2):$D147),"")</f>
        <v/>
      </c>
      <c r="I147" s="51" t="n">
        <v>646900.66</v>
      </c>
      <c r="J147" s="52" t="str">
        <f aca="false">IF($N147&gt;1,$I147/$I146-1,"")</f>
        <v/>
      </c>
      <c r="K147" s="51" t="str">
        <f aca="false">IF($N147&gt;=MA_SHORT,AVERAGE(INDEX($I$5:$I147,144-MA_SHORT):$I147),"")</f>
        <v/>
      </c>
      <c r="L147" s="51" t="str">
        <f aca="false">IF($N147&gt;=MA_MED,AVERAGE(INDEX($I$5:$I147,144-MA_MED):$I147),"")</f>
        <v/>
      </c>
      <c r="M147" s="51" t="str">
        <f aca="false">IF($N147&gt;=MA_LONG2,AVERAGE(INDEX($I$5:$I147,144-MA_LONG2):$I147),"")</f>
        <v/>
      </c>
      <c r="N147" s="46" t="n">
        <f aca="false">IF($A147=$A146,$N146+1,1)</f>
        <v>1</v>
      </c>
    </row>
    <row r="148" customFormat="false" ht="15" hidden="false" customHeight="false" outlineLevel="0" collapsed="false">
      <c r="A148" s="45" t="n">
        <v>46105</v>
      </c>
      <c r="B148" s="46" t="n">
        <v>20260324</v>
      </c>
      <c r="C148" s="47" t="s">
        <v>431</v>
      </c>
      <c r="D148" s="51" t="n">
        <v>1752706.97</v>
      </c>
      <c r="E148" s="52" t="str">
        <f aca="false">IF($N148&gt;1,$D148/$D147-1,"")</f>
        <v/>
      </c>
      <c r="F148" s="51" t="str">
        <f aca="false">IF($N148&gt;=MA_SHORT,AVERAGE(INDEX($D$5:$D148,145-MA_SHORT):$D148),"")</f>
        <v/>
      </c>
      <c r="G148" s="51" t="str">
        <f aca="false">IF($N148&gt;=MA_MED,AVERAGE(INDEX($D$5:$D148,145-MA_MED):$D148),"")</f>
        <v/>
      </c>
      <c r="H148" s="51" t="str">
        <f aca="false">IF($N148&gt;=MA_LONG2,AVERAGE(INDEX($D$5:$D148,145-MA_LONG2):$D148),"")</f>
        <v/>
      </c>
      <c r="I148" s="51" t="n">
        <v>644515.07</v>
      </c>
      <c r="J148" s="52" t="str">
        <f aca="false">IF($N148&gt;1,$I148/$I147-1,"")</f>
        <v/>
      </c>
      <c r="K148" s="51" t="str">
        <f aca="false">IF($N148&gt;=MA_SHORT,AVERAGE(INDEX($I$5:$I148,145-MA_SHORT):$I148),"")</f>
        <v/>
      </c>
      <c r="L148" s="51" t="str">
        <f aca="false">IF($N148&gt;=MA_MED,AVERAGE(INDEX($I$5:$I148,145-MA_MED):$I148),"")</f>
        <v/>
      </c>
      <c r="M148" s="51" t="str">
        <f aca="false">IF($N148&gt;=MA_LONG2,AVERAGE(INDEX($I$5:$I148,145-MA_LONG2):$I148),"")</f>
        <v/>
      </c>
      <c r="N148" s="46" t="n">
        <f aca="false">IF($A148=$A147,$N147+1,1)</f>
        <v>1</v>
      </c>
    </row>
    <row r="149" customFormat="false" ht="15" hidden="false" customHeight="false" outlineLevel="0" collapsed="false">
      <c r="A149" s="45" t="n">
        <v>46106</v>
      </c>
      <c r="B149" s="46" t="n">
        <v>20260325</v>
      </c>
      <c r="C149" s="47" t="s">
        <v>432</v>
      </c>
      <c r="D149" s="51" t="n">
        <v>1759094.13</v>
      </c>
      <c r="E149" s="52" t="str">
        <f aca="false">IF($N149&gt;1,$D149/$D148-1,"")</f>
        <v/>
      </c>
      <c r="F149" s="51" t="str">
        <f aca="false">IF($N149&gt;=MA_SHORT,AVERAGE(INDEX($D$5:$D149,146-MA_SHORT):$D149),"")</f>
        <v/>
      </c>
      <c r="G149" s="51" t="str">
        <f aca="false">IF($N149&gt;=MA_MED,AVERAGE(INDEX($D$5:$D149,146-MA_MED):$D149),"")</f>
        <v/>
      </c>
      <c r="H149" s="51" t="str">
        <f aca="false">IF($N149&gt;=MA_LONG2,AVERAGE(INDEX($D$5:$D149,146-MA_LONG2):$D149),"")</f>
        <v/>
      </c>
      <c r="I149" s="51" t="n">
        <v>642995.53</v>
      </c>
      <c r="J149" s="52" t="str">
        <f aca="false">IF($N149&gt;1,$I149/$I148-1,"")</f>
        <v/>
      </c>
      <c r="K149" s="51" t="str">
        <f aca="false">IF($N149&gt;=MA_SHORT,AVERAGE(INDEX($I$5:$I149,146-MA_SHORT):$I149),"")</f>
        <v/>
      </c>
      <c r="L149" s="51" t="str">
        <f aca="false">IF($N149&gt;=MA_MED,AVERAGE(INDEX($I$5:$I149,146-MA_MED):$I149),"")</f>
        <v/>
      </c>
      <c r="M149" s="51" t="str">
        <f aca="false">IF($N149&gt;=MA_LONG2,AVERAGE(INDEX($I$5:$I149,146-MA_LONG2):$I149),"")</f>
        <v/>
      </c>
      <c r="N149" s="46" t="n">
        <f aca="false">IF($A149=$A148,$N148+1,1)</f>
        <v>1</v>
      </c>
    </row>
    <row r="150" customFormat="false" ht="15" hidden="false" customHeight="false" outlineLevel="0" collapsed="false">
      <c r="A150" s="45" t="n">
        <v>46109</v>
      </c>
      <c r="B150" s="46" t="n">
        <v>20260328</v>
      </c>
      <c r="C150" s="47" t="s">
        <v>433</v>
      </c>
      <c r="D150" s="51" t="n">
        <v>1773610.16</v>
      </c>
      <c r="E150" s="52" t="str">
        <f aca="false">IF($N150&gt;1,$D150/$D149-1,"")</f>
        <v/>
      </c>
      <c r="F150" s="51" t="str">
        <f aca="false">IF($N150&gt;=MA_SHORT,AVERAGE(INDEX($D$5:$D150,147-MA_SHORT):$D150),"")</f>
        <v/>
      </c>
      <c r="G150" s="51" t="str">
        <f aca="false">IF($N150&gt;=MA_MED,AVERAGE(INDEX($D$5:$D150,147-MA_MED):$D150),"")</f>
        <v/>
      </c>
      <c r="H150" s="51" t="str">
        <f aca="false">IF($N150&gt;=MA_LONG2,AVERAGE(INDEX($D$5:$D150,147-MA_LONG2):$D150),"")</f>
        <v/>
      </c>
      <c r="I150" s="51" t="n">
        <v>646002.21</v>
      </c>
      <c r="J150" s="52" t="str">
        <f aca="false">IF($N150&gt;1,$I150/$I149-1,"")</f>
        <v/>
      </c>
      <c r="K150" s="51" t="str">
        <f aca="false">IF($N150&gt;=MA_SHORT,AVERAGE(INDEX($I$5:$I150,147-MA_SHORT):$I150),"")</f>
        <v/>
      </c>
      <c r="L150" s="51" t="str">
        <f aca="false">IF($N150&gt;=MA_MED,AVERAGE(INDEX($I$5:$I150,147-MA_MED):$I150),"")</f>
        <v/>
      </c>
      <c r="M150" s="51" t="str">
        <f aca="false">IF($N150&gt;=MA_LONG2,AVERAGE(INDEX($I$5:$I150,147-MA_LONG2):$I150),"")</f>
        <v/>
      </c>
      <c r="N150" s="46" t="n">
        <f aca="false">IF($A150=$A149,$N149+1,1)</f>
        <v>1</v>
      </c>
    </row>
    <row r="151" customFormat="false" ht="15" hidden="false" customHeight="false" outlineLevel="0" collapsed="false">
      <c r="A151" s="45" t="n">
        <v>46110</v>
      </c>
      <c r="B151" s="46" t="n">
        <v>20260329</v>
      </c>
      <c r="C151" s="47" t="s">
        <v>434</v>
      </c>
      <c r="D151" s="51" t="n">
        <v>1768936.1</v>
      </c>
      <c r="E151" s="52" t="str">
        <f aca="false">IF($N151&gt;1,$D151/$D150-1,"")</f>
        <v/>
      </c>
      <c r="F151" s="51" t="str">
        <f aca="false">IF($N151&gt;=MA_SHORT,AVERAGE(INDEX($D$5:$D151,148-MA_SHORT):$D151),"")</f>
        <v/>
      </c>
      <c r="G151" s="51" t="str">
        <f aca="false">IF($N151&gt;=MA_MED,AVERAGE(INDEX($D$5:$D151,148-MA_MED):$D151),"")</f>
        <v/>
      </c>
      <c r="H151" s="51" t="str">
        <f aca="false">IF($N151&gt;=MA_LONG2,AVERAGE(INDEX($D$5:$D151,148-MA_LONG2):$D151),"")</f>
        <v/>
      </c>
      <c r="I151" s="51" t="n">
        <v>630038.47</v>
      </c>
      <c r="J151" s="52" t="str">
        <f aca="false">IF($N151&gt;1,$I151/$I150-1,"")</f>
        <v/>
      </c>
      <c r="K151" s="51" t="str">
        <f aca="false">IF($N151&gt;=MA_SHORT,AVERAGE(INDEX($I$5:$I151,148-MA_SHORT):$I151),"")</f>
        <v/>
      </c>
      <c r="L151" s="51" t="str">
        <f aca="false">IF($N151&gt;=MA_MED,AVERAGE(INDEX($I$5:$I151,148-MA_MED):$I151),"")</f>
        <v/>
      </c>
      <c r="M151" s="51" t="str">
        <f aca="false">IF($N151&gt;=MA_LONG2,AVERAGE(INDEX($I$5:$I151,148-MA_LONG2):$I151),"")</f>
        <v/>
      </c>
      <c r="N151" s="46" t="n">
        <f aca="false">IF($A151=$A150,$N150+1,1)</f>
        <v>1</v>
      </c>
    </row>
    <row r="152" customFormat="false" ht="15" hidden="false" customHeight="false" outlineLevel="0" collapsed="false">
      <c r="A152" s="45" t="n">
        <v>46111</v>
      </c>
      <c r="B152" s="46" t="n">
        <v>20260330</v>
      </c>
      <c r="C152" s="47" t="s">
        <v>435</v>
      </c>
      <c r="D152" s="51" t="n">
        <v>1773439.83</v>
      </c>
      <c r="E152" s="52" t="str">
        <f aca="false">IF($N152&gt;1,$D152/$D151-1,"")</f>
        <v/>
      </c>
      <c r="F152" s="51" t="str">
        <f aca="false">IF($N152&gt;=MA_SHORT,AVERAGE(INDEX($D$5:$D152,149-MA_SHORT):$D152),"")</f>
        <v/>
      </c>
      <c r="G152" s="51" t="str">
        <f aca="false">IF($N152&gt;=MA_MED,AVERAGE(INDEX($D$5:$D152,149-MA_MED):$D152),"")</f>
        <v/>
      </c>
      <c r="H152" s="51" t="str">
        <f aca="false">IF($N152&gt;=MA_LONG2,AVERAGE(INDEX($D$5:$D152,149-MA_LONG2):$D152),"")</f>
        <v/>
      </c>
      <c r="I152" s="51" t="n">
        <v>636528.44</v>
      </c>
      <c r="J152" s="52" t="str">
        <f aca="false">IF($N152&gt;1,$I152/$I151-1,"")</f>
        <v/>
      </c>
      <c r="K152" s="51" t="str">
        <f aca="false">IF($N152&gt;=MA_SHORT,AVERAGE(INDEX($I$5:$I152,149-MA_SHORT):$I152),"")</f>
        <v/>
      </c>
      <c r="L152" s="51" t="str">
        <f aca="false">IF($N152&gt;=MA_MED,AVERAGE(INDEX($I$5:$I152,149-MA_MED):$I152),"")</f>
        <v/>
      </c>
      <c r="M152" s="51" t="str">
        <f aca="false">IF($N152&gt;=MA_LONG2,AVERAGE(INDEX($I$5:$I152,149-MA_LONG2):$I152),"")</f>
        <v/>
      </c>
      <c r="N152" s="46" t="n">
        <f aca="false">IF($A152=$A151,$N151+1,1)</f>
        <v>1</v>
      </c>
    </row>
    <row r="153" customFormat="false" ht="15" hidden="false" customHeight="false" outlineLevel="0" collapsed="false">
      <c r="A153" s="45" t="n">
        <v>46112</v>
      </c>
      <c r="B153" s="46" t="n">
        <v>20260331</v>
      </c>
      <c r="C153" s="47" t="s">
        <v>436</v>
      </c>
      <c r="D153" s="51" t="n">
        <v>1773561.46</v>
      </c>
      <c r="E153" s="52" t="str">
        <f aca="false">IF($N153&gt;1,$D153/$D152-1,"")</f>
        <v/>
      </c>
      <c r="F153" s="51" t="str">
        <f aca="false">IF($N153&gt;=MA_SHORT,AVERAGE(INDEX($D$5:$D153,150-MA_SHORT):$D153),"")</f>
        <v/>
      </c>
      <c r="G153" s="51" t="str">
        <f aca="false">IF($N153&gt;=MA_MED,AVERAGE(INDEX($D$5:$D153,150-MA_MED):$D153),"")</f>
        <v/>
      </c>
      <c r="H153" s="51" t="str">
        <f aca="false">IF($N153&gt;=MA_LONG2,AVERAGE(INDEX($D$5:$D153,150-MA_LONG2):$D153),"")</f>
        <v/>
      </c>
      <c r="I153" s="51" t="n">
        <v>642282.02</v>
      </c>
      <c r="J153" s="52" t="str">
        <f aca="false">IF($N153&gt;1,$I153/$I152-1,"")</f>
        <v/>
      </c>
      <c r="K153" s="51" t="str">
        <f aca="false">IF($N153&gt;=MA_SHORT,AVERAGE(INDEX($I$5:$I153,150-MA_SHORT):$I153),"")</f>
        <v/>
      </c>
      <c r="L153" s="51" t="str">
        <f aca="false">IF($N153&gt;=MA_MED,AVERAGE(INDEX($I$5:$I153,150-MA_MED):$I153),"")</f>
        <v/>
      </c>
      <c r="M153" s="51" t="str">
        <f aca="false">IF($N153&gt;=MA_LONG2,AVERAGE(INDEX($I$5:$I153,150-MA_LONG2):$I153),"")</f>
        <v/>
      </c>
      <c r="N153" s="46" t="n">
        <f aca="false">IF($A153=$A152,$N152+1,1)</f>
        <v>1</v>
      </c>
    </row>
    <row r="154" customFormat="false" ht="15" hidden="false" customHeight="false" outlineLevel="0" collapsed="false">
      <c r="A154" s="45" t="n">
        <v>46113</v>
      </c>
      <c r="B154" s="46" t="n">
        <v>20260401</v>
      </c>
      <c r="C154" s="47" t="s">
        <v>437</v>
      </c>
      <c r="D154" s="51" t="n">
        <v>1799290.35</v>
      </c>
      <c r="E154" s="52" t="str">
        <f aca="false">IF($N154&gt;1,$D154/$D153-1,"")</f>
        <v/>
      </c>
      <c r="F154" s="51" t="str">
        <f aca="false">IF($N154&gt;=MA_SHORT,AVERAGE(INDEX($D$5:$D154,151-MA_SHORT):$D154),"")</f>
        <v/>
      </c>
      <c r="G154" s="51" t="str">
        <f aca="false">IF($N154&gt;=MA_MED,AVERAGE(INDEX($D$5:$D154,151-MA_MED):$D154),"")</f>
        <v/>
      </c>
      <c r="H154" s="51" t="str">
        <f aca="false">IF($N154&gt;=MA_LONG2,AVERAGE(INDEX($D$5:$D154,151-MA_LONG2):$D154),"")</f>
        <v/>
      </c>
      <c r="I154" s="51" t="n">
        <v>614568.61</v>
      </c>
      <c r="J154" s="52" t="str">
        <f aca="false">IF($N154&gt;1,$I154/$I153-1,"")</f>
        <v/>
      </c>
      <c r="K154" s="51" t="str">
        <f aca="false">IF($N154&gt;=MA_SHORT,AVERAGE(INDEX($I$5:$I154,151-MA_SHORT):$I154),"")</f>
        <v/>
      </c>
      <c r="L154" s="51" t="str">
        <f aca="false">IF($N154&gt;=MA_MED,AVERAGE(INDEX($I$5:$I154,151-MA_MED):$I154),"")</f>
        <v/>
      </c>
      <c r="M154" s="51" t="str">
        <f aca="false">IF($N154&gt;=MA_LONG2,AVERAGE(INDEX($I$5:$I154,151-MA_LONG2):$I154),"")</f>
        <v/>
      </c>
      <c r="N154" s="46" t="n">
        <f aca="false">IF($A154=$A153,$N153+1,1)</f>
        <v>1</v>
      </c>
    </row>
    <row r="155" customFormat="false" ht="15" hidden="false" customHeight="false" outlineLevel="0" collapsed="false">
      <c r="A155" s="45" t="n">
        <v>46116</v>
      </c>
      <c r="B155" s="46" t="n">
        <v>20260404</v>
      </c>
      <c r="C155" s="47" t="s">
        <v>438</v>
      </c>
      <c r="D155" s="51" t="n">
        <v>1799479.34</v>
      </c>
      <c r="E155" s="52" t="str">
        <f aca="false">IF($N155&gt;1,$D155/$D154-1,"")</f>
        <v/>
      </c>
      <c r="F155" s="51" t="str">
        <f aca="false">IF($N155&gt;=MA_SHORT,AVERAGE(INDEX($D$5:$D155,152-MA_SHORT):$D155),"")</f>
        <v/>
      </c>
      <c r="G155" s="51" t="str">
        <f aca="false">IF($N155&gt;=MA_MED,AVERAGE(INDEX($D$5:$D155,152-MA_MED):$D155),"")</f>
        <v/>
      </c>
      <c r="H155" s="51" t="str">
        <f aca="false">IF($N155&gt;=MA_LONG2,AVERAGE(INDEX($D$5:$D155,152-MA_LONG2):$D155),"")</f>
        <v/>
      </c>
      <c r="I155" s="51" t="n">
        <v>614948.93</v>
      </c>
      <c r="J155" s="52" t="str">
        <f aca="false">IF($N155&gt;1,$I155/$I154-1,"")</f>
        <v/>
      </c>
      <c r="K155" s="51" t="str">
        <f aca="false">IF($N155&gt;=MA_SHORT,AVERAGE(INDEX($I$5:$I155,152-MA_SHORT):$I155),"")</f>
        <v/>
      </c>
      <c r="L155" s="51" t="str">
        <f aca="false">IF($N155&gt;=MA_MED,AVERAGE(INDEX($I$5:$I155,152-MA_MED):$I155),"")</f>
        <v/>
      </c>
      <c r="M155" s="51" t="str">
        <f aca="false">IF($N155&gt;=MA_LONG2,AVERAGE(INDEX($I$5:$I155,152-MA_LONG2):$I155),"")</f>
        <v/>
      </c>
      <c r="N155" s="46" t="n">
        <f aca="false">IF($A155=$A154,$N154+1,1)</f>
        <v>1</v>
      </c>
    </row>
    <row r="156" customFormat="false" ht="15" hidden="false" customHeight="false" outlineLevel="0" collapsed="false">
      <c r="A156" s="45" t="n">
        <v>46117</v>
      </c>
      <c r="B156" s="46" t="n">
        <v>20260405</v>
      </c>
      <c r="C156" s="47" t="s">
        <v>439</v>
      </c>
      <c r="D156" s="51" t="n">
        <v>1829243.96</v>
      </c>
      <c r="E156" s="52" t="str">
        <f aca="false">IF($N156&gt;1,$D156/$D155-1,"")</f>
        <v/>
      </c>
      <c r="F156" s="51" t="str">
        <f aca="false">IF($N156&gt;=MA_SHORT,AVERAGE(INDEX($D$5:$D156,153-MA_SHORT):$D156),"")</f>
        <v/>
      </c>
      <c r="G156" s="51" t="str">
        <f aca="false">IF($N156&gt;=MA_MED,AVERAGE(INDEX($D$5:$D156,153-MA_MED):$D156),"")</f>
        <v/>
      </c>
      <c r="H156" s="51" t="str">
        <f aca="false">IF($N156&gt;=MA_LONG2,AVERAGE(INDEX($D$5:$D156,153-MA_LONG2):$D156),"")</f>
        <v/>
      </c>
      <c r="I156" s="51" t="n">
        <v>617690.4</v>
      </c>
      <c r="J156" s="52" t="str">
        <f aca="false">IF($N156&gt;1,$I156/$I155-1,"")</f>
        <v/>
      </c>
      <c r="K156" s="51" t="str">
        <f aca="false">IF($N156&gt;=MA_SHORT,AVERAGE(INDEX($I$5:$I156,153-MA_SHORT):$I156),"")</f>
        <v/>
      </c>
      <c r="L156" s="51" t="str">
        <f aca="false">IF($N156&gt;=MA_MED,AVERAGE(INDEX($I$5:$I156,153-MA_MED):$I156),"")</f>
        <v/>
      </c>
      <c r="M156" s="51" t="str">
        <f aca="false">IF($N156&gt;=MA_LONG2,AVERAGE(INDEX($I$5:$I156,153-MA_LONG2):$I156),"")</f>
        <v/>
      </c>
      <c r="N156" s="46" t="n">
        <f aca="false">IF($A156=$A155,$N155+1,1)</f>
        <v>1</v>
      </c>
    </row>
    <row r="157" customFormat="false" ht="15" hidden="false" customHeight="false" outlineLevel="0" collapsed="false">
      <c r="A157" s="45" t="n">
        <v>46118</v>
      </c>
      <c r="B157" s="46" t="n">
        <v>20260406</v>
      </c>
      <c r="C157" s="47" t="s">
        <v>440</v>
      </c>
      <c r="D157" s="51" t="n">
        <v>1873343.61</v>
      </c>
      <c r="E157" s="52" t="str">
        <f aca="false">IF($N157&gt;1,$D157/$D156-1,"")</f>
        <v/>
      </c>
      <c r="F157" s="51" t="str">
        <f aca="false">IF($N157&gt;=MA_SHORT,AVERAGE(INDEX($D$5:$D157,154-MA_SHORT):$D157),"")</f>
        <v/>
      </c>
      <c r="G157" s="51" t="str">
        <f aca="false">IF($N157&gt;=MA_MED,AVERAGE(INDEX($D$5:$D157,154-MA_MED):$D157),"")</f>
        <v/>
      </c>
      <c r="H157" s="51" t="str">
        <f aca="false">IF($N157&gt;=MA_LONG2,AVERAGE(INDEX($D$5:$D157,154-MA_LONG2):$D157),"")</f>
        <v/>
      </c>
      <c r="I157" s="51" t="n">
        <v>626981.93</v>
      </c>
      <c r="J157" s="52" t="str">
        <f aca="false">IF($N157&gt;1,$I157/$I156-1,"")</f>
        <v/>
      </c>
      <c r="K157" s="51" t="str">
        <f aca="false">IF($N157&gt;=MA_SHORT,AVERAGE(INDEX($I$5:$I157,154-MA_SHORT):$I157),"")</f>
        <v/>
      </c>
      <c r="L157" s="51" t="str">
        <f aca="false">IF($N157&gt;=MA_MED,AVERAGE(INDEX($I$5:$I157,154-MA_MED):$I157),"")</f>
        <v/>
      </c>
      <c r="M157" s="51" t="str">
        <f aca="false">IF($N157&gt;=MA_LONG2,AVERAGE(INDEX($I$5:$I157,154-MA_LONG2):$I157),"")</f>
        <v/>
      </c>
      <c r="N157" s="46" t="n">
        <f aca="false">IF($A157=$A156,$N156+1,1)</f>
        <v>1</v>
      </c>
    </row>
    <row r="158" customFormat="false" ht="15" hidden="false" customHeight="false" outlineLevel="0" collapsed="false">
      <c r="A158" s="45" t="n">
        <v>46119</v>
      </c>
      <c r="B158" s="46" t="n">
        <v>20260407</v>
      </c>
      <c r="C158" s="47" t="s">
        <v>441</v>
      </c>
      <c r="D158" s="51" t="n">
        <v>1854848.92</v>
      </c>
      <c r="E158" s="52" t="str">
        <f aca="false">IF($N158&gt;1,$D158/$D157-1,"")</f>
        <v/>
      </c>
      <c r="F158" s="51" t="str">
        <f aca="false">IF($N158&gt;=MA_SHORT,AVERAGE(INDEX($D$5:$D158,155-MA_SHORT):$D158),"")</f>
        <v/>
      </c>
      <c r="G158" s="51" t="str">
        <f aca="false">IF($N158&gt;=MA_MED,AVERAGE(INDEX($D$5:$D158,155-MA_MED):$D158),"")</f>
        <v/>
      </c>
      <c r="H158" s="51" t="str">
        <f aca="false">IF($N158&gt;=MA_LONG2,AVERAGE(INDEX($D$5:$D158,155-MA_LONG2):$D158),"")</f>
        <v/>
      </c>
      <c r="I158" s="51" t="n">
        <v>619942.78</v>
      </c>
      <c r="J158" s="52" t="str">
        <f aca="false">IF($N158&gt;1,$I158/$I157-1,"")</f>
        <v/>
      </c>
      <c r="K158" s="51" t="str">
        <f aca="false">IF($N158&gt;=MA_SHORT,AVERAGE(INDEX($I$5:$I158,155-MA_SHORT):$I158),"")</f>
        <v/>
      </c>
      <c r="L158" s="51" t="str">
        <f aca="false">IF($N158&gt;=MA_MED,AVERAGE(INDEX($I$5:$I158,155-MA_MED):$I158),"")</f>
        <v/>
      </c>
      <c r="M158" s="51" t="str">
        <f aca="false">IF($N158&gt;=MA_LONG2,AVERAGE(INDEX($I$5:$I158,155-MA_LONG2):$I158),"")</f>
        <v/>
      </c>
      <c r="N158" s="46" t="n">
        <f aca="false">IF($A158=$A157,$N157+1,1)</f>
        <v>1</v>
      </c>
    </row>
    <row r="159" customFormat="false" ht="15" hidden="false" customHeight="false" outlineLevel="0" collapsed="false">
      <c r="A159" s="45" t="n">
        <v>46120</v>
      </c>
      <c r="B159" s="46" t="n">
        <v>20260408</v>
      </c>
      <c r="C159" s="47" t="s">
        <v>442</v>
      </c>
      <c r="D159" s="51" t="n">
        <v>1859156.76</v>
      </c>
      <c r="E159" s="52" t="str">
        <f aca="false">IF($N159&gt;1,$D159/$D158-1,"")</f>
        <v/>
      </c>
      <c r="F159" s="51" t="str">
        <f aca="false">IF($N159&gt;=MA_SHORT,AVERAGE(INDEX($D$5:$D159,156-MA_SHORT):$D159),"")</f>
        <v/>
      </c>
      <c r="G159" s="51" t="str">
        <f aca="false">IF($N159&gt;=MA_MED,AVERAGE(INDEX($D$5:$D159,156-MA_MED):$D159),"")</f>
        <v/>
      </c>
      <c r="H159" s="51" t="str">
        <f aca="false">IF($N159&gt;=MA_LONG2,AVERAGE(INDEX($D$5:$D159,156-MA_LONG2):$D159),"")</f>
        <v/>
      </c>
      <c r="I159" s="51" t="n">
        <v>628227.64</v>
      </c>
      <c r="J159" s="52" t="str">
        <f aca="false">IF($N159&gt;1,$I159/$I158-1,"")</f>
        <v/>
      </c>
      <c r="K159" s="51" t="str">
        <f aca="false">IF($N159&gt;=MA_SHORT,AVERAGE(INDEX($I$5:$I159,156-MA_SHORT):$I159),"")</f>
        <v/>
      </c>
      <c r="L159" s="51" t="str">
        <f aca="false">IF($N159&gt;=MA_MED,AVERAGE(INDEX($I$5:$I159,156-MA_MED):$I159),"")</f>
        <v/>
      </c>
      <c r="M159" s="51" t="str">
        <f aca="false">IF($N159&gt;=MA_LONG2,AVERAGE(INDEX($I$5:$I159,156-MA_LONG2):$I159),"")</f>
        <v/>
      </c>
      <c r="N159" s="46" t="n">
        <f aca="false">IF($A159=$A158,$N158+1,1)</f>
        <v>1</v>
      </c>
    </row>
    <row r="160" customFormat="false" ht="15" hidden="false" customHeight="false" outlineLevel="0" collapsed="false">
      <c r="A160" s="45" t="n">
        <v>46123</v>
      </c>
      <c r="B160" s="46" t="n">
        <v>20260411</v>
      </c>
      <c r="C160" s="47" t="s">
        <v>443</v>
      </c>
      <c r="D160" s="51" t="n">
        <v>1849587.63</v>
      </c>
      <c r="E160" s="52" t="str">
        <f aca="false">IF($N160&gt;1,$D160/$D159-1,"")</f>
        <v/>
      </c>
      <c r="F160" s="51" t="str">
        <f aca="false">IF($N160&gt;=MA_SHORT,AVERAGE(INDEX($D$5:$D160,157-MA_SHORT):$D160),"")</f>
        <v/>
      </c>
      <c r="G160" s="51" t="str">
        <f aca="false">IF($N160&gt;=MA_MED,AVERAGE(INDEX($D$5:$D160,157-MA_MED):$D160),"")</f>
        <v/>
      </c>
      <c r="H160" s="51" t="str">
        <f aca="false">IF($N160&gt;=MA_LONG2,AVERAGE(INDEX($D$5:$D160,157-MA_LONG2):$D160),"")</f>
        <v/>
      </c>
      <c r="I160" s="51" t="n">
        <v>640890.38</v>
      </c>
      <c r="J160" s="52" t="str">
        <f aca="false">IF($N160&gt;1,$I160/$I159-1,"")</f>
        <v/>
      </c>
      <c r="K160" s="51" t="str">
        <f aca="false">IF($N160&gt;=MA_SHORT,AVERAGE(INDEX($I$5:$I160,157-MA_SHORT):$I160),"")</f>
        <v/>
      </c>
      <c r="L160" s="51" t="str">
        <f aca="false">IF($N160&gt;=MA_MED,AVERAGE(INDEX($I$5:$I160,157-MA_MED):$I160),"")</f>
        <v/>
      </c>
      <c r="M160" s="51" t="str">
        <f aca="false">IF($N160&gt;=MA_LONG2,AVERAGE(INDEX($I$5:$I160,157-MA_LONG2):$I160),"")</f>
        <v/>
      </c>
      <c r="N160" s="46" t="n">
        <f aca="false">IF($A160=$A159,$N159+1,1)</f>
        <v>1</v>
      </c>
    </row>
    <row r="161" customFormat="false" ht="15" hidden="false" customHeight="false" outlineLevel="0" collapsed="false">
      <c r="A161" s="45" t="n">
        <v>46124</v>
      </c>
      <c r="B161" s="46" t="n">
        <v>20260412</v>
      </c>
      <c r="C161" s="47" t="s">
        <v>444</v>
      </c>
      <c r="D161" s="51" t="n">
        <v>1846860.8</v>
      </c>
      <c r="E161" s="52" t="str">
        <f aca="false">IF($N161&gt;1,$D161/$D160-1,"")</f>
        <v/>
      </c>
      <c r="F161" s="51" t="str">
        <f aca="false">IF($N161&gt;=MA_SHORT,AVERAGE(INDEX($D$5:$D161,158-MA_SHORT):$D161),"")</f>
        <v/>
      </c>
      <c r="G161" s="51" t="str">
        <f aca="false">IF($N161&gt;=MA_MED,AVERAGE(INDEX($D$5:$D161,158-MA_MED):$D161),"")</f>
        <v/>
      </c>
      <c r="H161" s="51" t="str">
        <f aca="false">IF($N161&gt;=MA_LONG2,AVERAGE(INDEX($D$5:$D161,158-MA_LONG2):$D161),"")</f>
        <v/>
      </c>
      <c r="I161" s="51" t="n">
        <v>637887.61</v>
      </c>
      <c r="J161" s="52" t="str">
        <f aca="false">IF($N161&gt;1,$I161/$I160-1,"")</f>
        <v/>
      </c>
      <c r="K161" s="51" t="str">
        <f aca="false">IF($N161&gt;=MA_SHORT,AVERAGE(INDEX($I$5:$I161,158-MA_SHORT):$I161),"")</f>
        <v/>
      </c>
      <c r="L161" s="51" t="str">
        <f aca="false">IF($N161&gt;=MA_MED,AVERAGE(INDEX($I$5:$I161,158-MA_MED):$I161),"")</f>
        <v/>
      </c>
      <c r="M161" s="51" t="str">
        <f aca="false">IF($N161&gt;=MA_LONG2,AVERAGE(INDEX($I$5:$I161,158-MA_LONG2):$I161),"")</f>
        <v/>
      </c>
      <c r="N161" s="46" t="n">
        <f aca="false">IF($A161=$A160,$N160+1,1)</f>
        <v>1</v>
      </c>
    </row>
    <row r="162" customFormat="false" ht="15" hidden="false" customHeight="false" outlineLevel="0" collapsed="false">
      <c r="A162" s="45" t="n">
        <v>46125</v>
      </c>
      <c r="B162" s="46" t="n">
        <v>20260413</v>
      </c>
      <c r="C162" s="47" t="s">
        <v>445</v>
      </c>
      <c r="D162" s="51" t="n">
        <v>1878150.84</v>
      </c>
      <c r="E162" s="52" t="str">
        <f aca="false">IF($N162&gt;1,$D162/$D161-1,"")</f>
        <v/>
      </c>
      <c r="F162" s="51" t="str">
        <f aca="false">IF($N162&gt;=MA_SHORT,AVERAGE(INDEX($D$5:$D162,159-MA_SHORT):$D162),"")</f>
        <v/>
      </c>
      <c r="G162" s="51" t="str">
        <f aca="false">IF($N162&gt;=MA_MED,AVERAGE(INDEX($D$5:$D162,159-MA_MED):$D162),"")</f>
        <v/>
      </c>
      <c r="H162" s="51" t="str">
        <f aca="false">IF($N162&gt;=MA_LONG2,AVERAGE(INDEX($D$5:$D162,159-MA_LONG2):$D162),"")</f>
        <v/>
      </c>
      <c r="I162" s="51" t="n">
        <v>626525.94</v>
      </c>
      <c r="J162" s="52" t="str">
        <f aca="false">IF($N162&gt;1,$I162/$I161-1,"")</f>
        <v/>
      </c>
      <c r="K162" s="51" t="str">
        <f aca="false">IF($N162&gt;=MA_SHORT,AVERAGE(INDEX($I$5:$I162,159-MA_SHORT):$I162),"")</f>
        <v/>
      </c>
      <c r="L162" s="51" t="str">
        <f aca="false">IF($N162&gt;=MA_MED,AVERAGE(INDEX($I$5:$I162,159-MA_MED):$I162),"")</f>
        <v/>
      </c>
      <c r="M162" s="51" t="str">
        <f aca="false">IF($N162&gt;=MA_LONG2,AVERAGE(INDEX($I$5:$I162,159-MA_LONG2):$I162),"")</f>
        <v/>
      </c>
      <c r="N162" s="46" t="n">
        <f aca="false">IF($A162=$A161,$N161+1,1)</f>
        <v>1</v>
      </c>
    </row>
    <row r="163" customFormat="false" ht="15" hidden="false" customHeight="false" outlineLevel="0" collapsed="false">
      <c r="A163" s="45" t="n">
        <v>46126</v>
      </c>
      <c r="B163" s="46" t="n">
        <v>20260414</v>
      </c>
      <c r="C163" s="47" t="s">
        <v>446</v>
      </c>
      <c r="D163" s="51" t="n">
        <v>1885751.81</v>
      </c>
      <c r="E163" s="52" t="str">
        <f aca="false">IF($N163&gt;1,$D163/$D162-1,"")</f>
        <v/>
      </c>
      <c r="F163" s="51" t="str">
        <f aca="false">IF($N163&gt;=MA_SHORT,AVERAGE(INDEX($D$5:$D163,160-MA_SHORT):$D163),"")</f>
        <v/>
      </c>
      <c r="G163" s="51" t="str">
        <f aca="false">IF($N163&gt;=MA_MED,AVERAGE(INDEX($D$5:$D163,160-MA_MED):$D163),"")</f>
        <v/>
      </c>
      <c r="H163" s="51" t="str">
        <f aca="false">IF($N163&gt;=MA_LONG2,AVERAGE(INDEX($D$5:$D163,160-MA_LONG2):$D163),"")</f>
        <v/>
      </c>
      <c r="I163" s="51" t="n">
        <v>624099.47</v>
      </c>
      <c r="J163" s="52" t="str">
        <f aca="false">IF($N163&gt;1,$I163/$I162-1,"")</f>
        <v/>
      </c>
      <c r="K163" s="51" t="str">
        <f aca="false">IF($N163&gt;=MA_SHORT,AVERAGE(INDEX($I$5:$I163,160-MA_SHORT):$I163),"")</f>
        <v/>
      </c>
      <c r="L163" s="51" t="str">
        <f aca="false">IF($N163&gt;=MA_MED,AVERAGE(INDEX($I$5:$I163,160-MA_MED):$I163),"")</f>
        <v/>
      </c>
      <c r="M163" s="51" t="str">
        <f aca="false">IF($N163&gt;=MA_LONG2,AVERAGE(INDEX($I$5:$I163,160-MA_LONG2):$I163),"")</f>
        <v/>
      </c>
      <c r="N163" s="46" t="n">
        <f aca="false">IF($A163=$A162,$N162+1,1)</f>
        <v>1</v>
      </c>
    </row>
    <row r="164" customFormat="false" ht="15" hidden="false" customHeight="false" outlineLevel="0" collapsed="false">
      <c r="A164" s="45" t="n">
        <v>46127</v>
      </c>
      <c r="B164" s="46" t="n">
        <v>20260415</v>
      </c>
      <c r="C164" s="47" t="s">
        <v>447</v>
      </c>
      <c r="D164" s="51" t="n">
        <v>1896888.21</v>
      </c>
      <c r="E164" s="52" t="str">
        <f aca="false">IF($N164&gt;1,$D164/$D163-1,"")</f>
        <v/>
      </c>
      <c r="F164" s="51" t="str">
        <f aca="false">IF($N164&gt;=MA_SHORT,AVERAGE(INDEX($D$5:$D164,161-MA_SHORT):$D164),"")</f>
        <v/>
      </c>
      <c r="G164" s="51" t="str">
        <f aca="false">IF($N164&gt;=MA_MED,AVERAGE(INDEX($D$5:$D164,161-MA_MED):$D164),"")</f>
        <v/>
      </c>
      <c r="H164" s="51" t="str">
        <f aca="false">IF($N164&gt;=MA_LONG2,AVERAGE(INDEX($D$5:$D164,161-MA_LONG2):$D164),"")</f>
        <v/>
      </c>
      <c r="I164" s="51" t="n">
        <v>623358.05</v>
      </c>
      <c r="J164" s="52" t="str">
        <f aca="false">IF($N164&gt;1,$I164/$I163-1,"")</f>
        <v/>
      </c>
      <c r="K164" s="51" t="str">
        <f aca="false">IF($N164&gt;=MA_SHORT,AVERAGE(INDEX($I$5:$I164,161-MA_SHORT):$I164),"")</f>
        <v/>
      </c>
      <c r="L164" s="51" t="str">
        <f aca="false">IF($N164&gt;=MA_MED,AVERAGE(INDEX($I$5:$I164,161-MA_MED):$I164),"")</f>
        <v/>
      </c>
      <c r="M164" s="51" t="str">
        <f aca="false">IF($N164&gt;=MA_LONG2,AVERAGE(INDEX($I$5:$I164,161-MA_LONG2):$I164),"")</f>
        <v/>
      </c>
      <c r="N164" s="46" t="n">
        <f aca="false">IF($A164=$A163,$N163+1,1)</f>
        <v>1</v>
      </c>
    </row>
    <row r="165" customFormat="false" ht="15" hidden="false" customHeight="false" outlineLevel="0" collapsed="false">
      <c r="A165" s="45" t="n">
        <v>46130</v>
      </c>
      <c r="B165" s="46" t="n">
        <v>20260418</v>
      </c>
      <c r="C165" s="47" t="s">
        <v>448</v>
      </c>
      <c r="D165" s="51" t="n">
        <v>1916845.85</v>
      </c>
      <c r="E165" s="52" t="str">
        <f aca="false">IF($N165&gt;1,$D165/$D164-1,"")</f>
        <v/>
      </c>
      <c r="F165" s="51" t="str">
        <f aca="false">IF($N165&gt;=MA_SHORT,AVERAGE(INDEX($D$5:$D165,162-MA_SHORT):$D165),"")</f>
        <v/>
      </c>
      <c r="G165" s="51" t="str">
        <f aca="false">IF($N165&gt;=MA_MED,AVERAGE(INDEX($D$5:$D165,162-MA_MED):$D165),"")</f>
        <v/>
      </c>
      <c r="H165" s="51" t="str">
        <f aca="false">IF($N165&gt;=MA_LONG2,AVERAGE(INDEX($D$5:$D165,162-MA_LONG2):$D165),"")</f>
        <v/>
      </c>
      <c r="I165" s="51" t="n">
        <v>627457.89</v>
      </c>
      <c r="J165" s="52" t="str">
        <f aca="false">IF($N165&gt;1,$I165/$I164-1,"")</f>
        <v/>
      </c>
      <c r="K165" s="51" t="str">
        <f aca="false">IF($N165&gt;=MA_SHORT,AVERAGE(INDEX($I$5:$I165,162-MA_SHORT):$I165),"")</f>
        <v/>
      </c>
      <c r="L165" s="51" t="str">
        <f aca="false">IF($N165&gt;=MA_MED,AVERAGE(INDEX($I$5:$I165,162-MA_MED):$I165),"")</f>
        <v/>
      </c>
      <c r="M165" s="51" t="str">
        <f aca="false">IF($N165&gt;=MA_LONG2,AVERAGE(INDEX($I$5:$I165,162-MA_LONG2):$I165),"")</f>
        <v/>
      </c>
      <c r="N165" s="46" t="n">
        <f aca="false">IF($A165=$A164,$N164+1,1)</f>
        <v>1</v>
      </c>
    </row>
    <row r="166" customFormat="false" ht="15" hidden="false" customHeight="false" outlineLevel="0" collapsed="false">
      <c r="A166" s="45" t="n">
        <v>46131</v>
      </c>
      <c r="B166" s="46" t="n">
        <v>20260419</v>
      </c>
      <c r="C166" s="47" t="s">
        <v>449</v>
      </c>
      <c r="D166" s="51" t="n">
        <v>1897982.78</v>
      </c>
      <c r="E166" s="52" t="str">
        <f aca="false">IF($N166&gt;1,$D166/$D165-1,"")</f>
        <v/>
      </c>
      <c r="F166" s="51" t="str">
        <f aca="false">IF($N166&gt;=MA_SHORT,AVERAGE(INDEX($D$5:$D166,163-MA_SHORT):$D166),"")</f>
        <v/>
      </c>
      <c r="G166" s="51" t="str">
        <f aca="false">IF($N166&gt;=MA_MED,AVERAGE(INDEX($D$5:$D166,163-MA_MED):$D166),"")</f>
        <v/>
      </c>
      <c r="H166" s="51" t="str">
        <f aca="false">IF($N166&gt;=MA_LONG2,AVERAGE(INDEX($D$5:$D166,163-MA_LONG2):$D166),"")</f>
        <v/>
      </c>
      <c r="I166" s="51" t="n">
        <v>628647.26</v>
      </c>
      <c r="J166" s="52" t="str">
        <f aca="false">IF($N166&gt;1,$I166/$I165-1,"")</f>
        <v/>
      </c>
      <c r="K166" s="51" t="str">
        <f aca="false">IF($N166&gt;=MA_SHORT,AVERAGE(INDEX($I$5:$I166,163-MA_SHORT):$I166),"")</f>
        <v/>
      </c>
      <c r="L166" s="51" t="str">
        <f aca="false">IF($N166&gt;=MA_MED,AVERAGE(INDEX($I$5:$I166,163-MA_MED):$I166),"")</f>
        <v/>
      </c>
      <c r="M166" s="51" t="str">
        <f aca="false">IF($N166&gt;=MA_LONG2,AVERAGE(INDEX($I$5:$I166,163-MA_LONG2):$I166),"")</f>
        <v/>
      </c>
      <c r="N166" s="46" t="n">
        <f aca="false">IF($A166=$A165,$N165+1,1)</f>
        <v>1</v>
      </c>
    </row>
    <row r="167" customFormat="false" ht="15" hidden="false" customHeight="false" outlineLevel="0" collapsed="false">
      <c r="A167" s="45" t="n">
        <v>46132</v>
      </c>
      <c r="B167" s="46" t="n">
        <v>20260420</v>
      </c>
      <c r="C167" s="47" t="s">
        <v>450</v>
      </c>
      <c r="D167" s="51" t="n">
        <v>1886214.93</v>
      </c>
      <c r="E167" s="52" t="str">
        <f aca="false">IF($N167&gt;1,$D167/$D166-1,"")</f>
        <v/>
      </c>
      <c r="F167" s="51" t="str">
        <f aca="false">IF($N167&gt;=MA_SHORT,AVERAGE(INDEX($D$5:$D167,164-MA_SHORT):$D167),"")</f>
        <v/>
      </c>
      <c r="G167" s="51" t="str">
        <f aca="false">IF($N167&gt;=MA_MED,AVERAGE(INDEX($D$5:$D167,164-MA_MED):$D167),"")</f>
        <v/>
      </c>
      <c r="H167" s="51" t="str">
        <f aca="false">IF($N167&gt;=MA_LONG2,AVERAGE(INDEX($D$5:$D167,164-MA_LONG2):$D167),"")</f>
        <v/>
      </c>
      <c r="I167" s="51" t="n">
        <v>639431.24</v>
      </c>
      <c r="J167" s="52" t="str">
        <f aca="false">IF($N167&gt;1,$I167/$I166-1,"")</f>
        <v/>
      </c>
      <c r="K167" s="51" t="str">
        <f aca="false">IF($N167&gt;=MA_SHORT,AVERAGE(INDEX($I$5:$I167,164-MA_SHORT):$I167),"")</f>
        <v/>
      </c>
      <c r="L167" s="51" t="str">
        <f aca="false">IF($N167&gt;=MA_MED,AVERAGE(INDEX($I$5:$I167,164-MA_MED):$I167),"")</f>
        <v/>
      </c>
      <c r="M167" s="51" t="str">
        <f aca="false">IF($N167&gt;=MA_LONG2,AVERAGE(INDEX($I$5:$I167,164-MA_LONG2):$I167),"")</f>
        <v/>
      </c>
      <c r="N167" s="46" t="n">
        <f aca="false">IF($A167=$A166,$N166+1,1)</f>
        <v>1</v>
      </c>
    </row>
    <row r="168" customFormat="false" ht="15" hidden="false" customHeight="false" outlineLevel="0" collapsed="false">
      <c r="A168" s="45" t="n">
        <v>46133</v>
      </c>
      <c r="B168" s="46" t="n">
        <v>20260421</v>
      </c>
      <c r="C168" s="47" t="s">
        <v>451</v>
      </c>
      <c r="D168" s="51" t="n">
        <v>1866042.84</v>
      </c>
      <c r="E168" s="52" t="str">
        <f aca="false">IF($N168&gt;1,$D168/$D167-1,"")</f>
        <v/>
      </c>
      <c r="F168" s="51" t="str">
        <f aca="false">IF($N168&gt;=MA_SHORT,AVERAGE(INDEX($D$5:$D168,165-MA_SHORT):$D168),"")</f>
        <v/>
      </c>
      <c r="G168" s="51" t="str">
        <f aca="false">IF($N168&gt;=MA_MED,AVERAGE(INDEX($D$5:$D168,165-MA_MED):$D168),"")</f>
        <v/>
      </c>
      <c r="H168" s="51" t="str">
        <f aca="false">IF($N168&gt;=MA_LONG2,AVERAGE(INDEX($D$5:$D168,165-MA_LONG2):$D168),"")</f>
        <v/>
      </c>
      <c r="I168" s="51" t="n">
        <v>632373.54</v>
      </c>
      <c r="J168" s="52" t="str">
        <f aca="false">IF($N168&gt;1,$I168/$I167-1,"")</f>
        <v/>
      </c>
      <c r="K168" s="51" t="str">
        <f aca="false">IF($N168&gt;=MA_SHORT,AVERAGE(INDEX($I$5:$I168,165-MA_SHORT):$I168),"")</f>
        <v/>
      </c>
      <c r="L168" s="51" t="str">
        <f aca="false">IF($N168&gt;=MA_MED,AVERAGE(INDEX($I$5:$I168,165-MA_MED):$I168),"")</f>
        <v/>
      </c>
      <c r="M168" s="51" t="str">
        <f aca="false">IF($N168&gt;=MA_LONG2,AVERAGE(INDEX($I$5:$I168,165-MA_LONG2):$I168),"")</f>
        <v/>
      </c>
      <c r="N168" s="46" t="n">
        <f aca="false">IF($A168=$A167,$N167+1,1)</f>
        <v>1</v>
      </c>
    </row>
    <row r="169" customFormat="false" ht="15" hidden="false" customHeight="false" outlineLevel="0" collapsed="false">
      <c r="A169" s="45" t="n">
        <v>46134</v>
      </c>
      <c r="B169" s="46" t="n">
        <v>20260422</v>
      </c>
      <c r="C169" s="47" t="s">
        <v>452</v>
      </c>
      <c r="D169" s="51" t="n">
        <v>1893784.03</v>
      </c>
      <c r="E169" s="52" t="str">
        <f aca="false">IF($N169&gt;1,$D169/$D168-1,"")</f>
        <v/>
      </c>
      <c r="F169" s="51" t="str">
        <f aca="false">IF($N169&gt;=MA_SHORT,AVERAGE(INDEX($D$5:$D169,166-MA_SHORT):$D169),"")</f>
        <v/>
      </c>
      <c r="G169" s="51" t="str">
        <f aca="false">IF($N169&gt;=MA_MED,AVERAGE(INDEX($D$5:$D169,166-MA_MED):$D169),"")</f>
        <v/>
      </c>
      <c r="H169" s="51" t="str">
        <f aca="false">IF($N169&gt;=MA_LONG2,AVERAGE(INDEX($D$5:$D169,166-MA_LONG2):$D169),"")</f>
        <v/>
      </c>
      <c r="I169" s="51" t="n">
        <v>629160.67</v>
      </c>
      <c r="J169" s="52" t="str">
        <f aca="false">IF($N169&gt;1,$I169/$I168-1,"")</f>
        <v/>
      </c>
      <c r="K169" s="51" t="str">
        <f aca="false">IF($N169&gt;=MA_SHORT,AVERAGE(INDEX($I$5:$I169,166-MA_SHORT):$I169),"")</f>
        <v/>
      </c>
      <c r="L169" s="51" t="str">
        <f aca="false">IF($N169&gt;=MA_MED,AVERAGE(INDEX($I$5:$I169,166-MA_MED):$I169),"")</f>
        <v/>
      </c>
      <c r="M169" s="51" t="str">
        <f aca="false">IF($N169&gt;=MA_LONG2,AVERAGE(INDEX($I$5:$I169,166-MA_LONG2):$I169),"")</f>
        <v/>
      </c>
      <c r="N169" s="46" t="n">
        <f aca="false">IF($A169=$A168,$N168+1,1)</f>
        <v>1</v>
      </c>
    </row>
    <row r="170" customFormat="false" ht="15" hidden="false" customHeight="false" outlineLevel="0" collapsed="false">
      <c r="A170" s="45" t="n">
        <v>46137</v>
      </c>
      <c r="B170" s="46" t="n">
        <v>20260425</v>
      </c>
      <c r="C170" s="47" t="s">
        <v>453</v>
      </c>
      <c r="D170" s="51" t="n">
        <v>1921466.83</v>
      </c>
      <c r="E170" s="52" t="str">
        <f aca="false">IF($N170&gt;1,$D170/$D169-1,"")</f>
        <v/>
      </c>
      <c r="F170" s="51" t="str">
        <f aca="false">IF($N170&gt;=MA_SHORT,AVERAGE(INDEX($D$5:$D170,167-MA_SHORT):$D170),"")</f>
        <v/>
      </c>
      <c r="G170" s="51" t="str">
        <f aca="false">IF($N170&gt;=MA_MED,AVERAGE(INDEX($D$5:$D170,167-MA_MED):$D170),"")</f>
        <v/>
      </c>
      <c r="H170" s="51" t="str">
        <f aca="false">IF($N170&gt;=MA_LONG2,AVERAGE(INDEX($D$5:$D170,167-MA_LONG2):$D170),"")</f>
        <v/>
      </c>
      <c r="I170" s="51" t="n">
        <v>627182.39</v>
      </c>
      <c r="J170" s="52" t="str">
        <f aca="false">IF($N170&gt;1,$I170/$I169-1,"")</f>
        <v/>
      </c>
      <c r="K170" s="51" t="str">
        <f aca="false">IF($N170&gt;=MA_SHORT,AVERAGE(INDEX($I$5:$I170,167-MA_SHORT):$I170),"")</f>
        <v/>
      </c>
      <c r="L170" s="51" t="str">
        <f aca="false">IF($N170&gt;=MA_MED,AVERAGE(INDEX($I$5:$I170,167-MA_MED):$I170),"")</f>
        <v/>
      </c>
      <c r="M170" s="51" t="str">
        <f aca="false">IF($N170&gt;=MA_LONG2,AVERAGE(INDEX($I$5:$I170,167-MA_LONG2):$I170),"")</f>
        <v/>
      </c>
      <c r="N170" s="46" t="n">
        <f aca="false">IF($A170=$A169,$N169+1,1)</f>
        <v>1</v>
      </c>
    </row>
    <row r="171" customFormat="false" ht="15" hidden="false" customHeight="false" outlineLevel="0" collapsed="false">
      <c r="A171" s="45" t="n">
        <v>46138</v>
      </c>
      <c r="B171" s="46" t="n">
        <v>20260426</v>
      </c>
      <c r="C171" s="47" t="s">
        <v>454</v>
      </c>
      <c r="D171" s="51" t="n">
        <v>1921441.77</v>
      </c>
      <c r="E171" s="52" t="str">
        <f aca="false">IF($N171&gt;1,$D171/$D170-1,"")</f>
        <v/>
      </c>
      <c r="F171" s="51" t="str">
        <f aca="false">IF($N171&gt;=MA_SHORT,AVERAGE(INDEX($D$5:$D171,168-MA_SHORT):$D171),"")</f>
        <v/>
      </c>
      <c r="G171" s="51" t="str">
        <f aca="false">IF($N171&gt;=MA_MED,AVERAGE(INDEX($D$5:$D171,168-MA_MED):$D171),"")</f>
        <v/>
      </c>
      <c r="H171" s="51" t="str">
        <f aca="false">IF($N171&gt;=MA_LONG2,AVERAGE(INDEX($D$5:$D171,168-MA_LONG2):$D171),"")</f>
        <v/>
      </c>
      <c r="I171" s="51" t="n">
        <v>631928.84</v>
      </c>
      <c r="J171" s="52" t="str">
        <f aca="false">IF($N171&gt;1,$I171/$I170-1,"")</f>
        <v/>
      </c>
      <c r="K171" s="51" t="str">
        <f aca="false">IF($N171&gt;=MA_SHORT,AVERAGE(INDEX($I$5:$I171,168-MA_SHORT):$I171),"")</f>
        <v/>
      </c>
      <c r="L171" s="51" t="str">
        <f aca="false">IF($N171&gt;=MA_MED,AVERAGE(INDEX($I$5:$I171,168-MA_MED):$I171),"")</f>
        <v/>
      </c>
      <c r="M171" s="51" t="str">
        <f aca="false">IF($N171&gt;=MA_LONG2,AVERAGE(INDEX($I$5:$I171,168-MA_LONG2):$I171),"")</f>
        <v/>
      </c>
      <c r="N171" s="46" t="n">
        <f aca="false">IF($A171=$A170,$N170+1,1)</f>
        <v>1</v>
      </c>
    </row>
    <row r="172" customFormat="false" ht="15" hidden="false" customHeight="false" outlineLevel="0" collapsed="false">
      <c r="A172" s="45" t="n">
        <v>46139</v>
      </c>
      <c r="B172" s="46" t="n">
        <v>20260427</v>
      </c>
      <c r="C172" s="47" t="s">
        <v>455</v>
      </c>
      <c r="D172" s="51" t="n">
        <v>1930650.02</v>
      </c>
      <c r="E172" s="52" t="str">
        <f aca="false">IF($N172&gt;1,$D172/$D171-1,"")</f>
        <v/>
      </c>
      <c r="F172" s="51" t="str">
        <f aca="false">IF($N172&gt;=MA_SHORT,AVERAGE(INDEX($D$5:$D172,169-MA_SHORT):$D172),"")</f>
        <v/>
      </c>
      <c r="G172" s="51" t="str">
        <f aca="false">IF($N172&gt;=MA_MED,AVERAGE(INDEX($D$5:$D172,169-MA_MED):$D172),"")</f>
        <v/>
      </c>
      <c r="H172" s="51" t="str">
        <f aca="false">IF($N172&gt;=MA_LONG2,AVERAGE(INDEX($D$5:$D172,169-MA_LONG2):$D172),"")</f>
        <v/>
      </c>
      <c r="I172" s="51" t="n">
        <v>626045.87</v>
      </c>
      <c r="J172" s="52" t="str">
        <f aca="false">IF($N172&gt;1,$I172/$I171-1,"")</f>
        <v/>
      </c>
      <c r="K172" s="51" t="str">
        <f aca="false">IF($N172&gt;=MA_SHORT,AVERAGE(INDEX($I$5:$I172,169-MA_SHORT):$I172),"")</f>
        <v/>
      </c>
      <c r="L172" s="51" t="str">
        <f aca="false">IF($N172&gt;=MA_MED,AVERAGE(INDEX($I$5:$I172,169-MA_MED):$I172),"")</f>
        <v/>
      </c>
      <c r="M172" s="51" t="str">
        <f aca="false">IF($N172&gt;=MA_LONG2,AVERAGE(INDEX($I$5:$I172,169-MA_LONG2):$I172),"")</f>
        <v/>
      </c>
      <c r="N172" s="46" t="n">
        <f aca="false">IF($A172=$A171,$N171+1,1)</f>
        <v>1</v>
      </c>
    </row>
    <row r="173" customFormat="false" ht="15" hidden="false" customHeight="false" outlineLevel="0" collapsed="false">
      <c r="A173" s="45" t="n">
        <v>46140</v>
      </c>
      <c r="B173" s="46" t="n">
        <v>20260428</v>
      </c>
      <c r="C173" s="47" t="s">
        <v>456</v>
      </c>
      <c r="D173" s="51" t="n">
        <v>1922978.55</v>
      </c>
      <c r="E173" s="52" t="str">
        <f aca="false">IF($N173&gt;1,$D173/$D172-1,"")</f>
        <v/>
      </c>
      <c r="F173" s="51" t="str">
        <f aca="false">IF($N173&gt;=MA_SHORT,AVERAGE(INDEX($D$5:$D173,170-MA_SHORT):$D173),"")</f>
        <v/>
      </c>
      <c r="G173" s="51" t="str">
        <f aca="false">IF($N173&gt;=MA_MED,AVERAGE(INDEX($D$5:$D173,170-MA_MED):$D173),"")</f>
        <v/>
      </c>
      <c r="H173" s="51" t="str">
        <f aca="false">IF($N173&gt;=MA_LONG2,AVERAGE(INDEX($D$5:$D173,170-MA_LONG2):$D173),"")</f>
        <v/>
      </c>
      <c r="I173" s="51" t="n">
        <v>639389.58</v>
      </c>
      <c r="J173" s="52" t="str">
        <f aca="false">IF($N173&gt;1,$I173/$I172-1,"")</f>
        <v/>
      </c>
      <c r="K173" s="51" t="str">
        <f aca="false">IF($N173&gt;=MA_SHORT,AVERAGE(INDEX($I$5:$I173,170-MA_SHORT):$I173),"")</f>
        <v/>
      </c>
      <c r="L173" s="51" t="str">
        <f aca="false">IF($N173&gt;=MA_MED,AVERAGE(INDEX($I$5:$I173,170-MA_MED):$I173),"")</f>
        <v/>
      </c>
      <c r="M173" s="51" t="str">
        <f aca="false">IF($N173&gt;=MA_LONG2,AVERAGE(INDEX($I$5:$I173,170-MA_LONG2):$I173),"")</f>
        <v/>
      </c>
      <c r="N173" s="46" t="n">
        <f aca="false">IF($A173=$A172,$N172+1,1)</f>
        <v>1</v>
      </c>
    </row>
    <row r="174" customFormat="false" ht="15" hidden="false" customHeight="false" outlineLevel="0" collapsed="false">
      <c r="A174" s="45" t="n">
        <v>46141</v>
      </c>
      <c r="B174" s="46" t="n">
        <v>20260429</v>
      </c>
      <c r="C174" s="47" t="s">
        <v>457</v>
      </c>
      <c r="D174" s="51" t="n">
        <v>1880027.73</v>
      </c>
      <c r="E174" s="52" t="str">
        <f aca="false">IF($N174&gt;1,$D174/$D173-1,"")</f>
        <v/>
      </c>
      <c r="F174" s="51" t="str">
        <f aca="false">IF($N174&gt;=MA_SHORT,AVERAGE(INDEX($D$5:$D174,171-MA_SHORT):$D174),"")</f>
        <v/>
      </c>
      <c r="G174" s="51" t="str">
        <f aca="false">IF($N174&gt;=MA_MED,AVERAGE(INDEX($D$5:$D174,171-MA_MED):$D174),"")</f>
        <v/>
      </c>
      <c r="H174" s="51" t="str">
        <f aca="false">IF($N174&gt;=MA_LONG2,AVERAGE(INDEX($D$5:$D174,171-MA_LONG2):$D174),"")</f>
        <v/>
      </c>
      <c r="I174" s="51" t="n">
        <v>633366.11</v>
      </c>
      <c r="J174" s="52" t="str">
        <f aca="false">IF($N174&gt;1,$I174/$I173-1,"")</f>
        <v/>
      </c>
      <c r="K174" s="51" t="str">
        <f aca="false">IF($N174&gt;=MA_SHORT,AVERAGE(INDEX($I$5:$I174,171-MA_SHORT):$I174),"")</f>
        <v/>
      </c>
      <c r="L174" s="51" t="str">
        <f aca="false">IF($N174&gt;=MA_MED,AVERAGE(INDEX($I$5:$I174,171-MA_MED):$I174),"")</f>
        <v/>
      </c>
      <c r="M174" s="51" t="str">
        <f aca="false">IF($N174&gt;=MA_LONG2,AVERAGE(INDEX($I$5:$I174,171-MA_LONG2):$I174),"")</f>
        <v/>
      </c>
      <c r="N174" s="46" t="n">
        <f aca="false">IF($A174=$A173,$N173+1,1)</f>
        <v>1</v>
      </c>
    </row>
    <row r="175" customFormat="false" ht="15" hidden="false" customHeight="false" outlineLevel="0" collapsed="false">
      <c r="A175" s="45" t="n">
        <v>46144</v>
      </c>
      <c r="B175" s="46" t="n">
        <v>20260502</v>
      </c>
      <c r="C175" s="47" t="s">
        <v>458</v>
      </c>
      <c r="D175" s="51" t="n">
        <v>1876674.24</v>
      </c>
      <c r="E175" s="52" t="str">
        <f aca="false">IF($N175&gt;1,$D175/$D174-1,"")</f>
        <v/>
      </c>
      <c r="F175" s="51" t="str">
        <f aca="false">IF($N175&gt;=MA_SHORT,AVERAGE(INDEX($D$5:$D175,172-MA_SHORT):$D175),"")</f>
        <v/>
      </c>
      <c r="G175" s="51" t="str">
        <f aca="false">IF($N175&gt;=MA_MED,AVERAGE(INDEX($D$5:$D175,172-MA_MED):$D175),"")</f>
        <v/>
      </c>
      <c r="H175" s="51" t="str">
        <f aca="false">IF($N175&gt;=MA_LONG2,AVERAGE(INDEX($D$5:$D175,172-MA_LONG2):$D175),"")</f>
        <v/>
      </c>
      <c r="I175" s="51" t="n">
        <v>626833.48</v>
      </c>
      <c r="J175" s="52" t="str">
        <f aca="false">IF($N175&gt;1,$I175/$I174-1,"")</f>
        <v/>
      </c>
      <c r="K175" s="51" t="str">
        <f aca="false">IF($N175&gt;=MA_SHORT,AVERAGE(INDEX($I$5:$I175,172-MA_SHORT):$I175),"")</f>
        <v/>
      </c>
      <c r="L175" s="51" t="str">
        <f aca="false">IF($N175&gt;=MA_MED,AVERAGE(INDEX($I$5:$I175,172-MA_MED):$I175),"")</f>
        <v/>
      </c>
      <c r="M175" s="51" t="str">
        <f aca="false">IF($N175&gt;=MA_LONG2,AVERAGE(INDEX($I$5:$I175,172-MA_LONG2):$I175),"")</f>
        <v/>
      </c>
      <c r="N175" s="46" t="n">
        <f aca="false">IF($A175=$A174,$N174+1,1)</f>
        <v>1</v>
      </c>
    </row>
    <row r="176" customFormat="false" ht="15" hidden="false" customHeight="false" outlineLevel="0" collapsed="false">
      <c r="A176" s="45" t="n">
        <v>46145</v>
      </c>
      <c r="B176" s="46" t="n">
        <v>20260503</v>
      </c>
      <c r="C176" s="47" t="s">
        <v>459</v>
      </c>
      <c r="D176" s="51" t="n">
        <v>1843496.53</v>
      </c>
      <c r="E176" s="52" t="str">
        <f aca="false">IF($N176&gt;1,$D176/$D175-1,"")</f>
        <v/>
      </c>
      <c r="F176" s="51" t="str">
        <f aca="false">IF($N176&gt;=MA_SHORT,AVERAGE(INDEX($D$5:$D176,173-MA_SHORT):$D176),"")</f>
        <v/>
      </c>
      <c r="G176" s="51" t="str">
        <f aca="false">IF($N176&gt;=MA_MED,AVERAGE(INDEX($D$5:$D176,173-MA_MED):$D176),"")</f>
        <v/>
      </c>
      <c r="H176" s="51" t="str">
        <f aca="false">IF($N176&gt;=MA_LONG2,AVERAGE(INDEX($D$5:$D176,173-MA_LONG2):$D176),"")</f>
        <v/>
      </c>
      <c r="I176" s="51" t="n">
        <v>622011.57</v>
      </c>
      <c r="J176" s="52" t="str">
        <f aca="false">IF($N176&gt;1,$I176/$I175-1,"")</f>
        <v/>
      </c>
      <c r="K176" s="51" t="str">
        <f aca="false">IF($N176&gt;=MA_SHORT,AVERAGE(INDEX($I$5:$I176,173-MA_SHORT):$I176),"")</f>
        <v/>
      </c>
      <c r="L176" s="51" t="str">
        <f aca="false">IF($N176&gt;=MA_MED,AVERAGE(INDEX($I$5:$I176,173-MA_MED):$I176),"")</f>
        <v/>
      </c>
      <c r="M176" s="51" t="str">
        <f aca="false">IF($N176&gt;=MA_LONG2,AVERAGE(INDEX($I$5:$I176,173-MA_LONG2):$I176),"")</f>
        <v/>
      </c>
      <c r="N176" s="46" t="n">
        <f aca="false">IF($A176=$A175,$N175+1,1)</f>
        <v>1</v>
      </c>
    </row>
    <row r="177" customFormat="false" ht="15" hidden="false" customHeight="false" outlineLevel="0" collapsed="false">
      <c r="A177" s="45" t="n">
        <v>46146</v>
      </c>
      <c r="B177" s="46" t="n">
        <v>20260504</v>
      </c>
      <c r="C177" s="47" t="s">
        <v>460</v>
      </c>
      <c r="D177" s="51" t="n">
        <v>1833982.91</v>
      </c>
      <c r="E177" s="52" t="str">
        <f aca="false">IF($N177&gt;1,$D177/$D176-1,"")</f>
        <v/>
      </c>
      <c r="F177" s="51" t="str">
        <f aca="false">IF($N177&gt;=MA_SHORT,AVERAGE(INDEX($D$5:$D177,174-MA_SHORT):$D177),"")</f>
        <v/>
      </c>
      <c r="G177" s="51" t="str">
        <f aca="false">IF($N177&gt;=MA_MED,AVERAGE(INDEX($D$5:$D177,174-MA_MED):$D177),"")</f>
        <v/>
      </c>
      <c r="H177" s="51" t="str">
        <f aca="false">IF($N177&gt;=MA_LONG2,AVERAGE(INDEX($D$5:$D177,174-MA_LONG2):$D177),"")</f>
        <v/>
      </c>
      <c r="I177" s="51" t="n">
        <v>631100.85</v>
      </c>
      <c r="J177" s="52" t="str">
        <f aca="false">IF($N177&gt;1,$I177/$I176-1,"")</f>
        <v/>
      </c>
      <c r="K177" s="51" t="str">
        <f aca="false">IF($N177&gt;=MA_SHORT,AVERAGE(INDEX($I$5:$I177,174-MA_SHORT):$I177),"")</f>
        <v/>
      </c>
      <c r="L177" s="51" t="str">
        <f aca="false">IF($N177&gt;=MA_MED,AVERAGE(INDEX($I$5:$I177,174-MA_MED):$I177),"")</f>
        <v/>
      </c>
      <c r="M177" s="51" t="str">
        <f aca="false">IF($N177&gt;=MA_LONG2,AVERAGE(INDEX($I$5:$I177,174-MA_LONG2):$I177),"")</f>
        <v/>
      </c>
      <c r="N177" s="46" t="n">
        <f aca="false">IF($A177=$A176,$N176+1,1)</f>
        <v>1</v>
      </c>
    </row>
    <row r="178" customFormat="false" ht="15" hidden="false" customHeight="false" outlineLevel="0" collapsed="false">
      <c r="A178" s="45" t="n">
        <v>46147</v>
      </c>
      <c r="B178" s="46" t="n">
        <v>20260505</v>
      </c>
      <c r="C178" s="47" t="s">
        <v>461</v>
      </c>
      <c r="D178" s="51" t="n">
        <v>1849796.64</v>
      </c>
      <c r="E178" s="52" t="str">
        <f aca="false">IF($N178&gt;1,$D178/$D177-1,"")</f>
        <v/>
      </c>
      <c r="F178" s="51" t="str">
        <f aca="false">IF($N178&gt;=MA_SHORT,AVERAGE(INDEX($D$5:$D178,175-MA_SHORT):$D178),"")</f>
        <v/>
      </c>
      <c r="G178" s="51" t="str">
        <f aca="false">IF($N178&gt;=MA_MED,AVERAGE(INDEX($D$5:$D178,175-MA_MED):$D178),"")</f>
        <v/>
      </c>
      <c r="H178" s="51" t="str">
        <f aca="false">IF($N178&gt;=MA_LONG2,AVERAGE(INDEX($D$5:$D178,175-MA_LONG2):$D178),"")</f>
        <v/>
      </c>
      <c r="I178" s="51" t="n">
        <v>641516.8</v>
      </c>
      <c r="J178" s="52" t="str">
        <f aca="false">IF($N178&gt;1,$I178/$I177-1,"")</f>
        <v/>
      </c>
      <c r="K178" s="51" t="str">
        <f aca="false">IF($N178&gt;=MA_SHORT,AVERAGE(INDEX($I$5:$I178,175-MA_SHORT):$I178),"")</f>
        <v/>
      </c>
      <c r="L178" s="51" t="str">
        <f aca="false">IF($N178&gt;=MA_MED,AVERAGE(INDEX($I$5:$I178,175-MA_MED):$I178),"")</f>
        <v/>
      </c>
      <c r="M178" s="51" t="str">
        <f aca="false">IF($N178&gt;=MA_LONG2,AVERAGE(INDEX($I$5:$I178,175-MA_LONG2):$I178),"")</f>
        <v/>
      </c>
      <c r="N178" s="46" t="n">
        <f aca="false">IF($A178=$A177,$N177+1,1)</f>
        <v>1</v>
      </c>
    </row>
    <row r="179" customFormat="false" ht="15" hidden="false" customHeight="false" outlineLevel="0" collapsed="false">
      <c r="A179" s="45" t="n">
        <v>46148</v>
      </c>
      <c r="B179" s="46" t="n">
        <v>20260506</v>
      </c>
      <c r="C179" s="47" t="s">
        <v>462</v>
      </c>
      <c r="D179" s="51" t="n">
        <v>1865084.27</v>
      </c>
      <c r="E179" s="52" t="str">
        <f aca="false">IF($N179&gt;1,$D179/$D178-1,"")</f>
        <v/>
      </c>
      <c r="F179" s="51" t="str">
        <f aca="false">IF($N179&gt;=MA_SHORT,AVERAGE(INDEX($D$5:$D179,176-MA_SHORT):$D179),"")</f>
        <v/>
      </c>
      <c r="G179" s="51" t="str">
        <f aca="false">IF($N179&gt;=MA_MED,AVERAGE(INDEX($D$5:$D179,176-MA_MED):$D179),"")</f>
        <v/>
      </c>
      <c r="H179" s="51" t="str">
        <f aca="false">IF($N179&gt;=MA_LONG2,AVERAGE(INDEX($D$5:$D179,176-MA_LONG2):$D179),"")</f>
        <v/>
      </c>
      <c r="I179" s="51" t="n">
        <v>624708.19</v>
      </c>
      <c r="J179" s="52" t="str">
        <f aca="false">IF($N179&gt;1,$I179/$I178-1,"")</f>
        <v/>
      </c>
      <c r="K179" s="51" t="str">
        <f aca="false">IF($N179&gt;=MA_SHORT,AVERAGE(INDEX($I$5:$I179,176-MA_SHORT):$I179),"")</f>
        <v/>
      </c>
      <c r="L179" s="51" t="str">
        <f aca="false">IF($N179&gt;=MA_MED,AVERAGE(INDEX($I$5:$I179,176-MA_MED):$I179),"")</f>
        <v/>
      </c>
      <c r="M179" s="51" t="str">
        <f aca="false">IF($N179&gt;=MA_LONG2,AVERAGE(INDEX($I$5:$I179,176-MA_LONG2):$I179),"")</f>
        <v/>
      </c>
      <c r="N179" s="46" t="n">
        <f aca="false">IF($A179=$A178,$N178+1,1)</f>
        <v>1</v>
      </c>
    </row>
    <row r="180" customFormat="false" ht="15" hidden="false" customHeight="false" outlineLevel="0" collapsed="false">
      <c r="A180" s="45" t="n">
        <v>46151</v>
      </c>
      <c r="B180" s="46" t="n">
        <v>20260509</v>
      </c>
      <c r="C180" s="47" t="s">
        <v>463</v>
      </c>
      <c r="D180" s="51" t="n">
        <v>1876081.49</v>
      </c>
      <c r="E180" s="52" t="str">
        <f aca="false">IF($N180&gt;1,$D180/$D179-1,"")</f>
        <v/>
      </c>
      <c r="F180" s="51" t="str">
        <f aca="false">IF($N180&gt;=MA_SHORT,AVERAGE(INDEX($D$5:$D180,177-MA_SHORT):$D180),"")</f>
        <v/>
      </c>
      <c r="G180" s="51" t="str">
        <f aca="false">IF($N180&gt;=MA_MED,AVERAGE(INDEX($D$5:$D180,177-MA_MED):$D180),"")</f>
        <v/>
      </c>
      <c r="H180" s="51" t="str">
        <f aca="false">IF($N180&gt;=MA_LONG2,AVERAGE(INDEX($D$5:$D180,177-MA_LONG2):$D180),"")</f>
        <v/>
      </c>
      <c r="I180" s="51" t="n">
        <v>617338.72</v>
      </c>
      <c r="J180" s="52" t="str">
        <f aca="false">IF($N180&gt;1,$I180/$I179-1,"")</f>
        <v/>
      </c>
      <c r="K180" s="51" t="str">
        <f aca="false">IF($N180&gt;=MA_SHORT,AVERAGE(INDEX($I$5:$I180,177-MA_SHORT):$I180),"")</f>
        <v/>
      </c>
      <c r="L180" s="51" t="str">
        <f aca="false">IF($N180&gt;=MA_MED,AVERAGE(INDEX($I$5:$I180,177-MA_MED):$I180),"")</f>
        <v/>
      </c>
      <c r="M180" s="51" t="str">
        <f aca="false">IF($N180&gt;=MA_LONG2,AVERAGE(INDEX($I$5:$I180,177-MA_LONG2):$I180),"")</f>
        <v/>
      </c>
      <c r="N180" s="46" t="n">
        <f aca="false">IF($A180=$A179,$N179+1,1)</f>
        <v>1</v>
      </c>
    </row>
    <row r="181" customFormat="false" ht="15" hidden="false" customHeight="false" outlineLevel="0" collapsed="false">
      <c r="A181" s="45" t="n">
        <v>46152</v>
      </c>
      <c r="B181" s="46" t="n">
        <v>20260510</v>
      </c>
      <c r="C181" s="47" t="s">
        <v>464</v>
      </c>
      <c r="D181" s="51" t="n">
        <v>1885448.72</v>
      </c>
      <c r="E181" s="52" t="str">
        <f aca="false">IF($N181&gt;1,$D181/$D180-1,"")</f>
        <v/>
      </c>
      <c r="F181" s="51" t="str">
        <f aca="false">IF($N181&gt;=MA_SHORT,AVERAGE(INDEX($D$5:$D181,178-MA_SHORT):$D181),"")</f>
        <v/>
      </c>
      <c r="G181" s="51" t="str">
        <f aca="false">IF($N181&gt;=MA_MED,AVERAGE(INDEX($D$5:$D181,178-MA_MED):$D181),"")</f>
        <v/>
      </c>
      <c r="H181" s="51" t="str">
        <f aca="false">IF($N181&gt;=MA_LONG2,AVERAGE(INDEX($D$5:$D181,178-MA_LONG2):$D181),"")</f>
        <v/>
      </c>
      <c r="I181" s="51" t="n">
        <v>609207.61</v>
      </c>
      <c r="J181" s="52" t="str">
        <f aca="false">IF($N181&gt;1,$I181/$I180-1,"")</f>
        <v/>
      </c>
      <c r="K181" s="51" t="str">
        <f aca="false">IF($N181&gt;=MA_SHORT,AVERAGE(INDEX($I$5:$I181,178-MA_SHORT):$I181),"")</f>
        <v/>
      </c>
      <c r="L181" s="51" t="str">
        <f aca="false">IF($N181&gt;=MA_MED,AVERAGE(INDEX($I$5:$I181,178-MA_MED):$I181),"")</f>
        <v/>
      </c>
      <c r="M181" s="51" t="str">
        <f aca="false">IF($N181&gt;=MA_LONG2,AVERAGE(INDEX($I$5:$I181,178-MA_LONG2):$I181),"")</f>
        <v/>
      </c>
      <c r="N181" s="46" t="n">
        <f aca="false">IF($A181=$A180,$N180+1,1)</f>
        <v>1</v>
      </c>
    </row>
    <row r="182" customFormat="false" ht="15" hidden="false" customHeight="false" outlineLevel="0" collapsed="false">
      <c r="A182" s="45" t="n">
        <v>46153</v>
      </c>
      <c r="B182" s="46" t="n">
        <v>20260511</v>
      </c>
      <c r="C182" s="47" t="s">
        <v>465</v>
      </c>
      <c r="D182" s="51" t="n">
        <v>1841237.66</v>
      </c>
      <c r="E182" s="52" t="str">
        <f aca="false">IF($N182&gt;1,$D182/$D181-1,"")</f>
        <v/>
      </c>
      <c r="F182" s="51" t="str">
        <f aca="false">IF($N182&gt;=MA_SHORT,AVERAGE(INDEX($D$5:$D182,179-MA_SHORT):$D182),"")</f>
        <v/>
      </c>
      <c r="G182" s="51" t="str">
        <f aca="false">IF($N182&gt;=MA_MED,AVERAGE(INDEX($D$5:$D182,179-MA_MED):$D182),"")</f>
        <v/>
      </c>
      <c r="H182" s="51" t="str">
        <f aca="false">IF($N182&gt;=MA_LONG2,AVERAGE(INDEX($D$5:$D182,179-MA_LONG2):$D182),"")</f>
        <v/>
      </c>
      <c r="I182" s="51" t="n">
        <v>607006.03</v>
      </c>
      <c r="J182" s="52" t="str">
        <f aca="false">IF($N182&gt;1,$I182/$I181-1,"")</f>
        <v/>
      </c>
      <c r="K182" s="51" t="str">
        <f aca="false">IF($N182&gt;=MA_SHORT,AVERAGE(INDEX($I$5:$I182,179-MA_SHORT):$I182),"")</f>
        <v/>
      </c>
      <c r="L182" s="51" t="str">
        <f aca="false">IF($N182&gt;=MA_MED,AVERAGE(INDEX($I$5:$I182,179-MA_MED):$I182),"")</f>
        <v/>
      </c>
      <c r="M182" s="51" t="str">
        <f aca="false">IF($N182&gt;=MA_LONG2,AVERAGE(INDEX($I$5:$I182,179-MA_LONG2):$I182),"")</f>
        <v/>
      </c>
      <c r="N182" s="46" t="n">
        <f aca="false">IF($A182=$A181,$N181+1,1)</f>
        <v>1</v>
      </c>
    </row>
    <row r="183" customFormat="false" ht="15" hidden="false" customHeight="false" outlineLevel="0" collapsed="false">
      <c r="A183" s="45" t="n">
        <v>46154</v>
      </c>
      <c r="B183" s="46" t="n">
        <v>20260512</v>
      </c>
      <c r="C183" s="47" t="s">
        <v>466</v>
      </c>
      <c r="D183" s="51" t="n">
        <v>1851570.57</v>
      </c>
      <c r="E183" s="52" t="str">
        <f aca="false">IF($N183&gt;1,$D183/$D182-1,"")</f>
        <v/>
      </c>
      <c r="F183" s="51" t="str">
        <f aca="false">IF($N183&gt;=MA_SHORT,AVERAGE(INDEX($D$5:$D183,180-MA_SHORT):$D183),"")</f>
        <v/>
      </c>
      <c r="G183" s="51" t="str">
        <f aca="false">IF($N183&gt;=MA_MED,AVERAGE(INDEX($D$5:$D183,180-MA_MED):$D183),"")</f>
        <v/>
      </c>
      <c r="H183" s="51" t="str">
        <f aca="false">IF($N183&gt;=MA_LONG2,AVERAGE(INDEX($D$5:$D183,180-MA_LONG2):$D183),"")</f>
        <v/>
      </c>
      <c r="I183" s="51" t="n">
        <v>596461.51</v>
      </c>
      <c r="J183" s="52" t="str">
        <f aca="false">IF($N183&gt;1,$I183/$I182-1,"")</f>
        <v/>
      </c>
      <c r="K183" s="51" t="str">
        <f aca="false">IF($N183&gt;=MA_SHORT,AVERAGE(INDEX($I$5:$I183,180-MA_SHORT):$I183),"")</f>
        <v/>
      </c>
      <c r="L183" s="51" t="str">
        <f aca="false">IF($N183&gt;=MA_MED,AVERAGE(INDEX($I$5:$I183,180-MA_MED):$I183),"")</f>
        <v/>
      </c>
      <c r="M183" s="51" t="str">
        <f aca="false">IF($N183&gt;=MA_LONG2,AVERAGE(INDEX($I$5:$I183,180-MA_LONG2):$I183),"")</f>
        <v/>
      </c>
      <c r="N183" s="46" t="n">
        <f aca="false">IF($A183=$A182,$N182+1,1)</f>
        <v>1</v>
      </c>
    </row>
    <row r="184" customFormat="false" ht="15" hidden="false" customHeight="false" outlineLevel="0" collapsed="false">
      <c r="A184" s="45" t="n">
        <v>46155</v>
      </c>
      <c r="B184" s="46" t="n">
        <v>20260513</v>
      </c>
      <c r="C184" s="47" t="s">
        <v>467</v>
      </c>
      <c r="D184" s="51" t="n">
        <v>1819498.22</v>
      </c>
      <c r="E184" s="52" t="str">
        <f aca="false">IF($N184&gt;1,$D184/$D183-1,"")</f>
        <v/>
      </c>
      <c r="F184" s="51" t="str">
        <f aca="false">IF($N184&gt;=MA_SHORT,AVERAGE(INDEX($D$5:$D184,181-MA_SHORT):$D184),"")</f>
        <v/>
      </c>
      <c r="G184" s="51" t="str">
        <f aca="false">IF($N184&gt;=MA_MED,AVERAGE(INDEX($D$5:$D184,181-MA_MED):$D184),"")</f>
        <v/>
      </c>
      <c r="H184" s="51" t="str">
        <f aca="false">IF($N184&gt;=MA_LONG2,AVERAGE(INDEX($D$5:$D184,181-MA_LONG2):$D184),"")</f>
        <v/>
      </c>
      <c r="I184" s="51" t="n">
        <v>592674.58</v>
      </c>
      <c r="J184" s="52" t="str">
        <f aca="false">IF($N184&gt;1,$I184/$I183-1,"")</f>
        <v/>
      </c>
      <c r="K184" s="51" t="str">
        <f aca="false">IF($N184&gt;=MA_SHORT,AVERAGE(INDEX($I$5:$I184,181-MA_SHORT):$I184),"")</f>
        <v/>
      </c>
      <c r="L184" s="51" t="str">
        <f aca="false">IF($N184&gt;=MA_MED,AVERAGE(INDEX($I$5:$I184,181-MA_MED):$I184),"")</f>
        <v/>
      </c>
      <c r="M184" s="51" t="str">
        <f aca="false">IF($N184&gt;=MA_LONG2,AVERAGE(INDEX($I$5:$I184,181-MA_LONG2):$I184),"")</f>
        <v/>
      </c>
      <c r="N184" s="46" t="n">
        <f aca="false">IF($A184=$A183,$N183+1,1)</f>
        <v>1</v>
      </c>
    </row>
    <row r="185" customFormat="false" ht="15" hidden="false" customHeight="false" outlineLevel="0" collapsed="false">
      <c r="A185" s="45" t="n">
        <v>46158</v>
      </c>
      <c r="B185" s="46" t="n">
        <v>20260516</v>
      </c>
      <c r="C185" s="47" t="s">
        <v>468</v>
      </c>
      <c r="D185" s="51" t="n">
        <v>1821777.16</v>
      </c>
      <c r="E185" s="52" t="str">
        <f aca="false">IF($N185&gt;1,$D185/$D184-1,"")</f>
        <v/>
      </c>
      <c r="F185" s="51" t="str">
        <f aca="false">IF($N185&gt;=MA_SHORT,AVERAGE(INDEX($D$5:$D185,182-MA_SHORT):$D185),"")</f>
        <v/>
      </c>
      <c r="G185" s="51" t="str">
        <f aca="false">IF($N185&gt;=MA_MED,AVERAGE(INDEX($D$5:$D185,182-MA_MED):$D185),"")</f>
        <v/>
      </c>
      <c r="H185" s="51" t="str">
        <f aca="false">IF($N185&gt;=MA_LONG2,AVERAGE(INDEX($D$5:$D185,182-MA_LONG2):$D185),"")</f>
        <v/>
      </c>
      <c r="I185" s="51" t="n">
        <v>593924.46</v>
      </c>
      <c r="J185" s="52" t="str">
        <f aca="false">IF($N185&gt;1,$I185/$I184-1,"")</f>
        <v/>
      </c>
      <c r="K185" s="51" t="str">
        <f aca="false">IF($N185&gt;=MA_SHORT,AVERAGE(INDEX($I$5:$I185,182-MA_SHORT):$I185),"")</f>
        <v/>
      </c>
      <c r="L185" s="51" t="str">
        <f aca="false">IF($N185&gt;=MA_MED,AVERAGE(INDEX($I$5:$I185,182-MA_MED):$I185),"")</f>
        <v/>
      </c>
      <c r="M185" s="51" t="str">
        <f aca="false">IF($N185&gt;=MA_LONG2,AVERAGE(INDEX($I$5:$I185,182-MA_LONG2):$I185),"")</f>
        <v/>
      </c>
      <c r="N185" s="46" t="n">
        <f aca="false">IF($A185=$A184,$N184+1,1)</f>
        <v>1</v>
      </c>
    </row>
    <row r="186" customFormat="false" ht="15" hidden="false" customHeight="false" outlineLevel="0" collapsed="false">
      <c r="A186" s="45" t="n">
        <v>46159</v>
      </c>
      <c r="B186" s="46" t="n">
        <v>20260517</v>
      </c>
      <c r="C186" s="47" t="s">
        <v>469</v>
      </c>
      <c r="D186" s="51" t="n">
        <v>1819068.1</v>
      </c>
      <c r="E186" s="52" t="str">
        <f aca="false">IF($N186&gt;1,$D186/$D185-1,"")</f>
        <v/>
      </c>
      <c r="F186" s="51" t="str">
        <f aca="false">IF($N186&gt;=MA_SHORT,AVERAGE(INDEX($D$5:$D186,183-MA_SHORT):$D186),"")</f>
        <v/>
      </c>
      <c r="G186" s="51" t="str">
        <f aca="false">IF($N186&gt;=MA_MED,AVERAGE(INDEX($D$5:$D186,183-MA_MED):$D186),"")</f>
        <v/>
      </c>
      <c r="H186" s="51" t="str">
        <f aca="false">IF($N186&gt;=MA_LONG2,AVERAGE(INDEX($D$5:$D186,183-MA_LONG2):$D186),"")</f>
        <v/>
      </c>
      <c r="I186" s="51" t="n">
        <v>591595.38</v>
      </c>
      <c r="J186" s="52" t="str">
        <f aca="false">IF($N186&gt;1,$I186/$I185-1,"")</f>
        <v/>
      </c>
      <c r="K186" s="51" t="str">
        <f aca="false">IF($N186&gt;=MA_SHORT,AVERAGE(INDEX($I$5:$I186,183-MA_SHORT):$I186),"")</f>
        <v/>
      </c>
      <c r="L186" s="51" t="str">
        <f aca="false">IF($N186&gt;=MA_MED,AVERAGE(INDEX($I$5:$I186,183-MA_MED):$I186),"")</f>
        <v/>
      </c>
      <c r="M186" s="51" t="str">
        <f aca="false">IF($N186&gt;=MA_LONG2,AVERAGE(INDEX($I$5:$I186,183-MA_LONG2):$I186),"")</f>
        <v/>
      </c>
      <c r="N186" s="46" t="n">
        <f aca="false">IF($A186=$A185,$N185+1,1)</f>
        <v>1</v>
      </c>
    </row>
    <row r="187" customFormat="false" ht="15" hidden="false" customHeight="false" outlineLevel="0" collapsed="false">
      <c r="A187" s="45" t="n">
        <v>46160</v>
      </c>
      <c r="B187" s="46" t="n">
        <v>20260518</v>
      </c>
      <c r="C187" s="47" t="s">
        <v>470</v>
      </c>
      <c r="D187" s="51" t="n">
        <v>1822592.96</v>
      </c>
      <c r="E187" s="52" t="str">
        <f aca="false">IF($N187&gt;1,$D187/$D186-1,"")</f>
        <v/>
      </c>
      <c r="F187" s="51" t="str">
        <f aca="false">IF($N187&gt;=MA_SHORT,AVERAGE(INDEX($D$5:$D187,184-MA_SHORT):$D187),"")</f>
        <v/>
      </c>
      <c r="G187" s="51" t="str">
        <f aca="false">IF($N187&gt;=MA_MED,AVERAGE(INDEX($D$5:$D187,184-MA_MED):$D187),"")</f>
        <v/>
      </c>
      <c r="H187" s="51" t="str">
        <f aca="false">IF($N187&gt;=MA_LONG2,AVERAGE(INDEX($D$5:$D187,184-MA_LONG2):$D187),"")</f>
        <v/>
      </c>
      <c r="I187" s="51" t="n">
        <v>584448.43</v>
      </c>
      <c r="J187" s="52" t="str">
        <f aca="false">IF($N187&gt;1,$I187/$I186-1,"")</f>
        <v/>
      </c>
      <c r="K187" s="51" t="str">
        <f aca="false">IF($N187&gt;=MA_SHORT,AVERAGE(INDEX($I$5:$I187,184-MA_SHORT):$I187),"")</f>
        <v/>
      </c>
      <c r="L187" s="51" t="str">
        <f aca="false">IF($N187&gt;=MA_MED,AVERAGE(INDEX($I$5:$I187,184-MA_MED):$I187),"")</f>
        <v/>
      </c>
      <c r="M187" s="51" t="str">
        <f aca="false">IF($N187&gt;=MA_LONG2,AVERAGE(INDEX($I$5:$I187,184-MA_LONG2):$I187),"")</f>
        <v/>
      </c>
      <c r="N187" s="46" t="n">
        <f aca="false">IF($A187=$A186,$N186+1,1)</f>
        <v>1</v>
      </c>
    </row>
    <row r="188" customFormat="false" ht="15" hidden="false" customHeight="false" outlineLevel="0" collapsed="false">
      <c r="A188" s="45" t="n">
        <v>46161</v>
      </c>
      <c r="B188" s="46" t="n">
        <v>20260519</v>
      </c>
      <c r="C188" s="47" t="s">
        <v>471</v>
      </c>
      <c r="D188" s="51" t="n">
        <v>1824087.05</v>
      </c>
      <c r="E188" s="52" t="str">
        <f aca="false">IF($N188&gt;1,$D188/$D187-1,"")</f>
        <v/>
      </c>
      <c r="F188" s="51" t="str">
        <f aca="false">IF($N188&gt;=MA_SHORT,AVERAGE(INDEX($D$5:$D188,185-MA_SHORT):$D188),"")</f>
        <v/>
      </c>
      <c r="G188" s="51" t="str">
        <f aca="false">IF($N188&gt;=MA_MED,AVERAGE(INDEX($D$5:$D188,185-MA_MED):$D188),"")</f>
        <v/>
      </c>
      <c r="H188" s="51" t="str">
        <f aca="false">IF($N188&gt;=MA_LONG2,AVERAGE(INDEX($D$5:$D188,185-MA_LONG2):$D188),"")</f>
        <v/>
      </c>
      <c r="I188" s="51" t="n">
        <v>585551.89</v>
      </c>
      <c r="J188" s="52" t="str">
        <f aca="false">IF($N188&gt;1,$I188/$I187-1,"")</f>
        <v/>
      </c>
      <c r="K188" s="51" t="str">
        <f aca="false">IF($N188&gt;=MA_SHORT,AVERAGE(INDEX($I$5:$I188,185-MA_SHORT):$I188),"")</f>
        <v/>
      </c>
      <c r="L188" s="51" t="str">
        <f aca="false">IF($N188&gt;=MA_MED,AVERAGE(INDEX($I$5:$I188,185-MA_MED):$I188),"")</f>
        <v/>
      </c>
      <c r="M188" s="51" t="str">
        <f aca="false">IF($N188&gt;=MA_LONG2,AVERAGE(INDEX($I$5:$I188,185-MA_LONG2):$I188),"")</f>
        <v/>
      </c>
      <c r="N188" s="46" t="n">
        <f aca="false">IF($A188=$A187,$N187+1,1)</f>
        <v>1</v>
      </c>
    </row>
    <row r="189" customFormat="false" ht="15" hidden="false" customHeight="false" outlineLevel="0" collapsed="false">
      <c r="A189" s="45" t="n">
        <v>46162</v>
      </c>
      <c r="B189" s="46" t="n">
        <v>20260520</v>
      </c>
      <c r="C189" s="47" t="s">
        <v>472</v>
      </c>
      <c r="D189" s="51" t="n">
        <v>1853709.47</v>
      </c>
      <c r="E189" s="52" t="str">
        <f aca="false">IF($N189&gt;1,$D189/$D188-1,"")</f>
        <v/>
      </c>
      <c r="F189" s="51" t="str">
        <f aca="false">IF($N189&gt;=MA_SHORT,AVERAGE(INDEX($D$5:$D189,186-MA_SHORT):$D189),"")</f>
        <v/>
      </c>
      <c r="G189" s="51" t="str">
        <f aca="false">IF($N189&gt;=MA_MED,AVERAGE(INDEX($D$5:$D189,186-MA_MED):$D189),"")</f>
        <v/>
      </c>
      <c r="H189" s="51" t="str">
        <f aca="false">IF($N189&gt;=MA_LONG2,AVERAGE(INDEX($D$5:$D189,186-MA_LONG2):$D189),"")</f>
        <v/>
      </c>
      <c r="I189" s="51" t="n">
        <v>585106.3</v>
      </c>
      <c r="J189" s="52" t="str">
        <f aca="false">IF($N189&gt;1,$I189/$I188-1,"")</f>
        <v/>
      </c>
      <c r="K189" s="51" t="str">
        <f aca="false">IF($N189&gt;=MA_SHORT,AVERAGE(INDEX($I$5:$I189,186-MA_SHORT):$I189),"")</f>
        <v/>
      </c>
      <c r="L189" s="51" t="str">
        <f aca="false">IF($N189&gt;=MA_MED,AVERAGE(INDEX($I$5:$I189,186-MA_MED):$I189),"")</f>
        <v/>
      </c>
      <c r="M189" s="51" t="str">
        <f aca="false">IF($N189&gt;=MA_LONG2,AVERAGE(INDEX($I$5:$I189,186-MA_LONG2):$I189),"")</f>
        <v/>
      </c>
      <c r="N189" s="46" t="n">
        <f aca="false">IF($A189=$A188,$N188+1,1)</f>
        <v>1</v>
      </c>
    </row>
    <row r="190" customFormat="false" ht="15" hidden="false" customHeight="false" outlineLevel="0" collapsed="false">
      <c r="A190" s="45" t="n">
        <v>46165</v>
      </c>
      <c r="B190" s="46" t="n">
        <v>20260523</v>
      </c>
      <c r="C190" s="47" t="s">
        <v>473</v>
      </c>
      <c r="D190" s="51" t="n">
        <v>1895279.79</v>
      </c>
      <c r="E190" s="52" t="str">
        <f aca="false">IF($N190&gt;1,$D190/$D189-1,"")</f>
        <v/>
      </c>
      <c r="F190" s="51" t="str">
        <f aca="false">IF($N190&gt;=MA_SHORT,AVERAGE(INDEX($D$5:$D190,187-MA_SHORT):$D190),"")</f>
        <v/>
      </c>
      <c r="G190" s="51" t="str">
        <f aca="false">IF($N190&gt;=MA_MED,AVERAGE(INDEX($D$5:$D190,187-MA_MED):$D190),"")</f>
        <v/>
      </c>
      <c r="H190" s="51" t="str">
        <f aca="false">IF($N190&gt;=MA_LONG2,AVERAGE(INDEX($D$5:$D190,187-MA_LONG2):$D190),"")</f>
        <v/>
      </c>
      <c r="I190" s="51" t="n">
        <v>579151.13</v>
      </c>
      <c r="J190" s="52" t="str">
        <f aca="false">IF($N190&gt;1,$I190/$I189-1,"")</f>
        <v/>
      </c>
      <c r="K190" s="51" t="str">
        <f aca="false">IF($N190&gt;=MA_SHORT,AVERAGE(INDEX($I$5:$I190,187-MA_SHORT):$I190),"")</f>
        <v/>
      </c>
      <c r="L190" s="51" t="str">
        <f aca="false">IF($N190&gt;=MA_MED,AVERAGE(INDEX($I$5:$I190,187-MA_MED):$I190),"")</f>
        <v/>
      </c>
      <c r="M190" s="51" t="str">
        <f aca="false">IF($N190&gt;=MA_LONG2,AVERAGE(INDEX($I$5:$I190,187-MA_LONG2):$I190),"")</f>
        <v/>
      </c>
      <c r="N190" s="46" t="n">
        <f aca="false">IF($A190=$A189,$N189+1,1)</f>
        <v>1</v>
      </c>
    </row>
    <row r="191" customFormat="false" ht="15" hidden="false" customHeight="false" outlineLevel="0" collapsed="false">
      <c r="A191" s="45" t="n">
        <v>46166</v>
      </c>
      <c r="B191" s="46" t="n">
        <v>20260524</v>
      </c>
      <c r="C191" s="47" t="s">
        <v>474</v>
      </c>
      <c r="D191" s="51" t="n">
        <v>1895512.22</v>
      </c>
      <c r="E191" s="52" t="str">
        <f aca="false">IF($N191&gt;1,$D191/$D190-1,"")</f>
        <v/>
      </c>
      <c r="F191" s="51" t="str">
        <f aca="false">IF($N191&gt;=MA_SHORT,AVERAGE(INDEX($D$5:$D191,188-MA_SHORT):$D191),"")</f>
        <v/>
      </c>
      <c r="G191" s="51" t="str">
        <f aca="false">IF($N191&gt;=MA_MED,AVERAGE(INDEX($D$5:$D191,188-MA_MED):$D191),"")</f>
        <v/>
      </c>
      <c r="H191" s="51" t="str">
        <f aca="false">IF($N191&gt;=MA_LONG2,AVERAGE(INDEX($D$5:$D191,188-MA_LONG2):$D191),"")</f>
        <v/>
      </c>
      <c r="I191" s="51" t="n">
        <v>578810.84</v>
      </c>
      <c r="J191" s="52" t="str">
        <f aca="false">IF($N191&gt;1,$I191/$I190-1,"")</f>
        <v/>
      </c>
      <c r="K191" s="51" t="str">
        <f aca="false">IF($N191&gt;=MA_SHORT,AVERAGE(INDEX($I$5:$I191,188-MA_SHORT):$I191),"")</f>
        <v/>
      </c>
      <c r="L191" s="51" t="str">
        <f aca="false">IF($N191&gt;=MA_MED,AVERAGE(INDEX($I$5:$I191,188-MA_MED):$I191),"")</f>
        <v/>
      </c>
      <c r="M191" s="51" t="str">
        <f aca="false">IF($N191&gt;=MA_LONG2,AVERAGE(INDEX($I$5:$I191,188-MA_LONG2):$I191),"")</f>
        <v/>
      </c>
      <c r="N191" s="46" t="n">
        <f aca="false">IF($A191=$A190,$N190+1,1)</f>
        <v>1</v>
      </c>
    </row>
    <row r="192" customFormat="false" ht="15" hidden="false" customHeight="false" outlineLevel="0" collapsed="false">
      <c r="A192" s="45" t="n">
        <v>46167</v>
      </c>
      <c r="B192" s="46" t="n">
        <v>20260525</v>
      </c>
      <c r="C192" s="47" t="s">
        <v>475</v>
      </c>
      <c r="D192" s="51" t="n">
        <v>1877637.14</v>
      </c>
      <c r="E192" s="52" t="str">
        <f aca="false">IF($N192&gt;1,$D192/$D191-1,"")</f>
        <v/>
      </c>
      <c r="F192" s="51" t="str">
        <f aca="false">IF($N192&gt;=MA_SHORT,AVERAGE(INDEX($D$5:$D192,189-MA_SHORT):$D192),"")</f>
        <v/>
      </c>
      <c r="G192" s="51" t="str">
        <f aca="false">IF($N192&gt;=MA_MED,AVERAGE(INDEX($D$5:$D192,189-MA_MED):$D192),"")</f>
        <v/>
      </c>
      <c r="H192" s="51" t="str">
        <f aca="false">IF($N192&gt;=MA_LONG2,AVERAGE(INDEX($D$5:$D192,189-MA_LONG2):$D192),"")</f>
        <v/>
      </c>
      <c r="I192" s="51" t="n">
        <v>572132.23</v>
      </c>
      <c r="J192" s="52" t="str">
        <f aca="false">IF($N192&gt;1,$I192/$I191-1,"")</f>
        <v/>
      </c>
      <c r="K192" s="51" t="str">
        <f aca="false">IF($N192&gt;=MA_SHORT,AVERAGE(INDEX($I$5:$I192,189-MA_SHORT):$I192),"")</f>
        <v/>
      </c>
      <c r="L192" s="51" t="str">
        <f aca="false">IF($N192&gt;=MA_MED,AVERAGE(INDEX($I$5:$I192,189-MA_MED):$I192),"")</f>
        <v/>
      </c>
      <c r="M192" s="51" t="str">
        <f aca="false">IF($N192&gt;=MA_LONG2,AVERAGE(INDEX($I$5:$I192,189-MA_LONG2):$I192),"")</f>
        <v/>
      </c>
      <c r="N192" s="46" t="n">
        <f aca="false">IF($A192=$A191,$N191+1,1)</f>
        <v>1</v>
      </c>
    </row>
    <row r="193" customFormat="false" ht="15" hidden="false" customHeight="false" outlineLevel="0" collapsed="false">
      <c r="A193" s="45" t="n">
        <v>46168</v>
      </c>
      <c r="B193" s="46" t="n">
        <v>20260526</v>
      </c>
      <c r="C193" s="47" t="s">
        <v>476</v>
      </c>
      <c r="D193" s="51" t="n">
        <v>1892413.07</v>
      </c>
      <c r="E193" s="52" t="str">
        <f aca="false">IF($N193&gt;1,$D193/$D192-1,"")</f>
        <v/>
      </c>
      <c r="F193" s="51" t="str">
        <f aca="false">IF($N193&gt;=MA_SHORT,AVERAGE(INDEX($D$5:$D193,190-MA_SHORT):$D193),"")</f>
        <v/>
      </c>
      <c r="G193" s="51" t="str">
        <f aca="false">IF($N193&gt;=MA_MED,AVERAGE(INDEX($D$5:$D193,190-MA_MED):$D193),"")</f>
        <v/>
      </c>
      <c r="H193" s="51" t="str">
        <f aca="false">IF($N193&gt;=MA_LONG2,AVERAGE(INDEX($D$5:$D193,190-MA_LONG2):$D193),"")</f>
        <v/>
      </c>
      <c r="I193" s="51" t="n">
        <v>595570.6</v>
      </c>
      <c r="J193" s="52" t="str">
        <f aca="false">IF($N193&gt;1,$I193/$I192-1,"")</f>
        <v/>
      </c>
      <c r="K193" s="51" t="str">
        <f aca="false">IF($N193&gt;=MA_SHORT,AVERAGE(INDEX($I$5:$I193,190-MA_SHORT):$I193),"")</f>
        <v/>
      </c>
      <c r="L193" s="51" t="str">
        <f aca="false">IF($N193&gt;=MA_MED,AVERAGE(INDEX($I$5:$I193,190-MA_MED):$I193),"")</f>
        <v/>
      </c>
      <c r="M193" s="51" t="str">
        <f aca="false">IF($N193&gt;=MA_LONG2,AVERAGE(INDEX($I$5:$I193,190-MA_LONG2):$I193),"")</f>
        <v/>
      </c>
      <c r="N193" s="46" t="n">
        <f aca="false">IF($A193=$A192,$N192+1,1)</f>
        <v>1</v>
      </c>
    </row>
    <row r="194" customFormat="false" ht="15" hidden="false" customHeight="false" outlineLevel="0" collapsed="false">
      <c r="A194" s="45" t="n">
        <v>46169</v>
      </c>
      <c r="B194" s="46" t="n">
        <v>20260527</v>
      </c>
      <c r="C194" s="47" t="s">
        <v>477</v>
      </c>
      <c r="D194" s="51" t="n">
        <v>1915378.3</v>
      </c>
      <c r="E194" s="52" t="str">
        <f aca="false">IF($N194&gt;1,$D194/$D193-1,"")</f>
        <v/>
      </c>
      <c r="F194" s="51" t="str">
        <f aca="false">IF($N194&gt;=MA_SHORT,AVERAGE(INDEX($D$5:$D194,191-MA_SHORT):$D194),"")</f>
        <v/>
      </c>
      <c r="G194" s="51" t="str">
        <f aca="false">IF($N194&gt;=MA_MED,AVERAGE(INDEX($D$5:$D194,191-MA_MED):$D194),"")</f>
        <v/>
      </c>
      <c r="H194" s="51" t="str">
        <f aca="false">IF($N194&gt;=MA_LONG2,AVERAGE(INDEX($D$5:$D194,191-MA_LONG2):$D194),"")</f>
        <v/>
      </c>
      <c r="I194" s="51" t="n">
        <v>602315.51</v>
      </c>
      <c r="J194" s="52" t="str">
        <f aca="false">IF($N194&gt;1,$I194/$I193-1,"")</f>
        <v/>
      </c>
      <c r="K194" s="51" t="str">
        <f aca="false">IF($N194&gt;=MA_SHORT,AVERAGE(INDEX($I$5:$I194,191-MA_SHORT):$I194),"")</f>
        <v/>
      </c>
      <c r="L194" s="51" t="str">
        <f aca="false">IF($N194&gt;=MA_MED,AVERAGE(INDEX($I$5:$I194,191-MA_MED):$I194),"")</f>
        <v/>
      </c>
      <c r="M194" s="51" t="str">
        <f aca="false">IF($N194&gt;=MA_LONG2,AVERAGE(INDEX($I$5:$I194,191-MA_LONG2):$I194),"")</f>
        <v/>
      </c>
      <c r="N194" s="46" t="n">
        <f aca="false">IF($A194=$A193,$N193+1,1)</f>
        <v>1</v>
      </c>
    </row>
    <row r="195" customFormat="false" ht="15" hidden="false" customHeight="false" outlineLevel="0" collapsed="false">
      <c r="A195" s="45" t="n">
        <v>46172</v>
      </c>
      <c r="B195" s="46" t="n">
        <v>20260530</v>
      </c>
      <c r="C195" s="47" t="s">
        <v>478</v>
      </c>
      <c r="D195" s="51" t="n">
        <v>1905845.81</v>
      </c>
      <c r="E195" s="52" t="str">
        <f aca="false">IF($N195&gt;1,$D195/$D194-1,"")</f>
        <v/>
      </c>
      <c r="F195" s="51" t="str">
        <f aca="false">IF($N195&gt;=MA_SHORT,AVERAGE(INDEX($D$5:$D195,192-MA_SHORT):$D195),"")</f>
        <v/>
      </c>
      <c r="G195" s="51" t="str">
        <f aca="false">IF($N195&gt;=MA_MED,AVERAGE(INDEX($D$5:$D195,192-MA_MED):$D195),"")</f>
        <v/>
      </c>
      <c r="H195" s="51" t="str">
        <f aca="false">IF($N195&gt;=MA_LONG2,AVERAGE(INDEX($D$5:$D195,192-MA_LONG2):$D195),"")</f>
        <v/>
      </c>
      <c r="I195" s="51" t="n">
        <v>595104.35</v>
      </c>
      <c r="J195" s="52" t="str">
        <f aca="false">IF($N195&gt;1,$I195/$I194-1,"")</f>
        <v/>
      </c>
      <c r="K195" s="51" t="str">
        <f aca="false">IF($N195&gt;=MA_SHORT,AVERAGE(INDEX($I$5:$I195,192-MA_SHORT):$I195),"")</f>
        <v/>
      </c>
      <c r="L195" s="51" t="str">
        <f aca="false">IF($N195&gt;=MA_MED,AVERAGE(INDEX($I$5:$I195,192-MA_MED):$I195),"")</f>
        <v/>
      </c>
      <c r="M195" s="51" t="str">
        <f aca="false">IF($N195&gt;=MA_LONG2,AVERAGE(INDEX($I$5:$I195,192-MA_LONG2):$I195),"")</f>
        <v/>
      </c>
      <c r="N195" s="46" t="n">
        <f aca="false">IF($A195=$A194,$N194+1,1)</f>
        <v>1</v>
      </c>
    </row>
    <row r="196" customFormat="false" ht="15" hidden="false" customHeight="false" outlineLevel="0" collapsed="false">
      <c r="A196" s="45" t="n">
        <v>46173</v>
      </c>
      <c r="B196" s="46" t="n">
        <v>20260531</v>
      </c>
      <c r="C196" s="47" t="s">
        <v>479</v>
      </c>
      <c r="D196" s="51" t="n">
        <v>1933368.77</v>
      </c>
      <c r="E196" s="52" t="str">
        <f aca="false">IF($N196&gt;1,$D196/$D195-1,"")</f>
        <v/>
      </c>
      <c r="F196" s="51" t="str">
        <f aca="false">IF($N196&gt;=MA_SHORT,AVERAGE(INDEX($D$5:$D196,193-MA_SHORT):$D196),"")</f>
        <v/>
      </c>
      <c r="G196" s="51" t="str">
        <f aca="false">IF($N196&gt;=MA_MED,AVERAGE(INDEX($D$5:$D196,193-MA_MED):$D196),"")</f>
        <v/>
      </c>
      <c r="H196" s="51" t="str">
        <f aca="false">IF($N196&gt;=MA_LONG2,AVERAGE(INDEX($D$5:$D196,193-MA_LONG2):$D196),"")</f>
        <v/>
      </c>
      <c r="I196" s="51" t="n">
        <v>601180.47</v>
      </c>
      <c r="J196" s="52" t="str">
        <f aca="false">IF($N196&gt;1,$I196/$I195-1,"")</f>
        <v/>
      </c>
      <c r="K196" s="51" t="str">
        <f aca="false">IF($N196&gt;=MA_SHORT,AVERAGE(INDEX($I$5:$I196,193-MA_SHORT):$I196),"")</f>
        <v/>
      </c>
      <c r="L196" s="51" t="str">
        <f aca="false">IF($N196&gt;=MA_MED,AVERAGE(INDEX($I$5:$I196,193-MA_MED):$I196),"")</f>
        <v/>
      </c>
      <c r="M196" s="51" t="str">
        <f aca="false">IF($N196&gt;=MA_LONG2,AVERAGE(INDEX($I$5:$I196,193-MA_LONG2):$I196),"")</f>
        <v/>
      </c>
      <c r="N196" s="46" t="n">
        <f aca="false">IF($A196=$A195,$N195+1,1)</f>
        <v>1</v>
      </c>
    </row>
    <row r="197" customFormat="false" ht="15" hidden="false" customHeight="false" outlineLevel="0" collapsed="false">
      <c r="A197" s="45" t="n">
        <v>46174</v>
      </c>
      <c r="B197" s="46" t="n">
        <v>20260601</v>
      </c>
      <c r="C197" s="47" t="s">
        <v>480</v>
      </c>
      <c r="D197" s="51" t="n">
        <v>1953377.85</v>
      </c>
      <c r="E197" s="52" t="str">
        <f aca="false">IF($N197&gt;1,$D197/$D196-1,"")</f>
        <v/>
      </c>
      <c r="F197" s="51" t="str">
        <f aca="false">IF($N197&gt;=MA_SHORT,AVERAGE(INDEX($D$5:$D197,194-MA_SHORT):$D197),"")</f>
        <v/>
      </c>
      <c r="G197" s="51" t="str">
        <f aca="false">IF($N197&gt;=MA_MED,AVERAGE(INDEX($D$5:$D197,194-MA_MED):$D197),"")</f>
        <v/>
      </c>
      <c r="H197" s="51" t="str">
        <f aca="false">IF($N197&gt;=MA_LONG2,AVERAGE(INDEX($D$5:$D197,194-MA_LONG2):$D197),"")</f>
        <v/>
      </c>
      <c r="I197" s="51" t="n">
        <v>614217.73</v>
      </c>
      <c r="J197" s="52" t="str">
        <f aca="false">IF($N197&gt;1,$I197/$I196-1,"")</f>
        <v/>
      </c>
      <c r="K197" s="51" t="str">
        <f aca="false">IF($N197&gt;=MA_SHORT,AVERAGE(INDEX($I$5:$I197,194-MA_SHORT):$I197),"")</f>
        <v/>
      </c>
      <c r="L197" s="51" t="str">
        <f aca="false">IF($N197&gt;=MA_MED,AVERAGE(INDEX($I$5:$I197,194-MA_MED):$I197),"")</f>
        <v/>
      </c>
      <c r="M197" s="51" t="str">
        <f aca="false">IF($N197&gt;=MA_LONG2,AVERAGE(INDEX($I$5:$I197,194-MA_LONG2):$I197),"")</f>
        <v/>
      </c>
      <c r="N197" s="46" t="n">
        <f aca="false">IF($A197=$A196,$N196+1,1)</f>
        <v>1</v>
      </c>
    </row>
    <row r="198" customFormat="false" ht="15" hidden="false" customHeight="false" outlineLevel="0" collapsed="false">
      <c r="A198" s="45" t="n">
        <v>46175</v>
      </c>
      <c r="B198" s="46" t="n">
        <v>20260602</v>
      </c>
      <c r="C198" s="47" t="s">
        <v>481</v>
      </c>
      <c r="D198" s="51" t="n">
        <v>1988689.57</v>
      </c>
      <c r="E198" s="52" t="str">
        <f aca="false">IF($N198&gt;1,$D198/$D197-1,"")</f>
        <v/>
      </c>
      <c r="F198" s="51" t="str">
        <f aca="false">IF($N198&gt;=MA_SHORT,AVERAGE(INDEX($D$5:$D198,195-MA_SHORT):$D198),"")</f>
        <v/>
      </c>
      <c r="G198" s="51" t="str">
        <f aca="false">IF($N198&gt;=MA_MED,AVERAGE(INDEX($D$5:$D198,195-MA_MED):$D198),"")</f>
        <v/>
      </c>
      <c r="H198" s="51" t="str">
        <f aca="false">IF($N198&gt;=MA_LONG2,AVERAGE(INDEX($D$5:$D198,195-MA_LONG2):$D198),"")</f>
        <v/>
      </c>
      <c r="I198" s="51" t="n">
        <v>610976.41</v>
      </c>
      <c r="J198" s="52" t="str">
        <f aca="false">IF($N198&gt;1,$I198/$I197-1,"")</f>
        <v/>
      </c>
      <c r="K198" s="51" t="str">
        <f aca="false">IF($N198&gt;=MA_SHORT,AVERAGE(INDEX($I$5:$I198,195-MA_SHORT):$I198),"")</f>
        <v/>
      </c>
      <c r="L198" s="51" t="str">
        <f aca="false">IF($N198&gt;=MA_MED,AVERAGE(INDEX($I$5:$I198,195-MA_MED):$I198),"")</f>
        <v/>
      </c>
      <c r="M198" s="51" t="str">
        <f aca="false">IF($N198&gt;=MA_LONG2,AVERAGE(INDEX($I$5:$I198,195-MA_LONG2):$I198),"")</f>
        <v/>
      </c>
      <c r="N198" s="46" t="n">
        <f aca="false">IF($A198=$A197,$N197+1,1)</f>
        <v>1</v>
      </c>
    </row>
    <row r="199" customFormat="false" ht="15" hidden="false" customHeight="false" outlineLevel="0" collapsed="false">
      <c r="A199" s="45" t="n">
        <v>46176</v>
      </c>
      <c r="B199" s="46" t="n">
        <v>20260603</v>
      </c>
      <c r="C199" s="47" t="s">
        <v>482</v>
      </c>
      <c r="D199" s="51" t="n">
        <v>2004473.05</v>
      </c>
      <c r="E199" s="52" t="str">
        <f aca="false">IF($N199&gt;1,$D199/$D198-1,"")</f>
        <v/>
      </c>
      <c r="F199" s="51" t="str">
        <f aca="false">IF($N199&gt;=MA_SHORT,AVERAGE(INDEX($D$5:$D199,196-MA_SHORT):$D199),"")</f>
        <v/>
      </c>
      <c r="G199" s="51" t="str">
        <f aca="false">IF($N199&gt;=MA_MED,AVERAGE(INDEX($D$5:$D199,196-MA_MED):$D199),"")</f>
        <v/>
      </c>
      <c r="H199" s="51" t="str">
        <f aca="false">IF($N199&gt;=MA_LONG2,AVERAGE(INDEX($D$5:$D199,196-MA_LONG2):$D199),"")</f>
        <v/>
      </c>
      <c r="I199" s="51" t="n">
        <v>612960.15</v>
      </c>
      <c r="J199" s="52" t="str">
        <f aca="false">IF($N199&gt;1,$I199/$I198-1,"")</f>
        <v/>
      </c>
      <c r="K199" s="51" t="str">
        <f aca="false">IF($N199&gt;=MA_SHORT,AVERAGE(INDEX($I$5:$I199,196-MA_SHORT):$I199),"")</f>
        <v/>
      </c>
      <c r="L199" s="51" t="str">
        <f aca="false">IF($N199&gt;=MA_MED,AVERAGE(INDEX($I$5:$I199,196-MA_MED):$I199),"")</f>
        <v/>
      </c>
      <c r="M199" s="51" t="str">
        <f aca="false">IF($N199&gt;=MA_LONG2,AVERAGE(INDEX($I$5:$I199,196-MA_LONG2):$I199),"")</f>
        <v/>
      </c>
      <c r="N199" s="46" t="n">
        <f aca="false">IF($A199=$A198,$N198+1,1)</f>
        <v>1</v>
      </c>
    </row>
    <row r="200" customFormat="false" ht="15" hidden="false" customHeight="false" outlineLevel="0" collapsed="false">
      <c r="A200" s="45" t="n">
        <v>46179</v>
      </c>
      <c r="B200" s="46" t="n">
        <v>20260606</v>
      </c>
      <c r="C200" s="47" t="s">
        <v>483</v>
      </c>
      <c r="D200" s="51" t="n">
        <v>2027510.91</v>
      </c>
      <c r="E200" s="52" t="str">
        <f aca="false">IF($N200&gt;1,$D200/$D199-1,"")</f>
        <v/>
      </c>
      <c r="F200" s="51" t="str">
        <f aca="false">IF($N200&gt;=MA_SHORT,AVERAGE(INDEX($D$5:$D200,197-MA_SHORT):$D200),"")</f>
        <v/>
      </c>
      <c r="G200" s="51" t="str">
        <f aca="false">IF($N200&gt;=MA_MED,AVERAGE(INDEX($D$5:$D200,197-MA_MED):$D200),"")</f>
        <v/>
      </c>
      <c r="H200" s="51" t="str">
        <f aca="false">IF($N200&gt;=MA_LONG2,AVERAGE(INDEX($D$5:$D200,197-MA_LONG2):$D200),"")</f>
        <v/>
      </c>
      <c r="I200" s="51" t="n">
        <v>632834.33</v>
      </c>
      <c r="J200" s="52" t="str">
        <f aca="false">IF($N200&gt;1,$I200/$I199-1,"")</f>
        <v/>
      </c>
      <c r="K200" s="51" t="str">
        <f aca="false">IF($N200&gt;=MA_SHORT,AVERAGE(INDEX($I$5:$I200,197-MA_SHORT):$I200),"")</f>
        <v/>
      </c>
      <c r="L200" s="51" t="str">
        <f aca="false">IF($N200&gt;=MA_MED,AVERAGE(INDEX($I$5:$I200,197-MA_MED):$I200),"")</f>
        <v/>
      </c>
      <c r="M200" s="51" t="str">
        <f aca="false">IF($N200&gt;=MA_LONG2,AVERAGE(INDEX($I$5:$I200,197-MA_LONG2):$I200),"")</f>
        <v/>
      </c>
      <c r="N200" s="46" t="n">
        <f aca="false">IF($A200=$A199,$N199+1,1)</f>
        <v>1</v>
      </c>
    </row>
    <row r="201" customFormat="false" ht="15" hidden="false" customHeight="false" outlineLevel="0" collapsed="false">
      <c r="A201" s="45" t="n">
        <v>46180</v>
      </c>
      <c r="B201" s="46" t="n">
        <v>20260607</v>
      </c>
      <c r="C201" s="47" t="s">
        <v>484</v>
      </c>
      <c r="D201" s="51" t="n">
        <v>2050920.91</v>
      </c>
      <c r="E201" s="52" t="str">
        <f aca="false">IF($N201&gt;1,$D201/$D200-1,"")</f>
        <v/>
      </c>
      <c r="F201" s="51" t="str">
        <f aca="false">IF($N201&gt;=MA_SHORT,AVERAGE(INDEX($D$5:$D201,198-MA_SHORT):$D201),"")</f>
        <v/>
      </c>
      <c r="G201" s="51" t="str">
        <f aca="false">IF($N201&gt;=MA_MED,AVERAGE(INDEX($D$5:$D201,198-MA_MED):$D201),"")</f>
        <v/>
      </c>
      <c r="H201" s="51" t="str">
        <f aca="false">IF($N201&gt;=MA_LONG2,AVERAGE(INDEX($D$5:$D201,198-MA_LONG2):$D201),"")</f>
        <v/>
      </c>
      <c r="I201" s="51" t="n">
        <v>639580.2</v>
      </c>
      <c r="J201" s="52" t="str">
        <f aca="false">IF($N201&gt;1,$I201/$I200-1,"")</f>
        <v/>
      </c>
      <c r="K201" s="51" t="str">
        <f aca="false">IF($N201&gt;=MA_SHORT,AVERAGE(INDEX($I$5:$I201,198-MA_SHORT):$I201),"")</f>
        <v/>
      </c>
      <c r="L201" s="51" t="str">
        <f aca="false">IF($N201&gt;=MA_MED,AVERAGE(INDEX($I$5:$I201,198-MA_MED):$I201),"")</f>
        <v/>
      </c>
      <c r="M201" s="51" t="str">
        <f aca="false">IF($N201&gt;=MA_LONG2,AVERAGE(INDEX($I$5:$I201,198-MA_LONG2):$I201),"")</f>
        <v/>
      </c>
      <c r="N201" s="46" t="n">
        <f aca="false">IF($A201=$A200,$N200+1,1)</f>
        <v>1</v>
      </c>
    </row>
    <row r="202" customFormat="false" ht="15" hidden="false" customHeight="false" outlineLevel="0" collapsed="false">
      <c r="A202" s="45" t="n">
        <v>46181</v>
      </c>
      <c r="B202" s="46" t="n">
        <v>20260608</v>
      </c>
      <c r="C202" s="47" t="s">
        <v>485</v>
      </c>
      <c r="D202" s="51" t="n">
        <v>2055136.99</v>
      </c>
      <c r="E202" s="52" t="str">
        <f aca="false">IF($N202&gt;1,$D202/$D201-1,"")</f>
        <v/>
      </c>
      <c r="F202" s="51" t="str">
        <f aca="false">IF($N202&gt;=MA_SHORT,AVERAGE(INDEX($D$5:$D202,199-MA_SHORT):$D202),"")</f>
        <v/>
      </c>
      <c r="G202" s="51" t="str">
        <f aca="false">IF($N202&gt;=MA_MED,AVERAGE(INDEX($D$5:$D202,199-MA_MED):$D202),"")</f>
        <v/>
      </c>
      <c r="H202" s="51" t="str">
        <f aca="false">IF($N202&gt;=MA_LONG2,AVERAGE(INDEX($D$5:$D202,199-MA_LONG2):$D202),"")</f>
        <v/>
      </c>
      <c r="I202" s="51" t="n">
        <v>636430.32</v>
      </c>
      <c r="J202" s="52" t="str">
        <f aca="false">IF($N202&gt;1,$I202/$I201-1,"")</f>
        <v/>
      </c>
      <c r="K202" s="51" t="str">
        <f aca="false">IF($N202&gt;=MA_SHORT,AVERAGE(INDEX($I$5:$I202,199-MA_SHORT):$I202),"")</f>
        <v/>
      </c>
      <c r="L202" s="51" t="str">
        <f aca="false">IF($N202&gt;=MA_MED,AVERAGE(INDEX($I$5:$I202,199-MA_MED):$I202),"")</f>
        <v/>
      </c>
      <c r="M202" s="51" t="str">
        <f aca="false">IF($N202&gt;=MA_LONG2,AVERAGE(INDEX($I$5:$I202,199-MA_LONG2):$I202),"")</f>
        <v/>
      </c>
      <c r="N202" s="46" t="n">
        <f aca="false">IF($A202=$A201,$N201+1,1)</f>
        <v>1</v>
      </c>
    </row>
    <row r="203" customFormat="false" ht="15" hidden="false" customHeight="false" outlineLevel="0" collapsed="false">
      <c r="A203" s="45" t="n">
        <v>46182</v>
      </c>
      <c r="B203" s="46" t="n">
        <v>20260609</v>
      </c>
      <c r="C203" s="47" t="s">
        <v>486</v>
      </c>
      <c r="D203" s="51" t="n">
        <v>2069552.02</v>
      </c>
      <c r="E203" s="52" t="str">
        <f aca="false">IF($N203&gt;1,$D203/$D202-1,"")</f>
        <v/>
      </c>
      <c r="F203" s="51" t="str">
        <f aca="false">IF($N203&gt;=MA_SHORT,AVERAGE(INDEX($D$5:$D203,200-MA_SHORT):$D203),"")</f>
        <v/>
      </c>
      <c r="G203" s="51" t="str">
        <f aca="false">IF($N203&gt;=MA_MED,AVERAGE(INDEX($D$5:$D203,200-MA_MED):$D203),"")</f>
        <v/>
      </c>
      <c r="H203" s="51" t="str">
        <f aca="false">IF($N203&gt;=MA_LONG2,AVERAGE(INDEX($D$5:$D203,200-MA_LONG2):$D203),"")</f>
        <v/>
      </c>
      <c r="I203" s="51" t="n">
        <v>632224.36</v>
      </c>
      <c r="J203" s="52" t="str">
        <f aca="false">IF($N203&gt;1,$I203/$I202-1,"")</f>
        <v/>
      </c>
      <c r="K203" s="51" t="str">
        <f aca="false">IF($N203&gt;=MA_SHORT,AVERAGE(INDEX($I$5:$I203,200-MA_SHORT):$I203),"")</f>
        <v/>
      </c>
      <c r="L203" s="51" t="str">
        <f aca="false">IF($N203&gt;=MA_MED,AVERAGE(INDEX($I$5:$I203,200-MA_MED):$I203),"")</f>
        <v/>
      </c>
      <c r="M203" s="51" t="str">
        <f aca="false">IF($N203&gt;=MA_LONG2,AVERAGE(INDEX($I$5:$I203,200-MA_LONG2):$I203),"")</f>
        <v/>
      </c>
      <c r="N203" s="46" t="n">
        <f aca="false">IF($A203=$A202,$N202+1,1)</f>
        <v>1</v>
      </c>
    </row>
    <row r="204" customFormat="false" ht="15" hidden="false" customHeight="false" outlineLevel="0" collapsed="false">
      <c r="A204" s="45" t="n">
        <v>46183</v>
      </c>
      <c r="B204" s="46" t="n">
        <v>20260610</v>
      </c>
      <c r="C204" s="47" t="s">
        <v>487</v>
      </c>
      <c r="D204" s="51" t="n">
        <v>2083492.12</v>
      </c>
      <c r="E204" s="52" t="str">
        <f aca="false">IF($N204&gt;1,$D204/$D203-1,"")</f>
        <v/>
      </c>
      <c r="F204" s="51" t="str">
        <f aca="false">IF($N204&gt;=MA_SHORT,AVERAGE(INDEX($D$5:$D204,201-MA_SHORT):$D204),"")</f>
        <v/>
      </c>
      <c r="G204" s="51" t="str">
        <f aca="false">IF($N204&gt;=MA_MED,AVERAGE(INDEX($D$5:$D204,201-MA_MED):$D204),"")</f>
        <v/>
      </c>
      <c r="H204" s="51" t="str">
        <f aca="false">IF($N204&gt;=MA_LONG2,AVERAGE(INDEX($D$5:$D204,201-MA_LONG2):$D204),"")</f>
        <v/>
      </c>
      <c r="I204" s="51" t="n">
        <v>645214.19</v>
      </c>
      <c r="J204" s="52" t="str">
        <f aca="false">IF($N204&gt;1,$I204/$I203-1,"")</f>
        <v/>
      </c>
      <c r="K204" s="51" t="str">
        <f aca="false">IF($N204&gt;=MA_SHORT,AVERAGE(INDEX($I$5:$I204,201-MA_SHORT):$I204),"")</f>
        <v/>
      </c>
      <c r="L204" s="51" t="str">
        <f aca="false">IF($N204&gt;=MA_MED,AVERAGE(INDEX($I$5:$I204,201-MA_MED):$I204),"")</f>
        <v/>
      </c>
      <c r="M204" s="51" t="str">
        <f aca="false">IF($N204&gt;=MA_LONG2,AVERAGE(INDEX($I$5:$I204,201-MA_LONG2):$I204),"")</f>
        <v/>
      </c>
      <c r="N204" s="46" t="n">
        <f aca="false">IF($A204=$A203,$N203+1,1)</f>
        <v>1</v>
      </c>
    </row>
    <row r="205" customFormat="false" ht="15" hidden="false" customHeight="false" outlineLevel="0" collapsed="false">
      <c r="A205" s="45" t="n">
        <v>46186</v>
      </c>
      <c r="B205" s="46" t="n">
        <v>20260613</v>
      </c>
      <c r="C205" s="47" t="s">
        <v>488</v>
      </c>
      <c r="D205" s="51" t="n">
        <v>2097297.6</v>
      </c>
      <c r="E205" s="52" t="str">
        <f aca="false">IF($N205&gt;1,$D205/$D204-1,"")</f>
        <v/>
      </c>
      <c r="F205" s="51" t="str">
        <f aca="false">IF($N205&gt;=MA_SHORT,AVERAGE(INDEX($D$5:$D205,202-MA_SHORT):$D205),"")</f>
        <v/>
      </c>
      <c r="G205" s="51" t="str">
        <f aca="false">IF($N205&gt;=MA_MED,AVERAGE(INDEX($D$5:$D205,202-MA_MED):$D205),"")</f>
        <v/>
      </c>
      <c r="H205" s="51" t="str">
        <f aca="false">IF($N205&gt;=MA_LONG2,AVERAGE(INDEX($D$5:$D205,202-MA_LONG2):$D205),"")</f>
        <v/>
      </c>
      <c r="I205" s="51" t="n">
        <v>667007.86</v>
      </c>
      <c r="J205" s="52" t="str">
        <f aca="false">IF($N205&gt;1,$I205/$I204-1,"")</f>
        <v/>
      </c>
      <c r="K205" s="51" t="str">
        <f aca="false">IF($N205&gt;=MA_SHORT,AVERAGE(INDEX($I$5:$I205,202-MA_SHORT):$I205),"")</f>
        <v/>
      </c>
      <c r="L205" s="51" t="str">
        <f aca="false">IF($N205&gt;=MA_MED,AVERAGE(INDEX($I$5:$I205,202-MA_MED):$I205),"")</f>
        <v/>
      </c>
      <c r="M205" s="51" t="str">
        <f aca="false">IF($N205&gt;=MA_LONG2,AVERAGE(INDEX($I$5:$I205,202-MA_LONG2):$I205),"")</f>
        <v/>
      </c>
      <c r="N205" s="46" t="n">
        <f aca="false">IF($A205=$A204,$N204+1,1)</f>
        <v>1</v>
      </c>
    </row>
    <row r="206" customFormat="false" ht="15" hidden="false" customHeight="false" outlineLevel="0" collapsed="false">
      <c r="A206" s="45" t="n">
        <v>46187</v>
      </c>
      <c r="B206" s="46" t="n">
        <v>20260614</v>
      </c>
      <c r="C206" s="47" t="s">
        <v>489</v>
      </c>
      <c r="D206" s="51" t="n">
        <v>2056542.02</v>
      </c>
      <c r="E206" s="52" t="str">
        <f aca="false">IF($N206&gt;1,$D206/$D205-1,"")</f>
        <v/>
      </c>
      <c r="F206" s="51" t="str">
        <f aca="false">IF($N206&gt;=MA_SHORT,AVERAGE(INDEX($D$5:$D206,203-MA_SHORT):$D206),"")</f>
        <v/>
      </c>
      <c r="G206" s="51" t="str">
        <f aca="false">IF($N206&gt;=MA_MED,AVERAGE(INDEX($D$5:$D206,203-MA_MED):$D206),"")</f>
        <v/>
      </c>
      <c r="H206" s="51" t="str">
        <f aca="false">IF($N206&gt;=MA_LONG2,AVERAGE(INDEX($D$5:$D206,203-MA_LONG2):$D206),"")</f>
        <v/>
      </c>
      <c r="I206" s="51" t="n">
        <v>665574.14</v>
      </c>
      <c r="J206" s="52" t="str">
        <f aca="false">IF($N206&gt;1,$I206/$I205-1,"")</f>
        <v/>
      </c>
      <c r="K206" s="51" t="str">
        <f aca="false">IF($N206&gt;=MA_SHORT,AVERAGE(INDEX($I$5:$I206,203-MA_SHORT):$I206),"")</f>
        <v/>
      </c>
      <c r="L206" s="51" t="str">
        <f aca="false">IF($N206&gt;=MA_MED,AVERAGE(INDEX($I$5:$I206,203-MA_MED):$I206),"")</f>
        <v/>
      </c>
      <c r="M206" s="51" t="str">
        <f aca="false">IF($N206&gt;=MA_LONG2,AVERAGE(INDEX($I$5:$I206,203-MA_LONG2):$I206),"")</f>
        <v/>
      </c>
      <c r="N206" s="46" t="n">
        <f aca="false">IF($A206=$A205,$N205+1,1)</f>
        <v>1</v>
      </c>
    </row>
    <row r="207" customFormat="false" ht="15" hidden="false" customHeight="false" outlineLevel="0" collapsed="false">
      <c r="A207" s="45" t="n">
        <v>46188</v>
      </c>
      <c r="B207" s="46" t="n">
        <v>20260615</v>
      </c>
      <c r="C207" s="47" t="s">
        <v>490</v>
      </c>
      <c r="D207" s="51" t="n">
        <v>2088679.97</v>
      </c>
      <c r="E207" s="52" t="str">
        <f aca="false">IF($N207&gt;1,$D207/$D206-1,"")</f>
        <v/>
      </c>
      <c r="F207" s="51" t="str">
        <f aca="false">IF($N207&gt;=MA_SHORT,AVERAGE(INDEX($D$5:$D207,204-MA_SHORT):$D207),"")</f>
        <v/>
      </c>
      <c r="G207" s="51" t="str">
        <f aca="false">IF($N207&gt;=MA_MED,AVERAGE(INDEX($D$5:$D207,204-MA_MED):$D207),"")</f>
        <v/>
      </c>
      <c r="H207" s="51" t="str">
        <f aca="false">IF($N207&gt;=MA_LONG2,AVERAGE(INDEX($D$5:$D207,204-MA_LONG2):$D207),"")</f>
        <v/>
      </c>
      <c r="I207" s="51" t="n">
        <v>674830.54</v>
      </c>
      <c r="J207" s="52" t="str">
        <f aca="false">IF($N207&gt;1,$I207/$I206-1,"")</f>
        <v/>
      </c>
      <c r="K207" s="51" t="str">
        <f aca="false">IF($N207&gt;=MA_SHORT,AVERAGE(INDEX($I$5:$I207,204-MA_SHORT):$I207),"")</f>
        <v/>
      </c>
      <c r="L207" s="51" t="str">
        <f aca="false">IF($N207&gt;=MA_MED,AVERAGE(INDEX($I$5:$I207,204-MA_MED):$I207),"")</f>
        <v/>
      </c>
      <c r="M207" s="51" t="str">
        <f aca="false">IF($N207&gt;=MA_LONG2,AVERAGE(INDEX($I$5:$I207,204-MA_LONG2):$I207),"")</f>
        <v/>
      </c>
      <c r="N207" s="46" t="n">
        <f aca="false">IF($A207=$A206,$N206+1,1)</f>
        <v>1</v>
      </c>
    </row>
    <row r="208" customFormat="false" ht="15" hidden="false" customHeight="false" outlineLevel="0" collapsed="false">
      <c r="A208" s="45" t="n">
        <v>46189</v>
      </c>
      <c r="B208" s="46" t="n">
        <v>20260616</v>
      </c>
      <c r="C208" s="47" t="s">
        <v>491</v>
      </c>
      <c r="D208" s="51" t="n">
        <v>2075123.52</v>
      </c>
      <c r="E208" s="52" t="str">
        <f aca="false">IF($N208&gt;1,$D208/$D207-1,"")</f>
        <v/>
      </c>
      <c r="F208" s="51" t="str">
        <f aca="false">IF($N208&gt;=MA_SHORT,AVERAGE(INDEX($D$5:$D208,205-MA_SHORT):$D208),"")</f>
        <v/>
      </c>
      <c r="G208" s="51" t="str">
        <f aca="false">IF($N208&gt;=MA_MED,AVERAGE(INDEX($D$5:$D208,205-MA_MED):$D208),"")</f>
        <v/>
      </c>
      <c r="H208" s="51" t="str">
        <f aca="false">IF($N208&gt;=MA_LONG2,AVERAGE(INDEX($D$5:$D208,205-MA_LONG2):$D208),"")</f>
        <v/>
      </c>
      <c r="I208" s="51" t="n">
        <v>668799.95</v>
      </c>
      <c r="J208" s="52" t="str">
        <f aca="false">IF($N208&gt;1,$I208/$I207-1,"")</f>
        <v/>
      </c>
      <c r="K208" s="51" t="str">
        <f aca="false">IF($N208&gt;=MA_SHORT,AVERAGE(INDEX($I$5:$I208,205-MA_SHORT):$I208),"")</f>
        <v/>
      </c>
      <c r="L208" s="51" t="str">
        <f aca="false">IF($N208&gt;=MA_MED,AVERAGE(INDEX($I$5:$I208,205-MA_MED):$I208),"")</f>
        <v/>
      </c>
      <c r="M208" s="51" t="str">
        <f aca="false">IF($N208&gt;=MA_LONG2,AVERAGE(INDEX($I$5:$I208,205-MA_LONG2):$I208),"")</f>
        <v/>
      </c>
      <c r="N208" s="46" t="n">
        <f aca="false">IF($A208=$A207,$N207+1,1)</f>
        <v>1</v>
      </c>
    </row>
    <row r="209" customFormat="false" ht="15" hidden="false" customHeight="false" outlineLevel="0" collapsed="false">
      <c r="A209" s="45" t="n">
        <v>46190</v>
      </c>
      <c r="B209" s="46" t="n">
        <v>20260617</v>
      </c>
      <c r="C209" s="47" t="s">
        <v>492</v>
      </c>
      <c r="D209" s="51" t="n">
        <v>2075510.98</v>
      </c>
      <c r="E209" s="52" t="str">
        <f aca="false">IF($N209&gt;1,$D209/$D208-1,"")</f>
        <v/>
      </c>
      <c r="F209" s="51" t="str">
        <f aca="false">IF($N209&gt;=MA_SHORT,AVERAGE(INDEX($D$5:$D209,206-MA_SHORT):$D209),"")</f>
        <v/>
      </c>
      <c r="G209" s="51" t="str">
        <f aca="false">IF($N209&gt;=MA_MED,AVERAGE(INDEX($D$5:$D209,206-MA_MED):$D209),"")</f>
        <v/>
      </c>
      <c r="H209" s="51" t="str">
        <f aca="false">IF($N209&gt;=MA_LONG2,AVERAGE(INDEX($D$5:$D209,206-MA_LONG2):$D209),"")</f>
        <v/>
      </c>
      <c r="I209" s="51" t="n">
        <v>691822.75</v>
      </c>
      <c r="J209" s="52" t="str">
        <f aca="false">IF($N209&gt;1,$I209/$I208-1,"")</f>
        <v/>
      </c>
      <c r="K209" s="51" t="str">
        <f aca="false">IF($N209&gt;=MA_SHORT,AVERAGE(INDEX($I$5:$I209,206-MA_SHORT):$I209),"")</f>
        <v/>
      </c>
      <c r="L209" s="51" t="str">
        <f aca="false">IF($N209&gt;=MA_MED,AVERAGE(INDEX($I$5:$I209,206-MA_MED):$I209),"")</f>
        <v/>
      </c>
      <c r="M209" s="51" t="str">
        <f aca="false">IF($N209&gt;=MA_LONG2,AVERAGE(INDEX($I$5:$I209,206-MA_LONG2):$I209),"")</f>
        <v/>
      </c>
      <c r="N209" s="46" t="n">
        <f aca="false">IF($A209=$A208,$N208+1,1)</f>
        <v>1</v>
      </c>
    </row>
    <row r="210" customFormat="false" ht="15" hidden="false" customHeight="false" outlineLevel="0" collapsed="false">
      <c r="A210" s="45" t="n">
        <v>46193</v>
      </c>
      <c r="B210" s="46" t="n">
        <v>20260620</v>
      </c>
      <c r="C210" s="47" t="s">
        <v>493</v>
      </c>
      <c r="D210" s="51" t="n">
        <v>2040326.34</v>
      </c>
      <c r="E210" s="52" t="str">
        <f aca="false">IF($N210&gt;1,$D210/$D209-1,"")</f>
        <v/>
      </c>
      <c r="F210" s="51" t="str">
        <f aca="false">IF($N210&gt;=MA_SHORT,AVERAGE(INDEX($D$5:$D210,207-MA_SHORT):$D210),"")</f>
        <v/>
      </c>
      <c r="G210" s="51" t="str">
        <f aca="false">IF($N210&gt;=MA_MED,AVERAGE(INDEX($D$5:$D210,207-MA_MED):$D210),"")</f>
        <v/>
      </c>
      <c r="H210" s="51" t="str">
        <f aca="false">IF($N210&gt;=MA_LONG2,AVERAGE(INDEX($D$5:$D210,207-MA_LONG2):$D210),"")</f>
        <v/>
      </c>
      <c r="I210" s="51" t="n">
        <v>696985.48</v>
      </c>
      <c r="J210" s="52" t="str">
        <f aca="false">IF($N210&gt;1,$I210/$I209-1,"")</f>
        <v/>
      </c>
      <c r="K210" s="51" t="str">
        <f aca="false">IF($N210&gt;=MA_SHORT,AVERAGE(INDEX($I$5:$I210,207-MA_SHORT):$I210),"")</f>
        <v/>
      </c>
      <c r="L210" s="51" t="str">
        <f aca="false">IF($N210&gt;=MA_MED,AVERAGE(INDEX($I$5:$I210,207-MA_MED):$I210),"")</f>
        <v/>
      </c>
      <c r="M210" s="51" t="str">
        <f aca="false">IF($N210&gt;=MA_LONG2,AVERAGE(INDEX($I$5:$I210,207-MA_LONG2):$I210),"")</f>
        <v/>
      </c>
      <c r="N210" s="46" t="n">
        <f aca="false">IF($A210=$A209,$N209+1,1)</f>
        <v>1</v>
      </c>
    </row>
    <row r="211" customFormat="false" ht="15" hidden="false" customHeight="false" outlineLevel="0" collapsed="false">
      <c r="A211" s="45" t="n">
        <v>46194</v>
      </c>
      <c r="B211" s="46" t="n">
        <v>20260621</v>
      </c>
      <c r="C211" s="47" t="s">
        <v>494</v>
      </c>
      <c r="D211" s="51" t="n">
        <v>2033193.36</v>
      </c>
      <c r="E211" s="52" t="str">
        <f aca="false">IF($N211&gt;1,$D211/$D210-1,"")</f>
        <v/>
      </c>
      <c r="F211" s="51" t="str">
        <f aca="false">IF($N211&gt;=MA_SHORT,AVERAGE(INDEX($D$5:$D211,208-MA_SHORT):$D211),"")</f>
        <v/>
      </c>
      <c r="G211" s="51" t="str">
        <f aca="false">IF($N211&gt;=MA_MED,AVERAGE(INDEX($D$5:$D211,208-MA_MED):$D211),"")</f>
        <v/>
      </c>
      <c r="H211" s="51" t="str">
        <f aca="false">IF($N211&gt;=MA_LONG2,AVERAGE(INDEX($D$5:$D211,208-MA_LONG2):$D211),"")</f>
        <v/>
      </c>
      <c r="I211" s="51" t="n">
        <v>709563.81</v>
      </c>
      <c r="J211" s="52" t="str">
        <f aca="false">IF($N211&gt;1,$I211/$I210-1,"")</f>
        <v/>
      </c>
      <c r="K211" s="51" t="str">
        <f aca="false">IF($N211&gt;=MA_SHORT,AVERAGE(INDEX($I$5:$I211,208-MA_SHORT):$I211),"")</f>
        <v/>
      </c>
      <c r="L211" s="51" t="str">
        <f aca="false">IF($N211&gt;=MA_MED,AVERAGE(INDEX($I$5:$I211,208-MA_MED):$I211),"")</f>
        <v/>
      </c>
      <c r="M211" s="51" t="str">
        <f aca="false">IF($N211&gt;=MA_LONG2,AVERAGE(INDEX($I$5:$I211,208-MA_LONG2):$I211),"")</f>
        <v/>
      </c>
      <c r="N211" s="46" t="n">
        <f aca="false">IF($A211=$A210,$N210+1,1)</f>
        <v>1</v>
      </c>
    </row>
    <row r="212" customFormat="false" ht="15" hidden="false" customHeight="false" outlineLevel="0" collapsed="false">
      <c r="A212" s="45" t="n">
        <v>46195</v>
      </c>
      <c r="B212" s="46" t="n">
        <v>20260622</v>
      </c>
      <c r="C212" s="47" t="s">
        <v>495</v>
      </c>
      <c r="D212" s="51" t="n">
        <v>2026815.72</v>
      </c>
      <c r="E212" s="52" t="str">
        <f aca="false">IF($N212&gt;1,$D212/$D211-1,"")</f>
        <v/>
      </c>
      <c r="F212" s="51" t="str">
        <f aca="false">IF($N212&gt;=MA_SHORT,AVERAGE(INDEX($D$5:$D212,209-MA_SHORT):$D212),"")</f>
        <v/>
      </c>
      <c r="G212" s="51" t="str">
        <f aca="false">IF($N212&gt;=MA_MED,AVERAGE(INDEX($D$5:$D212,209-MA_MED):$D212),"")</f>
        <v/>
      </c>
      <c r="H212" s="51" t="str">
        <f aca="false">IF($N212&gt;=MA_LONG2,AVERAGE(INDEX($D$5:$D212,209-MA_LONG2):$D212),"")</f>
        <v/>
      </c>
      <c r="I212" s="51" t="n">
        <v>718141.95</v>
      </c>
      <c r="J212" s="52" t="str">
        <f aca="false">IF($N212&gt;1,$I212/$I211-1,"")</f>
        <v/>
      </c>
      <c r="K212" s="51" t="str">
        <f aca="false">IF($N212&gt;=MA_SHORT,AVERAGE(INDEX($I$5:$I212,209-MA_SHORT):$I212),"")</f>
        <v/>
      </c>
      <c r="L212" s="51" t="str">
        <f aca="false">IF($N212&gt;=MA_MED,AVERAGE(INDEX($I$5:$I212,209-MA_MED):$I212),"")</f>
        <v/>
      </c>
      <c r="M212" s="51" t="str">
        <f aca="false">IF($N212&gt;=MA_LONG2,AVERAGE(INDEX($I$5:$I212,209-MA_LONG2):$I212),"")</f>
        <v/>
      </c>
      <c r="N212" s="46" t="n">
        <f aca="false">IF($A212=$A211,$N211+1,1)</f>
        <v>1</v>
      </c>
    </row>
    <row r="213" customFormat="false" ht="15" hidden="false" customHeight="false" outlineLevel="0" collapsed="false">
      <c r="A213" s="45" t="n">
        <v>46196</v>
      </c>
      <c r="B213" s="46" t="n">
        <v>20260623</v>
      </c>
      <c r="C213" s="47" t="s">
        <v>496</v>
      </c>
      <c r="D213" s="51" t="n">
        <v>2031955.23</v>
      </c>
      <c r="E213" s="52" t="str">
        <f aca="false">IF($N213&gt;1,$D213/$D212-1,"")</f>
        <v/>
      </c>
      <c r="F213" s="51" t="str">
        <f aca="false">IF($N213&gt;=MA_SHORT,AVERAGE(INDEX($D$5:$D213,210-MA_SHORT):$D213),"")</f>
        <v/>
      </c>
      <c r="G213" s="51" t="str">
        <f aca="false">IF($N213&gt;=MA_MED,AVERAGE(INDEX($D$5:$D213,210-MA_MED):$D213),"")</f>
        <v/>
      </c>
      <c r="H213" s="51" t="str">
        <f aca="false">IF($N213&gt;=MA_LONG2,AVERAGE(INDEX($D$5:$D213,210-MA_LONG2):$D213),"")</f>
        <v/>
      </c>
      <c r="I213" s="51" t="n">
        <v>730194.03</v>
      </c>
      <c r="J213" s="52" t="str">
        <f aca="false">IF($N213&gt;1,$I213/$I212-1,"")</f>
        <v/>
      </c>
      <c r="K213" s="51" t="str">
        <f aca="false">IF($N213&gt;=MA_SHORT,AVERAGE(INDEX($I$5:$I213,210-MA_SHORT):$I213),"")</f>
        <v/>
      </c>
      <c r="L213" s="51" t="str">
        <f aca="false">IF($N213&gt;=MA_MED,AVERAGE(INDEX($I$5:$I213,210-MA_MED):$I213),"")</f>
        <v/>
      </c>
      <c r="M213" s="51" t="str">
        <f aca="false">IF($N213&gt;=MA_LONG2,AVERAGE(INDEX($I$5:$I213,210-MA_LONG2):$I213),"")</f>
        <v/>
      </c>
      <c r="N213" s="46" t="n">
        <f aca="false">IF($A213=$A212,$N212+1,1)</f>
        <v>1</v>
      </c>
    </row>
    <row r="214" customFormat="false" ht="15" hidden="false" customHeight="false" outlineLevel="0" collapsed="false">
      <c r="A214" s="45" t="n">
        <v>46197</v>
      </c>
      <c r="B214" s="46" t="n">
        <v>20260624</v>
      </c>
      <c r="C214" s="47" t="s">
        <v>497</v>
      </c>
      <c r="D214" s="51" t="n">
        <v>2000185.74</v>
      </c>
      <c r="E214" s="52" t="str">
        <f aca="false">IF($N214&gt;1,$D214/$D213-1,"")</f>
        <v/>
      </c>
      <c r="F214" s="51" t="str">
        <f aca="false">IF($N214&gt;=MA_SHORT,AVERAGE(INDEX($D$5:$D214,211-MA_SHORT):$D214),"")</f>
        <v/>
      </c>
      <c r="G214" s="51" t="str">
        <f aca="false">IF($N214&gt;=MA_MED,AVERAGE(INDEX($D$5:$D214,211-MA_MED):$D214),"")</f>
        <v/>
      </c>
      <c r="H214" s="51" t="str">
        <f aca="false">IF($N214&gt;=MA_LONG2,AVERAGE(INDEX($D$5:$D214,211-MA_LONG2):$D214),"")</f>
        <v/>
      </c>
      <c r="I214" s="51" t="n">
        <v>725354.8</v>
      </c>
      <c r="J214" s="52" t="str">
        <f aca="false">IF($N214&gt;1,$I214/$I213-1,"")</f>
        <v/>
      </c>
      <c r="K214" s="51" t="str">
        <f aca="false">IF($N214&gt;=MA_SHORT,AVERAGE(INDEX($I$5:$I214,211-MA_SHORT):$I214),"")</f>
        <v/>
      </c>
      <c r="L214" s="51" t="str">
        <f aca="false">IF($N214&gt;=MA_MED,AVERAGE(INDEX($I$5:$I214,211-MA_MED):$I214),"")</f>
        <v/>
      </c>
      <c r="M214" s="51" t="str">
        <f aca="false">IF($N214&gt;=MA_LONG2,AVERAGE(INDEX($I$5:$I214,211-MA_LONG2):$I214),"")</f>
        <v/>
      </c>
      <c r="N214" s="46" t="n">
        <f aca="false">IF($A214=$A213,$N213+1,1)</f>
        <v>1</v>
      </c>
    </row>
    <row r="215" customFormat="false" ht="15" hidden="false" customHeight="false" outlineLevel="0" collapsed="false">
      <c r="A215" s="45" t="n">
        <v>46200</v>
      </c>
      <c r="B215" s="46" t="n">
        <v>20260627</v>
      </c>
      <c r="C215" s="47" t="s">
        <v>498</v>
      </c>
      <c r="D215" s="51" t="n">
        <v>2009084</v>
      </c>
      <c r="E215" s="52" t="str">
        <f aca="false">IF($N215&gt;1,$D215/$D214-1,"")</f>
        <v/>
      </c>
      <c r="F215" s="51" t="str">
        <f aca="false">IF($N215&gt;=MA_SHORT,AVERAGE(INDEX($D$5:$D215,212-MA_SHORT):$D215),"")</f>
        <v/>
      </c>
      <c r="G215" s="51" t="str">
        <f aca="false">IF($N215&gt;=MA_MED,AVERAGE(INDEX($D$5:$D215,212-MA_MED):$D215),"")</f>
        <v/>
      </c>
      <c r="H215" s="51" t="str">
        <f aca="false">IF($N215&gt;=MA_LONG2,AVERAGE(INDEX($D$5:$D215,212-MA_LONG2):$D215),"")</f>
        <v/>
      </c>
      <c r="I215" s="51" t="n">
        <v>734935.84</v>
      </c>
      <c r="J215" s="52" t="str">
        <f aca="false">IF($N215&gt;1,$I215/$I214-1,"")</f>
        <v/>
      </c>
      <c r="K215" s="51" t="str">
        <f aca="false">IF($N215&gt;=MA_SHORT,AVERAGE(INDEX($I$5:$I215,212-MA_SHORT):$I215),"")</f>
        <v/>
      </c>
      <c r="L215" s="51" t="str">
        <f aca="false">IF($N215&gt;=MA_MED,AVERAGE(INDEX($I$5:$I215,212-MA_MED):$I215),"")</f>
        <v/>
      </c>
      <c r="M215" s="51" t="str">
        <f aca="false">IF($N215&gt;=MA_LONG2,AVERAGE(INDEX($I$5:$I215,212-MA_LONG2):$I215),"")</f>
        <v/>
      </c>
      <c r="N215" s="46" t="n">
        <f aca="false">IF($A215=$A214,$N214+1,1)</f>
        <v>1</v>
      </c>
    </row>
    <row r="216" customFormat="false" ht="15" hidden="false" customHeight="false" outlineLevel="0" collapsed="false">
      <c r="A216" s="45" t="n">
        <v>46201</v>
      </c>
      <c r="B216" s="46" t="n">
        <v>20260628</v>
      </c>
      <c r="C216" s="47" t="s">
        <v>499</v>
      </c>
      <c r="D216" s="51" t="n">
        <v>2045253.01</v>
      </c>
      <c r="E216" s="52" t="str">
        <f aca="false">IF($N216&gt;1,$D216/$D215-1,"")</f>
        <v/>
      </c>
      <c r="F216" s="51" t="str">
        <f aca="false">IF($N216&gt;=MA_SHORT,AVERAGE(INDEX($D$5:$D216,213-MA_SHORT):$D216),"")</f>
        <v/>
      </c>
      <c r="G216" s="51" t="str">
        <f aca="false">IF($N216&gt;=MA_MED,AVERAGE(INDEX($D$5:$D216,213-MA_MED):$D216),"")</f>
        <v/>
      </c>
      <c r="H216" s="51" t="str">
        <f aca="false">IF($N216&gt;=MA_LONG2,AVERAGE(INDEX($D$5:$D216,213-MA_LONG2):$D216),"")</f>
        <v/>
      </c>
      <c r="I216" s="51" t="n">
        <v>738158.06</v>
      </c>
      <c r="J216" s="52" t="str">
        <f aca="false">IF($N216&gt;1,$I216/$I215-1,"")</f>
        <v/>
      </c>
      <c r="K216" s="51" t="str">
        <f aca="false">IF($N216&gt;=MA_SHORT,AVERAGE(INDEX($I$5:$I216,213-MA_SHORT):$I216),"")</f>
        <v/>
      </c>
      <c r="L216" s="51" t="str">
        <f aca="false">IF($N216&gt;=MA_MED,AVERAGE(INDEX($I$5:$I216,213-MA_MED):$I216),"")</f>
        <v/>
      </c>
      <c r="M216" s="51" t="str">
        <f aca="false">IF($N216&gt;=MA_LONG2,AVERAGE(INDEX($I$5:$I216,213-MA_LONG2):$I216),"")</f>
        <v/>
      </c>
      <c r="N216" s="46" t="n">
        <f aca="false">IF($A216=$A215,$N215+1,1)</f>
        <v>1</v>
      </c>
    </row>
    <row r="217" customFormat="false" ht="15" hidden="false" customHeight="false" outlineLevel="0" collapsed="false">
      <c r="A217" s="45" t="n">
        <v>46202</v>
      </c>
      <c r="B217" s="46" t="n">
        <v>20260629</v>
      </c>
      <c r="C217" s="47" t="s">
        <v>500</v>
      </c>
      <c r="D217" s="51" t="n">
        <v>2064067.93</v>
      </c>
      <c r="E217" s="52" t="str">
        <f aca="false">IF($N217&gt;1,$D217/$D216-1,"")</f>
        <v/>
      </c>
      <c r="F217" s="51" t="str">
        <f aca="false">IF($N217&gt;=MA_SHORT,AVERAGE(INDEX($D$5:$D217,214-MA_SHORT):$D217),"")</f>
        <v/>
      </c>
      <c r="G217" s="51" t="str">
        <f aca="false">IF($N217&gt;=MA_MED,AVERAGE(INDEX($D$5:$D217,214-MA_MED):$D217),"")</f>
        <v/>
      </c>
      <c r="H217" s="51" t="str">
        <f aca="false">IF($N217&gt;=MA_LONG2,AVERAGE(INDEX($D$5:$D217,214-MA_LONG2):$D217),"")</f>
        <v/>
      </c>
      <c r="I217" s="51" t="n">
        <v>728020</v>
      </c>
      <c r="J217" s="52" t="str">
        <f aca="false">IF($N217&gt;1,$I217/$I216-1,"")</f>
        <v/>
      </c>
      <c r="K217" s="51" t="str">
        <f aca="false">IF($N217&gt;=MA_SHORT,AVERAGE(INDEX($I$5:$I217,214-MA_SHORT):$I217),"")</f>
        <v/>
      </c>
      <c r="L217" s="51" t="str">
        <f aca="false">IF($N217&gt;=MA_MED,AVERAGE(INDEX($I$5:$I217,214-MA_MED):$I217),"")</f>
        <v/>
      </c>
      <c r="M217" s="51" t="str">
        <f aca="false">IF($N217&gt;=MA_LONG2,AVERAGE(INDEX($I$5:$I217,214-MA_LONG2):$I217),"")</f>
        <v/>
      </c>
      <c r="N217" s="46" t="n">
        <f aca="false">IF($A217=$A216,$N216+1,1)</f>
        <v>1</v>
      </c>
    </row>
    <row r="218" customFormat="false" ht="15" hidden="false" customHeight="false" outlineLevel="0" collapsed="false">
      <c r="A218" s="45" t="n">
        <v>46203</v>
      </c>
      <c r="B218" s="46" t="n">
        <v>20260630</v>
      </c>
      <c r="C218" s="47" t="s">
        <v>501</v>
      </c>
      <c r="D218" s="51" t="n">
        <v>2096216.09</v>
      </c>
      <c r="E218" s="52" t="str">
        <f aca="false">IF($N218&gt;1,$D218/$D217-1,"")</f>
        <v/>
      </c>
      <c r="F218" s="51" t="str">
        <f aca="false">IF($N218&gt;=MA_SHORT,AVERAGE(INDEX($D$5:$D218,215-MA_SHORT):$D218),"")</f>
        <v/>
      </c>
      <c r="G218" s="51" t="str">
        <f aca="false">IF($N218&gt;=MA_MED,AVERAGE(INDEX($D$5:$D218,215-MA_MED):$D218),"")</f>
        <v/>
      </c>
      <c r="H218" s="51" t="str">
        <f aca="false">IF($N218&gt;=MA_LONG2,AVERAGE(INDEX($D$5:$D218,215-MA_LONG2):$D218),"")</f>
        <v/>
      </c>
      <c r="I218" s="51" t="n">
        <v>737419.43</v>
      </c>
      <c r="J218" s="52" t="str">
        <f aca="false">IF($N218&gt;1,$I218/$I217-1,"")</f>
        <v/>
      </c>
      <c r="K218" s="51" t="str">
        <f aca="false">IF($N218&gt;=MA_SHORT,AVERAGE(INDEX($I$5:$I218,215-MA_SHORT):$I218),"")</f>
        <v/>
      </c>
      <c r="L218" s="51" t="str">
        <f aca="false">IF($N218&gt;=MA_MED,AVERAGE(INDEX($I$5:$I218,215-MA_MED):$I218),"")</f>
        <v/>
      </c>
      <c r="M218" s="51" t="str">
        <f aca="false">IF($N218&gt;=MA_LONG2,AVERAGE(INDEX($I$5:$I218,215-MA_LONG2):$I218),"")</f>
        <v/>
      </c>
      <c r="N218" s="46" t="n">
        <f aca="false">IF($A218=$A217,$N217+1,1)</f>
        <v>1</v>
      </c>
    </row>
    <row r="219" customFormat="false" ht="15" hidden="false" customHeight="false" outlineLevel="0" collapsed="false">
      <c r="A219" s="45" t="n">
        <v>46204</v>
      </c>
      <c r="B219" s="46" t="n">
        <v>20260701</v>
      </c>
      <c r="C219" s="47" t="s">
        <v>502</v>
      </c>
      <c r="D219" s="51" t="n">
        <v>2117482.96</v>
      </c>
      <c r="E219" s="52" t="str">
        <f aca="false">IF($N219&gt;1,$D219/$D218-1,"")</f>
        <v/>
      </c>
      <c r="F219" s="51" t="str">
        <f aca="false">IF($N219&gt;=MA_SHORT,AVERAGE(INDEX($D$5:$D219,216-MA_SHORT):$D219),"")</f>
        <v/>
      </c>
      <c r="G219" s="51" t="str">
        <f aca="false">IF($N219&gt;=MA_MED,AVERAGE(INDEX($D$5:$D219,216-MA_MED):$D219),"")</f>
        <v/>
      </c>
      <c r="H219" s="51" t="str">
        <f aca="false">IF($N219&gt;=MA_LONG2,AVERAGE(INDEX($D$5:$D219,216-MA_LONG2):$D219),"")</f>
        <v/>
      </c>
      <c r="I219" s="51" t="n">
        <v>748251.14</v>
      </c>
      <c r="J219" s="52" t="str">
        <f aca="false">IF($N219&gt;1,$I219/$I218-1,"")</f>
        <v/>
      </c>
      <c r="K219" s="51" t="str">
        <f aca="false">IF($N219&gt;=MA_SHORT,AVERAGE(INDEX($I$5:$I219,216-MA_SHORT):$I219),"")</f>
        <v/>
      </c>
      <c r="L219" s="51" t="str">
        <f aca="false">IF($N219&gt;=MA_MED,AVERAGE(INDEX($I$5:$I219,216-MA_MED):$I219),"")</f>
        <v/>
      </c>
      <c r="M219" s="51" t="str">
        <f aca="false">IF($N219&gt;=MA_LONG2,AVERAGE(INDEX($I$5:$I219,216-MA_LONG2):$I219),"")</f>
        <v/>
      </c>
      <c r="N219" s="46" t="n">
        <f aca="false">IF($A219=$A218,$N218+1,1)</f>
        <v>1</v>
      </c>
    </row>
    <row r="220" customFormat="false" ht="15" hidden="false" customHeight="false" outlineLevel="0" collapsed="false">
      <c r="A220" s="45" t="n">
        <v>46207</v>
      </c>
      <c r="B220" s="46" t="n">
        <v>20260704</v>
      </c>
      <c r="C220" s="47" t="s">
        <v>503</v>
      </c>
      <c r="D220" s="51" t="n">
        <v>2112824.53</v>
      </c>
      <c r="E220" s="52" t="str">
        <f aca="false">IF($N220&gt;1,$D220/$D219-1,"")</f>
        <v/>
      </c>
      <c r="F220" s="51" t="str">
        <f aca="false">IF($N220&gt;=MA_SHORT,AVERAGE(INDEX($D$5:$D220,217-MA_SHORT):$D220),"")</f>
        <v/>
      </c>
      <c r="G220" s="51" t="str">
        <f aca="false">IF($N220&gt;=MA_MED,AVERAGE(INDEX($D$5:$D220,217-MA_MED):$D220),"")</f>
        <v/>
      </c>
      <c r="H220" s="51" t="str">
        <f aca="false">IF($N220&gt;=MA_LONG2,AVERAGE(INDEX($D$5:$D220,217-MA_LONG2):$D220),"")</f>
        <v/>
      </c>
      <c r="I220" s="51" t="n">
        <v>746749.18</v>
      </c>
      <c r="J220" s="52" t="str">
        <f aca="false">IF($N220&gt;1,$I220/$I219-1,"")</f>
        <v/>
      </c>
      <c r="K220" s="51" t="str">
        <f aca="false">IF($N220&gt;=MA_SHORT,AVERAGE(INDEX($I$5:$I220,217-MA_SHORT):$I220),"")</f>
        <v/>
      </c>
      <c r="L220" s="51" t="str">
        <f aca="false">IF($N220&gt;=MA_MED,AVERAGE(INDEX($I$5:$I220,217-MA_MED):$I220),"")</f>
        <v/>
      </c>
      <c r="M220" s="51" t="str">
        <f aca="false">IF($N220&gt;=MA_LONG2,AVERAGE(INDEX($I$5:$I220,217-MA_LONG2):$I220),"")</f>
        <v/>
      </c>
      <c r="N220" s="46" t="n">
        <f aca="false">IF($A220=$A219,$N219+1,1)</f>
        <v>1</v>
      </c>
    </row>
    <row r="221" customFormat="false" ht="15" hidden="false" customHeight="false" outlineLevel="0" collapsed="false">
      <c r="A221" s="45" t="n">
        <v>46208</v>
      </c>
      <c r="B221" s="46" t="n">
        <v>20260705</v>
      </c>
      <c r="C221" s="47" t="s">
        <v>504</v>
      </c>
      <c r="D221" s="51" t="n">
        <v>2088730.47</v>
      </c>
      <c r="E221" s="52" t="str">
        <f aca="false">IF($N221&gt;1,$D221/$D220-1,"")</f>
        <v/>
      </c>
      <c r="F221" s="51" t="str">
        <f aca="false">IF($N221&gt;=MA_SHORT,AVERAGE(INDEX($D$5:$D221,218-MA_SHORT):$D221),"")</f>
        <v/>
      </c>
      <c r="G221" s="51" t="str">
        <f aca="false">IF($N221&gt;=MA_MED,AVERAGE(INDEX($D$5:$D221,218-MA_MED):$D221),"")</f>
        <v/>
      </c>
      <c r="H221" s="51" t="str">
        <f aca="false">IF($N221&gt;=MA_LONG2,AVERAGE(INDEX($D$5:$D221,218-MA_LONG2):$D221),"")</f>
        <v/>
      </c>
      <c r="I221" s="51" t="n">
        <v>751028.72</v>
      </c>
      <c r="J221" s="52" t="str">
        <f aca="false">IF($N221&gt;1,$I221/$I220-1,"")</f>
        <v/>
      </c>
      <c r="K221" s="51" t="str">
        <f aca="false">IF($N221&gt;=MA_SHORT,AVERAGE(INDEX($I$5:$I221,218-MA_SHORT):$I221),"")</f>
        <v/>
      </c>
      <c r="L221" s="51" t="str">
        <f aca="false">IF($N221&gt;=MA_MED,AVERAGE(INDEX($I$5:$I221,218-MA_MED):$I221),"")</f>
        <v/>
      </c>
      <c r="M221" s="51" t="str">
        <f aca="false">IF($N221&gt;=MA_LONG2,AVERAGE(INDEX($I$5:$I221,218-MA_LONG2):$I221),"")</f>
        <v/>
      </c>
      <c r="N221" s="46" t="n">
        <f aca="false">IF($A221=$A220,$N220+1,1)</f>
        <v>1</v>
      </c>
    </row>
    <row r="222" customFormat="false" ht="15" hidden="false" customHeight="false" outlineLevel="0" collapsed="false">
      <c r="A222" s="45" t="n">
        <v>46209</v>
      </c>
      <c r="B222" s="46" t="n">
        <v>20260706</v>
      </c>
      <c r="C222" s="47" t="s">
        <v>505</v>
      </c>
      <c r="D222" s="51" t="n">
        <v>2085994.19</v>
      </c>
      <c r="E222" s="52" t="str">
        <f aca="false">IF($N222&gt;1,$D222/$D221-1,"")</f>
        <v/>
      </c>
      <c r="F222" s="51" t="str">
        <f aca="false">IF($N222&gt;=MA_SHORT,AVERAGE(INDEX($D$5:$D222,219-MA_SHORT):$D222),"")</f>
        <v/>
      </c>
      <c r="G222" s="51" t="str">
        <f aca="false">IF($N222&gt;=MA_MED,AVERAGE(INDEX($D$5:$D222,219-MA_MED):$D222),"")</f>
        <v/>
      </c>
      <c r="H222" s="51" t="str">
        <f aca="false">IF($N222&gt;=MA_LONG2,AVERAGE(INDEX($D$5:$D222,219-MA_LONG2):$D222),"")</f>
        <v/>
      </c>
      <c r="I222" s="51" t="n">
        <v>739546.2</v>
      </c>
      <c r="J222" s="52" t="str">
        <f aca="false">IF($N222&gt;1,$I222/$I221-1,"")</f>
        <v/>
      </c>
      <c r="K222" s="51" t="str">
        <f aca="false">IF($N222&gt;=MA_SHORT,AVERAGE(INDEX($I$5:$I222,219-MA_SHORT):$I222),"")</f>
        <v/>
      </c>
      <c r="L222" s="51" t="str">
        <f aca="false">IF($N222&gt;=MA_MED,AVERAGE(INDEX($I$5:$I222,219-MA_MED):$I222),"")</f>
        <v/>
      </c>
      <c r="M222" s="51" t="str">
        <f aca="false">IF($N222&gt;=MA_LONG2,AVERAGE(INDEX($I$5:$I222,219-MA_LONG2):$I222),"")</f>
        <v/>
      </c>
      <c r="N222" s="46" t="n">
        <f aca="false">IF($A222=$A221,$N221+1,1)</f>
        <v>1</v>
      </c>
    </row>
    <row r="223" customFormat="false" ht="15" hidden="false" customHeight="false" outlineLevel="0" collapsed="false">
      <c r="A223" s="45" t="n">
        <v>46210</v>
      </c>
      <c r="B223" s="46" t="n">
        <v>20260707</v>
      </c>
      <c r="C223" s="47" t="s">
        <v>506</v>
      </c>
      <c r="D223" s="51" t="n">
        <v>2097649.52</v>
      </c>
      <c r="E223" s="52" t="str">
        <f aca="false">IF($N223&gt;1,$D223/$D222-1,"")</f>
        <v/>
      </c>
      <c r="F223" s="51" t="str">
        <f aca="false">IF($N223&gt;=MA_SHORT,AVERAGE(INDEX($D$5:$D223,220-MA_SHORT):$D223),"")</f>
        <v/>
      </c>
      <c r="G223" s="51" t="str">
        <f aca="false">IF($N223&gt;=MA_MED,AVERAGE(INDEX($D$5:$D223,220-MA_MED):$D223),"")</f>
        <v/>
      </c>
      <c r="H223" s="51" t="str">
        <f aca="false">IF($N223&gt;=MA_LONG2,AVERAGE(INDEX($D$5:$D223,220-MA_LONG2):$D223),"")</f>
        <v/>
      </c>
      <c r="I223" s="51" t="n">
        <v>739637.65</v>
      </c>
      <c r="J223" s="52" t="str">
        <f aca="false">IF($N223&gt;1,$I223/$I222-1,"")</f>
        <v/>
      </c>
      <c r="K223" s="51" t="str">
        <f aca="false">IF($N223&gt;=MA_SHORT,AVERAGE(INDEX($I$5:$I223,220-MA_SHORT):$I223),"")</f>
        <v/>
      </c>
      <c r="L223" s="51" t="str">
        <f aca="false">IF($N223&gt;=MA_MED,AVERAGE(INDEX($I$5:$I223,220-MA_MED):$I223),"")</f>
        <v/>
      </c>
      <c r="M223" s="51" t="str">
        <f aca="false">IF($N223&gt;=MA_LONG2,AVERAGE(INDEX($I$5:$I223,220-MA_LONG2):$I223),"")</f>
        <v/>
      </c>
      <c r="N223" s="46" t="n">
        <f aca="false">IF($A223=$A222,$N222+1,1)</f>
        <v>1</v>
      </c>
    </row>
    <row r="224" customFormat="false" ht="15" hidden="false" customHeight="false" outlineLevel="0" collapsed="false">
      <c r="A224" s="45" t="n">
        <v>46211</v>
      </c>
      <c r="B224" s="46" t="n">
        <v>20260708</v>
      </c>
      <c r="C224" s="47" t="s">
        <v>507</v>
      </c>
      <c r="D224" s="51" t="n">
        <v>2098334.21</v>
      </c>
      <c r="E224" s="52" t="str">
        <f aca="false">IF($N224&gt;1,$D224/$D223-1,"")</f>
        <v/>
      </c>
      <c r="F224" s="51" t="str">
        <f aca="false">IF($N224&gt;=MA_SHORT,AVERAGE(INDEX($D$5:$D224,221-MA_SHORT):$D224),"")</f>
        <v/>
      </c>
      <c r="G224" s="51" t="str">
        <f aca="false">IF($N224&gt;=MA_MED,AVERAGE(INDEX($D$5:$D224,221-MA_MED):$D224),"")</f>
        <v/>
      </c>
      <c r="H224" s="51" t="str">
        <f aca="false">IF($N224&gt;=MA_LONG2,AVERAGE(INDEX($D$5:$D224,221-MA_LONG2):$D224),"")</f>
        <v/>
      </c>
      <c r="I224" s="51" t="n">
        <v>727718.02</v>
      </c>
      <c r="J224" s="52" t="str">
        <f aca="false">IF($N224&gt;1,$I224/$I223-1,"")</f>
        <v/>
      </c>
      <c r="K224" s="51" t="str">
        <f aca="false">IF($N224&gt;=MA_SHORT,AVERAGE(INDEX($I$5:$I224,221-MA_SHORT):$I224),"")</f>
        <v/>
      </c>
      <c r="L224" s="51" t="str">
        <f aca="false">IF($N224&gt;=MA_MED,AVERAGE(INDEX($I$5:$I224,221-MA_MED):$I224),"")</f>
        <v/>
      </c>
      <c r="M224" s="51" t="str">
        <f aca="false">IF($N224&gt;=MA_LONG2,AVERAGE(INDEX($I$5:$I224,221-MA_LONG2):$I224),"")</f>
        <v/>
      </c>
      <c r="N224" s="46" t="n">
        <f aca="false">IF($A224=$A223,$N223+1,1)</f>
        <v>1</v>
      </c>
    </row>
    <row r="225" customFormat="false" ht="15" hidden="false" customHeight="false" outlineLevel="0" collapsed="false">
      <c r="A225" s="45" t="n">
        <v>46214</v>
      </c>
      <c r="B225" s="46" t="n">
        <v>20260711</v>
      </c>
      <c r="C225" s="47" t="s">
        <v>508</v>
      </c>
      <c r="D225" s="51" t="n">
        <v>2107391.51</v>
      </c>
      <c r="E225" s="52" t="str">
        <f aca="false">IF($N225&gt;1,$D225/$D224-1,"")</f>
        <v/>
      </c>
      <c r="F225" s="51" t="str">
        <f aca="false">IF($N225&gt;=MA_SHORT,AVERAGE(INDEX($D$5:$D225,222-MA_SHORT):$D225),"")</f>
        <v/>
      </c>
      <c r="G225" s="51" t="str">
        <f aca="false">IF($N225&gt;=MA_MED,AVERAGE(INDEX($D$5:$D225,222-MA_MED):$D225),"")</f>
        <v/>
      </c>
      <c r="H225" s="51" t="str">
        <f aca="false">IF($N225&gt;=MA_LONG2,AVERAGE(INDEX($D$5:$D225,222-MA_LONG2):$D225),"")</f>
        <v/>
      </c>
      <c r="I225" s="51" t="n">
        <v>723190.32</v>
      </c>
      <c r="J225" s="52" t="str">
        <f aca="false">IF($N225&gt;1,$I225/$I224-1,"")</f>
        <v/>
      </c>
      <c r="K225" s="51" t="str">
        <f aca="false">IF($N225&gt;=MA_SHORT,AVERAGE(INDEX($I$5:$I225,222-MA_SHORT):$I225),"")</f>
        <v/>
      </c>
      <c r="L225" s="51" t="str">
        <f aca="false">IF($N225&gt;=MA_MED,AVERAGE(INDEX($I$5:$I225,222-MA_MED):$I225),"")</f>
        <v/>
      </c>
      <c r="M225" s="51" t="str">
        <f aca="false">IF($N225&gt;=MA_LONG2,AVERAGE(INDEX($I$5:$I225,222-MA_LONG2):$I225),"")</f>
        <v/>
      </c>
      <c r="N225" s="46" t="n">
        <f aca="false">IF($A225=$A224,$N224+1,1)</f>
        <v>1</v>
      </c>
    </row>
    <row r="226" customFormat="false" ht="15" hidden="false" customHeight="false" outlineLevel="0" collapsed="false">
      <c r="A226" s="45" t="n">
        <v>46215</v>
      </c>
      <c r="B226" s="46" t="n">
        <v>20260712</v>
      </c>
      <c r="C226" s="47" t="s">
        <v>509</v>
      </c>
      <c r="D226" s="51" t="n">
        <v>2132808.65</v>
      </c>
      <c r="E226" s="52" t="str">
        <f aca="false">IF($N226&gt;1,$D226/$D225-1,"")</f>
        <v/>
      </c>
      <c r="F226" s="51" t="str">
        <f aca="false">IF($N226&gt;=MA_SHORT,AVERAGE(INDEX($D$5:$D226,223-MA_SHORT):$D226),"")</f>
        <v/>
      </c>
      <c r="G226" s="51" t="str">
        <f aca="false">IF($N226&gt;=MA_MED,AVERAGE(INDEX($D$5:$D226,223-MA_MED):$D226),"")</f>
        <v/>
      </c>
      <c r="H226" s="51" t="str">
        <f aca="false">IF($N226&gt;=MA_LONG2,AVERAGE(INDEX($D$5:$D226,223-MA_LONG2):$D226),"")</f>
        <v/>
      </c>
      <c r="I226" s="51" t="n">
        <v>723553.78</v>
      </c>
      <c r="J226" s="52" t="str">
        <f aca="false">IF($N226&gt;1,$I226/$I225-1,"")</f>
        <v/>
      </c>
      <c r="K226" s="51" t="str">
        <f aca="false">IF($N226&gt;=MA_SHORT,AVERAGE(INDEX($I$5:$I226,223-MA_SHORT):$I226),"")</f>
        <v/>
      </c>
      <c r="L226" s="51" t="str">
        <f aca="false">IF($N226&gt;=MA_MED,AVERAGE(INDEX($I$5:$I226,223-MA_MED):$I226),"")</f>
        <v/>
      </c>
      <c r="M226" s="51" t="str">
        <f aca="false">IF($N226&gt;=MA_LONG2,AVERAGE(INDEX($I$5:$I226,223-MA_LONG2):$I226),"")</f>
        <v/>
      </c>
      <c r="N226" s="46" t="n">
        <f aca="false">IF($A226=$A225,$N225+1,1)</f>
        <v>1</v>
      </c>
    </row>
    <row r="227" customFormat="false" ht="15" hidden="false" customHeight="false" outlineLevel="0" collapsed="false">
      <c r="A227" s="45" t="n">
        <v>46216</v>
      </c>
      <c r="B227" s="46" t="n">
        <v>20260713</v>
      </c>
      <c r="C227" s="47" t="s">
        <v>510</v>
      </c>
      <c r="D227" s="51" t="n">
        <v>2153300.36</v>
      </c>
      <c r="E227" s="52" t="str">
        <f aca="false">IF($N227&gt;1,$D227/$D226-1,"")</f>
        <v/>
      </c>
      <c r="F227" s="51" t="str">
        <f aca="false">IF($N227&gt;=MA_SHORT,AVERAGE(INDEX($D$5:$D227,224-MA_SHORT):$D227),"")</f>
        <v/>
      </c>
      <c r="G227" s="51" t="str">
        <f aca="false">IF($N227&gt;=MA_MED,AVERAGE(INDEX($D$5:$D227,224-MA_MED):$D227),"")</f>
        <v/>
      </c>
      <c r="H227" s="51" t="str">
        <f aca="false">IF($N227&gt;=MA_LONG2,AVERAGE(INDEX($D$5:$D227,224-MA_LONG2):$D227),"")</f>
        <v/>
      </c>
      <c r="I227" s="51" t="n">
        <v>725304.41</v>
      </c>
      <c r="J227" s="52" t="str">
        <f aca="false">IF($N227&gt;1,$I227/$I226-1,"")</f>
        <v/>
      </c>
      <c r="K227" s="51" t="str">
        <f aca="false">IF($N227&gt;=MA_SHORT,AVERAGE(INDEX($I$5:$I227,224-MA_SHORT):$I227),"")</f>
        <v/>
      </c>
      <c r="L227" s="51" t="str">
        <f aca="false">IF($N227&gt;=MA_MED,AVERAGE(INDEX($I$5:$I227,224-MA_MED):$I227),"")</f>
        <v/>
      </c>
      <c r="M227" s="51" t="str">
        <f aca="false">IF($N227&gt;=MA_LONG2,AVERAGE(INDEX($I$5:$I227,224-MA_LONG2):$I227),"")</f>
        <v/>
      </c>
      <c r="N227" s="46" t="n">
        <f aca="false">IF($A227=$A226,$N226+1,1)</f>
        <v>1</v>
      </c>
    </row>
    <row r="228" customFormat="false" ht="15" hidden="false" customHeight="false" outlineLevel="0" collapsed="false">
      <c r="A228" s="45" t="n">
        <v>46217</v>
      </c>
      <c r="B228" s="46" t="n">
        <v>20260714</v>
      </c>
      <c r="C228" s="47" t="s">
        <v>511</v>
      </c>
      <c r="D228" s="51" t="n">
        <v>2160301.86</v>
      </c>
      <c r="E228" s="52" t="str">
        <f aca="false">IF($N228&gt;1,$D228/$D227-1,"")</f>
        <v/>
      </c>
      <c r="F228" s="51" t="str">
        <f aca="false">IF($N228&gt;=MA_SHORT,AVERAGE(INDEX($D$5:$D228,225-MA_SHORT):$D228),"")</f>
        <v/>
      </c>
      <c r="G228" s="51" t="str">
        <f aca="false">IF($N228&gt;=MA_MED,AVERAGE(INDEX($D$5:$D228,225-MA_MED):$D228),"")</f>
        <v/>
      </c>
      <c r="H228" s="51" t="str">
        <f aca="false">IF($N228&gt;=MA_LONG2,AVERAGE(INDEX($D$5:$D228,225-MA_LONG2):$D228),"")</f>
        <v/>
      </c>
      <c r="I228" s="51" t="n">
        <v>729919.42</v>
      </c>
      <c r="J228" s="52" t="str">
        <f aca="false">IF($N228&gt;1,$I228/$I227-1,"")</f>
        <v/>
      </c>
      <c r="K228" s="51" t="str">
        <f aca="false">IF($N228&gt;=MA_SHORT,AVERAGE(INDEX($I$5:$I228,225-MA_SHORT):$I228),"")</f>
        <v/>
      </c>
      <c r="L228" s="51" t="str">
        <f aca="false">IF($N228&gt;=MA_MED,AVERAGE(INDEX($I$5:$I228,225-MA_MED):$I228),"")</f>
        <v/>
      </c>
      <c r="M228" s="51" t="str">
        <f aca="false">IF($N228&gt;=MA_LONG2,AVERAGE(INDEX($I$5:$I228,225-MA_LONG2):$I228),"")</f>
        <v/>
      </c>
      <c r="N228" s="46" t="n">
        <f aca="false">IF($A228=$A227,$N227+1,1)</f>
        <v>1</v>
      </c>
    </row>
    <row r="229" customFormat="false" ht="15" hidden="false" customHeight="false" outlineLevel="0" collapsed="false">
      <c r="A229" s="45" t="n">
        <v>46218</v>
      </c>
      <c r="B229" s="46" t="n">
        <v>20260715</v>
      </c>
      <c r="C229" s="47" t="s">
        <v>512</v>
      </c>
      <c r="D229" s="51" t="n">
        <v>2174559.56</v>
      </c>
      <c r="E229" s="52" t="str">
        <f aca="false">IF($N229&gt;1,$D229/$D228-1,"")</f>
        <v/>
      </c>
      <c r="F229" s="51" t="str">
        <f aca="false">IF($N229&gt;=MA_SHORT,AVERAGE(INDEX($D$5:$D229,226-MA_SHORT):$D229),"")</f>
        <v/>
      </c>
      <c r="G229" s="51" t="str">
        <f aca="false">IF($N229&gt;=MA_MED,AVERAGE(INDEX($D$5:$D229,226-MA_MED):$D229),"")</f>
        <v/>
      </c>
      <c r="H229" s="51" t="str">
        <f aca="false">IF($N229&gt;=MA_LONG2,AVERAGE(INDEX($D$5:$D229,226-MA_LONG2):$D229),"")</f>
        <v/>
      </c>
      <c r="I229" s="51" t="n">
        <v>749199.76</v>
      </c>
      <c r="J229" s="52" t="str">
        <f aca="false">IF($N229&gt;1,$I229/$I228-1,"")</f>
        <v/>
      </c>
      <c r="K229" s="51" t="str">
        <f aca="false">IF($N229&gt;=MA_SHORT,AVERAGE(INDEX($I$5:$I229,226-MA_SHORT):$I229),"")</f>
        <v/>
      </c>
      <c r="L229" s="51" t="str">
        <f aca="false">IF($N229&gt;=MA_MED,AVERAGE(INDEX($I$5:$I229,226-MA_MED):$I229),"")</f>
        <v/>
      </c>
      <c r="M229" s="51" t="str">
        <f aca="false">IF($N229&gt;=MA_LONG2,AVERAGE(INDEX($I$5:$I229,226-MA_LONG2):$I229),"")</f>
        <v/>
      </c>
      <c r="N229" s="46" t="n">
        <f aca="false">IF($A229=$A228,$N228+1,1)</f>
        <v>1</v>
      </c>
    </row>
    <row r="230" customFormat="false" ht="15" hidden="false" customHeight="false" outlineLevel="0" collapsed="false">
      <c r="A230" s="45" t="n">
        <v>46221</v>
      </c>
      <c r="B230" s="46" t="n">
        <v>20260718</v>
      </c>
      <c r="C230" s="47" t="s">
        <v>513</v>
      </c>
      <c r="D230" s="51" t="n">
        <v>2178322.86</v>
      </c>
      <c r="E230" s="52" t="str">
        <f aca="false">IF($N230&gt;1,$D230/$D229-1,"")</f>
        <v/>
      </c>
      <c r="F230" s="51" t="str">
        <f aca="false">IF($N230&gt;=MA_SHORT,AVERAGE(INDEX($D$5:$D230,227-MA_SHORT):$D230),"")</f>
        <v/>
      </c>
      <c r="G230" s="51" t="str">
        <f aca="false">IF($N230&gt;=MA_MED,AVERAGE(INDEX($D$5:$D230,227-MA_MED):$D230),"")</f>
        <v/>
      </c>
      <c r="H230" s="51" t="str">
        <f aca="false">IF($N230&gt;=MA_LONG2,AVERAGE(INDEX($D$5:$D230,227-MA_LONG2):$D230),"")</f>
        <v/>
      </c>
      <c r="I230" s="51" t="n">
        <v>761713.8</v>
      </c>
      <c r="J230" s="52" t="str">
        <f aca="false">IF($N230&gt;1,$I230/$I229-1,"")</f>
        <v/>
      </c>
      <c r="K230" s="51" t="str">
        <f aca="false">IF($N230&gt;=MA_SHORT,AVERAGE(INDEX($I$5:$I230,227-MA_SHORT):$I230),"")</f>
        <v/>
      </c>
      <c r="L230" s="51" t="str">
        <f aca="false">IF($N230&gt;=MA_MED,AVERAGE(INDEX($I$5:$I230,227-MA_MED):$I230),"")</f>
        <v/>
      </c>
      <c r="M230" s="51" t="str">
        <f aca="false">IF($N230&gt;=MA_LONG2,AVERAGE(INDEX($I$5:$I230,227-MA_LONG2):$I230),"")</f>
        <v/>
      </c>
      <c r="N230" s="46" t="n">
        <f aca="false">IF($A230=$A229,$N229+1,1)</f>
        <v>1</v>
      </c>
    </row>
    <row r="231" customFormat="false" ht="15" hidden="false" customHeight="false" outlineLevel="0" collapsed="false">
      <c r="A231" s="45" t="n">
        <v>46222</v>
      </c>
      <c r="B231" s="46" t="n">
        <v>20260719</v>
      </c>
      <c r="C231" s="47" t="s">
        <v>514</v>
      </c>
      <c r="D231" s="51" t="n">
        <v>2173196.25</v>
      </c>
      <c r="E231" s="52" t="str">
        <f aca="false">IF($N231&gt;1,$D231/$D230-1,"")</f>
        <v/>
      </c>
      <c r="F231" s="51" t="str">
        <f aca="false">IF($N231&gt;=MA_SHORT,AVERAGE(INDEX($D$5:$D231,228-MA_SHORT):$D231),"")</f>
        <v/>
      </c>
      <c r="G231" s="51" t="str">
        <f aca="false">IF($N231&gt;=MA_MED,AVERAGE(INDEX($D$5:$D231,228-MA_MED):$D231),"")</f>
        <v/>
      </c>
      <c r="H231" s="51" t="str">
        <f aca="false">IF($N231&gt;=MA_LONG2,AVERAGE(INDEX($D$5:$D231,228-MA_LONG2):$D231),"")</f>
        <v/>
      </c>
      <c r="I231" s="51" t="n">
        <v>763088.5</v>
      </c>
      <c r="J231" s="52" t="str">
        <f aca="false">IF($N231&gt;1,$I231/$I230-1,"")</f>
        <v/>
      </c>
      <c r="K231" s="51" t="str">
        <f aca="false">IF($N231&gt;=MA_SHORT,AVERAGE(INDEX($I$5:$I231,228-MA_SHORT):$I231),"")</f>
        <v/>
      </c>
      <c r="L231" s="51" t="str">
        <f aca="false">IF($N231&gt;=MA_MED,AVERAGE(INDEX($I$5:$I231,228-MA_MED):$I231),"")</f>
        <v/>
      </c>
      <c r="M231" s="51" t="str">
        <f aca="false">IF($N231&gt;=MA_LONG2,AVERAGE(INDEX($I$5:$I231,228-MA_LONG2):$I231),"")</f>
        <v/>
      </c>
      <c r="N231" s="46" t="n">
        <f aca="false">IF($A231=$A230,$N230+1,1)</f>
        <v>1</v>
      </c>
    </row>
    <row r="232" customFormat="false" ht="15" hidden="false" customHeight="false" outlineLevel="0" collapsed="false">
      <c r="A232" s="45" t="n">
        <v>46223</v>
      </c>
      <c r="B232" s="46" t="n">
        <v>20260720</v>
      </c>
      <c r="C232" s="47" t="s">
        <v>515</v>
      </c>
      <c r="D232" s="51" t="n">
        <v>2210165.87</v>
      </c>
      <c r="E232" s="52" t="str">
        <f aca="false">IF($N232&gt;1,$D232/$D231-1,"")</f>
        <v/>
      </c>
      <c r="F232" s="51" t="str">
        <f aca="false">IF($N232&gt;=MA_SHORT,AVERAGE(INDEX($D$5:$D232,229-MA_SHORT):$D232),"")</f>
        <v/>
      </c>
      <c r="G232" s="51" t="str">
        <f aca="false">IF($N232&gt;=MA_MED,AVERAGE(INDEX($D$5:$D232,229-MA_MED):$D232),"")</f>
        <v/>
      </c>
      <c r="H232" s="51" t="str">
        <f aca="false">IF($N232&gt;=MA_LONG2,AVERAGE(INDEX($D$5:$D232,229-MA_LONG2):$D232),"")</f>
        <v/>
      </c>
      <c r="I232" s="51" t="n">
        <v>763328.6</v>
      </c>
      <c r="J232" s="52" t="str">
        <f aca="false">IF($N232&gt;1,$I232/$I231-1,"")</f>
        <v/>
      </c>
      <c r="K232" s="51" t="str">
        <f aca="false">IF($N232&gt;=MA_SHORT,AVERAGE(INDEX($I$5:$I232,229-MA_SHORT):$I232),"")</f>
        <v/>
      </c>
      <c r="L232" s="51" t="str">
        <f aca="false">IF($N232&gt;=MA_MED,AVERAGE(INDEX($I$5:$I232,229-MA_MED):$I232),"")</f>
        <v/>
      </c>
      <c r="M232" s="51" t="str">
        <f aca="false">IF($N232&gt;=MA_LONG2,AVERAGE(INDEX($I$5:$I232,229-MA_LONG2):$I232),"")</f>
        <v/>
      </c>
      <c r="N232" s="46" t="n">
        <f aca="false">IF($A232=$A231,$N231+1,1)</f>
        <v>1</v>
      </c>
    </row>
    <row r="233" customFormat="false" ht="15" hidden="false" customHeight="false" outlineLevel="0" collapsed="false">
      <c r="A233" s="45" t="n">
        <v>46224</v>
      </c>
      <c r="B233" s="46" t="n">
        <v>20260721</v>
      </c>
      <c r="C233" s="47" t="s">
        <v>516</v>
      </c>
      <c r="D233" s="51" t="n">
        <v>2207008.18</v>
      </c>
      <c r="E233" s="52" t="str">
        <f aca="false">IF($N233&gt;1,$D233/$D232-1,"")</f>
        <v/>
      </c>
      <c r="F233" s="51" t="str">
        <f aca="false">IF($N233&gt;=MA_SHORT,AVERAGE(INDEX($D$5:$D233,230-MA_SHORT):$D233),"")</f>
        <v/>
      </c>
      <c r="G233" s="51" t="str">
        <f aca="false">IF($N233&gt;=MA_MED,AVERAGE(INDEX($D$5:$D233,230-MA_MED):$D233),"")</f>
        <v/>
      </c>
      <c r="H233" s="51" t="str">
        <f aca="false">IF($N233&gt;=MA_LONG2,AVERAGE(INDEX($D$5:$D233,230-MA_LONG2):$D233),"")</f>
        <v/>
      </c>
      <c r="I233" s="51" t="n">
        <v>763826.9</v>
      </c>
      <c r="J233" s="52" t="str">
        <f aca="false">IF($N233&gt;1,$I233/$I232-1,"")</f>
        <v/>
      </c>
      <c r="K233" s="51" t="str">
        <f aca="false">IF($N233&gt;=MA_SHORT,AVERAGE(INDEX($I$5:$I233,230-MA_SHORT):$I233),"")</f>
        <v/>
      </c>
      <c r="L233" s="51" t="str">
        <f aca="false">IF($N233&gt;=MA_MED,AVERAGE(INDEX($I$5:$I233,230-MA_MED):$I233),"")</f>
        <v/>
      </c>
      <c r="M233" s="51" t="str">
        <f aca="false">IF($N233&gt;=MA_LONG2,AVERAGE(INDEX($I$5:$I233,230-MA_LONG2):$I233),"")</f>
        <v/>
      </c>
      <c r="N233" s="46" t="n">
        <f aca="false">IF($A233=$A232,$N232+1,1)</f>
        <v>1</v>
      </c>
    </row>
    <row r="234" customFormat="false" ht="15" hidden="false" customHeight="false" outlineLevel="0" collapsed="false">
      <c r="A234" s="45" t="n">
        <v>46225</v>
      </c>
      <c r="B234" s="46" t="n">
        <v>20260722</v>
      </c>
      <c r="C234" s="47" t="s">
        <v>517</v>
      </c>
      <c r="D234" s="51" t="n">
        <v>2165198.8</v>
      </c>
      <c r="E234" s="52" t="str">
        <f aca="false">IF($N234&gt;1,$D234/$D233-1,"")</f>
        <v/>
      </c>
      <c r="F234" s="51" t="str">
        <f aca="false">IF($N234&gt;=MA_SHORT,AVERAGE(INDEX($D$5:$D234,231-MA_SHORT):$D234),"")</f>
        <v/>
      </c>
      <c r="G234" s="51" t="str">
        <f aca="false">IF($N234&gt;=MA_MED,AVERAGE(INDEX($D$5:$D234,231-MA_MED):$D234),"")</f>
        <v/>
      </c>
      <c r="H234" s="51" t="str">
        <f aca="false">IF($N234&gt;=MA_LONG2,AVERAGE(INDEX($D$5:$D234,231-MA_LONG2):$D234),"")</f>
        <v/>
      </c>
      <c r="I234" s="51" t="n">
        <v>780420.13</v>
      </c>
      <c r="J234" s="52" t="str">
        <f aca="false">IF($N234&gt;1,$I234/$I233-1,"")</f>
        <v/>
      </c>
      <c r="K234" s="51" t="str">
        <f aca="false">IF($N234&gt;=MA_SHORT,AVERAGE(INDEX($I$5:$I234,231-MA_SHORT):$I234),"")</f>
        <v/>
      </c>
      <c r="L234" s="51" t="str">
        <f aca="false">IF($N234&gt;=MA_MED,AVERAGE(INDEX($I$5:$I234,231-MA_MED):$I234),"")</f>
        <v/>
      </c>
      <c r="M234" s="51" t="str">
        <f aca="false">IF($N234&gt;=MA_LONG2,AVERAGE(INDEX($I$5:$I234,231-MA_LONG2):$I234),"")</f>
        <v/>
      </c>
      <c r="N234" s="46" t="n">
        <f aca="false">IF($A234=$A233,$N233+1,1)</f>
        <v>1</v>
      </c>
    </row>
    <row r="235" customFormat="false" ht="15" hidden="false" customHeight="false" outlineLevel="0" collapsed="false">
      <c r="A235" s="45" t="n">
        <v>46228</v>
      </c>
      <c r="B235" s="46" t="n">
        <v>20260725</v>
      </c>
      <c r="C235" s="47" t="s">
        <v>518</v>
      </c>
      <c r="D235" s="51" t="n">
        <v>2149234.82</v>
      </c>
      <c r="E235" s="52" t="str">
        <f aca="false">IF($N235&gt;1,$D235/$D234-1,"")</f>
        <v/>
      </c>
      <c r="F235" s="51" t="str">
        <f aca="false">IF($N235&gt;=MA_SHORT,AVERAGE(INDEX($D$5:$D235,232-MA_SHORT):$D235),"")</f>
        <v/>
      </c>
      <c r="G235" s="51" t="str">
        <f aca="false">IF($N235&gt;=MA_MED,AVERAGE(INDEX($D$5:$D235,232-MA_MED):$D235),"")</f>
        <v/>
      </c>
      <c r="H235" s="51" t="str">
        <f aca="false">IF($N235&gt;=MA_LONG2,AVERAGE(INDEX($D$5:$D235,232-MA_LONG2):$D235),"")</f>
        <v/>
      </c>
      <c r="I235" s="51" t="n">
        <v>774906.23</v>
      </c>
      <c r="J235" s="52" t="str">
        <f aca="false">IF($N235&gt;1,$I235/$I234-1,"")</f>
        <v/>
      </c>
      <c r="K235" s="51" t="str">
        <f aca="false">IF($N235&gt;=MA_SHORT,AVERAGE(INDEX($I$5:$I235,232-MA_SHORT):$I235),"")</f>
        <v/>
      </c>
      <c r="L235" s="51" t="str">
        <f aca="false">IF($N235&gt;=MA_MED,AVERAGE(INDEX($I$5:$I235,232-MA_MED):$I235),"")</f>
        <v/>
      </c>
      <c r="M235" s="51" t="str">
        <f aca="false">IF($N235&gt;=MA_LONG2,AVERAGE(INDEX($I$5:$I235,232-MA_LONG2):$I235),"")</f>
        <v/>
      </c>
      <c r="N235" s="46" t="n">
        <f aca="false">IF($A235=$A234,$N234+1,1)</f>
        <v>1</v>
      </c>
    </row>
    <row r="236" customFormat="false" ht="15" hidden="false" customHeight="false" outlineLevel="0" collapsed="false">
      <c r="A236" s="45" t="n">
        <v>46229</v>
      </c>
      <c r="B236" s="46" t="n">
        <v>20260726</v>
      </c>
      <c r="C236" s="47" t="s">
        <v>519</v>
      </c>
      <c r="D236" s="51" t="n">
        <v>2138048.39</v>
      </c>
      <c r="E236" s="52" t="str">
        <f aca="false">IF($N236&gt;1,$D236/$D235-1,"")</f>
        <v/>
      </c>
      <c r="F236" s="51" t="str">
        <f aca="false">IF($N236&gt;=MA_SHORT,AVERAGE(INDEX($D$5:$D236,233-MA_SHORT):$D236),"")</f>
        <v/>
      </c>
      <c r="G236" s="51" t="str">
        <f aca="false">IF($N236&gt;=MA_MED,AVERAGE(INDEX($D$5:$D236,233-MA_MED):$D236),"")</f>
        <v/>
      </c>
      <c r="H236" s="51" t="str">
        <f aca="false">IF($N236&gt;=MA_LONG2,AVERAGE(INDEX($D$5:$D236,233-MA_LONG2):$D236),"")</f>
        <v/>
      </c>
      <c r="I236" s="51" t="n">
        <v>774190.69</v>
      </c>
      <c r="J236" s="52" t="str">
        <f aca="false">IF($N236&gt;1,$I236/$I235-1,"")</f>
        <v/>
      </c>
      <c r="K236" s="51" t="str">
        <f aca="false">IF($N236&gt;=MA_SHORT,AVERAGE(INDEX($I$5:$I236,233-MA_SHORT):$I236),"")</f>
        <v/>
      </c>
      <c r="L236" s="51" t="str">
        <f aca="false">IF($N236&gt;=MA_MED,AVERAGE(INDEX($I$5:$I236,233-MA_MED):$I236),"")</f>
        <v/>
      </c>
      <c r="M236" s="51" t="str">
        <f aca="false">IF($N236&gt;=MA_LONG2,AVERAGE(INDEX($I$5:$I236,233-MA_LONG2):$I236),"")</f>
        <v/>
      </c>
      <c r="N236" s="46" t="n">
        <f aca="false">IF($A236=$A235,$N235+1,1)</f>
        <v>1</v>
      </c>
    </row>
    <row r="237" customFormat="false" ht="15" hidden="false" customHeight="false" outlineLevel="0" collapsed="false">
      <c r="A237" s="45" t="n">
        <v>46230</v>
      </c>
      <c r="B237" s="46" t="n">
        <v>20260727</v>
      </c>
      <c r="C237" s="47" t="s">
        <v>520</v>
      </c>
      <c r="D237" s="51" t="n">
        <v>2151653.62</v>
      </c>
      <c r="E237" s="52" t="str">
        <f aca="false">IF($N237&gt;1,$D237/$D236-1,"")</f>
        <v/>
      </c>
      <c r="F237" s="51" t="str">
        <f aca="false">IF($N237&gt;=MA_SHORT,AVERAGE(INDEX($D$5:$D237,234-MA_SHORT):$D237),"")</f>
        <v/>
      </c>
      <c r="G237" s="51" t="str">
        <f aca="false">IF($N237&gt;=MA_MED,AVERAGE(INDEX($D$5:$D237,234-MA_MED):$D237),"")</f>
        <v/>
      </c>
      <c r="H237" s="51" t="str">
        <f aca="false">IF($N237&gt;=MA_LONG2,AVERAGE(INDEX($D$5:$D237,234-MA_LONG2):$D237),"")</f>
        <v/>
      </c>
      <c r="I237" s="51" t="n">
        <v>772524.71</v>
      </c>
      <c r="J237" s="52" t="str">
        <f aca="false">IF($N237&gt;1,$I237/$I236-1,"")</f>
        <v/>
      </c>
      <c r="K237" s="51" t="str">
        <f aca="false">IF($N237&gt;=MA_SHORT,AVERAGE(INDEX($I$5:$I237,234-MA_SHORT):$I237),"")</f>
        <v/>
      </c>
      <c r="L237" s="51" t="str">
        <f aca="false">IF($N237&gt;=MA_MED,AVERAGE(INDEX($I$5:$I237,234-MA_MED):$I237),"")</f>
        <v/>
      </c>
      <c r="M237" s="51" t="str">
        <f aca="false">IF($N237&gt;=MA_LONG2,AVERAGE(INDEX($I$5:$I237,234-MA_LONG2):$I237),"")</f>
        <v/>
      </c>
      <c r="N237" s="46" t="n">
        <f aca="false">IF($A237=$A236,$N236+1,1)</f>
        <v>1</v>
      </c>
    </row>
    <row r="238" customFormat="false" ht="15" hidden="false" customHeight="false" outlineLevel="0" collapsed="false">
      <c r="A238" s="45" t="n">
        <v>46231</v>
      </c>
      <c r="B238" s="46" t="n">
        <v>20260728</v>
      </c>
      <c r="C238" s="47" t="s">
        <v>521</v>
      </c>
      <c r="D238" s="51" t="n">
        <v>2124312.5</v>
      </c>
      <c r="E238" s="52" t="str">
        <f aca="false">IF($N238&gt;1,$D238/$D237-1,"")</f>
        <v/>
      </c>
      <c r="F238" s="51" t="str">
        <f aca="false">IF($N238&gt;=MA_SHORT,AVERAGE(INDEX($D$5:$D238,235-MA_SHORT):$D238),"")</f>
        <v/>
      </c>
      <c r="G238" s="51" t="str">
        <f aca="false">IF($N238&gt;=MA_MED,AVERAGE(INDEX($D$5:$D238,235-MA_MED):$D238),"")</f>
        <v/>
      </c>
      <c r="H238" s="51" t="str">
        <f aca="false">IF($N238&gt;=MA_LONG2,AVERAGE(INDEX($D$5:$D238,235-MA_LONG2):$D238),"")</f>
        <v/>
      </c>
      <c r="I238" s="51" t="n">
        <v>751138.63</v>
      </c>
      <c r="J238" s="52" t="str">
        <f aca="false">IF($N238&gt;1,$I238/$I237-1,"")</f>
        <v/>
      </c>
      <c r="K238" s="51" t="str">
        <f aca="false">IF($N238&gt;=MA_SHORT,AVERAGE(INDEX($I$5:$I238,235-MA_SHORT):$I238),"")</f>
        <v/>
      </c>
      <c r="L238" s="51" t="str">
        <f aca="false">IF($N238&gt;=MA_MED,AVERAGE(INDEX($I$5:$I238,235-MA_MED):$I238),"")</f>
        <v/>
      </c>
      <c r="M238" s="51" t="str">
        <f aca="false">IF($N238&gt;=MA_LONG2,AVERAGE(INDEX($I$5:$I238,235-MA_LONG2):$I238),"")</f>
        <v/>
      </c>
      <c r="N238" s="46" t="n">
        <f aca="false">IF($A238=$A237,$N237+1,1)</f>
        <v>1</v>
      </c>
    </row>
    <row r="239" customFormat="false" ht="15" hidden="false" customHeight="false" outlineLevel="0" collapsed="false">
      <c r="A239" s="45" t="n">
        <v>46232</v>
      </c>
      <c r="B239" s="46" t="n">
        <v>20260729</v>
      </c>
      <c r="C239" s="47" t="s">
        <v>522</v>
      </c>
      <c r="D239" s="51" t="n">
        <v>2109560.87</v>
      </c>
      <c r="E239" s="52" t="str">
        <f aca="false">IF($N239&gt;1,$D239/$D238-1,"")</f>
        <v/>
      </c>
      <c r="F239" s="51" t="str">
        <f aca="false">IF($N239&gt;=MA_SHORT,AVERAGE(INDEX($D$5:$D239,236-MA_SHORT):$D239),"")</f>
        <v/>
      </c>
      <c r="G239" s="51" t="str">
        <f aca="false">IF($N239&gt;=MA_MED,AVERAGE(INDEX($D$5:$D239,236-MA_MED):$D239),"")</f>
        <v/>
      </c>
      <c r="H239" s="51" t="str">
        <f aca="false">IF($N239&gt;=MA_LONG2,AVERAGE(INDEX($D$5:$D239,236-MA_LONG2):$D239),"")</f>
        <v/>
      </c>
      <c r="I239" s="51" t="n">
        <v>733688.69</v>
      </c>
      <c r="J239" s="52" t="str">
        <f aca="false">IF($N239&gt;1,$I239/$I238-1,"")</f>
        <v/>
      </c>
      <c r="K239" s="51" t="str">
        <f aca="false">IF($N239&gt;=MA_SHORT,AVERAGE(INDEX($I$5:$I239,236-MA_SHORT):$I239),"")</f>
        <v/>
      </c>
      <c r="L239" s="51" t="str">
        <f aca="false">IF($N239&gt;=MA_MED,AVERAGE(INDEX($I$5:$I239,236-MA_MED):$I239),"")</f>
        <v/>
      </c>
      <c r="M239" s="51" t="str">
        <f aca="false">IF($N239&gt;=MA_LONG2,AVERAGE(INDEX($I$5:$I239,236-MA_LONG2):$I239),"")</f>
        <v/>
      </c>
      <c r="N239" s="46" t="n">
        <f aca="false">IF($A239=$A238,$N238+1,1)</f>
        <v>1</v>
      </c>
    </row>
    <row r="240" customFormat="false" ht="15" hidden="false" customHeight="false" outlineLevel="0" collapsed="false">
      <c r="A240" s="45" t="n">
        <v>46235</v>
      </c>
      <c r="B240" s="46" t="n">
        <v>20260801</v>
      </c>
      <c r="C240" s="47" t="s">
        <v>523</v>
      </c>
      <c r="D240" s="51" t="n">
        <v>2096849.37</v>
      </c>
      <c r="E240" s="52" t="str">
        <f aca="false">IF($N240&gt;1,$D240/$D239-1,"")</f>
        <v/>
      </c>
      <c r="F240" s="51" t="str">
        <f aca="false">IF($N240&gt;=MA_SHORT,AVERAGE(INDEX($D$5:$D240,237-MA_SHORT):$D240),"")</f>
        <v/>
      </c>
      <c r="G240" s="51" t="str">
        <f aca="false">IF($N240&gt;=MA_MED,AVERAGE(INDEX($D$5:$D240,237-MA_MED):$D240),"")</f>
        <v/>
      </c>
      <c r="H240" s="51" t="str">
        <f aca="false">IF($N240&gt;=MA_LONG2,AVERAGE(INDEX($D$5:$D240,237-MA_LONG2):$D240),"")</f>
        <v/>
      </c>
      <c r="I240" s="51" t="n">
        <v>726316.26</v>
      </c>
      <c r="J240" s="52" t="str">
        <f aca="false">IF($N240&gt;1,$I240/$I239-1,"")</f>
        <v/>
      </c>
      <c r="K240" s="51" t="str">
        <f aca="false">IF($N240&gt;=MA_SHORT,AVERAGE(INDEX($I$5:$I240,237-MA_SHORT):$I240),"")</f>
        <v/>
      </c>
      <c r="L240" s="51" t="str">
        <f aca="false">IF($N240&gt;=MA_MED,AVERAGE(INDEX($I$5:$I240,237-MA_MED):$I240),"")</f>
        <v/>
      </c>
      <c r="M240" s="51" t="str">
        <f aca="false">IF($N240&gt;=MA_LONG2,AVERAGE(INDEX($I$5:$I240,237-MA_LONG2):$I240),"")</f>
        <v/>
      </c>
      <c r="N240" s="46" t="n">
        <f aca="false">IF($A240=$A239,$N239+1,1)</f>
        <v>1</v>
      </c>
    </row>
    <row r="241" customFormat="false" ht="15" hidden="false" customHeight="false" outlineLevel="0" collapsed="false">
      <c r="A241" s="45" t="n">
        <v>46236</v>
      </c>
      <c r="B241" s="46" t="n">
        <v>20260802</v>
      </c>
      <c r="C241" s="47" t="s">
        <v>524</v>
      </c>
      <c r="D241" s="51" t="n">
        <v>2118163.33</v>
      </c>
      <c r="E241" s="52" t="str">
        <f aca="false">IF($N241&gt;1,$D241/$D240-1,"")</f>
        <v/>
      </c>
      <c r="F241" s="51" t="str">
        <f aca="false">IF($N241&gt;=MA_SHORT,AVERAGE(INDEX($D$5:$D241,238-MA_SHORT):$D241),"")</f>
        <v/>
      </c>
      <c r="G241" s="51" t="str">
        <f aca="false">IF($N241&gt;=MA_MED,AVERAGE(INDEX($D$5:$D241,238-MA_MED):$D241),"")</f>
        <v/>
      </c>
      <c r="H241" s="51" t="str">
        <f aca="false">IF($N241&gt;=MA_LONG2,AVERAGE(INDEX($D$5:$D241,238-MA_LONG2):$D241),"")</f>
        <v/>
      </c>
      <c r="I241" s="51" t="n">
        <v>717851.4</v>
      </c>
      <c r="J241" s="52" t="str">
        <f aca="false">IF($N241&gt;1,$I241/$I240-1,"")</f>
        <v/>
      </c>
      <c r="K241" s="51" t="str">
        <f aca="false">IF($N241&gt;=MA_SHORT,AVERAGE(INDEX($I$5:$I241,238-MA_SHORT):$I241),"")</f>
        <v/>
      </c>
      <c r="L241" s="51" t="str">
        <f aca="false">IF($N241&gt;=MA_MED,AVERAGE(INDEX($I$5:$I241,238-MA_MED):$I241),"")</f>
        <v/>
      </c>
      <c r="M241" s="51" t="str">
        <f aca="false">IF($N241&gt;=MA_LONG2,AVERAGE(INDEX($I$5:$I241,238-MA_LONG2):$I241),"")</f>
        <v/>
      </c>
      <c r="N241" s="46" t="n">
        <f aca="false">IF($A241=$A240,$N240+1,1)</f>
        <v>1</v>
      </c>
    </row>
    <row r="242" customFormat="false" ht="15" hidden="false" customHeight="false" outlineLevel="0" collapsed="false">
      <c r="A242" s="45" t="n">
        <v>46237</v>
      </c>
      <c r="B242" s="46" t="n">
        <v>20260803</v>
      </c>
      <c r="C242" s="47" t="s">
        <v>525</v>
      </c>
      <c r="D242" s="51" t="n">
        <v>2085357.41</v>
      </c>
      <c r="E242" s="52" t="str">
        <f aca="false">IF($N242&gt;1,$D242/$D241-1,"")</f>
        <v/>
      </c>
      <c r="F242" s="51" t="str">
        <f aca="false">IF($N242&gt;=MA_SHORT,AVERAGE(INDEX($D$5:$D242,239-MA_SHORT):$D242),"")</f>
        <v/>
      </c>
      <c r="G242" s="51" t="str">
        <f aca="false">IF($N242&gt;=MA_MED,AVERAGE(INDEX($D$5:$D242,239-MA_MED):$D242),"")</f>
        <v/>
      </c>
      <c r="H242" s="51" t="str">
        <f aca="false">IF($N242&gt;=MA_LONG2,AVERAGE(INDEX($D$5:$D242,239-MA_LONG2):$D242),"")</f>
        <v/>
      </c>
      <c r="I242" s="51" t="n">
        <v>719957.5</v>
      </c>
      <c r="J242" s="52" t="str">
        <f aca="false">IF($N242&gt;1,$I242/$I241-1,"")</f>
        <v/>
      </c>
      <c r="K242" s="51" t="str">
        <f aca="false">IF($N242&gt;=MA_SHORT,AVERAGE(INDEX($I$5:$I242,239-MA_SHORT):$I242),"")</f>
        <v/>
      </c>
      <c r="L242" s="51" t="str">
        <f aca="false">IF($N242&gt;=MA_MED,AVERAGE(INDEX($I$5:$I242,239-MA_MED):$I242),"")</f>
        <v/>
      </c>
      <c r="M242" s="51" t="str">
        <f aca="false">IF($N242&gt;=MA_LONG2,AVERAGE(INDEX($I$5:$I242,239-MA_LONG2):$I242),"")</f>
        <v/>
      </c>
      <c r="N242" s="46" t="n">
        <f aca="false">IF($A242=$A241,$N241+1,1)</f>
        <v>1</v>
      </c>
    </row>
    <row r="243" customFormat="false" ht="15" hidden="false" customHeight="false" outlineLevel="0" collapsed="false">
      <c r="A243" s="45" t="n">
        <v>46238</v>
      </c>
      <c r="B243" s="46" t="n">
        <v>20260804</v>
      </c>
      <c r="C243" s="47" t="s">
        <v>526</v>
      </c>
      <c r="D243" s="51" t="n">
        <v>2051525.72</v>
      </c>
      <c r="E243" s="52" t="str">
        <f aca="false">IF($N243&gt;1,$D243/$D242-1,"")</f>
        <v/>
      </c>
      <c r="F243" s="51" t="str">
        <f aca="false">IF($N243&gt;=MA_SHORT,AVERAGE(INDEX($D$5:$D243,240-MA_SHORT):$D243),"")</f>
        <v/>
      </c>
      <c r="G243" s="51" t="str">
        <f aca="false">IF($N243&gt;=MA_MED,AVERAGE(INDEX($D$5:$D243,240-MA_MED):$D243),"")</f>
        <v/>
      </c>
      <c r="H243" s="51" t="str">
        <f aca="false">IF($N243&gt;=MA_LONG2,AVERAGE(INDEX($D$5:$D243,240-MA_LONG2):$D243),"")</f>
        <v/>
      </c>
      <c r="I243" s="51" t="n">
        <v>736643.94</v>
      </c>
      <c r="J243" s="52" t="str">
        <f aca="false">IF($N243&gt;1,$I243/$I242-1,"")</f>
        <v/>
      </c>
      <c r="K243" s="51" t="str">
        <f aca="false">IF($N243&gt;=MA_SHORT,AVERAGE(INDEX($I$5:$I243,240-MA_SHORT):$I243),"")</f>
        <v/>
      </c>
      <c r="L243" s="51" t="str">
        <f aca="false">IF($N243&gt;=MA_MED,AVERAGE(INDEX($I$5:$I243,240-MA_MED):$I243),"")</f>
        <v/>
      </c>
      <c r="M243" s="51" t="str">
        <f aca="false">IF($N243&gt;=MA_LONG2,AVERAGE(INDEX($I$5:$I243,240-MA_LONG2):$I243),"")</f>
        <v/>
      </c>
      <c r="N243" s="46" t="n">
        <f aca="false">IF($A243=$A242,$N242+1,1)</f>
        <v>1</v>
      </c>
    </row>
    <row r="244" customFormat="false" ht="15" hidden="false" customHeight="false" outlineLevel="0" collapsed="false">
      <c r="A244" s="45" t="n">
        <v>46239</v>
      </c>
      <c r="B244" s="46" t="n">
        <v>20260805</v>
      </c>
      <c r="C244" s="47" t="s">
        <v>527</v>
      </c>
      <c r="D244" s="51" t="n">
        <v>2041240.46</v>
      </c>
      <c r="E244" s="52" t="str">
        <f aca="false">IF($N244&gt;1,$D244/$D243-1,"")</f>
        <v/>
      </c>
      <c r="F244" s="51" t="str">
        <f aca="false">IF($N244&gt;=MA_SHORT,AVERAGE(INDEX($D$5:$D244,241-MA_SHORT):$D244),"")</f>
        <v/>
      </c>
      <c r="G244" s="51" t="str">
        <f aca="false">IF($N244&gt;=MA_MED,AVERAGE(INDEX($D$5:$D244,241-MA_MED):$D244),"")</f>
        <v/>
      </c>
      <c r="H244" s="51" t="str">
        <f aca="false">IF($N244&gt;=MA_LONG2,AVERAGE(INDEX($D$5:$D244,241-MA_LONG2):$D244),"")</f>
        <v/>
      </c>
      <c r="I244" s="51" t="n">
        <v>745844.35</v>
      </c>
      <c r="J244" s="52" t="str">
        <f aca="false">IF($N244&gt;1,$I244/$I243-1,"")</f>
        <v/>
      </c>
      <c r="K244" s="51" t="str">
        <f aca="false">IF($N244&gt;=MA_SHORT,AVERAGE(INDEX($I$5:$I244,241-MA_SHORT):$I244),"")</f>
        <v/>
      </c>
      <c r="L244" s="51" t="str">
        <f aca="false">IF($N244&gt;=MA_MED,AVERAGE(INDEX($I$5:$I244,241-MA_MED):$I244),"")</f>
        <v/>
      </c>
      <c r="M244" s="51" t="str">
        <f aca="false">IF($N244&gt;=MA_LONG2,AVERAGE(INDEX($I$5:$I244,241-MA_LONG2):$I244),"")</f>
        <v/>
      </c>
      <c r="N244" s="46" t="n">
        <f aca="false">IF($A244=$A243,$N243+1,1)</f>
        <v>1</v>
      </c>
    </row>
    <row r="245" customFormat="false" ht="15" hidden="false" customHeight="false" outlineLevel="0" collapsed="false">
      <c r="A245" s="45" t="n">
        <v>46242</v>
      </c>
      <c r="B245" s="46" t="n">
        <v>20260808</v>
      </c>
      <c r="C245" s="47" t="s">
        <v>528</v>
      </c>
      <c r="D245" s="51" t="n">
        <v>2022577.27</v>
      </c>
      <c r="E245" s="52" t="str">
        <f aca="false">IF($N245&gt;1,$D245/$D244-1,"")</f>
        <v/>
      </c>
      <c r="F245" s="51" t="str">
        <f aca="false">IF($N245&gt;=MA_SHORT,AVERAGE(INDEX($D$5:$D245,242-MA_SHORT):$D245),"")</f>
        <v/>
      </c>
      <c r="G245" s="51" t="str">
        <f aca="false">IF($N245&gt;=MA_MED,AVERAGE(INDEX($D$5:$D245,242-MA_MED):$D245),"")</f>
        <v/>
      </c>
      <c r="H245" s="51" t="str">
        <f aca="false">IF($N245&gt;=MA_LONG2,AVERAGE(INDEX($D$5:$D245,242-MA_LONG2):$D245),"")</f>
        <v/>
      </c>
      <c r="I245" s="51" t="n">
        <v>741067.1</v>
      </c>
      <c r="J245" s="52" t="str">
        <f aca="false">IF($N245&gt;1,$I245/$I244-1,"")</f>
        <v/>
      </c>
      <c r="K245" s="51" t="str">
        <f aca="false">IF($N245&gt;=MA_SHORT,AVERAGE(INDEX($I$5:$I245,242-MA_SHORT):$I245),"")</f>
        <v/>
      </c>
      <c r="L245" s="51" t="str">
        <f aca="false">IF($N245&gt;=MA_MED,AVERAGE(INDEX($I$5:$I245,242-MA_MED):$I245),"")</f>
        <v/>
      </c>
      <c r="M245" s="51" t="str">
        <f aca="false">IF($N245&gt;=MA_LONG2,AVERAGE(INDEX($I$5:$I245,242-MA_LONG2):$I245),"")</f>
        <v/>
      </c>
      <c r="N245" s="46" t="n">
        <f aca="false">IF($A245=$A244,$N244+1,1)</f>
        <v>1</v>
      </c>
    </row>
    <row r="246" customFormat="false" ht="15" hidden="false" customHeight="false" outlineLevel="0" collapsed="false">
      <c r="A246" s="45" t="n">
        <v>46243</v>
      </c>
      <c r="B246" s="46" t="n">
        <v>20260809</v>
      </c>
      <c r="C246" s="47" t="s">
        <v>529</v>
      </c>
      <c r="D246" s="51" t="n">
        <v>2020286.27</v>
      </c>
      <c r="E246" s="52" t="str">
        <f aca="false">IF($N246&gt;1,$D246/$D245-1,"")</f>
        <v/>
      </c>
      <c r="F246" s="51" t="str">
        <f aca="false">IF($N246&gt;=MA_SHORT,AVERAGE(INDEX($D$5:$D246,243-MA_SHORT):$D246),"")</f>
        <v/>
      </c>
      <c r="G246" s="51" t="str">
        <f aca="false">IF($N246&gt;=MA_MED,AVERAGE(INDEX($D$5:$D246,243-MA_MED):$D246),"")</f>
        <v/>
      </c>
      <c r="H246" s="51" t="str">
        <f aca="false">IF($N246&gt;=MA_LONG2,AVERAGE(INDEX($D$5:$D246,243-MA_LONG2):$D246),"")</f>
        <v/>
      </c>
      <c r="I246" s="51" t="n">
        <v>753278.6</v>
      </c>
      <c r="J246" s="52" t="str">
        <f aca="false">IF($N246&gt;1,$I246/$I245-1,"")</f>
        <v/>
      </c>
      <c r="K246" s="51" t="str">
        <f aca="false">IF($N246&gt;=MA_SHORT,AVERAGE(INDEX($I$5:$I246,243-MA_SHORT):$I246),"")</f>
        <v/>
      </c>
      <c r="L246" s="51" t="str">
        <f aca="false">IF($N246&gt;=MA_MED,AVERAGE(INDEX($I$5:$I246,243-MA_MED):$I246),"")</f>
        <v/>
      </c>
      <c r="M246" s="51" t="str">
        <f aca="false">IF($N246&gt;=MA_LONG2,AVERAGE(INDEX($I$5:$I246,243-MA_LONG2):$I246),"")</f>
        <v/>
      </c>
      <c r="N246" s="46" t="n">
        <f aca="false">IF($A246=$A245,$N245+1,1)</f>
        <v>1</v>
      </c>
    </row>
    <row r="247" customFormat="false" ht="15" hidden="false" customHeight="false" outlineLevel="0" collapsed="false">
      <c r="A247" s="45" t="n">
        <v>46244</v>
      </c>
      <c r="B247" s="46" t="n">
        <v>20260810</v>
      </c>
      <c r="C247" s="47" t="s">
        <v>530</v>
      </c>
      <c r="D247" s="51" t="n">
        <v>2055899.84</v>
      </c>
      <c r="E247" s="52" t="str">
        <f aca="false">IF($N247&gt;1,$D247/$D246-1,"")</f>
        <v/>
      </c>
      <c r="F247" s="51" t="str">
        <f aca="false">IF($N247&gt;=MA_SHORT,AVERAGE(INDEX($D$5:$D247,244-MA_SHORT):$D247),"")</f>
        <v/>
      </c>
      <c r="G247" s="51" t="str">
        <f aca="false">IF($N247&gt;=MA_MED,AVERAGE(INDEX($D$5:$D247,244-MA_MED):$D247),"")</f>
        <v/>
      </c>
      <c r="H247" s="51" t="str">
        <f aca="false">IF($N247&gt;=MA_LONG2,AVERAGE(INDEX($D$5:$D247,244-MA_LONG2):$D247),"")</f>
        <v/>
      </c>
      <c r="I247" s="51" t="n">
        <v>754187.51</v>
      </c>
      <c r="J247" s="52" t="str">
        <f aca="false">IF($N247&gt;1,$I247/$I246-1,"")</f>
        <v/>
      </c>
      <c r="K247" s="51" t="str">
        <f aca="false">IF($N247&gt;=MA_SHORT,AVERAGE(INDEX($I$5:$I247,244-MA_SHORT):$I247),"")</f>
        <v/>
      </c>
      <c r="L247" s="51" t="str">
        <f aca="false">IF($N247&gt;=MA_MED,AVERAGE(INDEX($I$5:$I247,244-MA_MED):$I247),"")</f>
        <v/>
      </c>
      <c r="M247" s="51" t="str">
        <f aca="false">IF($N247&gt;=MA_LONG2,AVERAGE(INDEX($I$5:$I247,244-MA_LONG2):$I247),"")</f>
        <v/>
      </c>
      <c r="N247" s="46" t="n">
        <f aca="false">IF($A247=$A246,$N246+1,1)</f>
        <v>1</v>
      </c>
    </row>
    <row r="248" customFormat="false" ht="15" hidden="false" customHeight="false" outlineLevel="0" collapsed="false">
      <c r="A248" s="45" t="n">
        <v>46245</v>
      </c>
      <c r="B248" s="46" t="n">
        <v>20260811</v>
      </c>
      <c r="C248" s="47" t="s">
        <v>531</v>
      </c>
      <c r="D248" s="51" t="n">
        <v>2088162.89</v>
      </c>
      <c r="E248" s="52" t="str">
        <f aca="false">IF($N248&gt;1,$D248/$D247-1,"")</f>
        <v/>
      </c>
      <c r="F248" s="51" t="str">
        <f aca="false">IF($N248&gt;=MA_SHORT,AVERAGE(INDEX($D$5:$D248,245-MA_SHORT):$D248),"")</f>
        <v/>
      </c>
      <c r="G248" s="51" t="str">
        <f aca="false">IF($N248&gt;=MA_MED,AVERAGE(INDEX($D$5:$D248,245-MA_MED):$D248),"")</f>
        <v/>
      </c>
      <c r="H248" s="51" t="str">
        <f aca="false">IF($N248&gt;=MA_LONG2,AVERAGE(INDEX($D$5:$D248,245-MA_LONG2):$D248),"")</f>
        <v/>
      </c>
      <c r="I248" s="51" t="n">
        <v>761491.65</v>
      </c>
      <c r="J248" s="52" t="str">
        <f aca="false">IF($N248&gt;1,$I248/$I247-1,"")</f>
        <v/>
      </c>
      <c r="K248" s="51" t="str">
        <f aca="false">IF($N248&gt;=MA_SHORT,AVERAGE(INDEX($I$5:$I248,245-MA_SHORT):$I248),"")</f>
        <v/>
      </c>
      <c r="L248" s="51" t="str">
        <f aca="false">IF($N248&gt;=MA_MED,AVERAGE(INDEX($I$5:$I248,245-MA_MED):$I248),"")</f>
        <v/>
      </c>
      <c r="M248" s="51" t="str">
        <f aca="false">IF($N248&gt;=MA_LONG2,AVERAGE(INDEX($I$5:$I248,245-MA_LONG2):$I248),"")</f>
        <v/>
      </c>
      <c r="N248" s="46" t="n">
        <f aca="false">IF($A248=$A247,$N247+1,1)</f>
        <v>1</v>
      </c>
    </row>
    <row r="249" customFormat="false" ht="15" hidden="false" customHeight="false" outlineLevel="0" collapsed="false">
      <c r="A249" s="45" t="n">
        <v>46246</v>
      </c>
      <c r="B249" s="46" t="n">
        <v>20260812</v>
      </c>
      <c r="C249" s="47" t="s">
        <v>532</v>
      </c>
      <c r="D249" s="51" t="n">
        <v>2097955.3</v>
      </c>
      <c r="E249" s="52" t="str">
        <f aca="false">IF($N249&gt;1,$D249/$D248-1,"")</f>
        <v/>
      </c>
      <c r="F249" s="51" t="str">
        <f aca="false">IF($N249&gt;=MA_SHORT,AVERAGE(INDEX($D$5:$D249,246-MA_SHORT):$D249),"")</f>
        <v/>
      </c>
      <c r="G249" s="51" t="str">
        <f aca="false">IF($N249&gt;=MA_MED,AVERAGE(INDEX($D$5:$D249,246-MA_MED):$D249),"")</f>
        <v/>
      </c>
      <c r="H249" s="51" t="str">
        <f aca="false">IF($N249&gt;=MA_LONG2,AVERAGE(INDEX($D$5:$D249,246-MA_LONG2):$D249),"")</f>
        <v/>
      </c>
      <c r="I249" s="51" t="n">
        <v>768668.92</v>
      </c>
      <c r="J249" s="52" t="str">
        <f aca="false">IF($N249&gt;1,$I249/$I248-1,"")</f>
        <v/>
      </c>
      <c r="K249" s="51" t="str">
        <f aca="false">IF($N249&gt;=MA_SHORT,AVERAGE(INDEX($I$5:$I249,246-MA_SHORT):$I249),"")</f>
        <v/>
      </c>
      <c r="L249" s="51" t="str">
        <f aca="false">IF($N249&gt;=MA_MED,AVERAGE(INDEX($I$5:$I249,246-MA_MED):$I249),"")</f>
        <v/>
      </c>
      <c r="M249" s="51" t="str">
        <f aca="false">IF($N249&gt;=MA_LONG2,AVERAGE(INDEX($I$5:$I249,246-MA_LONG2):$I249),"")</f>
        <v/>
      </c>
      <c r="N249" s="46" t="n">
        <f aca="false">IF($A249=$A248,$N248+1,1)</f>
        <v>1</v>
      </c>
    </row>
    <row r="250" customFormat="false" ht="15" hidden="false" customHeight="false" outlineLevel="0" collapsed="false">
      <c r="A250" s="45" t="n">
        <v>46249</v>
      </c>
      <c r="B250" s="46" t="n">
        <v>20260815</v>
      </c>
      <c r="C250" s="47" t="s">
        <v>533</v>
      </c>
      <c r="D250" s="51" t="n">
        <v>2136506.32</v>
      </c>
      <c r="E250" s="52" t="str">
        <f aca="false">IF($N250&gt;1,$D250/$D249-1,"")</f>
        <v/>
      </c>
      <c r="F250" s="51" t="str">
        <f aca="false">IF($N250&gt;=MA_SHORT,AVERAGE(INDEX($D$5:$D250,247-MA_SHORT):$D250),"")</f>
        <v/>
      </c>
      <c r="G250" s="51" t="str">
        <f aca="false">IF($N250&gt;=MA_MED,AVERAGE(INDEX($D$5:$D250,247-MA_MED):$D250),"")</f>
        <v/>
      </c>
      <c r="H250" s="51" t="str">
        <f aca="false">IF($N250&gt;=MA_LONG2,AVERAGE(INDEX($D$5:$D250,247-MA_LONG2):$D250),"")</f>
        <v/>
      </c>
      <c r="I250" s="51" t="n">
        <v>769400.01</v>
      </c>
      <c r="J250" s="52" t="str">
        <f aca="false">IF($N250&gt;1,$I250/$I249-1,"")</f>
        <v/>
      </c>
      <c r="K250" s="51" t="str">
        <f aca="false">IF($N250&gt;=MA_SHORT,AVERAGE(INDEX($I$5:$I250,247-MA_SHORT):$I250),"")</f>
        <v/>
      </c>
      <c r="L250" s="51" t="str">
        <f aca="false">IF($N250&gt;=MA_MED,AVERAGE(INDEX($I$5:$I250,247-MA_MED):$I250),"")</f>
        <v/>
      </c>
      <c r="M250" s="51" t="str">
        <f aca="false">IF($N250&gt;=MA_LONG2,AVERAGE(INDEX($I$5:$I250,247-MA_LONG2):$I250),"")</f>
        <v/>
      </c>
      <c r="N250" s="46" t="n">
        <f aca="false">IF($A250=$A249,$N249+1,1)</f>
        <v>1</v>
      </c>
    </row>
    <row r="251" customFormat="false" ht="15" hidden="false" customHeight="false" outlineLevel="0" collapsed="false">
      <c r="A251" s="45" t="n">
        <v>46250</v>
      </c>
      <c r="B251" s="46" t="n">
        <v>20260816</v>
      </c>
      <c r="C251" s="47" t="s">
        <v>534</v>
      </c>
      <c r="D251" s="51" t="n">
        <v>2093202.94</v>
      </c>
      <c r="E251" s="52" t="str">
        <f aca="false">IF($N251&gt;1,$D251/$D250-1,"")</f>
        <v/>
      </c>
      <c r="F251" s="51" t="str">
        <f aca="false">IF($N251&gt;=MA_SHORT,AVERAGE(INDEX($D$5:$D251,248-MA_SHORT):$D251),"")</f>
        <v/>
      </c>
      <c r="G251" s="51" t="str">
        <f aca="false">IF($N251&gt;=MA_MED,AVERAGE(INDEX($D$5:$D251,248-MA_MED):$D251),"")</f>
        <v/>
      </c>
      <c r="H251" s="51" t="str">
        <f aca="false">IF($N251&gt;=MA_LONG2,AVERAGE(INDEX($D$5:$D251,248-MA_LONG2):$D251),"")</f>
        <v/>
      </c>
      <c r="I251" s="51" t="n">
        <v>774488.15</v>
      </c>
      <c r="J251" s="52" t="str">
        <f aca="false">IF($N251&gt;1,$I251/$I250-1,"")</f>
        <v/>
      </c>
      <c r="K251" s="51" t="str">
        <f aca="false">IF($N251&gt;=MA_SHORT,AVERAGE(INDEX($I$5:$I251,248-MA_SHORT):$I251),"")</f>
        <v/>
      </c>
      <c r="L251" s="51" t="str">
        <f aca="false">IF($N251&gt;=MA_MED,AVERAGE(INDEX($I$5:$I251,248-MA_MED):$I251),"")</f>
        <v/>
      </c>
      <c r="M251" s="51" t="str">
        <f aca="false">IF($N251&gt;=MA_LONG2,AVERAGE(INDEX($I$5:$I251,248-MA_LONG2):$I251),"")</f>
        <v/>
      </c>
      <c r="N251" s="46" t="n">
        <f aca="false">IF($A251=$A250,$N250+1,1)</f>
        <v>1</v>
      </c>
    </row>
    <row r="252" customFormat="false" ht="15" hidden="false" customHeight="false" outlineLevel="0" collapsed="false">
      <c r="A252" s="45" t="n">
        <v>46251</v>
      </c>
      <c r="B252" s="46" t="n">
        <v>20260817</v>
      </c>
      <c r="C252" s="47" t="s">
        <v>535</v>
      </c>
      <c r="D252" s="51" t="n">
        <v>2120273.89</v>
      </c>
      <c r="E252" s="52" t="str">
        <f aca="false">IF($N252&gt;1,$D252/$D251-1,"")</f>
        <v/>
      </c>
      <c r="F252" s="51" t="str">
        <f aca="false">IF($N252&gt;=MA_SHORT,AVERAGE(INDEX($D$5:$D252,249-MA_SHORT):$D252),"")</f>
        <v/>
      </c>
      <c r="G252" s="51" t="str">
        <f aca="false">IF($N252&gt;=MA_MED,AVERAGE(INDEX($D$5:$D252,249-MA_MED):$D252),"")</f>
        <v/>
      </c>
      <c r="H252" s="51" t="str">
        <f aca="false">IF($N252&gt;=MA_LONG2,AVERAGE(INDEX($D$5:$D252,249-MA_LONG2):$D252),"")</f>
        <v/>
      </c>
      <c r="I252" s="51" t="n">
        <v>768769.96</v>
      </c>
      <c r="J252" s="52" t="str">
        <f aca="false">IF($N252&gt;1,$I252/$I251-1,"")</f>
        <v/>
      </c>
      <c r="K252" s="51" t="str">
        <f aca="false">IF($N252&gt;=MA_SHORT,AVERAGE(INDEX($I$5:$I252,249-MA_SHORT):$I252),"")</f>
        <v/>
      </c>
      <c r="L252" s="51" t="str">
        <f aca="false">IF($N252&gt;=MA_MED,AVERAGE(INDEX($I$5:$I252,249-MA_MED):$I252),"")</f>
        <v/>
      </c>
      <c r="M252" s="51" t="str">
        <f aca="false">IF($N252&gt;=MA_LONG2,AVERAGE(INDEX($I$5:$I252,249-MA_LONG2):$I252),"")</f>
        <v/>
      </c>
      <c r="N252" s="46" t="n">
        <f aca="false">IF($A252=$A251,$N251+1,1)</f>
        <v>1</v>
      </c>
    </row>
    <row r="253" customFormat="false" ht="15" hidden="false" customHeight="false" outlineLevel="0" collapsed="false">
      <c r="A253" s="45" t="n">
        <v>46252</v>
      </c>
      <c r="B253" s="46" t="n">
        <v>20260818</v>
      </c>
      <c r="C253" s="47" t="s">
        <v>536</v>
      </c>
      <c r="D253" s="51" t="n">
        <v>2120190.43</v>
      </c>
      <c r="E253" s="52" t="str">
        <f aca="false">IF($N253&gt;1,$D253/$D252-1,"")</f>
        <v/>
      </c>
      <c r="F253" s="51" t="str">
        <f aca="false">IF($N253&gt;=MA_SHORT,AVERAGE(INDEX($D$5:$D253,250-MA_SHORT):$D253),"")</f>
        <v/>
      </c>
      <c r="G253" s="51" t="str">
        <f aca="false">IF($N253&gt;=MA_MED,AVERAGE(INDEX($D$5:$D253,250-MA_MED):$D253),"")</f>
        <v/>
      </c>
      <c r="H253" s="51" t="str">
        <f aca="false">IF($N253&gt;=MA_LONG2,AVERAGE(INDEX($D$5:$D253,250-MA_LONG2):$D253),"")</f>
        <v/>
      </c>
      <c r="I253" s="51" t="n">
        <v>788264.6</v>
      </c>
      <c r="J253" s="52" t="str">
        <f aca="false">IF($N253&gt;1,$I253/$I252-1,"")</f>
        <v/>
      </c>
      <c r="K253" s="51" t="str">
        <f aca="false">IF($N253&gt;=MA_SHORT,AVERAGE(INDEX($I$5:$I253,250-MA_SHORT):$I253),"")</f>
        <v/>
      </c>
      <c r="L253" s="51" t="str">
        <f aca="false">IF($N253&gt;=MA_MED,AVERAGE(INDEX($I$5:$I253,250-MA_MED):$I253),"")</f>
        <v/>
      </c>
      <c r="M253" s="51" t="str">
        <f aca="false">IF($N253&gt;=MA_LONG2,AVERAGE(INDEX($I$5:$I253,250-MA_LONG2):$I253),"")</f>
        <v/>
      </c>
      <c r="N253" s="46" t="n">
        <f aca="false">IF($A253=$A252,$N252+1,1)</f>
        <v>1</v>
      </c>
    </row>
    <row r="254" customFormat="false" ht="15" hidden="false" customHeight="false" outlineLevel="0" collapsed="false">
      <c r="A254" s="45" t="n">
        <v>46253</v>
      </c>
      <c r="B254" s="46" t="n">
        <v>20260819</v>
      </c>
      <c r="C254" s="47" t="s">
        <v>537</v>
      </c>
      <c r="D254" s="51" t="n">
        <v>2130407.26</v>
      </c>
      <c r="E254" s="52" t="str">
        <f aca="false">IF($N254&gt;1,$D254/$D253-1,"")</f>
        <v/>
      </c>
      <c r="F254" s="51" t="str">
        <f aca="false">IF($N254&gt;=MA_SHORT,AVERAGE(INDEX($D$5:$D254,251-MA_SHORT):$D254),"")</f>
        <v/>
      </c>
      <c r="G254" s="51" t="str">
        <f aca="false">IF($N254&gt;=MA_MED,AVERAGE(INDEX($D$5:$D254,251-MA_MED):$D254),"")</f>
        <v/>
      </c>
      <c r="H254" s="51" t="str">
        <f aca="false">IF($N254&gt;=MA_LONG2,AVERAGE(INDEX($D$5:$D254,251-MA_LONG2):$D254),"")</f>
        <v/>
      </c>
      <c r="I254" s="51" t="n">
        <v>787720.44</v>
      </c>
      <c r="J254" s="52" t="str">
        <f aca="false">IF($N254&gt;1,$I254/$I253-1,"")</f>
        <v/>
      </c>
      <c r="K254" s="51" t="str">
        <f aca="false">IF($N254&gt;=MA_SHORT,AVERAGE(INDEX($I$5:$I254,251-MA_SHORT):$I254),"")</f>
        <v/>
      </c>
      <c r="L254" s="51" t="str">
        <f aca="false">IF($N254&gt;=MA_MED,AVERAGE(INDEX($I$5:$I254,251-MA_MED):$I254),"")</f>
        <v/>
      </c>
      <c r="M254" s="51" t="str">
        <f aca="false">IF($N254&gt;=MA_LONG2,AVERAGE(INDEX($I$5:$I254,251-MA_LONG2):$I254),"")</f>
        <v/>
      </c>
      <c r="N254" s="46" t="n">
        <f aca="false">IF($A254=$A253,$N253+1,1)</f>
        <v>1</v>
      </c>
    </row>
    <row r="255" customFormat="false" ht="15" hidden="false" customHeight="false" outlineLevel="0" collapsed="false">
      <c r="A255" s="45" t="n">
        <v>46256</v>
      </c>
      <c r="B255" s="46" t="n">
        <v>20260822</v>
      </c>
      <c r="C255" s="47" t="s">
        <v>538</v>
      </c>
      <c r="D255" s="51" t="n">
        <v>2134928.94</v>
      </c>
      <c r="E255" s="52" t="str">
        <f aca="false">IF($N255&gt;1,$D255/$D254-1,"")</f>
        <v/>
      </c>
      <c r="F255" s="51" t="str">
        <f aca="false">IF($N255&gt;=MA_SHORT,AVERAGE(INDEX($D$5:$D255,252-MA_SHORT):$D255),"")</f>
        <v/>
      </c>
      <c r="G255" s="51" t="str">
        <f aca="false">IF($N255&gt;=MA_MED,AVERAGE(INDEX($D$5:$D255,252-MA_MED):$D255),"")</f>
        <v/>
      </c>
      <c r="H255" s="51" t="str">
        <f aca="false">IF($N255&gt;=MA_LONG2,AVERAGE(INDEX($D$5:$D255,252-MA_LONG2):$D255),"")</f>
        <v/>
      </c>
      <c r="I255" s="51" t="n">
        <v>792111.87</v>
      </c>
      <c r="J255" s="52" t="str">
        <f aca="false">IF($N255&gt;1,$I255/$I254-1,"")</f>
        <v/>
      </c>
      <c r="K255" s="51" t="str">
        <f aca="false">IF($N255&gt;=MA_SHORT,AVERAGE(INDEX($I$5:$I255,252-MA_SHORT):$I255),"")</f>
        <v/>
      </c>
      <c r="L255" s="51" t="str">
        <f aca="false">IF($N255&gt;=MA_MED,AVERAGE(INDEX($I$5:$I255,252-MA_MED):$I255),"")</f>
        <v/>
      </c>
      <c r="M255" s="51" t="str">
        <f aca="false">IF($N255&gt;=MA_LONG2,AVERAGE(INDEX($I$5:$I255,252-MA_LONG2):$I255),"")</f>
        <v/>
      </c>
      <c r="N255" s="46" t="n">
        <f aca="false">IF($A255=$A254,$N254+1,1)</f>
        <v>1</v>
      </c>
    </row>
    <row r="256" customFormat="false" ht="15" hidden="false" customHeight="false" outlineLevel="0" collapsed="false">
      <c r="A256" s="45" t="n">
        <v>46257</v>
      </c>
      <c r="B256" s="46" t="n">
        <v>20260823</v>
      </c>
      <c r="C256" s="47" t="s">
        <v>539</v>
      </c>
      <c r="D256" s="51" t="n">
        <v>2132970.47</v>
      </c>
      <c r="E256" s="52" t="str">
        <f aca="false">IF($N256&gt;1,$D256/$D255-1,"")</f>
        <v/>
      </c>
      <c r="F256" s="51" t="str">
        <f aca="false">IF($N256&gt;=MA_SHORT,AVERAGE(INDEX($D$5:$D256,253-MA_SHORT):$D256),"")</f>
        <v/>
      </c>
      <c r="G256" s="51" t="str">
        <f aca="false">IF($N256&gt;=MA_MED,AVERAGE(INDEX($D$5:$D256,253-MA_MED):$D256),"")</f>
        <v/>
      </c>
      <c r="H256" s="51" t="str">
        <f aca="false">IF($N256&gt;=MA_LONG2,AVERAGE(INDEX($D$5:$D256,253-MA_LONG2):$D256),"")</f>
        <v/>
      </c>
      <c r="I256" s="51" t="n">
        <v>799379.1</v>
      </c>
      <c r="J256" s="52" t="str">
        <f aca="false">IF($N256&gt;1,$I256/$I255-1,"")</f>
        <v/>
      </c>
      <c r="K256" s="51" t="str">
        <f aca="false">IF($N256&gt;=MA_SHORT,AVERAGE(INDEX($I$5:$I256,253-MA_SHORT):$I256),"")</f>
        <v/>
      </c>
      <c r="L256" s="51" t="str">
        <f aca="false">IF($N256&gt;=MA_MED,AVERAGE(INDEX($I$5:$I256,253-MA_MED):$I256),"")</f>
        <v/>
      </c>
      <c r="M256" s="51" t="str">
        <f aca="false">IF($N256&gt;=MA_LONG2,AVERAGE(INDEX($I$5:$I256,253-MA_LONG2):$I256),"")</f>
        <v/>
      </c>
      <c r="N256" s="46" t="n">
        <f aca="false">IF($A256=$A255,$N255+1,1)</f>
        <v>1</v>
      </c>
    </row>
    <row r="257" customFormat="false" ht="15" hidden="false" customHeight="false" outlineLevel="0" collapsed="false">
      <c r="A257" s="45" t="n">
        <v>46258</v>
      </c>
      <c r="B257" s="46" t="n">
        <v>20260824</v>
      </c>
      <c r="C257" s="47" t="s">
        <v>540</v>
      </c>
      <c r="D257" s="51" t="n">
        <v>2160006.85</v>
      </c>
      <c r="E257" s="52" t="str">
        <f aca="false">IF($N257&gt;1,$D257/$D256-1,"")</f>
        <v/>
      </c>
      <c r="F257" s="51" t="str">
        <f aca="false">IF($N257&gt;=MA_SHORT,AVERAGE(INDEX($D$5:$D257,254-MA_SHORT):$D257),"")</f>
        <v/>
      </c>
      <c r="G257" s="51" t="str">
        <f aca="false">IF($N257&gt;=MA_MED,AVERAGE(INDEX($D$5:$D257,254-MA_MED):$D257),"")</f>
        <v/>
      </c>
      <c r="H257" s="51" t="str">
        <f aca="false">IF($N257&gt;=MA_LONG2,AVERAGE(INDEX($D$5:$D257,254-MA_LONG2):$D257),"")</f>
        <v/>
      </c>
      <c r="I257" s="51" t="n">
        <v>813420.67</v>
      </c>
      <c r="J257" s="52" t="str">
        <f aca="false">IF($N257&gt;1,$I257/$I256-1,"")</f>
        <v/>
      </c>
      <c r="K257" s="51" t="str">
        <f aca="false">IF($N257&gt;=MA_SHORT,AVERAGE(INDEX($I$5:$I257,254-MA_SHORT):$I257),"")</f>
        <v/>
      </c>
      <c r="L257" s="51" t="str">
        <f aca="false">IF($N257&gt;=MA_MED,AVERAGE(INDEX($I$5:$I257,254-MA_MED):$I257),"")</f>
        <v/>
      </c>
      <c r="M257" s="51" t="str">
        <f aca="false">IF($N257&gt;=MA_LONG2,AVERAGE(INDEX($I$5:$I257,254-MA_LONG2):$I257),"")</f>
        <v/>
      </c>
      <c r="N257" s="46" t="n">
        <f aca="false">IF($A257=$A256,$N256+1,1)</f>
        <v>1</v>
      </c>
    </row>
    <row r="258" customFormat="false" ht="15" hidden="false" customHeight="false" outlineLevel="0" collapsed="false">
      <c r="A258" s="45" t="n">
        <v>46259</v>
      </c>
      <c r="B258" s="46" t="n">
        <v>20260825</v>
      </c>
      <c r="C258" s="47" t="s">
        <v>541</v>
      </c>
      <c r="D258" s="51" t="n">
        <v>2136690.97</v>
      </c>
      <c r="E258" s="52" t="str">
        <f aca="false">IF($N258&gt;1,$D258/$D257-1,"")</f>
        <v/>
      </c>
      <c r="F258" s="51" t="str">
        <f aca="false">IF($N258&gt;=MA_SHORT,AVERAGE(INDEX($D$5:$D258,255-MA_SHORT):$D258),"")</f>
        <v/>
      </c>
      <c r="G258" s="51" t="str">
        <f aca="false">IF($N258&gt;=MA_MED,AVERAGE(INDEX($D$5:$D258,255-MA_MED):$D258),"")</f>
        <v/>
      </c>
      <c r="H258" s="51" t="str">
        <f aca="false">IF($N258&gt;=MA_LONG2,AVERAGE(INDEX($D$5:$D258,255-MA_LONG2):$D258),"")</f>
        <v/>
      </c>
      <c r="I258" s="51" t="n">
        <v>832926.46</v>
      </c>
      <c r="J258" s="52" t="str">
        <f aca="false">IF($N258&gt;1,$I258/$I257-1,"")</f>
        <v/>
      </c>
      <c r="K258" s="51" t="str">
        <f aca="false">IF($N258&gt;=MA_SHORT,AVERAGE(INDEX($I$5:$I258,255-MA_SHORT):$I258),"")</f>
        <v/>
      </c>
      <c r="L258" s="51" t="str">
        <f aca="false">IF($N258&gt;=MA_MED,AVERAGE(INDEX($I$5:$I258,255-MA_MED):$I258),"")</f>
        <v/>
      </c>
      <c r="M258" s="51" t="str">
        <f aca="false">IF($N258&gt;=MA_LONG2,AVERAGE(INDEX($I$5:$I258,255-MA_LONG2):$I258),"")</f>
        <v/>
      </c>
      <c r="N258" s="46" t="n">
        <f aca="false">IF($A258=$A257,$N257+1,1)</f>
        <v>1</v>
      </c>
    </row>
    <row r="259" customFormat="false" ht="15" hidden="false" customHeight="false" outlineLevel="0" collapsed="false">
      <c r="A259" s="45" t="n">
        <v>46260</v>
      </c>
      <c r="B259" s="46" t="n">
        <v>20260826</v>
      </c>
      <c r="C259" s="47" t="s">
        <v>542</v>
      </c>
      <c r="D259" s="51" t="n">
        <v>2156309.51</v>
      </c>
      <c r="E259" s="52" t="str">
        <f aca="false">IF($N259&gt;1,$D259/$D258-1,"")</f>
        <v/>
      </c>
      <c r="F259" s="51" t="str">
        <f aca="false">IF($N259&gt;=MA_SHORT,AVERAGE(INDEX($D$5:$D259,256-MA_SHORT):$D259),"")</f>
        <v/>
      </c>
      <c r="G259" s="51" t="str">
        <f aca="false">IF($N259&gt;=MA_MED,AVERAGE(INDEX($D$5:$D259,256-MA_MED):$D259),"")</f>
        <v/>
      </c>
      <c r="H259" s="51" t="str">
        <f aca="false">IF($N259&gt;=MA_LONG2,AVERAGE(INDEX($D$5:$D259,256-MA_LONG2):$D259),"")</f>
        <v/>
      </c>
      <c r="I259" s="51" t="n">
        <v>823895.38</v>
      </c>
      <c r="J259" s="52" t="str">
        <f aca="false">IF($N259&gt;1,$I259/$I258-1,"")</f>
        <v/>
      </c>
      <c r="K259" s="51" t="str">
        <f aca="false">IF($N259&gt;=MA_SHORT,AVERAGE(INDEX($I$5:$I259,256-MA_SHORT):$I259),"")</f>
        <v/>
      </c>
      <c r="L259" s="51" t="str">
        <f aca="false">IF($N259&gt;=MA_MED,AVERAGE(INDEX($I$5:$I259,256-MA_MED):$I259),"")</f>
        <v/>
      </c>
      <c r="M259" s="51" t="str">
        <f aca="false">IF($N259&gt;=MA_LONG2,AVERAGE(INDEX($I$5:$I259,256-MA_LONG2):$I259),"")</f>
        <v/>
      </c>
      <c r="N259" s="46" t="n">
        <f aca="false">IF($A259=$A258,$N258+1,1)</f>
        <v>1</v>
      </c>
    </row>
    <row r="260" customFormat="false" ht="15" hidden="false" customHeight="false" outlineLevel="0" collapsed="false">
      <c r="A260" s="45" t="n">
        <v>46263</v>
      </c>
      <c r="B260" s="46" t="n">
        <v>20260829</v>
      </c>
      <c r="C260" s="47" t="s">
        <v>543</v>
      </c>
      <c r="D260" s="51" t="n">
        <v>2145639.58</v>
      </c>
      <c r="E260" s="52" t="str">
        <f aca="false">IF($N260&gt;1,$D260/$D259-1,"")</f>
        <v/>
      </c>
      <c r="F260" s="51" t="str">
        <f aca="false">IF($N260&gt;=MA_SHORT,AVERAGE(INDEX($D$5:$D260,257-MA_SHORT):$D260),"")</f>
        <v/>
      </c>
      <c r="G260" s="51" t="str">
        <f aca="false">IF($N260&gt;=MA_MED,AVERAGE(INDEX($D$5:$D260,257-MA_MED):$D260),"")</f>
        <v/>
      </c>
      <c r="H260" s="51" t="str">
        <f aca="false">IF($N260&gt;=MA_LONG2,AVERAGE(INDEX($D$5:$D260,257-MA_LONG2):$D260),"")</f>
        <v/>
      </c>
      <c r="I260" s="51" t="n">
        <v>812953.12</v>
      </c>
      <c r="J260" s="52" t="str">
        <f aca="false">IF($N260&gt;1,$I260/$I259-1,"")</f>
        <v/>
      </c>
      <c r="K260" s="51" t="str">
        <f aca="false">IF($N260&gt;=MA_SHORT,AVERAGE(INDEX($I$5:$I260,257-MA_SHORT):$I260),"")</f>
        <v/>
      </c>
      <c r="L260" s="51" t="str">
        <f aca="false">IF($N260&gt;=MA_MED,AVERAGE(INDEX($I$5:$I260,257-MA_MED):$I260),"")</f>
        <v/>
      </c>
      <c r="M260" s="51" t="str">
        <f aca="false">IF($N260&gt;=MA_LONG2,AVERAGE(INDEX($I$5:$I260,257-MA_LONG2):$I260),"")</f>
        <v/>
      </c>
      <c r="N260" s="46" t="n">
        <f aca="false">IF($A260=$A259,$N259+1,1)</f>
        <v>1</v>
      </c>
    </row>
    <row r="261" customFormat="false" ht="15" hidden="false" customHeight="false" outlineLevel="0" collapsed="false">
      <c r="A261" s="45" t="n">
        <v>46264</v>
      </c>
      <c r="B261" s="46" t="n">
        <v>20260830</v>
      </c>
      <c r="C261" s="47" t="s">
        <v>544</v>
      </c>
      <c r="D261" s="51" t="n">
        <v>2165136.39</v>
      </c>
      <c r="E261" s="52" t="str">
        <f aca="false">IF($N261&gt;1,$D261/$D260-1,"")</f>
        <v/>
      </c>
      <c r="F261" s="51" t="str">
        <f aca="false">IF($N261&gt;=MA_SHORT,AVERAGE(INDEX($D$5:$D261,258-MA_SHORT):$D261),"")</f>
        <v/>
      </c>
      <c r="G261" s="51" t="str">
        <f aca="false">IF($N261&gt;=MA_MED,AVERAGE(INDEX($D$5:$D261,258-MA_MED):$D261),"")</f>
        <v/>
      </c>
      <c r="H261" s="51" t="str">
        <f aca="false">IF($N261&gt;=MA_LONG2,AVERAGE(INDEX($D$5:$D261,258-MA_LONG2):$D261),"")</f>
        <v/>
      </c>
      <c r="I261" s="51" t="n">
        <v>807272.09</v>
      </c>
      <c r="J261" s="52" t="str">
        <f aca="false">IF($N261&gt;1,$I261/$I260-1,"")</f>
        <v/>
      </c>
      <c r="K261" s="51" t="str">
        <f aca="false">IF($N261&gt;=MA_SHORT,AVERAGE(INDEX($I$5:$I261,258-MA_SHORT):$I261),"")</f>
        <v/>
      </c>
      <c r="L261" s="51" t="str">
        <f aca="false">IF($N261&gt;=MA_MED,AVERAGE(INDEX($I$5:$I261,258-MA_MED):$I261),"")</f>
        <v/>
      </c>
      <c r="M261" s="51" t="str">
        <f aca="false">IF($N261&gt;=MA_LONG2,AVERAGE(INDEX($I$5:$I261,258-MA_LONG2):$I261),"")</f>
        <v/>
      </c>
      <c r="N261" s="46" t="n">
        <f aca="false">IF($A261=$A260,$N260+1,1)</f>
        <v>1</v>
      </c>
    </row>
    <row r="262" customFormat="false" ht="15" hidden="false" customHeight="false" outlineLevel="0" collapsed="false">
      <c r="A262" s="45" t="n">
        <v>46265</v>
      </c>
      <c r="B262" s="46" t="n">
        <v>20260831</v>
      </c>
      <c r="C262" s="47" t="s">
        <v>545</v>
      </c>
      <c r="D262" s="51" t="n">
        <v>2171683.87</v>
      </c>
      <c r="E262" s="52" t="str">
        <f aca="false">IF($N262&gt;1,$D262/$D261-1,"")</f>
        <v/>
      </c>
      <c r="F262" s="51" t="str">
        <f aca="false">IF($N262&gt;=MA_SHORT,AVERAGE(INDEX($D$5:$D262,259-MA_SHORT):$D262),"")</f>
        <v/>
      </c>
      <c r="G262" s="51" t="str">
        <f aca="false">IF($N262&gt;=MA_MED,AVERAGE(INDEX($D$5:$D262,259-MA_MED):$D262),"")</f>
        <v/>
      </c>
      <c r="H262" s="51" t="str">
        <f aca="false">IF($N262&gt;=MA_LONG2,AVERAGE(INDEX($D$5:$D262,259-MA_LONG2):$D262),"")</f>
        <v/>
      </c>
      <c r="I262" s="51" t="n">
        <v>794668.8</v>
      </c>
      <c r="J262" s="52" t="str">
        <f aca="false">IF($N262&gt;1,$I262/$I261-1,"")</f>
        <v/>
      </c>
      <c r="K262" s="51" t="str">
        <f aca="false">IF($N262&gt;=MA_SHORT,AVERAGE(INDEX($I$5:$I262,259-MA_SHORT):$I262),"")</f>
        <v/>
      </c>
      <c r="L262" s="51" t="str">
        <f aca="false">IF($N262&gt;=MA_MED,AVERAGE(INDEX($I$5:$I262,259-MA_MED):$I262),"")</f>
        <v/>
      </c>
      <c r="M262" s="51" t="str">
        <f aca="false">IF($N262&gt;=MA_LONG2,AVERAGE(INDEX($I$5:$I262,259-MA_LONG2):$I262),"")</f>
        <v/>
      </c>
      <c r="N262" s="46" t="n">
        <f aca="false">IF($A262=$A261,$N261+1,1)</f>
        <v>1</v>
      </c>
    </row>
    <row r="263" customFormat="false" ht="15" hidden="false" customHeight="false" outlineLevel="0" collapsed="false">
      <c r="A263" s="45" t="n">
        <v>46266</v>
      </c>
      <c r="B263" s="46" t="n">
        <v>20260901</v>
      </c>
      <c r="C263" s="47" t="s">
        <v>546</v>
      </c>
      <c r="D263" s="51" t="n">
        <v>2176259.23</v>
      </c>
      <c r="E263" s="52" t="str">
        <f aca="false">IF($N263&gt;1,$D263/$D262-1,"")</f>
        <v/>
      </c>
      <c r="F263" s="51" t="str">
        <f aca="false">IF($N263&gt;=MA_SHORT,AVERAGE(INDEX($D$5:$D263,260-MA_SHORT):$D263),"")</f>
        <v/>
      </c>
      <c r="G263" s="51" t="str">
        <f aca="false">IF($N263&gt;=MA_MED,AVERAGE(INDEX($D$5:$D263,260-MA_MED):$D263),"")</f>
        <v/>
      </c>
      <c r="H263" s="51" t="str">
        <f aca="false">IF($N263&gt;=MA_LONG2,AVERAGE(INDEX($D$5:$D263,260-MA_LONG2):$D263),"")</f>
        <v/>
      </c>
      <c r="I263" s="51" t="n">
        <v>794711.34</v>
      </c>
      <c r="J263" s="52" t="str">
        <f aca="false">IF($N263&gt;1,$I263/$I262-1,"")</f>
        <v/>
      </c>
      <c r="K263" s="51" t="str">
        <f aca="false">IF($N263&gt;=MA_SHORT,AVERAGE(INDEX($I$5:$I263,260-MA_SHORT):$I263),"")</f>
        <v/>
      </c>
      <c r="L263" s="51" t="str">
        <f aca="false">IF($N263&gt;=MA_MED,AVERAGE(INDEX($I$5:$I263,260-MA_MED):$I263),"")</f>
        <v/>
      </c>
      <c r="M263" s="51" t="str">
        <f aca="false">IF($N263&gt;=MA_LONG2,AVERAGE(INDEX($I$5:$I263,260-MA_LONG2):$I263),"")</f>
        <v/>
      </c>
      <c r="N263" s="46" t="n">
        <f aca="false">IF($A263=$A262,$N262+1,1)</f>
        <v>1</v>
      </c>
    </row>
    <row r="264" customFormat="false" ht="15" hidden="false" customHeight="false" outlineLevel="0" collapsed="false">
      <c r="A264" s="45" t="n">
        <v>46267</v>
      </c>
      <c r="B264" s="46" t="n">
        <v>20260902</v>
      </c>
      <c r="C264" s="47" t="s">
        <v>547</v>
      </c>
      <c r="D264" s="51" t="n">
        <v>2159994.4</v>
      </c>
      <c r="E264" s="52" t="str">
        <f aca="false">IF($N264&gt;1,$D264/$D263-1,"")</f>
        <v/>
      </c>
      <c r="F264" s="51" t="str">
        <f aca="false">IF($N264&gt;=MA_SHORT,AVERAGE(INDEX($D$5:$D264,261-MA_SHORT):$D264),"")</f>
        <v/>
      </c>
      <c r="G264" s="51" t="str">
        <f aca="false">IF($N264&gt;=MA_MED,AVERAGE(INDEX($D$5:$D264,261-MA_MED):$D264),"")</f>
        <v/>
      </c>
      <c r="H264" s="51" t="str">
        <f aca="false">IF($N264&gt;=MA_LONG2,AVERAGE(INDEX($D$5:$D264,261-MA_LONG2):$D264),"")</f>
        <v/>
      </c>
      <c r="I264" s="51" t="n">
        <v>796843.24</v>
      </c>
      <c r="J264" s="52" t="str">
        <f aca="false">IF($N264&gt;1,$I264/$I263-1,"")</f>
        <v/>
      </c>
      <c r="K264" s="51" t="str">
        <f aca="false">IF($N264&gt;=MA_SHORT,AVERAGE(INDEX($I$5:$I264,261-MA_SHORT):$I264),"")</f>
        <v/>
      </c>
      <c r="L264" s="51" t="str">
        <f aca="false">IF($N264&gt;=MA_MED,AVERAGE(INDEX($I$5:$I264,261-MA_MED):$I264),"")</f>
        <v/>
      </c>
      <c r="M264" s="51" t="str">
        <f aca="false">IF($N264&gt;=MA_LONG2,AVERAGE(INDEX($I$5:$I264,261-MA_LONG2):$I264),"")</f>
        <v/>
      </c>
      <c r="N264" s="46" t="n">
        <f aca="false">IF($A264=$A263,$N263+1,1)</f>
        <v>1</v>
      </c>
    </row>
  </sheetData>
  <mergeCells count="2">
    <mergeCell ref="A1:N1"/>
    <mergeCell ref="A2:N2"/>
  </mergeCells>
  <conditionalFormatting sqref="Q24">
    <cfRule type="cellIs" priority="2" operator="greaterThanOrEqual" aboveAverage="0" equalAverage="0" bottom="0" percent="0" rank="0" text="" dxfId="0">
      <formula>5</formula>
    </cfRule>
    <cfRule type="cellIs" priority="3" operator="lessThanOrEqual" aboveAverage="0" equalAverage="0" bottom="0" percent="0" rank="0" text="" dxfId="1">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4" min="3" style="0" width="14"/>
    <col collapsed="false" customWidth="true" hidden="false" outlineLevel="0" max="5" min="5" style="0" width="16"/>
    <col collapsed="false" customWidth="true" hidden="false" outlineLevel="0" max="6" min="6" style="0" width="30"/>
  </cols>
  <sheetData>
    <row r="1" customFormat="false" ht="27.75" hidden="false" customHeight="true" outlineLevel="0" collapsed="false">
      <c r="A1" s="1" t="s">
        <v>576</v>
      </c>
      <c r="B1" s="1"/>
      <c r="C1" s="1"/>
      <c r="D1" s="1"/>
      <c r="E1" s="1"/>
      <c r="F1" s="1"/>
    </row>
    <row r="2" customFormat="false" ht="18" hidden="false" customHeight="true" outlineLevel="0" collapsed="false">
      <c r="A2" s="30" t="s">
        <v>577</v>
      </c>
      <c r="B2" s="30"/>
      <c r="C2" s="30"/>
      <c r="D2" s="30"/>
      <c r="E2" s="30"/>
      <c r="F2" s="30"/>
    </row>
    <row r="3" customFormat="false" ht="30" hidden="false" customHeight="true" outlineLevel="0" collapsed="false">
      <c r="A3" s="31" t="s">
        <v>26</v>
      </c>
      <c r="B3" s="31" t="s">
        <v>578</v>
      </c>
      <c r="C3" s="31" t="s">
        <v>579</v>
      </c>
      <c r="D3" s="31" t="s">
        <v>580</v>
      </c>
      <c r="E3" s="31" t="s">
        <v>581</v>
      </c>
      <c r="F3" s="31" t="s">
        <v>582</v>
      </c>
    </row>
    <row r="4" customFormat="false" ht="21.75" hidden="false" customHeight="true" outlineLevel="0" collapsed="false">
      <c r="A4" s="36" t="s">
        <v>212</v>
      </c>
      <c r="B4" s="36" t="s">
        <v>583</v>
      </c>
      <c r="C4" s="36" t="s">
        <v>583</v>
      </c>
      <c r="D4" s="36" t="s">
        <v>583</v>
      </c>
      <c r="E4" s="36" t="s">
        <v>129</v>
      </c>
      <c r="F4" s="36" t="s">
        <v>129</v>
      </c>
    </row>
    <row r="5" customFormat="false" ht="15" hidden="false" customHeight="false" outlineLevel="0" collapsed="false">
      <c r="A5" s="37" t="str">
        <f aca="false">IF(COUNTA(Watchlist!$A$5)=0,"",Watchlist!$A$5)</f>
        <v>فولاد</v>
      </c>
      <c r="B5" s="63" t="n">
        <v>0</v>
      </c>
      <c r="C5" s="64"/>
      <c r="D5" s="64"/>
      <c r="E5" s="23"/>
      <c r="F5" s="23"/>
    </row>
    <row r="6" customFormat="false" ht="15" hidden="false" customHeight="false" outlineLevel="0" collapsed="false">
      <c r="A6" s="37" t="str">
        <f aca="false">IF(COUNTA(Watchlist!$A$6)=0,"",Watchlist!$A$6)</f>
        <v>فملي</v>
      </c>
      <c r="B6" s="63" t="n">
        <v>0</v>
      </c>
      <c r="C6" s="64"/>
      <c r="D6" s="64"/>
      <c r="E6" s="23"/>
      <c r="F6" s="23"/>
    </row>
    <row r="7" customFormat="false" ht="15" hidden="false" customHeight="false" outlineLevel="0" collapsed="false">
      <c r="A7" s="37" t="str">
        <f aca="false">IF(COUNTA(Watchlist!$A$7)=0,"",Watchlist!$A$7)</f>
        <v>شپنا</v>
      </c>
      <c r="B7" s="63" t="n">
        <v>0</v>
      </c>
      <c r="C7" s="64"/>
      <c r="D7" s="64"/>
      <c r="E7" s="23"/>
      <c r="F7" s="23"/>
    </row>
    <row r="8" customFormat="false" ht="15" hidden="false" customHeight="false" outlineLevel="0" collapsed="false">
      <c r="A8" s="37" t="str">
        <f aca="false">IF(COUNTA(Watchlist!$A$8)=0,"",Watchlist!$A$8)</f>
        <v>خودرو</v>
      </c>
      <c r="B8" s="63" t="n">
        <v>0</v>
      </c>
      <c r="C8" s="64"/>
      <c r="D8" s="64"/>
      <c r="E8" s="23"/>
      <c r="F8" s="23"/>
    </row>
    <row r="9" customFormat="false" ht="15" hidden="false" customHeight="false" outlineLevel="0" collapsed="false">
      <c r="A9" s="37" t="str">
        <f aca="false">IF(COUNTA(Watchlist!$A$9)=0,"",Watchlist!$A$9)</f>
        <v>وبملت</v>
      </c>
      <c r="B9" s="63" t="n">
        <v>0</v>
      </c>
      <c r="C9" s="64"/>
      <c r="D9" s="64"/>
      <c r="E9" s="23"/>
      <c r="F9" s="23"/>
    </row>
    <row r="10" customFormat="false" ht="15" hidden="false" customHeight="false" outlineLevel="0" collapsed="false">
      <c r="A10" s="37" t="str">
        <f aca="false">IF(COUNTA(Watchlist!$A$10)=0,"",Watchlist!$A$10)</f>
        <v>شستا</v>
      </c>
      <c r="B10" s="63" t="n">
        <v>0</v>
      </c>
      <c r="C10" s="64"/>
      <c r="D10" s="64"/>
      <c r="E10" s="23"/>
      <c r="F10" s="23"/>
    </row>
    <row r="11" customFormat="false" ht="15" hidden="false" customHeight="false" outlineLevel="0" collapsed="false">
      <c r="A11" s="37" t="str">
        <f aca="false">IF(COUNTA(Watchlist!$A$11)=0,"",Watchlist!$A$11)</f>
        <v>اخابر</v>
      </c>
      <c r="B11" s="63" t="n">
        <v>0</v>
      </c>
      <c r="C11" s="64"/>
      <c r="D11" s="64"/>
      <c r="E11" s="23"/>
      <c r="F11" s="23"/>
    </row>
    <row r="12" customFormat="false" ht="15" hidden="false" customHeight="false" outlineLevel="0" collapsed="false">
      <c r="A12" s="37" t="str">
        <f aca="false">IF(COUNTA(Watchlist!$A$12)=0,"",Watchlist!$A$12)</f>
        <v>كگل</v>
      </c>
      <c r="B12" s="63" t="n">
        <v>0</v>
      </c>
      <c r="C12" s="64"/>
      <c r="D12" s="64"/>
      <c r="E12" s="23"/>
      <c r="F12" s="23"/>
    </row>
    <row r="13" customFormat="false" ht="15" hidden="false" customHeight="false" outlineLevel="0" collapsed="false">
      <c r="A13" s="37" t="str">
        <f aca="false">IF(COUNTA(Watchlist!$A$13)=0,"",Watchlist!$A$13)</f>
        <v/>
      </c>
      <c r="B13" s="63" t="n">
        <v>0</v>
      </c>
      <c r="C13" s="64"/>
      <c r="D13" s="64"/>
      <c r="E13" s="23"/>
      <c r="F13" s="23"/>
    </row>
    <row r="14" customFormat="false" ht="15" hidden="false" customHeight="false" outlineLevel="0" collapsed="false">
      <c r="A14" s="37" t="str">
        <f aca="false">IF(COUNTA(Watchlist!$A$14)=0,"",Watchlist!$A$14)</f>
        <v/>
      </c>
      <c r="B14" s="63" t="n">
        <v>0</v>
      </c>
      <c r="C14" s="64"/>
      <c r="D14" s="64"/>
      <c r="E14" s="23"/>
      <c r="F14" s="23"/>
    </row>
    <row r="15" customFormat="false" ht="15" hidden="false" customHeight="false" outlineLevel="0" collapsed="false">
      <c r="A15" s="37" t="str">
        <f aca="false">IF(COUNTA(Watchlist!$A$15)=0,"",Watchlist!$A$15)</f>
        <v/>
      </c>
      <c r="B15" s="63" t="n">
        <v>0</v>
      </c>
      <c r="C15" s="64"/>
      <c r="D15" s="64"/>
      <c r="E15" s="23"/>
      <c r="F15" s="23"/>
    </row>
    <row r="16" customFormat="false" ht="15" hidden="false" customHeight="false" outlineLevel="0" collapsed="false">
      <c r="A16" s="37" t="str">
        <f aca="false">IF(COUNTA(Watchlist!$A$16)=0,"",Watchlist!$A$16)</f>
        <v/>
      </c>
      <c r="B16" s="63" t="n">
        <v>0</v>
      </c>
      <c r="C16" s="64"/>
      <c r="D16" s="64"/>
      <c r="E16" s="23"/>
      <c r="F16" s="23"/>
    </row>
    <row r="17" customFormat="false" ht="15" hidden="false" customHeight="false" outlineLevel="0" collapsed="false">
      <c r="A17" s="37" t="str">
        <f aca="false">IF(COUNTA(Watchlist!$A$17)=0,"",Watchlist!$A$17)</f>
        <v/>
      </c>
      <c r="B17" s="63" t="n">
        <v>0</v>
      </c>
      <c r="C17" s="64"/>
      <c r="D17" s="64"/>
      <c r="E17" s="23"/>
      <c r="F17" s="23"/>
    </row>
    <row r="18" customFormat="false" ht="15" hidden="false" customHeight="false" outlineLevel="0" collapsed="false">
      <c r="A18" s="37" t="str">
        <f aca="false">IF(COUNTA(Watchlist!$A$18)=0,"",Watchlist!$A$18)</f>
        <v/>
      </c>
      <c r="B18" s="63" t="n">
        <v>0</v>
      </c>
      <c r="C18" s="64"/>
      <c r="D18" s="64"/>
      <c r="E18" s="23"/>
      <c r="F18" s="23"/>
    </row>
    <row r="19" customFormat="false" ht="15" hidden="false" customHeight="false" outlineLevel="0" collapsed="false">
      <c r="A19" s="37" t="str">
        <f aca="false">IF(COUNTA(Watchlist!$A$19)=0,"",Watchlist!$A$19)</f>
        <v/>
      </c>
      <c r="B19" s="63" t="n">
        <v>0</v>
      </c>
      <c r="C19" s="64"/>
      <c r="D19" s="64"/>
      <c r="E19" s="23"/>
      <c r="F19" s="23"/>
    </row>
    <row r="20" customFormat="false" ht="15" hidden="false" customHeight="false" outlineLevel="0" collapsed="false">
      <c r="A20" s="37" t="str">
        <f aca="false">IF(COUNTA(Watchlist!$A$20)=0,"",Watchlist!$A$20)</f>
        <v/>
      </c>
      <c r="B20" s="63" t="n">
        <v>0</v>
      </c>
      <c r="C20" s="64"/>
      <c r="D20" s="64"/>
      <c r="E20" s="23"/>
      <c r="F20" s="23"/>
    </row>
    <row r="21" customFormat="false" ht="15" hidden="false" customHeight="false" outlineLevel="0" collapsed="false">
      <c r="A21" s="37" t="str">
        <f aca="false">IF(COUNTA(Watchlist!$A$21)=0,"",Watchlist!$A$21)</f>
        <v/>
      </c>
      <c r="B21" s="63" t="n">
        <v>0</v>
      </c>
      <c r="C21" s="64"/>
      <c r="D21" s="64"/>
      <c r="E21" s="23"/>
      <c r="F21" s="23"/>
    </row>
    <row r="22" customFormat="false" ht="15" hidden="false" customHeight="false" outlineLevel="0" collapsed="false">
      <c r="A22" s="37" t="str">
        <f aca="false">IF(COUNTA(Watchlist!$A$22)=0,"",Watchlist!$A$22)</f>
        <v/>
      </c>
      <c r="B22" s="63" t="n">
        <v>0</v>
      </c>
      <c r="C22" s="64"/>
      <c r="D22" s="64"/>
      <c r="E22" s="23"/>
      <c r="F22" s="23"/>
    </row>
    <row r="23" customFormat="false" ht="15" hidden="false" customHeight="false" outlineLevel="0" collapsed="false">
      <c r="A23" s="37" t="str">
        <f aca="false">IF(COUNTA(Watchlist!$A$23)=0,"",Watchlist!$A$23)</f>
        <v/>
      </c>
      <c r="B23" s="63" t="n">
        <v>0</v>
      </c>
      <c r="C23" s="64"/>
      <c r="D23" s="64"/>
      <c r="E23" s="23"/>
      <c r="F23" s="23"/>
    </row>
    <row r="24" customFormat="false" ht="15" hidden="false" customHeight="false" outlineLevel="0" collapsed="false">
      <c r="A24" s="37" t="str">
        <f aca="false">IF(COUNTA(Watchlist!$A$24)=0,"",Watchlist!$A$24)</f>
        <v/>
      </c>
      <c r="B24" s="63" t="n">
        <v>0</v>
      </c>
      <c r="C24" s="64"/>
      <c r="D24" s="64"/>
      <c r="E24" s="23"/>
      <c r="F24" s="23"/>
    </row>
    <row r="25" customFormat="false" ht="15" hidden="false" customHeight="false" outlineLevel="0" collapsed="false">
      <c r="A25" s="37" t="str">
        <f aca="false">IF(COUNTA(Watchlist!$A$25)=0,"",Watchlist!$A$25)</f>
        <v/>
      </c>
      <c r="B25" s="63" t="n">
        <v>0</v>
      </c>
      <c r="C25" s="64"/>
      <c r="D25" s="64"/>
      <c r="E25" s="23"/>
      <c r="F25" s="23"/>
    </row>
    <row r="26" customFormat="false" ht="15" hidden="false" customHeight="false" outlineLevel="0" collapsed="false">
      <c r="A26" s="37" t="str">
        <f aca="false">IF(COUNTA(Watchlist!$A$26)=0,"",Watchlist!$A$26)</f>
        <v/>
      </c>
      <c r="B26" s="63" t="n">
        <v>0</v>
      </c>
      <c r="C26" s="64"/>
      <c r="D26" s="64"/>
      <c r="E26" s="23"/>
      <c r="F26" s="23"/>
    </row>
    <row r="27" customFormat="false" ht="15" hidden="false" customHeight="false" outlineLevel="0" collapsed="false">
      <c r="A27" s="37" t="str">
        <f aca="false">IF(COUNTA(Watchlist!$A$27)=0,"",Watchlist!$A$27)</f>
        <v/>
      </c>
      <c r="B27" s="63" t="n">
        <v>0</v>
      </c>
      <c r="C27" s="64"/>
      <c r="D27" s="64"/>
      <c r="E27" s="23"/>
      <c r="F27" s="23"/>
    </row>
    <row r="28" customFormat="false" ht="15" hidden="false" customHeight="false" outlineLevel="0" collapsed="false">
      <c r="A28" s="37" t="str">
        <f aca="false">IF(COUNTA(Watchlist!$A$28)=0,"",Watchlist!$A$28)</f>
        <v/>
      </c>
      <c r="B28" s="63" t="n">
        <v>0</v>
      </c>
      <c r="C28" s="64"/>
      <c r="D28" s="64"/>
      <c r="E28" s="23"/>
      <c r="F28" s="23"/>
    </row>
    <row r="29" customFormat="false" ht="15" hidden="false" customHeight="false" outlineLevel="0" collapsed="false">
      <c r="A29" s="37" t="str">
        <f aca="false">IF(COUNTA(Watchlist!$A$29)=0,"",Watchlist!$A$29)</f>
        <v/>
      </c>
      <c r="B29" s="63" t="n">
        <v>0</v>
      </c>
      <c r="C29" s="64"/>
      <c r="D29" s="64"/>
      <c r="E29" s="23"/>
      <c r="F29" s="23"/>
    </row>
    <row r="30" customFormat="false" ht="15" hidden="false" customHeight="false" outlineLevel="0" collapsed="false">
      <c r="A30" s="37" t="str">
        <f aca="false">IF(COUNTA(Watchlist!$A$30)=0,"",Watchlist!$A$30)</f>
        <v/>
      </c>
      <c r="B30" s="63" t="n">
        <v>0</v>
      </c>
      <c r="C30" s="64"/>
      <c r="D30" s="64"/>
      <c r="E30" s="23"/>
      <c r="F30" s="23"/>
    </row>
    <row r="31" customFormat="false" ht="15" hidden="false" customHeight="false" outlineLevel="0" collapsed="false">
      <c r="A31" s="37" t="str">
        <f aca="false">IF(COUNTA(Watchlist!$A$31)=0,"",Watchlist!$A$31)</f>
        <v/>
      </c>
      <c r="B31" s="63" t="n">
        <v>0</v>
      </c>
      <c r="C31" s="64"/>
      <c r="D31" s="64"/>
      <c r="E31" s="23"/>
      <c r="F31" s="23"/>
    </row>
    <row r="32" customFormat="false" ht="15" hidden="false" customHeight="false" outlineLevel="0" collapsed="false">
      <c r="A32" s="37" t="str">
        <f aca="false">IF(COUNTA(Watchlist!$A$32)=0,"",Watchlist!$A$32)</f>
        <v/>
      </c>
      <c r="B32" s="63" t="n">
        <v>0</v>
      </c>
      <c r="C32" s="64"/>
      <c r="D32" s="64"/>
      <c r="E32" s="23"/>
      <c r="F32" s="23"/>
    </row>
    <row r="33" customFormat="false" ht="15" hidden="false" customHeight="false" outlineLevel="0" collapsed="false">
      <c r="A33" s="37" t="str">
        <f aca="false">IF(COUNTA(Watchlist!$A$33)=0,"",Watchlist!$A$33)</f>
        <v/>
      </c>
      <c r="B33" s="63" t="n">
        <v>0</v>
      </c>
      <c r="C33" s="64"/>
      <c r="D33" s="64"/>
      <c r="E33" s="23"/>
      <c r="F33" s="23"/>
    </row>
    <row r="34" customFormat="false" ht="15" hidden="false" customHeight="false" outlineLevel="0" collapsed="false">
      <c r="A34" s="37" t="str">
        <f aca="false">IF(COUNTA(Watchlist!$A$34)=0,"",Watchlist!$A$34)</f>
        <v/>
      </c>
      <c r="B34" s="63" t="n">
        <v>0</v>
      </c>
      <c r="C34" s="64"/>
      <c r="D34" s="64"/>
      <c r="E34" s="23"/>
      <c r="F34" s="23"/>
    </row>
    <row r="35" customFormat="false" ht="15" hidden="false" customHeight="false" outlineLevel="0" collapsed="false">
      <c r="A35" s="37" t="str">
        <f aca="false">IF(COUNTA(Watchlist!$A$35)=0,"",Watchlist!$A$35)</f>
        <v/>
      </c>
      <c r="B35" s="63" t="n">
        <v>0</v>
      </c>
      <c r="C35" s="64"/>
      <c r="D35" s="64"/>
      <c r="E35" s="23"/>
      <c r="F35" s="23"/>
    </row>
    <row r="36" customFormat="false" ht="15" hidden="false" customHeight="false" outlineLevel="0" collapsed="false">
      <c r="A36" s="37" t="str">
        <f aca="false">IF(COUNTA(Watchlist!$A$36)=0,"",Watchlist!$A$36)</f>
        <v/>
      </c>
      <c r="B36" s="63" t="n">
        <v>0</v>
      </c>
      <c r="C36" s="64"/>
      <c r="D36" s="64"/>
      <c r="E36" s="23"/>
      <c r="F36" s="23"/>
    </row>
    <row r="37" customFormat="false" ht="15" hidden="false" customHeight="false" outlineLevel="0" collapsed="false">
      <c r="A37" s="37" t="str">
        <f aca="false">IF(COUNTA(Watchlist!$A$37)=0,"",Watchlist!$A$37)</f>
        <v/>
      </c>
      <c r="B37" s="63" t="n">
        <v>0</v>
      </c>
      <c r="C37" s="64"/>
      <c r="D37" s="64"/>
      <c r="E37" s="23"/>
      <c r="F37" s="23"/>
    </row>
    <row r="38" customFormat="false" ht="15" hidden="false" customHeight="false" outlineLevel="0" collapsed="false">
      <c r="A38" s="37" t="str">
        <f aca="false">IF(COUNTA(Watchlist!$A$38)=0,"",Watchlist!$A$38)</f>
        <v/>
      </c>
      <c r="B38" s="63" t="n">
        <v>0</v>
      </c>
      <c r="C38" s="64"/>
      <c r="D38" s="64"/>
      <c r="E38" s="23"/>
      <c r="F38" s="23"/>
    </row>
    <row r="39" customFormat="false" ht="15" hidden="false" customHeight="false" outlineLevel="0" collapsed="false">
      <c r="A39" s="37" t="str">
        <f aca="false">IF(COUNTA(Watchlist!$A$39)=0,"",Watchlist!$A$39)</f>
        <v/>
      </c>
      <c r="B39" s="63" t="n">
        <v>0</v>
      </c>
      <c r="C39" s="64"/>
      <c r="D39" s="64"/>
      <c r="E39" s="23"/>
      <c r="F39" s="23"/>
    </row>
    <row r="40" customFormat="false" ht="15" hidden="false" customHeight="false" outlineLevel="0" collapsed="false">
      <c r="A40" s="37" t="str">
        <f aca="false">IF(COUNTA(Watchlist!$A$40)=0,"",Watchlist!$A$40)</f>
        <v/>
      </c>
      <c r="B40" s="63" t="n">
        <v>0</v>
      </c>
      <c r="C40" s="64"/>
      <c r="D40" s="64"/>
      <c r="E40" s="23"/>
      <c r="F40" s="23"/>
    </row>
    <row r="41" customFormat="false" ht="15" hidden="false" customHeight="false" outlineLevel="0" collapsed="false">
      <c r="A41" s="37" t="str">
        <f aca="false">IF(COUNTA(Watchlist!$A$41)=0,"",Watchlist!$A$41)</f>
        <v/>
      </c>
      <c r="B41" s="63" t="n">
        <v>0</v>
      </c>
      <c r="C41" s="64"/>
      <c r="D41" s="64"/>
      <c r="E41" s="23"/>
      <c r="F41" s="23"/>
    </row>
    <row r="42" customFormat="false" ht="15" hidden="false" customHeight="false" outlineLevel="0" collapsed="false">
      <c r="A42" s="37" t="str">
        <f aca="false">IF(COUNTA(Watchlist!$A$42)=0,"",Watchlist!$A$42)</f>
        <v/>
      </c>
      <c r="B42" s="63" t="n">
        <v>0</v>
      </c>
      <c r="C42" s="64"/>
      <c r="D42" s="64"/>
      <c r="E42" s="23"/>
      <c r="F42" s="23"/>
    </row>
    <row r="43" customFormat="false" ht="15" hidden="false" customHeight="false" outlineLevel="0" collapsed="false">
      <c r="A43" s="37" t="str">
        <f aca="false">IF(COUNTA(Watchlist!$A$43)=0,"",Watchlist!$A$43)</f>
        <v/>
      </c>
      <c r="B43" s="63" t="n">
        <v>0</v>
      </c>
      <c r="C43" s="64"/>
      <c r="D43" s="64"/>
      <c r="E43" s="23"/>
      <c r="F43" s="23"/>
    </row>
    <row r="44" customFormat="false" ht="15" hidden="false" customHeight="false" outlineLevel="0" collapsed="false">
      <c r="A44" s="37" t="str">
        <f aca="false">IF(COUNTA(Watchlist!$A$44)=0,"",Watchlist!$A$44)</f>
        <v/>
      </c>
      <c r="B44" s="63" t="n">
        <v>0</v>
      </c>
      <c r="C44" s="64"/>
      <c r="D44" s="64"/>
      <c r="E44" s="23"/>
      <c r="F44" s="23"/>
    </row>
    <row r="45" customFormat="false" ht="15" hidden="false" customHeight="false" outlineLevel="0" collapsed="false">
      <c r="A45" s="37" t="str">
        <f aca="false">IF(COUNTA(Watchlist!$A$45)=0,"",Watchlist!$A$45)</f>
        <v/>
      </c>
      <c r="B45" s="63" t="n">
        <v>0</v>
      </c>
      <c r="C45" s="64"/>
      <c r="D45" s="64"/>
      <c r="E45" s="23"/>
      <c r="F45" s="23"/>
    </row>
    <row r="46" customFormat="false" ht="15" hidden="false" customHeight="false" outlineLevel="0" collapsed="false">
      <c r="A46" s="37" t="str">
        <f aca="false">IF(COUNTA(Watchlist!$A$46)=0,"",Watchlist!$A$46)</f>
        <v/>
      </c>
      <c r="B46" s="63" t="n">
        <v>0</v>
      </c>
      <c r="C46" s="64"/>
      <c r="D46" s="64"/>
      <c r="E46" s="23"/>
      <c r="F46" s="23"/>
    </row>
    <row r="47" customFormat="false" ht="15" hidden="false" customHeight="false" outlineLevel="0" collapsed="false">
      <c r="A47" s="37" t="str">
        <f aca="false">IF(COUNTA(Watchlist!$A$47)=0,"",Watchlist!$A$47)</f>
        <v/>
      </c>
      <c r="B47" s="63" t="n">
        <v>0</v>
      </c>
      <c r="C47" s="64"/>
      <c r="D47" s="64"/>
      <c r="E47" s="23"/>
      <c r="F47" s="23"/>
    </row>
    <row r="48" customFormat="false" ht="15" hidden="false" customHeight="false" outlineLevel="0" collapsed="false">
      <c r="A48" s="37" t="str">
        <f aca="false">IF(COUNTA(Watchlist!$A$48)=0,"",Watchlist!$A$48)</f>
        <v/>
      </c>
      <c r="B48" s="63" t="n">
        <v>0</v>
      </c>
      <c r="C48" s="64"/>
      <c r="D48" s="64"/>
      <c r="E48" s="23"/>
      <c r="F48" s="23"/>
    </row>
    <row r="49" customFormat="false" ht="15" hidden="false" customHeight="false" outlineLevel="0" collapsed="false">
      <c r="A49" s="37" t="str">
        <f aca="false">IF(COUNTA(Watchlist!$A$49)=0,"",Watchlist!$A$49)</f>
        <v/>
      </c>
      <c r="B49" s="63" t="n">
        <v>0</v>
      </c>
      <c r="C49" s="64"/>
      <c r="D49" s="64"/>
      <c r="E49" s="23"/>
      <c r="F49" s="23"/>
    </row>
    <row r="50" customFormat="false" ht="15" hidden="false" customHeight="false" outlineLevel="0" collapsed="false">
      <c r="A50" s="37" t="str">
        <f aca="false">IF(COUNTA(Watchlist!$A$50)=0,"",Watchlist!$A$50)</f>
        <v/>
      </c>
      <c r="B50" s="63" t="n">
        <v>0</v>
      </c>
      <c r="C50" s="64"/>
      <c r="D50" s="64"/>
      <c r="E50" s="23"/>
      <c r="F50" s="23"/>
    </row>
    <row r="51" customFormat="false" ht="15" hidden="false" customHeight="false" outlineLevel="0" collapsed="false">
      <c r="A51" s="37" t="str">
        <f aca="false">IF(COUNTA(Watchlist!$A$51)=0,"",Watchlist!$A$51)</f>
        <v/>
      </c>
      <c r="B51" s="63" t="n">
        <v>0</v>
      </c>
      <c r="C51" s="64"/>
      <c r="D51" s="64"/>
      <c r="E51" s="23"/>
      <c r="F51" s="23"/>
    </row>
    <row r="52" customFormat="false" ht="15" hidden="false" customHeight="false" outlineLevel="0" collapsed="false">
      <c r="A52" s="37" t="str">
        <f aca="false">IF(COUNTA(Watchlist!$A$52)=0,"",Watchlist!$A$52)</f>
        <v/>
      </c>
      <c r="B52" s="63" t="n">
        <v>0</v>
      </c>
      <c r="C52" s="64"/>
      <c r="D52" s="64"/>
      <c r="E52" s="23"/>
      <c r="F52" s="23"/>
    </row>
    <row r="53" customFormat="false" ht="15" hidden="false" customHeight="false" outlineLevel="0" collapsed="false">
      <c r="A53" s="37" t="str">
        <f aca="false">IF(COUNTA(Watchlist!$A$53)=0,"",Watchlist!$A$53)</f>
        <v/>
      </c>
      <c r="B53" s="63" t="n">
        <v>0</v>
      </c>
      <c r="C53" s="64"/>
      <c r="D53" s="64"/>
      <c r="E53" s="23"/>
      <c r="F53" s="23"/>
    </row>
    <row r="54" customFormat="false" ht="15" hidden="false" customHeight="false" outlineLevel="0" collapsed="false">
      <c r="A54" s="37" t="str">
        <f aca="false">IF(COUNTA(Watchlist!$A$54)=0,"",Watchlist!$A$54)</f>
        <v/>
      </c>
      <c r="B54" s="63" t="n">
        <v>0</v>
      </c>
      <c r="C54" s="64"/>
      <c r="D54" s="64"/>
      <c r="E54" s="23"/>
      <c r="F54" s="23"/>
    </row>
    <row r="55" customFormat="false" ht="15" hidden="false" customHeight="false" outlineLevel="0" collapsed="false">
      <c r="A55" s="37" t="str">
        <f aca="false">IF(COUNTA(Watchlist!$A$55)=0,"",Watchlist!$A$55)</f>
        <v/>
      </c>
      <c r="B55" s="63" t="n">
        <v>0</v>
      </c>
      <c r="C55" s="64"/>
      <c r="D55" s="64"/>
      <c r="E55" s="23"/>
      <c r="F55" s="23"/>
    </row>
    <row r="56" customFormat="false" ht="15" hidden="false" customHeight="false" outlineLevel="0" collapsed="false">
      <c r="A56" s="37" t="str">
        <f aca="false">IF(COUNTA(Watchlist!$A$56)=0,"",Watchlist!$A$56)</f>
        <v/>
      </c>
      <c r="B56" s="63" t="n">
        <v>0</v>
      </c>
      <c r="C56" s="64"/>
      <c r="D56" s="64"/>
      <c r="E56" s="23"/>
      <c r="F56" s="23"/>
    </row>
    <row r="57" customFormat="false" ht="15" hidden="false" customHeight="false" outlineLevel="0" collapsed="false">
      <c r="A57" s="37" t="str">
        <f aca="false">IF(COUNTA(Watchlist!$A$57)=0,"",Watchlist!$A$57)</f>
        <v/>
      </c>
      <c r="B57" s="63" t="n">
        <v>0</v>
      </c>
      <c r="C57" s="64"/>
      <c r="D57" s="64"/>
      <c r="E57" s="23"/>
      <c r="F57" s="23"/>
    </row>
    <row r="58" customFormat="false" ht="15" hidden="false" customHeight="false" outlineLevel="0" collapsed="false">
      <c r="A58" s="37" t="str">
        <f aca="false">IF(COUNTA(Watchlist!$A$58)=0,"",Watchlist!$A$58)</f>
        <v/>
      </c>
      <c r="B58" s="63" t="n">
        <v>0</v>
      </c>
      <c r="C58" s="64"/>
      <c r="D58" s="64"/>
      <c r="E58" s="23"/>
      <c r="F58" s="23"/>
    </row>
    <row r="59" customFormat="false" ht="15" hidden="false" customHeight="false" outlineLevel="0" collapsed="false">
      <c r="A59" s="37" t="str">
        <f aca="false">IF(COUNTA(Watchlist!$A$59)=0,"",Watchlist!$A$59)</f>
        <v/>
      </c>
      <c r="B59" s="63" t="n">
        <v>0</v>
      </c>
      <c r="C59" s="64"/>
      <c r="D59" s="64"/>
      <c r="E59" s="23"/>
      <c r="F59" s="23"/>
    </row>
    <row r="60" customFormat="false" ht="15" hidden="false" customHeight="false" outlineLevel="0" collapsed="false">
      <c r="A60" s="37" t="str">
        <f aca="false">IF(COUNTA(Watchlist!$A$60)=0,"",Watchlist!$A$60)</f>
        <v/>
      </c>
      <c r="B60" s="63" t="n">
        <v>0</v>
      </c>
      <c r="C60" s="64"/>
      <c r="D60" s="64"/>
      <c r="E60" s="23"/>
      <c r="F60" s="23"/>
    </row>
    <row r="61" customFormat="false" ht="15" hidden="false" customHeight="false" outlineLevel="0" collapsed="false">
      <c r="A61" s="37" t="str">
        <f aca="false">IF(COUNTA(Watchlist!$A$61)=0,"",Watchlist!$A$61)</f>
        <v/>
      </c>
      <c r="B61" s="63" t="n">
        <v>0</v>
      </c>
      <c r="C61" s="64"/>
      <c r="D61" s="64"/>
      <c r="E61" s="23"/>
      <c r="F61" s="23"/>
    </row>
    <row r="62" customFormat="false" ht="15" hidden="false" customHeight="false" outlineLevel="0" collapsed="false">
      <c r="A62" s="37" t="str">
        <f aca="false">IF(COUNTA(Watchlist!$A$62)=0,"",Watchlist!$A$62)</f>
        <v/>
      </c>
      <c r="B62" s="63" t="n">
        <v>0</v>
      </c>
      <c r="C62" s="64"/>
      <c r="D62" s="64"/>
      <c r="E62" s="23"/>
      <c r="F62" s="23"/>
    </row>
    <row r="63" customFormat="false" ht="15" hidden="false" customHeight="false" outlineLevel="0" collapsed="false">
      <c r="A63" s="37" t="str">
        <f aca="false">IF(COUNTA(Watchlist!$A$63)=0,"",Watchlist!$A$63)</f>
        <v/>
      </c>
      <c r="B63" s="63" t="n">
        <v>0</v>
      </c>
      <c r="C63" s="64"/>
      <c r="D63" s="64"/>
      <c r="E63" s="23"/>
      <c r="F63" s="23"/>
    </row>
    <row r="64" customFormat="false" ht="15" hidden="false" customHeight="false" outlineLevel="0" collapsed="false">
      <c r="A64" s="37" t="str">
        <f aca="false">IF(COUNTA(Watchlist!$A$64)=0,"",Watchlist!$A$64)</f>
        <v/>
      </c>
      <c r="B64" s="63" t="n">
        <v>0</v>
      </c>
      <c r="C64" s="64"/>
      <c r="D64" s="64"/>
      <c r="E64" s="23"/>
      <c r="F64" s="23"/>
    </row>
    <row r="66" customFormat="false" ht="15" hidden="false" customHeight="true" outlineLevel="0" collapsed="false">
      <c r="A66" s="65" t="s">
        <v>584</v>
      </c>
      <c r="B66" s="65"/>
      <c r="C66" s="65"/>
      <c r="D66" s="65"/>
      <c r="E66" s="65"/>
      <c r="F66" s="65"/>
    </row>
  </sheetData>
  <mergeCells count="3">
    <mergeCell ref="A1:F1"/>
    <mergeCell ref="A2:F2"/>
    <mergeCell ref="A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0"/>
    <col collapsed="false" customWidth="true" hidden="false" outlineLevel="0" max="4" min="4" style="0" width="16"/>
    <col collapsed="false" customWidth="true" hidden="false" outlineLevel="0" max="5" min="5" style="0" width="10"/>
    <col collapsed="false" customWidth="true" hidden="false" outlineLevel="0" max="6" min="6" style="0" width="24"/>
    <col collapsed="false" customWidth="true" hidden="false" outlineLevel="0" max="7" min="7" style="0" width="14"/>
    <col collapsed="false" customWidth="true" hidden="false" outlineLevel="0" max="8" min="8" style="0" width="16"/>
    <col collapsed="false" customWidth="true" hidden="false" outlineLevel="0" max="9" min="9" style="0" width="34"/>
  </cols>
  <sheetData>
    <row r="1" customFormat="false" ht="27.75" hidden="false" customHeight="true" outlineLevel="0" collapsed="false">
      <c r="A1" s="1" t="s">
        <v>585</v>
      </c>
      <c r="B1" s="1"/>
      <c r="C1" s="1"/>
      <c r="D1" s="1"/>
      <c r="E1" s="1"/>
      <c r="F1" s="1"/>
      <c r="G1" s="1"/>
      <c r="H1" s="1"/>
      <c r="I1" s="1"/>
    </row>
    <row r="2" customFormat="false" ht="18" hidden="false" customHeight="true" outlineLevel="0" collapsed="false">
      <c r="A2" s="30" t="s">
        <v>586</v>
      </c>
      <c r="B2" s="30"/>
      <c r="C2" s="30"/>
      <c r="D2" s="30"/>
      <c r="E2" s="30"/>
      <c r="F2" s="30"/>
      <c r="G2" s="30"/>
      <c r="H2" s="30"/>
      <c r="I2" s="30"/>
    </row>
    <row r="3" customFormat="false" ht="30" hidden="false" customHeight="true" outlineLevel="0" collapsed="false">
      <c r="A3" s="31" t="s">
        <v>26</v>
      </c>
      <c r="B3" s="31" t="s">
        <v>27</v>
      </c>
      <c r="C3" s="31" t="s">
        <v>587</v>
      </c>
      <c r="D3" s="31" t="s">
        <v>588</v>
      </c>
      <c r="E3" s="31" t="s">
        <v>40</v>
      </c>
      <c r="F3" s="31" t="s">
        <v>39</v>
      </c>
      <c r="G3" s="31" t="s">
        <v>589</v>
      </c>
      <c r="H3" s="31" t="s">
        <v>590</v>
      </c>
      <c r="I3" s="31" t="s">
        <v>591</v>
      </c>
    </row>
    <row r="4" customFormat="false" ht="21.75" hidden="false" customHeight="true" outlineLevel="0" collapsed="false">
      <c r="A4" s="36" t="s">
        <v>93</v>
      </c>
      <c r="B4" s="36" t="s">
        <v>94</v>
      </c>
      <c r="C4" s="36" t="s">
        <v>95</v>
      </c>
      <c r="D4" s="36" t="s">
        <v>96</v>
      </c>
      <c r="E4" s="36" t="s">
        <v>97</v>
      </c>
      <c r="F4" s="36" t="s">
        <v>98</v>
      </c>
      <c r="G4" s="36" t="s">
        <v>129</v>
      </c>
      <c r="H4" s="36" t="s">
        <v>129</v>
      </c>
      <c r="I4" s="36" t="s">
        <v>129</v>
      </c>
    </row>
    <row r="5" customFormat="false" ht="15" hidden="false" customHeight="false" outlineLevel="0" collapsed="false">
      <c r="A5" s="66" t="s">
        <v>130</v>
      </c>
      <c r="B5" s="25" t="s">
        <v>131</v>
      </c>
      <c r="C5" s="67" t="s">
        <v>132</v>
      </c>
      <c r="D5" s="67" t="s">
        <v>133</v>
      </c>
      <c r="E5" s="23" t="s">
        <v>134</v>
      </c>
      <c r="F5" s="25" t="s">
        <v>135</v>
      </c>
      <c r="G5" s="66" t="s">
        <v>592</v>
      </c>
      <c r="H5" s="66" t="s">
        <v>593</v>
      </c>
      <c r="I5" s="68" t="s">
        <v>594</v>
      </c>
    </row>
    <row r="6" customFormat="false" ht="15" hidden="false" customHeight="false" outlineLevel="0" collapsed="false">
      <c r="A6" s="66" t="s">
        <v>138</v>
      </c>
      <c r="B6" s="25" t="s">
        <v>139</v>
      </c>
      <c r="C6" s="67" t="s">
        <v>140</v>
      </c>
      <c r="D6" s="67" t="s">
        <v>141</v>
      </c>
      <c r="E6" s="23" t="s">
        <v>134</v>
      </c>
      <c r="F6" s="25" t="s">
        <v>135</v>
      </c>
      <c r="G6" s="66" t="s">
        <v>592</v>
      </c>
      <c r="H6" s="66" t="s">
        <v>593</v>
      </c>
      <c r="I6" s="68" t="s">
        <v>594</v>
      </c>
    </row>
    <row r="7" customFormat="false" ht="15" hidden="false" customHeight="false" outlineLevel="0" collapsed="false">
      <c r="A7" s="66" t="s">
        <v>142</v>
      </c>
      <c r="B7" s="25" t="s">
        <v>143</v>
      </c>
      <c r="C7" s="67" t="s">
        <v>144</v>
      </c>
      <c r="D7" s="67" t="s">
        <v>145</v>
      </c>
      <c r="E7" s="23" t="s">
        <v>134</v>
      </c>
      <c r="F7" s="25" t="s">
        <v>146</v>
      </c>
      <c r="G7" s="66" t="s">
        <v>592</v>
      </c>
      <c r="H7" s="66" t="s">
        <v>593</v>
      </c>
      <c r="I7" s="68" t="s">
        <v>594</v>
      </c>
    </row>
    <row r="8" customFormat="false" ht="15" hidden="false" customHeight="false" outlineLevel="0" collapsed="false">
      <c r="A8" s="66" t="s">
        <v>147</v>
      </c>
      <c r="B8" s="25" t="s">
        <v>148</v>
      </c>
      <c r="C8" s="67" t="s">
        <v>149</v>
      </c>
      <c r="D8" s="67" t="s">
        <v>150</v>
      </c>
      <c r="E8" s="23" t="s">
        <v>134</v>
      </c>
      <c r="F8" s="25" t="s">
        <v>151</v>
      </c>
      <c r="G8" s="66" t="s">
        <v>592</v>
      </c>
      <c r="H8" s="66" t="s">
        <v>593</v>
      </c>
      <c r="I8" s="68" t="s">
        <v>594</v>
      </c>
    </row>
    <row r="9" customFormat="false" ht="15" hidden="false" customHeight="false" outlineLevel="0" collapsed="false">
      <c r="A9" s="66" t="s">
        <v>152</v>
      </c>
      <c r="B9" s="25" t="s">
        <v>153</v>
      </c>
      <c r="C9" s="67" t="s">
        <v>154</v>
      </c>
      <c r="D9" s="67" t="s">
        <v>155</v>
      </c>
      <c r="E9" s="23" t="s">
        <v>134</v>
      </c>
      <c r="F9" s="25" t="s">
        <v>156</v>
      </c>
      <c r="G9" s="66" t="s">
        <v>592</v>
      </c>
      <c r="H9" s="66" t="s">
        <v>593</v>
      </c>
      <c r="I9" s="68" t="s">
        <v>594</v>
      </c>
    </row>
    <row r="10" customFormat="false" ht="15" hidden="false" customHeight="false" outlineLevel="0" collapsed="false">
      <c r="A10" s="66" t="s">
        <v>157</v>
      </c>
      <c r="B10" s="25" t="s">
        <v>158</v>
      </c>
      <c r="C10" s="67" t="s">
        <v>159</v>
      </c>
      <c r="D10" s="67" t="s">
        <v>160</v>
      </c>
      <c r="E10" s="23" t="s">
        <v>134</v>
      </c>
      <c r="F10" s="25" t="s">
        <v>161</v>
      </c>
      <c r="G10" s="66" t="s">
        <v>592</v>
      </c>
      <c r="H10" s="66" t="s">
        <v>593</v>
      </c>
      <c r="I10" s="68" t="s">
        <v>594</v>
      </c>
    </row>
    <row r="11" customFormat="false" ht="15" hidden="false" customHeight="false" outlineLevel="0" collapsed="false">
      <c r="A11" s="66" t="s">
        <v>162</v>
      </c>
      <c r="B11" s="25" t="s">
        <v>163</v>
      </c>
      <c r="C11" s="67" t="s">
        <v>164</v>
      </c>
      <c r="D11" s="67" t="s">
        <v>165</v>
      </c>
      <c r="E11" s="23" t="s">
        <v>134</v>
      </c>
      <c r="F11" s="25" t="s">
        <v>166</v>
      </c>
      <c r="G11" s="66" t="s">
        <v>592</v>
      </c>
      <c r="H11" s="66" t="s">
        <v>593</v>
      </c>
      <c r="I11" s="68" t="s">
        <v>594</v>
      </c>
    </row>
    <row r="12" customFormat="false" ht="15" hidden="false" customHeight="false" outlineLevel="0" collapsed="false">
      <c r="A12" s="66" t="s">
        <v>167</v>
      </c>
      <c r="B12" s="25" t="s">
        <v>168</v>
      </c>
      <c r="C12" s="67" t="s">
        <v>169</v>
      </c>
      <c r="D12" s="67" t="s">
        <v>170</v>
      </c>
      <c r="E12" s="23" t="s">
        <v>134</v>
      </c>
      <c r="F12" s="25" t="s">
        <v>171</v>
      </c>
      <c r="G12" s="66" t="s">
        <v>592</v>
      </c>
      <c r="H12" s="66" t="s">
        <v>593</v>
      </c>
      <c r="I12" s="68" t="s">
        <v>594</v>
      </c>
    </row>
    <row r="13" customFormat="false" ht="15" hidden="false" customHeight="false" outlineLevel="0" collapsed="false">
      <c r="A13" s="69"/>
      <c r="B13" s="70"/>
      <c r="C13" s="71"/>
      <c r="D13" s="71"/>
      <c r="E13" s="70"/>
      <c r="F13" s="70"/>
      <c r="G13" s="69"/>
      <c r="H13" s="69"/>
    </row>
    <row r="14" customFormat="false" ht="15" hidden="false" customHeight="false" outlineLevel="0" collapsed="false">
      <c r="A14" s="69"/>
      <c r="B14" s="70"/>
      <c r="C14" s="71"/>
      <c r="D14" s="71"/>
      <c r="E14" s="70"/>
      <c r="F14" s="70"/>
      <c r="G14" s="69"/>
      <c r="H14" s="69"/>
    </row>
    <row r="15" customFormat="false" ht="15" hidden="false" customHeight="false" outlineLevel="0" collapsed="false">
      <c r="A15" s="69"/>
      <c r="B15" s="70"/>
      <c r="C15" s="71"/>
      <c r="D15" s="71"/>
      <c r="E15" s="70"/>
      <c r="F15" s="70"/>
      <c r="G15" s="69"/>
      <c r="H15" s="69"/>
    </row>
    <row r="16" customFormat="false" ht="15" hidden="false" customHeight="false" outlineLevel="0" collapsed="false">
      <c r="A16" s="69"/>
      <c r="B16" s="70"/>
      <c r="C16" s="71"/>
      <c r="D16" s="71"/>
      <c r="E16" s="70"/>
      <c r="F16" s="70"/>
      <c r="G16" s="69"/>
      <c r="H16" s="69"/>
    </row>
    <row r="17" customFormat="false" ht="15" hidden="false" customHeight="false" outlineLevel="0" collapsed="false">
      <c r="A17" s="69"/>
      <c r="B17" s="70"/>
      <c r="C17" s="71"/>
      <c r="D17" s="71"/>
      <c r="E17" s="70"/>
      <c r="F17" s="70"/>
      <c r="G17" s="69"/>
      <c r="H17" s="69"/>
    </row>
    <row r="18" customFormat="false" ht="15" hidden="false" customHeight="false" outlineLevel="0" collapsed="false">
      <c r="A18" s="69"/>
      <c r="B18" s="70"/>
      <c r="C18" s="71"/>
      <c r="D18" s="71"/>
      <c r="E18" s="70"/>
      <c r="F18" s="70"/>
      <c r="G18" s="69"/>
      <c r="H18" s="69"/>
    </row>
    <row r="19" customFormat="false" ht="15" hidden="false" customHeight="false" outlineLevel="0" collapsed="false">
      <c r="A19" s="69"/>
      <c r="B19" s="70"/>
      <c r="C19" s="71"/>
      <c r="D19" s="71"/>
      <c r="E19" s="70"/>
      <c r="F19" s="70"/>
      <c r="G19" s="69"/>
      <c r="H19" s="69"/>
    </row>
    <row r="20" customFormat="false" ht="15" hidden="false" customHeight="false" outlineLevel="0" collapsed="false">
      <c r="A20" s="69"/>
      <c r="B20" s="70"/>
      <c r="C20" s="71"/>
      <c r="D20" s="71"/>
      <c r="E20" s="70"/>
      <c r="F20" s="70"/>
      <c r="G20" s="69"/>
      <c r="H20" s="69"/>
    </row>
    <row r="21" customFormat="false" ht="15" hidden="false" customHeight="false" outlineLevel="0" collapsed="false">
      <c r="A21" s="69"/>
      <c r="B21" s="70"/>
      <c r="C21" s="71"/>
      <c r="D21" s="71"/>
      <c r="E21" s="70"/>
      <c r="F21" s="70"/>
      <c r="G21" s="69"/>
      <c r="H21" s="69"/>
    </row>
    <row r="22" customFormat="false" ht="15" hidden="false" customHeight="false" outlineLevel="0" collapsed="false">
      <c r="A22" s="69"/>
      <c r="B22" s="70"/>
      <c r="C22" s="71"/>
      <c r="D22" s="71"/>
      <c r="E22" s="70"/>
      <c r="F22" s="70"/>
      <c r="G22" s="69"/>
      <c r="H22" s="69"/>
    </row>
    <row r="23" customFormat="false" ht="15" hidden="false" customHeight="false" outlineLevel="0" collapsed="false">
      <c r="A23" s="69"/>
      <c r="B23" s="70"/>
      <c r="C23" s="71"/>
      <c r="D23" s="71"/>
      <c r="E23" s="70"/>
      <c r="F23" s="70"/>
      <c r="G23" s="69"/>
      <c r="H23" s="69"/>
    </row>
    <row r="24" customFormat="false" ht="15" hidden="false" customHeight="false" outlineLevel="0" collapsed="false">
      <c r="A24" s="69"/>
      <c r="B24" s="70"/>
      <c r="C24" s="71"/>
      <c r="D24" s="71"/>
      <c r="E24" s="70"/>
      <c r="F24" s="70"/>
      <c r="G24" s="69"/>
      <c r="H24" s="69"/>
    </row>
    <row r="25" customFormat="false" ht="15" hidden="false" customHeight="false" outlineLevel="0" collapsed="false">
      <c r="A25" s="69"/>
      <c r="B25" s="70"/>
      <c r="C25" s="71"/>
      <c r="D25" s="71"/>
      <c r="E25" s="70"/>
      <c r="F25" s="70"/>
      <c r="G25" s="69"/>
      <c r="H25" s="69"/>
    </row>
    <row r="26" customFormat="false" ht="15" hidden="false" customHeight="false" outlineLevel="0" collapsed="false">
      <c r="A26" s="69"/>
      <c r="B26" s="70"/>
      <c r="C26" s="71"/>
      <c r="D26" s="71"/>
      <c r="E26" s="70"/>
      <c r="F26" s="70"/>
      <c r="G26" s="69"/>
      <c r="H26" s="69"/>
    </row>
    <row r="27" customFormat="false" ht="15" hidden="false" customHeight="false" outlineLevel="0" collapsed="false">
      <c r="A27" s="69"/>
      <c r="B27" s="70"/>
      <c r="C27" s="71"/>
      <c r="D27" s="71"/>
      <c r="E27" s="70"/>
      <c r="F27" s="70"/>
      <c r="G27" s="69"/>
      <c r="H27" s="69"/>
    </row>
    <row r="28" customFormat="false" ht="15" hidden="false" customHeight="false" outlineLevel="0" collapsed="false">
      <c r="A28" s="69"/>
      <c r="B28" s="70"/>
      <c r="C28" s="71"/>
      <c r="D28" s="71"/>
      <c r="E28" s="70"/>
      <c r="F28" s="70"/>
      <c r="G28" s="69"/>
      <c r="H28" s="69"/>
    </row>
    <row r="29" customFormat="false" ht="15" hidden="false" customHeight="false" outlineLevel="0" collapsed="false">
      <c r="A29" s="69"/>
      <c r="B29" s="70"/>
      <c r="C29" s="71"/>
      <c r="D29" s="71"/>
      <c r="E29" s="70"/>
      <c r="F29" s="70"/>
      <c r="G29" s="69"/>
      <c r="H29" s="69"/>
    </row>
    <row r="30" customFormat="false" ht="15" hidden="false" customHeight="false" outlineLevel="0" collapsed="false">
      <c r="A30" s="69"/>
      <c r="B30" s="70"/>
      <c r="C30" s="71"/>
      <c r="D30" s="71"/>
      <c r="E30" s="70"/>
      <c r="F30" s="70"/>
      <c r="G30" s="69"/>
      <c r="H30" s="69"/>
    </row>
    <row r="31" customFormat="false" ht="15" hidden="false" customHeight="false" outlineLevel="0" collapsed="false">
      <c r="A31" s="69"/>
      <c r="B31" s="70"/>
      <c r="C31" s="71"/>
      <c r="D31" s="71"/>
      <c r="E31" s="70"/>
      <c r="F31" s="70"/>
      <c r="G31" s="69"/>
      <c r="H31" s="69"/>
    </row>
    <row r="32" customFormat="false" ht="15" hidden="false" customHeight="false" outlineLevel="0" collapsed="false">
      <c r="A32" s="69"/>
      <c r="B32" s="70"/>
      <c r="C32" s="71"/>
      <c r="D32" s="71"/>
      <c r="E32" s="70"/>
      <c r="F32" s="70"/>
      <c r="G32" s="69"/>
      <c r="H32" s="69"/>
    </row>
    <row r="33" customFormat="false" ht="15" hidden="false" customHeight="false" outlineLevel="0" collapsed="false">
      <c r="A33" s="69"/>
      <c r="B33" s="70"/>
      <c r="C33" s="71"/>
      <c r="D33" s="71"/>
      <c r="E33" s="70"/>
      <c r="F33" s="70"/>
      <c r="G33" s="69"/>
      <c r="H33" s="69"/>
    </row>
    <row r="34" customFormat="false" ht="15" hidden="false" customHeight="false" outlineLevel="0" collapsed="false">
      <c r="A34" s="69"/>
      <c r="B34" s="70"/>
      <c r="C34" s="71"/>
      <c r="D34" s="71"/>
      <c r="E34" s="70"/>
      <c r="F34" s="70"/>
      <c r="G34" s="69"/>
      <c r="H34" s="69"/>
    </row>
    <row r="35" customFormat="false" ht="15" hidden="false" customHeight="false" outlineLevel="0" collapsed="false">
      <c r="A35" s="69"/>
      <c r="B35" s="70"/>
      <c r="C35" s="71"/>
      <c r="D35" s="71"/>
      <c r="E35" s="70"/>
      <c r="F35" s="70"/>
      <c r="G35" s="69"/>
      <c r="H35" s="69"/>
    </row>
    <row r="36" customFormat="false" ht="15" hidden="false" customHeight="false" outlineLevel="0" collapsed="false">
      <c r="A36" s="69"/>
      <c r="B36" s="70"/>
      <c r="C36" s="71"/>
      <c r="D36" s="71"/>
      <c r="E36" s="70"/>
      <c r="F36" s="70"/>
      <c r="G36" s="69"/>
      <c r="H36" s="69"/>
    </row>
    <row r="37" customFormat="false" ht="15" hidden="false" customHeight="false" outlineLevel="0" collapsed="false">
      <c r="A37" s="69"/>
      <c r="B37" s="70"/>
      <c r="C37" s="71"/>
      <c r="D37" s="71"/>
      <c r="E37" s="70"/>
      <c r="F37" s="70"/>
      <c r="G37" s="69"/>
      <c r="H37" s="69"/>
    </row>
    <row r="38" customFormat="false" ht="15" hidden="false" customHeight="false" outlineLevel="0" collapsed="false">
      <c r="A38" s="69"/>
      <c r="B38" s="70"/>
      <c r="C38" s="71"/>
      <c r="D38" s="71"/>
      <c r="E38" s="70"/>
      <c r="F38" s="70"/>
      <c r="G38" s="69"/>
      <c r="H38" s="69"/>
    </row>
    <row r="39" customFormat="false" ht="15" hidden="false" customHeight="false" outlineLevel="0" collapsed="false">
      <c r="A39" s="69"/>
      <c r="B39" s="70"/>
      <c r="C39" s="71"/>
      <c r="D39" s="71"/>
      <c r="E39" s="70"/>
      <c r="F39" s="70"/>
      <c r="G39" s="69"/>
      <c r="H39" s="69"/>
    </row>
    <row r="40" customFormat="false" ht="15" hidden="false" customHeight="false" outlineLevel="0" collapsed="false">
      <c r="A40" s="69"/>
      <c r="B40" s="70"/>
      <c r="C40" s="71"/>
      <c r="D40" s="71"/>
      <c r="E40" s="70"/>
      <c r="F40" s="70"/>
      <c r="G40" s="69"/>
      <c r="H40" s="69"/>
    </row>
    <row r="41" customFormat="false" ht="15" hidden="false" customHeight="false" outlineLevel="0" collapsed="false">
      <c r="A41" s="69"/>
      <c r="B41" s="70"/>
      <c r="C41" s="71"/>
      <c r="D41" s="71"/>
      <c r="E41" s="70"/>
      <c r="F41" s="70"/>
      <c r="G41" s="69"/>
      <c r="H41" s="69"/>
    </row>
    <row r="42" customFormat="false" ht="15" hidden="false" customHeight="false" outlineLevel="0" collapsed="false">
      <c r="A42" s="69"/>
      <c r="B42" s="70"/>
      <c r="C42" s="71"/>
      <c r="D42" s="71"/>
      <c r="E42" s="70"/>
      <c r="F42" s="70"/>
      <c r="G42" s="69"/>
      <c r="H42" s="69"/>
    </row>
    <row r="43" customFormat="false" ht="15" hidden="false" customHeight="false" outlineLevel="0" collapsed="false">
      <c r="A43" s="69"/>
      <c r="B43" s="70"/>
      <c r="C43" s="71"/>
      <c r="D43" s="71"/>
      <c r="E43" s="70"/>
      <c r="F43" s="70"/>
      <c r="G43" s="69"/>
      <c r="H43" s="69"/>
    </row>
    <row r="44" customFormat="false" ht="15" hidden="false" customHeight="false" outlineLevel="0" collapsed="false">
      <c r="A44" s="69"/>
      <c r="B44" s="70"/>
      <c r="C44" s="71"/>
      <c r="D44" s="71"/>
      <c r="E44" s="70"/>
      <c r="F44" s="70"/>
      <c r="G44" s="69"/>
      <c r="H44" s="69"/>
    </row>
    <row r="45" customFormat="false" ht="15" hidden="false" customHeight="false" outlineLevel="0" collapsed="false">
      <c r="A45" s="69"/>
      <c r="B45" s="70"/>
      <c r="C45" s="71"/>
      <c r="D45" s="71"/>
      <c r="E45" s="70"/>
      <c r="F45" s="70"/>
      <c r="G45" s="69"/>
      <c r="H45" s="69"/>
    </row>
    <row r="46" customFormat="false" ht="15" hidden="false" customHeight="false" outlineLevel="0" collapsed="false">
      <c r="A46" s="69"/>
      <c r="B46" s="70"/>
      <c r="C46" s="71"/>
      <c r="D46" s="71"/>
      <c r="E46" s="70"/>
      <c r="F46" s="70"/>
      <c r="G46" s="69"/>
      <c r="H46" s="69"/>
    </row>
    <row r="47" customFormat="false" ht="15" hidden="false" customHeight="false" outlineLevel="0" collapsed="false">
      <c r="A47" s="69"/>
      <c r="B47" s="70"/>
      <c r="C47" s="71"/>
      <c r="D47" s="71"/>
      <c r="E47" s="70"/>
      <c r="F47" s="70"/>
      <c r="G47" s="69"/>
      <c r="H47" s="69"/>
    </row>
    <row r="48" customFormat="false" ht="15" hidden="false" customHeight="false" outlineLevel="0" collapsed="false">
      <c r="A48" s="69"/>
      <c r="B48" s="70"/>
      <c r="C48" s="71"/>
      <c r="D48" s="71"/>
      <c r="E48" s="70"/>
      <c r="F48" s="70"/>
      <c r="G48" s="69"/>
      <c r="H48" s="69"/>
    </row>
    <row r="49" customFormat="false" ht="15" hidden="false" customHeight="false" outlineLevel="0" collapsed="false">
      <c r="A49" s="69"/>
      <c r="B49" s="70"/>
      <c r="C49" s="71"/>
      <c r="D49" s="71"/>
      <c r="E49" s="70"/>
      <c r="F49" s="70"/>
      <c r="G49" s="69"/>
      <c r="H49" s="69"/>
    </row>
    <row r="50" customFormat="false" ht="15" hidden="false" customHeight="false" outlineLevel="0" collapsed="false">
      <c r="A50" s="69"/>
      <c r="B50" s="70"/>
      <c r="C50" s="71"/>
      <c r="D50" s="71"/>
      <c r="E50" s="70"/>
      <c r="F50" s="70"/>
      <c r="G50" s="69"/>
      <c r="H50" s="69"/>
    </row>
    <row r="51" customFormat="false" ht="15" hidden="false" customHeight="false" outlineLevel="0" collapsed="false">
      <c r="A51" s="69"/>
      <c r="B51" s="70"/>
      <c r="C51" s="71"/>
      <c r="D51" s="71"/>
      <c r="E51" s="70"/>
      <c r="F51" s="70"/>
      <c r="G51" s="69"/>
      <c r="H51" s="69"/>
    </row>
    <row r="52" customFormat="false" ht="15" hidden="false" customHeight="false" outlineLevel="0" collapsed="false">
      <c r="A52" s="69"/>
      <c r="B52" s="70"/>
      <c r="C52" s="71"/>
      <c r="D52" s="71"/>
      <c r="E52" s="70"/>
      <c r="F52" s="70"/>
      <c r="G52" s="69"/>
      <c r="H52" s="69"/>
    </row>
    <row r="53" customFormat="false" ht="15" hidden="false" customHeight="false" outlineLevel="0" collapsed="false">
      <c r="A53" s="69"/>
      <c r="B53" s="70"/>
      <c r="C53" s="71"/>
      <c r="D53" s="71"/>
      <c r="E53" s="70"/>
      <c r="F53" s="70"/>
      <c r="G53" s="69"/>
      <c r="H53" s="69"/>
    </row>
    <row r="54" customFormat="false" ht="15" hidden="false" customHeight="false" outlineLevel="0" collapsed="false">
      <c r="A54" s="69"/>
      <c r="B54" s="70"/>
      <c r="C54" s="71"/>
      <c r="D54" s="71"/>
      <c r="E54" s="70"/>
      <c r="F54" s="70"/>
      <c r="G54" s="69"/>
      <c r="H54" s="69"/>
    </row>
    <row r="55" customFormat="false" ht="15" hidden="false" customHeight="false" outlineLevel="0" collapsed="false">
      <c r="A55" s="69"/>
      <c r="B55" s="70"/>
      <c r="C55" s="71"/>
      <c r="D55" s="71"/>
      <c r="E55" s="70"/>
      <c r="F55" s="70"/>
      <c r="G55" s="69"/>
      <c r="H55" s="69"/>
    </row>
    <row r="56" customFormat="false" ht="15" hidden="false" customHeight="false" outlineLevel="0" collapsed="false">
      <c r="A56" s="69"/>
      <c r="B56" s="70"/>
      <c r="C56" s="71"/>
      <c r="D56" s="71"/>
      <c r="E56" s="70"/>
      <c r="F56" s="70"/>
      <c r="G56" s="69"/>
      <c r="H56" s="69"/>
    </row>
    <row r="57" customFormat="false" ht="15" hidden="false" customHeight="false" outlineLevel="0" collapsed="false">
      <c r="A57" s="69"/>
      <c r="B57" s="70"/>
      <c r="C57" s="71"/>
      <c r="D57" s="71"/>
      <c r="E57" s="70"/>
      <c r="F57" s="70"/>
      <c r="G57" s="69"/>
      <c r="H57" s="69"/>
    </row>
    <row r="58" customFormat="false" ht="15" hidden="false" customHeight="false" outlineLevel="0" collapsed="false">
      <c r="A58" s="69"/>
      <c r="B58" s="70"/>
      <c r="C58" s="71"/>
      <c r="D58" s="71"/>
      <c r="E58" s="70"/>
      <c r="F58" s="70"/>
      <c r="G58" s="69"/>
      <c r="H58" s="69"/>
    </row>
    <row r="59" customFormat="false" ht="15" hidden="false" customHeight="false" outlineLevel="0" collapsed="false">
      <c r="A59" s="69"/>
      <c r="B59" s="70"/>
      <c r="C59" s="71"/>
      <c r="D59" s="71"/>
      <c r="E59" s="70"/>
      <c r="F59" s="70"/>
      <c r="G59" s="69"/>
      <c r="H59" s="69"/>
    </row>
    <row r="60" customFormat="false" ht="15" hidden="false" customHeight="false" outlineLevel="0" collapsed="false">
      <c r="A60" s="69"/>
      <c r="B60" s="70"/>
      <c r="C60" s="71"/>
      <c r="D60" s="71"/>
      <c r="E60" s="70"/>
      <c r="F60" s="70"/>
      <c r="G60" s="69"/>
      <c r="H60" s="69"/>
    </row>
    <row r="61" customFormat="false" ht="15" hidden="false" customHeight="false" outlineLevel="0" collapsed="false">
      <c r="A61" s="69"/>
      <c r="B61" s="70"/>
      <c r="C61" s="71"/>
      <c r="D61" s="71"/>
      <c r="E61" s="70"/>
      <c r="F61" s="70"/>
      <c r="G61" s="69"/>
      <c r="H61" s="69"/>
    </row>
    <row r="62" customFormat="false" ht="15" hidden="false" customHeight="false" outlineLevel="0" collapsed="false">
      <c r="A62" s="69"/>
      <c r="B62" s="70"/>
      <c r="C62" s="71"/>
      <c r="D62" s="71"/>
      <c r="E62" s="70"/>
      <c r="F62" s="70"/>
      <c r="G62" s="69"/>
      <c r="H62" s="69"/>
    </row>
    <row r="63" customFormat="false" ht="15" hidden="false" customHeight="false" outlineLevel="0" collapsed="false">
      <c r="A63" s="69"/>
      <c r="B63" s="70"/>
      <c r="C63" s="71"/>
      <c r="D63" s="71"/>
      <c r="E63" s="70"/>
      <c r="F63" s="70"/>
      <c r="G63" s="69"/>
      <c r="H63" s="69"/>
    </row>
    <row r="64" customFormat="false" ht="15" hidden="false" customHeight="false" outlineLevel="0" collapsed="false">
      <c r="A64" s="69"/>
      <c r="B64" s="70"/>
      <c r="C64" s="71"/>
      <c r="D64" s="71"/>
      <c r="E64" s="70"/>
      <c r="F64" s="70"/>
      <c r="G64" s="69"/>
      <c r="H64" s="69"/>
    </row>
    <row r="66" customFormat="false" ht="15" hidden="false" customHeight="true" outlineLevel="0" collapsed="false">
      <c r="A66" s="65" t="s">
        <v>595</v>
      </c>
      <c r="B66" s="65"/>
      <c r="C66" s="65"/>
      <c r="D66" s="65"/>
      <c r="E66" s="65"/>
      <c r="F66" s="65"/>
      <c r="G66" s="65"/>
      <c r="H66" s="65"/>
      <c r="I66" s="65"/>
    </row>
    <row r="67" customFormat="false" ht="15" hidden="false" customHeight="true" outlineLevel="0" collapsed="false">
      <c r="A67" s="29" t="s">
        <v>596</v>
      </c>
      <c r="B67" s="29"/>
      <c r="C67" s="29"/>
      <c r="D67" s="29"/>
      <c r="E67" s="29"/>
      <c r="F67" s="29"/>
      <c r="G67" s="29"/>
      <c r="H67" s="29"/>
      <c r="I67" s="29"/>
    </row>
  </sheetData>
  <mergeCells count="4">
    <mergeCell ref="A1:I1"/>
    <mergeCell ref="A2:I2"/>
    <mergeCell ref="A66:I66"/>
    <mergeCell ref="A67:I67"/>
  </mergeCells>
  <conditionalFormatting sqref="G5:G12">
    <cfRule type="cellIs" priority="2" operator="equal" aboveAverage="0" equalAverage="0" bottom="0" percent="0" rank="0" text="" dxfId="47">
      <formula>"خیر"</formula>
    </cfRule>
  </conditionalFormatting>
  <dataValidations count="2">
    <dataValidation allowBlank="true" errorStyle="stop" operator="between" showDropDown="false" showErrorMessage="false" showInputMessage="false" sqref="G5:G64" type="list">
      <formula1>"بله,خیر"</formula1>
      <formula2>0</formula2>
    </dataValidation>
    <dataValidation allowBlank="true" errorStyle="stop" operator="between" showDropDown="false" showErrorMessage="false" showInputMessage="false" sqref="H5:H64" type="list">
      <formula1>"بله,خیر"</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46"/>
    <col collapsed="false" customWidth="true" hidden="false" outlineLevel="0" max="5" min="5" style="0" width="3"/>
  </cols>
  <sheetData>
    <row r="1" customFormat="false" ht="27.75" hidden="false" customHeight="true" outlineLevel="0" collapsed="false">
      <c r="A1" s="1" t="s">
        <v>597</v>
      </c>
      <c r="B1" s="1"/>
      <c r="C1" s="1"/>
      <c r="D1" s="1"/>
      <c r="E1" s="1"/>
    </row>
    <row r="2" customFormat="false" ht="18" hidden="false" customHeight="true" outlineLevel="0" collapsed="false">
      <c r="A2" s="30" t="s">
        <v>598</v>
      </c>
      <c r="B2" s="30"/>
      <c r="C2" s="30"/>
      <c r="D2" s="30"/>
      <c r="E2" s="30"/>
    </row>
    <row r="4" customFormat="false" ht="19.5" hidden="false" customHeight="true" outlineLevel="0" collapsed="false">
      <c r="B4" s="72" t="s">
        <v>599</v>
      </c>
      <c r="C4" s="72"/>
      <c r="D4" s="72"/>
    </row>
    <row r="5" customFormat="false" ht="15" hidden="false" customHeight="false" outlineLevel="0" collapsed="false">
      <c r="B5" s="4" t="s">
        <v>600</v>
      </c>
      <c r="C5" s="73" t="n">
        <v>20</v>
      </c>
      <c r="D5" s="74" t="s">
        <v>601</v>
      </c>
    </row>
    <row r="6" customFormat="false" ht="15" hidden="false" customHeight="false" outlineLevel="0" collapsed="false">
      <c r="B6" s="4" t="s">
        <v>602</v>
      </c>
      <c r="C6" s="73" t="n">
        <v>50</v>
      </c>
      <c r="D6" s="74" t="s">
        <v>603</v>
      </c>
    </row>
    <row r="7" customFormat="false" ht="15" hidden="false" customHeight="false" outlineLevel="0" collapsed="false">
      <c r="B7" s="4" t="s">
        <v>604</v>
      </c>
      <c r="C7" s="73" t="n">
        <v>100</v>
      </c>
      <c r="D7" s="74"/>
    </row>
    <row r="8" customFormat="false" ht="15" hidden="false" customHeight="false" outlineLevel="0" collapsed="false">
      <c r="B8" s="4" t="s">
        <v>605</v>
      </c>
      <c r="C8" s="73" t="n">
        <v>200</v>
      </c>
      <c r="D8" s="74" t="s">
        <v>606</v>
      </c>
    </row>
    <row r="9" customFormat="false" ht="15" hidden="false" customHeight="false" outlineLevel="0" collapsed="false">
      <c r="B9" s="4" t="s">
        <v>607</v>
      </c>
      <c r="C9" s="73" t="n">
        <v>14</v>
      </c>
      <c r="D9" s="74" t="s">
        <v>608</v>
      </c>
    </row>
    <row r="10" customFormat="false" ht="15" hidden="false" customHeight="false" outlineLevel="0" collapsed="false">
      <c r="B10" s="4" t="s">
        <v>609</v>
      </c>
      <c r="C10" s="75" t="n">
        <v>2</v>
      </c>
      <c r="D10" s="74" t="s">
        <v>610</v>
      </c>
    </row>
    <row r="12" customFormat="false" ht="19.5" hidden="false" customHeight="true" outlineLevel="0" collapsed="false">
      <c r="B12" s="72" t="s">
        <v>611</v>
      </c>
      <c r="C12" s="72"/>
      <c r="D12" s="72"/>
    </row>
    <row r="13" customFormat="false" ht="15" hidden="false" customHeight="false" outlineLevel="0" collapsed="false">
      <c r="B13" s="4" t="s">
        <v>612</v>
      </c>
      <c r="C13" s="75" t="n">
        <v>2</v>
      </c>
      <c r="D13" s="74" t="s">
        <v>613</v>
      </c>
    </row>
    <row r="14" customFormat="false" ht="15" hidden="false" customHeight="false" outlineLevel="0" collapsed="false">
      <c r="B14" s="4" t="s">
        <v>614</v>
      </c>
      <c r="C14" s="75" t="n">
        <v>1.3</v>
      </c>
      <c r="D14" s="74"/>
    </row>
    <row r="15" customFormat="false" ht="15" hidden="false" customHeight="false" outlineLevel="0" collapsed="false">
      <c r="B15" s="4" t="s">
        <v>615</v>
      </c>
      <c r="C15" s="75" t="n">
        <v>0.6</v>
      </c>
      <c r="D15" s="74" t="s">
        <v>616</v>
      </c>
    </row>
    <row r="17" customFormat="false" ht="19.5" hidden="false" customHeight="true" outlineLevel="0" collapsed="false">
      <c r="B17" s="72" t="s">
        <v>617</v>
      </c>
      <c r="C17" s="72"/>
      <c r="D17" s="72"/>
    </row>
    <row r="18" customFormat="false" ht="15" hidden="false" customHeight="false" outlineLevel="0" collapsed="false">
      <c r="B18" s="4" t="s">
        <v>618</v>
      </c>
      <c r="C18" s="75" t="n">
        <v>1.5</v>
      </c>
      <c r="D18" s="74" t="s">
        <v>619</v>
      </c>
    </row>
    <row r="19" customFormat="false" ht="15" hidden="false" customHeight="false" outlineLevel="0" collapsed="false">
      <c r="B19" s="4" t="s">
        <v>620</v>
      </c>
      <c r="C19" s="75" t="n">
        <v>1.15</v>
      </c>
      <c r="D19" s="74"/>
    </row>
    <row r="20" customFormat="false" ht="15" hidden="false" customHeight="false" outlineLevel="0" collapsed="false">
      <c r="B20" s="4" t="s">
        <v>621</v>
      </c>
      <c r="C20" s="75" t="n">
        <v>0.85</v>
      </c>
      <c r="D20" s="74"/>
    </row>
    <row r="21" customFormat="false" ht="15" hidden="false" customHeight="false" outlineLevel="0" collapsed="false">
      <c r="B21" s="4" t="s">
        <v>622</v>
      </c>
      <c r="C21" s="75" t="n">
        <v>0.65</v>
      </c>
      <c r="D21" s="74"/>
    </row>
    <row r="22" customFormat="false" ht="15" hidden="false" customHeight="false" outlineLevel="0" collapsed="false">
      <c r="B22" s="4" t="s">
        <v>623</v>
      </c>
      <c r="C22" s="76" t="n">
        <v>0.2</v>
      </c>
      <c r="D22" s="74" t="s">
        <v>624</v>
      </c>
    </row>
    <row r="23" customFormat="false" ht="15" hidden="false" customHeight="false" outlineLevel="0" collapsed="false">
      <c r="B23" s="4" t="s">
        <v>625</v>
      </c>
      <c r="C23" s="76" t="n">
        <v>0.05</v>
      </c>
      <c r="D23" s="74"/>
    </row>
    <row r="25" customFormat="false" ht="19.5" hidden="false" customHeight="true" outlineLevel="0" collapsed="false">
      <c r="B25" s="72" t="s">
        <v>626</v>
      </c>
      <c r="C25" s="72"/>
      <c r="D25" s="72"/>
    </row>
    <row r="26" customFormat="false" ht="15" hidden="false" customHeight="false" outlineLevel="0" collapsed="false">
      <c r="B26" s="4" t="s">
        <v>627</v>
      </c>
      <c r="C26" s="76" t="n">
        <v>0.35</v>
      </c>
      <c r="D26" s="74"/>
    </row>
    <row r="27" customFormat="false" ht="15" hidden="false" customHeight="false" outlineLevel="0" collapsed="false">
      <c r="B27" s="4" t="s">
        <v>628</v>
      </c>
      <c r="C27" s="76" t="n">
        <v>0.3</v>
      </c>
      <c r="D27" s="74"/>
    </row>
    <row r="28" customFormat="false" ht="15" hidden="false" customHeight="false" outlineLevel="0" collapsed="false">
      <c r="B28" s="4" t="s">
        <v>629</v>
      </c>
      <c r="C28" s="76" t="n">
        <v>0.15</v>
      </c>
      <c r="D28" s="74"/>
    </row>
    <row r="29" customFormat="false" ht="15" hidden="false" customHeight="false" outlineLevel="0" collapsed="false">
      <c r="B29" s="4" t="s">
        <v>630</v>
      </c>
      <c r="C29" s="76" t="n">
        <v>0.1</v>
      </c>
      <c r="D29" s="74"/>
    </row>
    <row r="30" customFormat="false" ht="15" hidden="false" customHeight="false" outlineLevel="0" collapsed="false">
      <c r="B30" s="4" t="s">
        <v>631</v>
      </c>
      <c r="C30" s="76" t="n">
        <v>0.1</v>
      </c>
      <c r="D30" s="74"/>
    </row>
    <row r="31" customFormat="false" ht="15" hidden="false" customHeight="false" outlineLevel="0" collapsed="false">
      <c r="B31" s="4" t="s">
        <v>632</v>
      </c>
      <c r="C31" s="76" t="n">
        <v>0</v>
      </c>
      <c r="D31" s="74" t="s">
        <v>633</v>
      </c>
    </row>
    <row r="32" customFormat="false" ht="15" hidden="false" customHeight="false" outlineLevel="0" collapsed="false">
      <c r="B32" s="4" t="s">
        <v>634</v>
      </c>
      <c r="C32" s="77" t="n">
        <f aca="false">SUM(C26:C31)</f>
        <v>1</v>
      </c>
      <c r="D32" s="78" t="str">
        <f aca="false">IF(ROUND(C32,6)=1,"✔ وزن‌ها معتبر است","✘ خطا: جمع وزن‌ها باید ۱۰۰٪ باشد")</f>
        <v>✔ وزن‌ها معتبر است</v>
      </c>
    </row>
    <row r="34" customFormat="false" ht="19.5" hidden="false" customHeight="true" outlineLevel="0" collapsed="false">
      <c r="B34" s="72" t="s">
        <v>635</v>
      </c>
      <c r="C34" s="72"/>
      <c r="D34" s="72"/>
    </row>
    <row r="35" customFormat="false" ht="15" hidden="false" customHeight="false" outlineLevel="0" collapsed="false">
      <c r="B35" s="4" t="s">
        <v>636</v>
      </c>
      <c r="C35" s="79" t="n">
        <v>5</v>
      </c>
      <c r="D35" s="74"/>
    </row>
    <row r="36" customFormat="false" ht="15" hidden="false" customHeight="false" outlineLevel="0" collapsed="false">
      <c r="B36" s="4" t="s">
        <v>637</v>
      </c>
      <c r="C36" s="79" t="n">
        <v>2</v>
      </c>
      <c r="D36" s="74"/>
    </row>
    <row r="37" customFormat="false" ht="15" hidden="false" customHeight="false" outlineLevel="0" collapsed="false">
      <c r="B37" s="4" t="s">
        <v>638</v>
      </c>
      <c r="C37" s="79" t="n">
        <v>-2</v>
      </c>
      <c r="D37" s="74"/>
    </row>
    <row r="38" customFormat="false" ht="15" hidden="false" customHeight="false" outlineLevel="0" collapsed="false">
      <c r="B38" s="4" t="s">
        <v>639</v>
      </c>
      <c r="C38" s="79" t="n">
        <v>-5</v>
      </c>
      <c r="D38" s="74"/>
    </row>
    <row r="40" customFormat="false" ht="19.5" hidden="false" customHeight="true" outlineLevel="0" collapsed="false">
      <c r="B40" s="72" t="s">
        <v>640</v>
      </c>
      <c r="C40" s="72"/>
      <c r="D40" s="72"/>
    </row>
    <row r="41" customFormat="false" ht="15" hidden="false" customHeight="false" outlineLevel="0" collapsed="false">
      <c r="B41" s="4" t="s">
        <v>641</v>
      </c>
      <c r="C41" s="76" t="n">
        <v>0.3</v>
      </c>
      <c r="D41" s="74" t="s">
        <v>642</v>
      </c>
    </row>
    <row r="42" customFormat="false" ht="15" hidden="false" customHeight="false" outlineLevel="0" collapsed="false">
      <c r="B42" s="4" t="s">
        <v>643</v>
      </c>
      <c r="C42" s="76" t="n">
        <v>0.55</v>
      </c>
      <c r="D42" s="74" t="s">
        <v>644</v>
      </c>
    </row>
    <row r="43" customFormat="false" ht="15" hidden="false" customHeight="false" outlineLevel="0" collapsed="false">
      <c r="B43" s="4" t="s">
        <v>645</v>
      </c>
      <c r="C43" s="73" t="n">
        <v>7</v>
      </c>
      <c r="D43" s="74" t="s">
        <v>646</v>
      </c>
    </row>
    <row r="44" customFormat="false" ht="15" hidden="false" customHeight="false" outlineLevel="0" collapsed="false">
      <c r="B44" s="4" t="s">
        <v>647</v>
      </c>
      <c r="C44" s="73" t="n">
        <v>100</v>
      </c>
      <c r="D44" s="74" t="s">
        <v>648</v>
      </c>
    </row>
    <row r="45" customFormat="false" ht="15" hidden="false" customHeight="false" outlineLevel="0" collapsed="false">
      <c r="B45" s="4" t="s">
        <v>649</v>
      </c>
      <c r="C45" s="76" t="n">
        <v>0.03</v>
      </c>
      <c r="D45" s="74"/>
    </row>
    <row r="46" customFormat="false" ht="15" hidden="false" customHeight="false" outlineLevel="0" collapsed="false">
      <c r="B46" s="4" t="s">
        <v>650</v>
      </c>
      <c r="C46" s="73" t="n">
        <v>245</v>
      </c>
      <c r="D46" s="74"/>
    </row>
    <row r="48" customFormat="false" ht="19.5" hidden="false" customHeight="true" outlineLevel="0" collapsed="false">
      <c r="B48" s="72" t="s">
        <v>651</v>
      </c>
      <c r="C48" s="72"/>
      <c r="D48" s="72"/>
    </row>
    <row r="49" customFormat="false" ht="15" hidden="false" customHeight="false" outlineLevel="0" collapsed="false">
      <c r="B49" s="4" t="s">
        <v>652</v>
      </c>
      <c r="C49" s="73" t="n">
        <v>20</v>
      </c>
      <c r="D49" s="74" t="s">
        <v>653</v>
      </c>
    </row>
    <row r="50" customFormat="false" ht="15" hidden="false" customHeight="false" outlineLevel="0" collapsed="false">
      <c r="B50" s="4" t="s">
        <v>654</v>
      </c>
      <c r="C50" s="73" t="n">
        <v>40</v>
      </c>
      <c r="D50" s="74"/>
    </row>
    <row r="51" customFormat="false" ht="15" hidden="false" customHeight="false" outlineLevel="0" collapsed="false">
      <c r="B51" s="4" t="s">
        <v>655</v>
      </c>
      <c r="C51" s="73" t="n">
        <v>80</v>
      </c>
      <c r="D51" s="74"/>
    </row>
    <row r="52" customFormat="false" ht="15" hidden="false" customHeight="false" outlineLevel="0" collapsed="false">
      <c r="B52" s="4" t="s">
        <v>656</v>
      </c>
      <c r="C52" s="73" t="n">
        <v>160</v>
      </c>
      <c r="D52" s="74"/>
    </row>
    <row r="53" customFormat="false" ht="15" hidden="false" customHeight="false" outlineLevel="0" collapsed="false">
      <c r="B53" s="4" t="s">
        <v>657</v>
      </c>
      <c r="C53" s="73" t="n">
        <v>3</v>
      </c>
      <c r="D53" s="74" t="s">
        <v>658</v>
      </c>
    </row>
    <row r="55" customFormat="false" ht="19.5" hidden="false" customHeight="true" outlineLevel="0" collapsed="false">
      <c r="B55" s="72" t="s">
        <v>659</v>
      </c>
      <c r="C55" s="72"/>
      <c r="D55" s="72"/>
    </row>
    <row r="56" customFormat="false" ht="15" hidden="false" customHeight="false" outlineLevel="0" collapsed="false">
      <c r="B56" s="4" t="s">
        <v>660</v>
      </c>
      <c r="C56" s="79" t="n">
        <v>0.35</v>
      </c>
      <c r="D56" s="74" t="s">
        <v>661</v>
      </c>
    </row>
    <row r="57" customFormat="false" ht="15" hidden="false" customHeight="false" outlineLevel="0" collapsed="false">
      <c r="B57" s="4" t="s">
        <v>662</v>
      </c>
      <c r="C57" s="79" t="n">
        <v>0.25</v>
      </c>
      <c r="D57" s="74" t="s">
        <v>663</v>
      </c>
    </row>
    <row r="58" customFormat="false" ht="15" hidden="false" customHeight="false" outlineLevel="0" collapsed="false">
      <c r="B58" s="4" t="s">
        <v>664</v>
      </c>
      <c r="C58" s="79" t="n">
        <v>0.15</v>
      </c>
      <c r="D58" s="74" t="s">
        <v>665</v>
      </c>
    </row>
    <row r="59" customFormat="false" ht="15" hidden="false" customHeight="false" outlineLevel="0" collapsed="false">
      <c r="B59" s="4" t="s">
        <v>666</v>
      </c>
      <c r="C59" s="79" t="n">
        <v>0.25</v>
      </c>
      <c r="D59" s="74" t="s">
        <v>667</v>
      </c>
    </row>
    <row r="60" customFormat="false" ht="15" hidden="false" customHeight="false" outlineLevel="0" collapsed="false">
      <c r="B60" s="4" t="s">
        <v>668</v>
      </c>
      <c r="C60" s="77" t="n">
        <f aca="false">SUM(C56:C59)</f>
        <v>1</v>
      </c>
      <c r="D60" s="78" t="str">
        <f aca="false">IF(ROUND(C60,6)=1,"✔ وزن‌ها معتبر است","✘ خطا: جمع باید ۱۰۰٪ باشد")</f>
        <v>✔ وزن‌ها معتبر است</v>
      </c>
    </row>
    <row r="62" customFormat="false" ht="19.5" hidden="false" customHeight="true" outlineLevel="0" collapsed="false">
      <c r="B62" s="72" t="s">
        <v>669</v>
      </c>
      <c r="C62" s="72"/>
      <c r="D62" s="72"/>
    </row>
    <row r="63" customFormat="false" ht="15" hidden="false" customHeight="false" outlineLevel="0" collapsed="false">
      <c r="B63" s="4" t="s">
        <v>670</v>
      </c>
      <c r="C63" s="73" t="n">
        <v>20</v>
      </c>
      <c r="D63" s="74" t="s">
        <v>671</v>
      </c>
    </row>
    <row r="64" customFormat="false" ht="15" hidden="false" customHeight="false" outlineLevel="0" collapsed="false">
      <c r="B64" s="4" t="s">
        <v>672</v>
      </c>
      <c r="C64" s="73" t="n">
        <v>60</v>
      </c>
      <c r="D64" s="74" t="s">
        <v>673</v>
      </c>
    </row>
    <row r="65" customFormat="false" ht="15" hidden="false" customHeight="false" outlineLevel="0" collapsed="false">
      <c r="B65" s="4" t="s">
        <v>674</v>
      </c>
      <c r="C65" s="76" t="n">
        <v>0.07</v>
      </c>
      <c r="D65" s="74" t="s">
        <v>675</v>
      </c>
    </row>
    <row r="66" customFormat="false" ht="15" hidden="false" customHeight="false" outlineLevel="0" collapsed="false">
      <c r="B66" s="4" t="s">
        <v>676</v>
      </c>
      <c r="C66" s="73" t="n">
        <v>50</v>
      </c>
      <c r="D66" s="74" t="s">
        <v>677</v>
      </c>
    </row>
    <row r="68" customFormat="false" ht="15" hidden="false" customHeight="true" outlineLevel="0" collapsed="false">
      <c r="B68" s="65" t="s">
        <v>678</v>
      </c>
      <c r="C68" s="65"/>
      <c r="D68" s="65"/>
    </row>
  </sheetData>
  <mergeCells count="3">
    <mergeCell ref="A1:E1"/>
    <mergeCell ref="A2:E2"/>
    <mergeCell ref="B68:D68"/>
  </mergeCells>
  <conditionalFormatting sqref="D32">
    <cfRule type="expression" priority="2" aboveAverage="0" equalAverage="0" bottom="0" percent="0" rank="0" text="" dxfId="1">
      <formula>ISNUMBER(SEARCH("خطا",D32))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8"/>
    <col collapsed="false" customWidth="true" hidden="false" outlineLevel="0" max="3" min="3" style="0" width="26"/>
    <col collapsed="false" customWidth="true" hidden="false" outlineLevel="0" max="4" min="4" style="0" width="22"/>
    <col collapsed="false" customWidth="true" hidden="false" outlineLevel="0" max="5" min="5" style="0" width="62"/>
    <col collapsed="false" customWidth="true" hidden="false" outlineLevel="0" max="6" min="6" style="0" width="52"/>
    <col collapsed="false" customWidth="true" hidden="false" outlineLevel="0" max="7" min="7" style="0" width="16"/>
  </cols>
  <sheetData>
    <row r="1" customFormat="false" ht="27.75" hidden="false" customHeight="true" outlineLevel="0" collapsed="false">
      <c r="A1" s="1" t="s">
        <v>679</v>
      </c>
      <c r="B1" s="1"/>
      <c r="C1" s="1"/>
      <c r="D1" s="1"/>
      <c r="E1" s="1"/>
      <c r="F1" s="1"/>
      <c r="G1" s="1"/>
    </row>
    <row r="2" customFormat="false" ht="18" hidden="false" customHeight="true" outlineLevel="0" collapsed="false">
      <c r="A2" s="30" t="s">
        <v>680</v>
      </c>
      <c r="B2" s="30"/>
      <c r="C2" s="30"/>
      <c r="D2" s="30"/>
      <c r="E2" s="30"/>
      <c r="F2" s="30"/>
      <c r="G2" s="30"/>
    </row>
    <row r="3" customFormat="false" ht="15" hidden="false" customHeight="false" outlineLevel="0" collapsed="false">
      <c r="A3" s="80" t="s">
        <v>681</v>
      </c>
      <c r="B3" s="80" t="s">
        <v>682</v>
      </c>
      <c r="C3" s="80" t="s">
        <v>683</v>
      </c>
      <c r="D3" s="80" t="s">
        <v>684</v>
      </c>
      <c r="E3" s="80" t="s">
        <v>685</v>
      </c>
      <c r="F3" s="80" t="s">
        <v>686</v>
      </c>
      <c r="G3" s="80" t="s">
        <v>687</v>
      </c>
    </row>
    <row r="4" customFormat="false" ht="15" hidden="false" customHeight="false" outlineLevel="0" collapsed="false">
      <c r="A4" s="47" t="s">
        <v>688</v>
      </c>
      <c r="B4" s="47" t="s">
        <v>689</v>
      </c>
      <c r="C4" s="81" t="s">
        <v>26</v>
      </c>
      <c r="D4" s="47" t="s">
        <v>93</v>
      </c>
      <c r="E4" s="82" t="s">
        <v>690</v>
      </c>
      <c r="F4" s="82" t="s">
        <v>691</v>
      </c>
      <c r="G4" s="47" t="s">
        <v>692</v>
      </c>
    </row>
    <row r="5" customFormat="false" ht="15" hidden="false" customHeight="false" outlineLevel="0" collapsed="false">
      <c r="A5" s="47" t="s">
        <v>688</v>
      </c>
      <c r="B5" s="47" t="s">
        <v>693</v>
      </c>
      <c r="C5" s="81" t="s">
        <v>27</v>
      </c>
      <c r="D5" s="47" t="s">
        <v>94</v>
      </c>
      <c r="E5" s="82" t="s">
        <v>690</v>
      </c>
      <c r="F5" s="82" t="s">
        <v>694</v>
      </c>
      <c r="G5" s="47" t="s">
        <v>692</v>
      </c>
    </row>
    <row r="6" customFormat="false" ht="15" hidden="false" customHeight="false" outlineLevel="0" collapsed="false">
      <c r="A6" s="47" t="s">
        <v>688</v>
      </c>
      <c r="B6" s="47" t="s">
        <v>695</v>
      </c>
      <c r="C6" s="81" t="s">
        <v>62</v>
      </c>
      <c r="D6" s="47" t="s">
        <v>95</v>
      </c>
      <c r="E6" s="82" t="s">
        <v>690</v>
      </c>
      <c r="F6" s="82" t="s">
        <v>696</v>
      </c>
      <c r="G6" s="47" t="s">
        <v>697</v>
      </c>
    </row>
    <row r="7" customFormat="false" ht="15" hidden="false" customHeight="false" outlineLevel="0" collapsed="false">
      <c r="A7" s="47" t="s">
        <v>688</v>
      </c>
      <c r="B7" s="47" t="s">
        <v>698</v>
      </c>
      <c r="C7" s="81" t="s">
        <v>63</v>
      </c>
      <c r="D7" s="47" t="s">
        <v>96</v>
      </c>
      <c r="E7" s="82" t="s">
        <v>699</v>
      </c>
      <c r="F7" s="82" t="s">
        <v>700</v>
      </c>
      <c r="G7" s="47" t="s">
        <v>692</v>
      </c>
    </row>
    <row r="8" customFormat="false" ht="15" hidden="false" customHeight="false" outlineLevel="0" collapsed="false">
      <c r="A8" s="47" t="s">
        <v>688</v>
      </c>
      <c r="B8" s="47" t="s">
        <v>701</v>
      </c>
      <c r="C8" s="81" t="s">
        <v>40</v>
      </c>
      <c r="D8" s="47" t="s">
        <v>97</v>
      </c>
      <c r="E8" s="82" t="s">
        <v>690</v>
      </c>
      <c r="F8" s="82" t="s">
        <v>702</v>
      </c>
      <c r="G8" s="47" t="s">
        <v>692</v>
      </c>
    </row>
    <row r="9" customFormat="false" ht="15" hidden="false" customHeight="false" outlineLevel="0" collapsed="false">
      <c r="A9" s="47" t="s">
        <v>688</v>
      </c>
      <c r="B9" s="47" t="s">
        <v>703</v>
      </c>
      <c r="C9" s="81" t="s">
        <v>39</v>
      </c>
      <c r="D9" s="47" t="s">
        <v>98</v>
      </c>
      <c r="E9" s="82" t="s">
        <v>699</v>
      </c>
      <c r="F9" s="82" t="s">
        <v>704</v>
      </c>
      <c r="G9" s="47" t="s">
        <v>697</v>
      </c>
    </row>
    <row r="10" customFormat="false" ht="15" hidden="false" customHeight="false" outlineLevel="0" collapsed="false">
      <c r="A10" s="47" t="s">
        <v>688</v>
      </c>
      <c r="B10" s="47" t="s">
        <v>705</v>
      </c>
      <c r="C10" s="81" t="s">
        <v>64</v>
      </c>
      <c r="D10" s="47" t="s">
        <v>99</v>
      </c>
      <c r="E10" s="82" t="s">
        <v>706</v>
      </c>
      <c r="F10" s="82" t="s">
        <v>707</v>
      </c>
      <c r="G10" s="47" t="s">
        <v>697</v>
      </c>
    </row>
    <row r="11" customFormat="false" ht="15" hidden="false" customHeight="false" outlineLevel="0" collapsed="false">
      <c r="A11" s="47" t="s">
        <v>688</v>
      </c>
      <c r="B11" s="47" t="s">
        <v>708</v>
      </c>
      <c r="C11" s="81" t="s">
        <v>65</v>
      </c>
      <c r="D11" s="47" t="s">
        <v>100</v>
      </c>
      <c r="E11" s="82" t="s">
        <v>706</v>
      </c>
      <c r="F11" s="82" t="s">
        <v>709</v>
      </c>
      <c r="G11" s="47" t="s">
        <v>697</v>
      </c>
    </row>
    <row r="12" customFormat="false" ht="15" hidden="false" customHeight="false" outlineLevel="0" collapsed="false">
      <c r="A12" s="47" t="s">
        <v>688</v>
      </c>
      <c r="B12" s="47" t="s">
        <v>710</v>
      </c>
      <c r="C12" s="81" t="s">
        <v>28</v>
      </c>
      <c r="D12" s="47" t="s">
        <v>101</v>
      </c>
      <c r="E12" s="82" t="s">
        <v>706</v>
      </c>
      <c r="F12" s="82" t="s">
        <v>711</v>
      </c>
      <c r="G12" s="47" t="s">
        <v>692</v>
      </c>
    </row>
    <row r="13" customFormat="false" ht="15" hidden="false" customHeight="false" outlineLevel="0" collapsed="false">
      <c r="A13" s="47" t="s">
        <v>688</v>
      </c>
      <c r="B13" s="47" t="s">
        <v>712</v>
      </c>
      <c r="C13" s="81" t="s">
        <v>66</v>
      </c>
      <c r="D13" s="47" t="s">
        <v>102</v>
      </c>
      <c r="E13" s="82" t="s">
        <v>706</v>
      </c>
      <c r="F13" s="82" t="s">
        <v>66</v>
      </c>
      <c r="G13" s="47" t="s">
        <v>692</v>
      </c>
    </row>
    <row r="14" customFormat="false" ht="15" hidden="false" customHeight="false" outlineLevel="0" collapsed="false">
      <c r="A14" s="47" t="s">
        <v>688</v>
      </c>
      <c r="B14" s="47" t="s">
        <v>713</v>
      </c>
      <c r="C14" s="81" t="s">
        <v>67</v>
      </c>
      <c r="D14" s="47" t="s">
        <v>103</v>
      </c>
      <c r="E14" s="82" t="s">
        <v>714</v>
      </c>
      <c r="F14" s="82" t="s">
        <v>715</v>
      </c>
      <c r="G14" s="47" t="s">
        <v>697</v>
      </c>
    </row>
    <row r="15" customFormat="false" ht="15" hidden="false" customHeight="false" outlineLevel="0" collapsed="false">
      <c r="A15" s="47" t="s">
        <v>688</v>
      </c>
      <c r="B15" s="47" t="s">
        <v>716</v>
      </c>
      <c r="C15" s="81" t="s">
        <v>68</v>
      </c>
      <c r="D15" s="47" t="s">
        <v>104</v>
      </c>
      <c r="E15" s="82" t="s">
        <v>706</v>
      </c>
      <c r="F15" s="82" t="s">
        <v>717</v>
      </c>
      <c r="G15" s="47" t="s">
        <v>692</v>
      </c>
    </row>
    <row r="16" customFormat="false" ht="15" hidden="false" customHeight="false" outlineLevel="0" collapsed="false">
      <c r="A16" s="47" t="s">
        <v>688</v>
      </c>
      <c r="B16" s="47" t="s">
        <v>718</v>
      </c>
      <c r="C16" s="81" t="s">
        <v>41</v>
      </c>
      <c r="D16" s="47" t="s">
        <v>105</v>
      </c>
      <c r="E16" s="82" t="s">
        <v>706</v>
      </c>
      <c r="F16" s="82" t="s">
        <v>41</v>
      </c>
      <c r="G16" s="47" t="s">
        <v>692</v>
      </c>
    </row>
    <row r="17" customFormat="false" ht="15" hidden="false" customHeight="false" outlineLevel="0" collapsed="false">
      <c r="A17" s="47" t="s">
        <v>688</v>
      </c>
      <c r="B17" s="47" t="s">
        <v>719</v>
      </c>
      <c r="C17" s="81" t="s">
        <v>69</v>
      </c>
      <c r="D17" s="47" t="s">
        <v>106</v>
      </c>
      <c r="E17" s="82" t="s">
        <v>720</v>
      </c>
      <c r="F17" s="82" t="s">
        <v>721</v>
      </c>
      <c r="G17" s="47" t="s">
        <v>697</v>
      </c>
    </row>
    <row r="18" customFormat="false" ht="15" hidden="false" customHeight="false" outlineLevel="0" collapsed="false">
      <c r="A18" s="83" t="s">
        <v>688</v>
      </c>
      <c r="B18" s="83" t="s">
        <v>722</v>
      </c>
      <c r="C18" s="84" t="s">
        <v>70</v>
      </c>
      <c r="D18" s="83" t="s">
        <v>107</v>
      </c>
      <c r="E18" s="85" t="s">
        <v>720</v>
      </c>
      <c r="F18" s="85" t="s">
        <v>723</v>
      </c>
      <c r="G18" s="83" t="s">
        <v>724</v>
      </c>
    </row>
    <row r="19" customFormat="false" ht="15" hidden="false" customHeight="false" outlineLevel="0" collapsed="false">
      <c r="A19" s="83" t="s">
        <v>688</v>
      </c>
      <c r="B19" s="83" t="s">
        <v>725</v>
      </c>
      <c r="C19" s="84" t="s">
        <v>71</v>
      </c>
      <c r="D19" s="83" t="s">
        <v>108</v>
      </c>
      <c r="E19" s="85" t="s">
        <v>720</v>
      </c>
      <c r="F19" s="85" t="s">
        <v>726</v>
      </c>
      <c r="G19" s="83" t="s">
        <v>724</v>
      </c>
    </row>
    <row r="20" customFormat="false" ht="15" hidden="false" customHeight="false" outlineLevel="0" collapsed="false">
      <c r="A20" s="47" t="s">
        <v>688</v>
      </c>
      <c r="B20" s="47" t="s">
        <v>727</v>
      </c>
      <c r="C20" s="81" t="s">
        <v>72</v>
      </c>
      <c r="D20" s="47" t="s">
        <v>109</v>
      </c>
      <c r="E20" s="82" t="s">
        <v>706</v>
      </c>
      <c r="F20" s="82" t="s">
        <v>72</v>
      </c>
      <c r="G20" s="47" t="s">
        <v>692</v>
      </c>
    </row>
    <row r="21" customFormat="false" ht="15" hidden="false" customHeight="false" outlineLevel="0" collapsed="false">
      <c r="A21" s="47" t="s">
        <v>688</v>
      </c>
      <c r="B21" s="47" t="s">
        <v>728</v>
      </c>
      <c r="C21" s="81" t="s">
        <v>73</v>
      </c>
      <c r="D21" s="47" t="s">
        <v>110</v>
      </c>
      <c r="E21" s="82" t="s">
        <v>706</v>
      </c>
      <c r="F21" s="82" t="s">
        <v>257</v>
      </c>
      <c r="G21" s="47" t="s">
        <v>692</v>
      </c>
    </row>
    <row r="22" customFormat="false" ht="15" hidden="false" customHeight="false" outlineLevel="0" collapsed="false">
      <c r="A22" s="47" t="s">
        <v>688</v>
      </c>
      <c r="B22" s="47" t="s">
        <v>729</v>
      </c>
      <c r="C22" s="81" t="s">
        <v>74</v>
      </c>
      <c r="D22" s="47" t="s">
        <v>111</v>
      </c>
      <c r="E22" s="82" t="s">
        <v>706</v>
      </c>
      <c r="F22" s="82" t="s">
        <v>74</v>
      </c>
      <c r="G22" s="47" t="s">
        <v>692</v>
      </c>
    </row>
    <row r="23" customFormat="false" ht="15" hidden="false" customHeight="false" outlineLevel="0" collapsed="false">
      <c r="A23" s="47" t="s">
        <v>688</v>
      </c>
      <c r="B23" s="47" t="s">
        <v>730</v>
      </c>
      <c r="C23" s="81" t="s">
        <v>75</v>
      </c>
      <c r="D23" s="47" t="s">
        <v>112</v>
      </c>
      <c r="E23" s="82" t="s">
        <v>720</v>
      </c>
      <c r="F23" s="82" t="s">
        <v>731</v>
      </c>
      <c r="G23" s="47" t="s">
        <v>697</v>
      </c>
    </row>
    <row r="24" customFormat="false" ht="15" hidden="false" customHeight="false" outlineLevel="0" collapsed="false">
      <c r="A24" s="47" t="s">
        <v>688</v>
      </c>
      <c r="B24" s="47" t="s">
        <v>732</v>
      </c>
      <c r="C24" s="81" t="s">
        <v>76</v>
      </c>
      <c r="D24" s="47" t="s">
        <v>113</v>
      </c>
      <c r="E24" s="82" t="s">
        <v>720</v>
      </c>
      <c r="F24" s="82" t="s">
        <v>76</v>
      </c>
      <c r="G24" s="47" t="s">
        <v>697</v>
      </c>
    </row>
    <row r="25" customFormat="false" ht="15" hidden="false" customHeight="false" outlineLevel="0" collapsed="false">
      <c r="A25" s="83" t="s">
        <v>688</v>
      </c>
      <c r="B25" s="83" t="s">
        <v>733</v>
      </c>
      <c r="C25" s="84" t="s">
        <v>77</v>
      </c>
      <c r="D25" s="83" t="s">
        <v>114</v>
      </c>
      <c r="E25" s="85" t="s">
        <v>734</v>
      </c>
      <c r="F25" s="85" t="s">
        <v>735</v>
      </c>
      <c r="G25" s="83" t="s">
        <v>724</v>
      </c>
    </row>
    <row r="26" customFormat="false" ht="15" hidden="false" customHeight="false" outlineLevel="0" collapsed="false">
      <c r="A26" s="83" t="s">
        <v>688</v>
      </c>
      <c r="B26" s="83" t="s">
        <v>736</v>
      </c>
      <c r="C26" s="84" t="s">
        <v>78</v>
      </c>
      <c r="D26" s="83" t="s">
        <v>115</v>
      </c>
      <c r="E26" s="85" t="s">
        <v>734</v>
      </c>
      <c r="F26" s="85" t="s">
        <v>737</v>
      </c>
      <c r="G26" s="83" t="s">
        <v>724</v>
      </c>
    </row>
    <row r="27" customFormat="false" ht="15" hidden="false" customHeight="false" outlineLevel="0" collapsed="false">
      <c r="A27" s="83" t="s">
        <v>688</v>
      </c>
      <c r="B27" s="83" t="s">
        <v>738</v>
      </c>
      <c r="C27" s="84" t="s">
        <v>79</v>
      </c>
      <c r="D27" s="83" t="s">
        <v>116</v>
      </c>
      <c r="E27" s="85" t="s">
        <v>734</v>
      </c>
      <c r="F27" s="85" t="s">
        <v>739</v>
      </c>
      <c r="G27" s="83" t="s">
        <v>724</v>
      </c>
    </row>
    <row r="28" customFormat="false" ht="15" hidden="false" customHeight="false" outlineLevel="0" collapsed="false">
      <c r="A28" s="83" t="s">
        <v>688</v>
      </c>
      <c r="B28" s="83" t="s">
        <v>740</v>
      </c>
      <c r="C28" s="84" t="s">
        <v>80</v>
      </c>
      <c r="D28" s="83" t="s">
        <v>117</v>
      </c>
      <c r="E28" s="85" t="s">
        <v>734</v>
      </c>
      <c r="F28" s="85" t="s">
        <v>741</v>
      </c>
      <c r="G28" s="83" t="s">
        <v>724</v>
      </c>
    </row>
    <row r="29" customFormat="false" ht="15" hidden="false" customHeight="false" outlineLevel="0" collapsed="false">
      <c r="A29" s="83" t="s">
        <v>688</v>
      </c>
      <c r="B29" s="83" t="s">
        <v>742</v>
      </c>
      <c r="C29" s="84" t="s">
        <v>81</v>
      </c>
      <c r="D29" s="83" t="s">
        <v>118</v>
      </c>
      <c r="E29" s="85" t="s">
        <v>734</v>
      </c>
      <c r="F29" s="85" t="s">
        <v>743</v>
      </c>
      <c r="G29" s="83" t="s">
        <v>724</v>
      </c>
    </row>
    <row r="30" customFormat="false" ht="15" hidden="false" customHeight="false" outlineLevel="0" collapsed="false">
      <c r="A30" s="83" t="s">
        <v>688</v>
      </c>
      <c r="B30" s="83" t="s">
        <v>744</v>
      </c>
      <c r="C30" s="84" t="s">
        <v>82</v>
      </c>
      <c r="D30" s="83" t="s">
        <v>119</v>
      </c>
      <c r="E30" s="85" t="s">
        <v>734</v>
      </c>
      <c r="F30" s="85" t="s">
        <v>745</v>
      </c>
      <c r="G30" s="83" t="s">
        <v>724</v>
      </c>
    </row>
    <row r="31" customFormat="false" ht="15" hidden="false" customHeight="false" outlineLevel="0" collapsed="false">
      <c r="A31" s="83" t="s">
        <v>688</v>
      </c>
      <c r="B31" s="83" t="s">
        <v>746</v>
      </c>
      <c r="C31" s="84" t="s">
        <v>83</v>
      </c>
      <c r="D31" s="83" t="s">
        <v>120</v>
      </c>
      <c r="E31" s="85" t="s">
        <v>734</v>
      </c>
      <c r="F31" s="85" t="s">
        <v>747</v>
      </c>
      <c r="G31" s="83" t="s">
        <v>724</v>
      </c>
    </row>
    <row r="32" customFormat="false" ht="15" hidden="false" customHeight="false" outlineLevel="0" collapsed="false">
      <c r="A32" s="83" t="s">
        <v>688</v>
      </c>
      <c r="B32" s="83" t="s">
        <v>748</v>
      </c>
      <c r="C32" s="84" t="s">
        <v>84</v>
      </c>
      <c r="D32" s="83" t="s">
        <v>121</v>
      </c>
      <c r="E32" s="85" t="s">
        <v>734</v>
      </c>
      <c r="F32" s="85" t="s">
        <v>749</v>
      </c>
      <c r="G32" s="83" t="s">
        <v>724</v>
      </c>
    </row>
    <row r="33" customFormat="false" ht="15" hidden="false" customHeight="false" outlineLevel="0" collapsed="false">
      <c r="A33" s="47" t="s">
        <v>688</v>
      </c>
      <c r="B33" s="47" t="s">
        <v>750</v>
      </c>
      <c r="C33" s="81" t="s">
        <v>85</v>
      </c>
      <c r="D33" s="47" t="s">
        <v>122</v>
      </c>
      <c r="E33" s="82" t="s">
        <v>751</v>
      </c>
      <c r="F33" s="82" t="s">
        <v>752</v>
      </c>
      <c r="G33" s="47" t="s">
        <v>692</v>
      </c>
    </row>
    <row r="34" customFormat="false" ht="15" hidden="false" customHeight="false" outlineLevel="0" collapsed="false">
      <c r="A34" s="83" t="s">
        <v>688</v>
      </c>
      <c r="B34" s="83" t="s">
        <v>753</v>
      </c>
      <c r="C34" s="84" t="s">
        <v>86</v>
      </c>
      <c r="D34" s="83" t="s">
        <v>123</v>
      </c>
      <c r="E34" s="85" t="s">
        <v>751</v>
      </c>
      <c r="F34" s="85" t="s">
        <v>754</v>
      </c>
      <c r="G34" s="83" t="s">
        <v>724</v>
      </c>
    </row>
    <row r="35" customFormat="false" ht="15" hidden="false" customHeight="false" outlineLevel="0" collapsed="false">
      <c r="A35" s="47" t="s">
        <v>688</v>
      </c>
      <c r="B35" s="47" t="s">
        <v>755</v>
      </c>
      <c r="C35" s="81" t="s">
        <v>87</v>
      </c>
      <c r="D35" s="47" t="s">
        <v>124</v>
      </c>
      <c r="E35" s="82" t="s">
        <v>751</v>
      </c>
      <c r="F35" s="82" t="s">
        <v>756</v>
      </c>
      <c r="G35" s="47" t="s">
        <v>692</v>
      </c>
    </row>
    <row r="36" customFormat="false" ht="15" hidden="false" customHeight="false" outlineLevel="0" collapsed="false">
      <c r="A36" s="47" t="s">
        <v>688</v>
      </c>
      <c r="B36" s="47" t="s">
        <v>757</v>
      </c>
      <c r="C36" s="81" t="s">
        <v>88</v>
      </c>
      <c r="D36" s="47" t="s">
        <v>125</v>
      </c>
      <c r="E36" s="82" t="s">
        <v>751</v>
      </c>
      <c r="F36" s="82" t="s">
        <v>758</v>
      </c>
      <c r="G36" s="47" t="s">
        <v>692</v>
      </c>
    </row>
    <row r="37" customFormat="false" ht="15" hidden="false" customHeight="false" outlineLevel="0" collapsed="false">
      <c r="A37" s="83" t="s">
        <v>688</v>
      </c>
      <c r="B37" s="83" t="s">
        <v>759</v>
      </c>
      <c r="C37" s="84" t="s">
        <v>89</v>
      </c>
      <c r="D37" s="83" t="s">
        <v>126</v>
      </c>
      <c r="E37" s="85" t="s">
        <v>751</v>
      </c>
      <c r="F37" s="85" t="s">
        <v>760</v>
      </c>
      <c r="G37" s="83" t="s">
        <v>724</v>
      </c>
    </row>
    <row r="38" customFormat="false" ht="15" hidden="false" customHeight="false" outlineLevel="0" collapsed="false">
      <c r="A38" s="47" t="s">
        <v>688</v>
      </c>
      <c r="B38" s="47" t="s">
        <v>761</v>
      </c>
      <c r="C38" s="81" t="s">
        <v>90</v>
      </c>
      <c r="D38" s="47" t="s">
        <v>127</v>
      </c>
      <c r="E38" s="82" t="s">
        <v>751</v>
      </c>
      <c r="F38" s="82" t="s">
        <v>762</v>
      </c>
      <c r="G38" s="47" t="s">
        <v>692</v>
      </c>
    </row>
    <row r="39" customFormat="false" ht="15" hidden="false" customHeight="false" outlineLevel="0" collapsed="false">
      <c r="A39" s="47" t="s">
        <v>688</v>
      </c>
      <c r="B39" s="47" t="s">
        <v>763</v>
      </c>
      <c r="C39" s="81" t="s">
        <v>91</v>
      </c>
      <c r="D39" s="47" t="s">
        <v>128</v>
      </c>
      <c r="E39" s="82" t="s">
        <v>764</v>
      </c>
      <c r="F39" s="82" t="s">
        <v>765</v>
      </c>
      <c r="G39" s="47" t="s">
        <v>697</v>
      </c>
    </row>
    <row r="40" customFormat="false" ht="15" hidden="false" customHeight="false" outlineLevel="0" collapsed="false">
      <c r="A40" s="47" t="s">
        <v>766</v>
      </c>
      <c r="B40" s="47" t="s">
        <v>689</v>
      </c>
      <c r="C40" s="81" t="s">
        <v>26</v>
      </c>
      <c r="D40" s="47" t="s">
        <v>93</v>
      </c>
      <c r="E40" s="82" t="s">
        <v>690</v>
      </c>
      <c r="F40" s="82" t="s">
        <v>691</v>
      </c>
      <c r="G40" s="47" t="s">
        <v>692</v>
      </c>
    </row>
    <row r="41" customFormat="false" ht="15" hidden="false" customHeight="false" outlineLevel="0" collapsed="false">
      <c r="A41" s="47" t="s">
        <v>766</v>
      </c>
      <c r="B41" s="47" t="s">
        <v>693</v>
      </c>
      <c r="C41" s="81" t="s">
        <v>62</v>
      </c>
      <c r="D41" s="47" t="s">
        <v>95</v>
      </c>
      <c r="E41" s="82" t="s">
        <v>690</v>
      </c>
      <c r="F41" s="82" t="s">
        <v>696</v>
      </c>
      <c r="G41" s="47" t="s">
        <v>697</v>
      </c>
    </row>
    <row r="42" customFormat="false" ht="15" hidden="false" customHeight="false" outlineLevel="0" collapsed="false">
      <c r="A42" s="47" t="s">
        <v>766</v>
      </c>
      <c r="B42" s="47" t="s">
        <v>698</v>
      </c>
      <c r="C42" s="81" t="s">
        <v>253</v>
      </c>
      <c r="D42" s="47" t="s">
        <v>268</v>
      </c>
      <c r="E42" s="82" t="s">
        <v>767</v>
      </c>
      <c r="F42" s="82" t="s">
        <v>768</v>
      </c>
      <c r="G42" s="47" t="s">
        <v>697</v>
      </c>
    </row>
    <row r="43" customFormat="false" ht="15" hidden="false" customHeight="false" outlineLevel="0" collapsed="false">
      <c r="A43" s="47" t="s">
        <v>766</v>
      </c>
      <c r="B43" s="47" t="s">
        <v>703</v>
      </c>
      <c r="C43" s="81" t="s">
        <v>69</v>
      </c>
      <c r="D43" s="47" t="s">
        <v>269</v>
      </c>
      <c r="E43" s="82" t="s">
        <v>767</v>
      </c>
      <c r="F43" s="82" t="s">
        <v>769</v>
      </c>
      <c r="G43" s="47" t="s">
        <v>697</v>
      </c>
    </row>
    <row r="44" customFormat="false" ht="15" hidden="false" customHeight="false" outlineLevel="0" collapsed="false">
      <c r="A44" s="47" t="s">
        <v>766</v>
      </c>
      <c r="B44" s="47" t="s">
        <v>705</v>
      </c>
      <c r="C44" s="81" t="s">
        <v>255</v>
      </c>
      <c r="D44" s="47" t="s">
        <v>270</v>
      </c>
      <c r="E44" s="82" t="s">
        <v>767</v>
      </c>
      <c r="F44" s="82" t="s">
        <v>770</v>
      </c>
      <c r="G44" s="47" t="s">
        <v>697</v>
      </c>
    </row>
    <row r="45" customFormat="false" ht="15" hidden="false" customHeight="false" outlineLevel="0" collapsed="false">
      <c r="A45" s="47" t="s">
        <v>766</v>
      </c>
      <c r="B45" s="47" t="s">
        <v>708</v>
      </c>
      <c r="C45" s="81" t="s">
        <v>256</v>
      </c>
      <c r="D45" s="47" t="s">
        <v>271</v>
      </c>
      <c r="E45" s="82" t="s">
        <v>767</v>
      </c>
      <c r="F45" s="82" t="s">
        <v>771</v>
      </c>
      <c r="G45" s="47" t="s">
        <v>697</v>
      </c>
    </row>
    <row r="46" customFormat="false" ht="15" hidden="false" customHeight="false" outlineLevel="0" collapsed="false">
      <c r="A46" s="47" t="s">
        <v>766</v>
      </c>
      <c r="B46" s="47" t="s">
        <v>710</v>
      </c>
      <c r="C46" s="81" t="s">
        <v>66</v>
      </c>
      <c r="D46" s="47" t="s">
        <v>102</v>
      </c>
      <c r="E46" s="82" t="s">
        <v>706</v>
      </c>
      <c r="F46" s="82" t="s">
        <v>66</v>
      </c>
      <c r="G46" s="47" t="s">
        <v>692</v>
      </c>
    </row>
    <row r="47" customFormat="false" ht="15" hidden="false" customHeight="false" outlineLevel="0" collapsed="false">
      <c r="A47" s="47" t="s">
        <v>766</v>
      </c>
      <c r="B47" s="47" t="s">
        <v>712</v>
      </c>
      <c r="C47" s="81" t="s">
        <v>28</v>
      </c>
      <c r="D47" s="47" t="s">
        <v>101</v>
      </c>
      <c r="E47" s="82" t="s">
        <v>706</v>
      </c>
      <c r="F47" s="82" t="s">
        <v>711</v>
      </c>
      <c r="G47" s="47" t="s">
        <v>692</v>
      </c>
    </row>
    <row r="48" customFormat="false" ht="15" hidden="false" customHeight="false" outlineLevel="0" collapsed="false">
      <c r="A48" s="47" t="s">
        <v>766</v>
      </c>
      <c r="B48" s="47" t="s">
        <v>713</v>
      </c>
      <c r="C48" s="81" t="s">
        <v>67</v>
      </c>
      <c r="D48" s="47" t="s">
        <v>103</v>
      </c>
      <c r="E48" s="82" t="s">
        <v>714</v>
      </c>
      <c r="F48" s="82" t="s">
        <v>715</v>
      </c>
      <c r="G48" s="47" t="s">
        <v>697</v>
      </c>
    </row>
    <row r="49" customFormat="false" ht="15" hidden="false" customHeight="false" outlineLevel="0" collapsed="false">
      <c r="A49" s="47" t="s">
        <v>766</v>
      </c>
      <c r="B49" s="47" t="s">
        <v>716</v>
      </c>
      <c r="C49" s="81" t="s">
        <v>72</v>
      </c>
      <c r="D49" s="47" t="s">
        <v>109</v>
      </c>
      <c r="E49" s="82" t="s">
        <v>706</v>
      </c>
      <c r="F49" s="82" t="s">
        <v>72</v>
      </c>
      <c r="G49" s="47" t="s">
        <v>692</v>
      </c>
    </row>
    <row r="50" customFormat="false" ht="15" hidden="false" customHeight="false" outlineLevel="0" collapsed="false">
      <c r="A50" s="47" t="s">
        <v>766</v>
      </c>
      <c r="B50" s="47" t="s">
        <v>718</v>
      </c>
      <c r="C50" s="81" t="s">
        <v>257</v>
      </c>
      <c r="D50" s="47" t="s">
        <v>110</v>
      </c>
      <c r="E50" s="82" t="s">
        <v>706</v>
      </c>
      <c r="F50" s="82" t="s">
        <v>257</v>
      </c>
      <c r="G50" s="47" t="s">
        <v>692</v>
      </c>
    </row>
    <row r="51" customFormat="false" ht="15" hidden="false" customHeight="false" outlineLevel="0" collapsed="false">
      <c r="A51" s="47" t="s">
        <v>766</v>
      </c>
      <c r="B51" s="47" t="s">
        <v>719</v>
      </c>
      <c r="C51" s="81" t="s">
        <v>74</v>
      </c>
      <c r="D51" s="47" t="s">
        <v>111</v>
      </c>
      <c r="E51" s="82" t="s">
        <v>706</v>
      </c>
      <c r="F51" s="82" t="s">
        <v>74</v>
      </c>
      <c r="G51" s="47" t="s">
        <v>692</v>
      </c>
    </row>
    <row r="52" customFormat="false" ht="15" hidden="false" customHeight="false" outlineLevel="0" collapsed="false">
      <c r="A52" s="83" t="s">
        <v>766</v>
      </c>
      <c r="B52" s="83" t="s">
        <v>722</v>
      </c>
      <c r="C52" s="84" t="s">
        <v>77</v>
      </c>
      <c r="D52" s="83" t="s">
        <v>114</v>
      </c>
      <c r="E52" s="85" t="s">
        <v>734</v>
      </c>
      <c r="F52" s="85" t="s">
        <v>735</v>
      </c>
      <c r="G52" s="83" t="s">
        <v>724</v>
      </c>
    </row>
    <row r="53" customFormat="false" ht="15" hidden="false" customHeight="false" outlineLevel="0" collapsed="false">
      <c r="A53" s="83" t="s">
        <v>766</v>
      </c>
      <c r="B53" s="83" t="s">
        <v>725</v>
      </c>
      <c r="C53" s="84" t="s">
        <v>78</v>
      </c>
      <c r="D53" s="83" t="s">
        <v>115</v>
      </c>
      <c r="E53" s="85" t="s">
        <v>734</v>
      </c>
      <c r="F53" s="85" t="s">
        <v>737</v>
      </c>
      <c r="G53" s="83" t="s">
        <v>724</v>
      </c>
    </row>
    <row r="54" customFormat="false" ht="15" hidden="false" customHeight="false" outlineLevel="0" collapsed="false">
      <c r="A54" s="83" t="s">
        <v>766</v>
      </c>
      <c r="B54" s="83" t="s">
        <v>727</v>
      </c>
      <c r="C54" s="84" t="s">
        <v>79</v>
      </c>
      <c r="D54" s="83" t="s">
        <v>116</v>
      </c>
      <c r="E54" s="85" t="s">
        <v>734</v>
      </c>
      <c r="F54" s="85" t="s">
        <v>739</v>
      </c>
      <c r="G54" s="83" t="s">
        <v>724</v>
      </c>
    </row>
    <row r="55" customFormat="false" ht="15" hidden="false" customHeight="false" outlineLevel="0" collapsed="false">
      <c r="A55" s="83" t="s">
        <v>766</v>
      </c>
      <c r="B55" s="83" t="s">
        <v>728</v>
      </c>
      <c r="C55" s="84" t="s">
        <v>80</v>
      </c>
      <c r="D55" s="83" t="s">
        <v>117</v>
      </c>
      <c r="E55" s="85" t="s">
        <v>734</v>
      </c>
      <c r="F55" s="85" t="s">
        <v>741</v>
      </c>
      <c r="G55" s="83" t="s">
        <v>724</v>
      </c>
    </row>
    <row r="56" customFormat="false" ht="15" hidden="false" customHeight="false" outlineLevel="0" collapsed="false">
      <c r="A56" s="83" t="s">
        <v>766</v>
      </c>
      <c r="B56" s="83" t="s">
        <v>729</v>
      </c>
      <c r="C56" s="84" t="s">
        <v>81</v>
      </c>
      <c r="D56" s="83" t="s">
        <v>118</v>
      </c>
      <c r="E56" s="85" t="s">
        <v>734</v>
      </c>
      <c r="F56" s="85" t="s">
        <v>743</v>
      </c>
      <c r="G56" s="83" t="s">
        <v>724</v>
      </c>
    </row>
    <row r="57" customFormat="false" ht="15" hidden="false" customHeight="false" outlineLevel="0" collapsed="false">
      <c r="A57" s="83" t="s">
        <v>766</v>
      </c>
      <c r="B57" s="83" t="s">
        <v>730</v>
      </c>
      <c r="C57" s="84" t="s">
        <v>82</v>
      </c>
      <c r="D57" s="83" t="s">
        <v>119</v>
      </c>
      <c r="E57" s="85" t="s">
        <v>734</v>
      </c>
      <c r="F57" s="85" t="s">
        <v>745</v>
      </c>
      <c r="G57" s="83" t="s">
        <v>724</v>
      </c>
    </row>
    <row r="58" customFormat="false" ht="15" hidden="false" customHeight="false" outlineLevel="0" collapsed="false">
      <c r="A58" s="47" t="s">
        <v>242</v>
      </c>
      <c r="B58" s="47" t="s">
        <v>693</v>
      </c>
      <c r="C58" s="81" t="s">
        <v>253</v>
      </c>
      <c r="D58" s="47" t="s">
        <v>268</v>
      </c>
      <c r="E58" s="82" t="s">
        <v>767</v>
      </c>
      <c r="F58" s="82" t="s">
        <v>768</v>
      </c>
      <c r="G58" s="47" t="s">
        <v>697</v>
      </c>
    </row>
    <row r="59" customFormat="false" ht="15" hidden="false" customHeight="false" outlineLevel="0" collapsed="false">
      <c r="A59" s="47" t="s">
        <v>242</v>
      </c>
      <c r="B59" s="47" t="s">
        <v>698</v>
      </c>
      <c r="C59" s="81" t="s">
        <v>5</v>
      </c>
      <c r="D59" s="47" t="s">
        <v>559</v>
      </c>
      <c r="E59" s="82" t="s">
        <v>772</v>
      </c>
      <c r="F59" s="82" t="s">
        <v>773</v>
      </c>
      <c r="G59" s="47" t="s">
        <v>697</v>
      </c>
    </row>
    <row r="60" customFormat="false" ht="15" hidden="false" customHeight="false" outlineLevel="0" collapsed="false">
      <c r="A60" s="47" t="s">
        <v>242</v>
      </c>
      <c r="B60" s="47" t="s">
        <v>710</v>
      </c>
      <c r="C60" s="81" t="s">
        <v>554</v>
      </c>
      <c r="D60" s="47" t="s">
        <v>559</v>
      </c>
      <c r="E60" s="82" t="s">
        <v>772</v>
      </c>
      <c r="F60" s="82" t="s">
        <v>773</v>
      </c>
      <c r="G60" s="47" t="s">
        <v>697</v>
      </c>
    </row>
    <row r="61" customFormat="false" ht="15" hidden="false" customHeight="false" outlineLevel="0" collapsed="false">
      <c r="A61" s="47" t="s">
        <v>242</v>
      </c>
      <c r="B61" s="47" t="s">
        <v>719</v>
      </c>
      <c r="C61" s="81" t="s">
        <v>558</v>
      </c>
      <c r="D61" s="47" t="s">
        <v>272</v>
      </c>
      <c r="E61" s="82" t="s">
        <v>774</v>
      </c>
      <c r="F61" s="82" t="s">
        <v>774</v>
      </c>
      <c r="G61" s="47" t="s">
        <v>775</v>
      </c>
    </row>
    <row r="63" customFormat="false" ht="15" hidden="false" customHeight="true" outlineLevel="0" collapsed="false">
      <c r="A63" s="86" t="s">
        <v>776</v>
      </c>
      <c r="B63" s="86"/>
      <c r="C63" s="86"/>
      <c r="D63" s="86"/>
      <c r="E63" s="86"/>
      <c r="F63" s="86"/>
      <c r="G63" s="86"/>
    </row>
    <row r="64" customFormat="false" ht="15" hidden="false" customHeight="true" outlineLevel="0" collapsed="false">
      <c r="A64" s="29" t="s">
        <v>777</v>
      </c>
      <c r="B64" s="29"/>
      <c r="C64" s="29"/>
      <c r="D64" s="29"/>
      <c r="E64" s="29"/>
      <c r="F64" s="29"/>
      <c r="G64" s="29"/>
    </row>
    <row r="65" customFormat="false" ht="15" hidden="false" customHeight="true" outlineLevel="0" collapsed="false">
      <c r="A65" s="29" t="s">
        <v>778</v>
      </c>
      <c r="B65" s="29"/>
      <c r="C65" s="29"/>
      <c r="D65" s="29"/>
      <c r="E65" s="29"/>
      <c r="F65" s="29"/>
      <c r="G65" s="29"/>
    </row>
    <row r="66" customFormat="false" ht="15" hidden="false" customHeight="true" outlineLevel="0" collapsed="false">
      <c r="A66" s="29" t="s">
        <v>779</v>
      </c>
      <c r="B66" s="29"/>
      <c r="C66" s="29"/>
      <c r="D66" s="29"/>
      <c r="E66" s="29"/>
      <c r="F66" s="29"/>
      <c r="G66" s="29"/>
    </row>
  </sheetData>
  <mergeCells count="6">
    <mergeCell ref="A1:G1"/>
    <mergeCell ref="A2:G2"/>
    <mergeCell ref="A63:G63"/>
    <mergeCell ref="A64:G64"/>
    <mergeCell ref="A65:G65"/>
    <mergeCell ref="A66:G66"/>
  </mergeCells>
  <conditionalFormatting sqref="A4:G61">
    <cfRule type="expression" priority="2" aboveAverage="0" equalAverage="0" bottom="0" percent="0" rank="0" text="" dxfId="49">
      <formula>$G4="نیازمند تأیید"</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78"/>
    <col collapsed="false" customWidth="true" hidden="false" outlineLevel="0" max="8" min="3" style="0" width="3"/>
  </cols>
  <sheetData>
    <row r="1" customFormat="false" ht="30" hidden="false" customHeight="true" outlineLevel="0" collapsed="false">
      <c r="A1" s="1" t="s">
        <v>780</v>
      </c>
      <c r="B1" s="1"/>
    </row>
    <row r="2" customFormat="false" ht="30" hidden="false" customHeight="true" outlineLevel="0" collapsed="false">
      <c r="A2" s="87" t="s">
        <v>781</v>
      </c>
      <c r="B2" s="87"/>
    </row>
    <row r="3" customFormat="false" ht="33.75" hidden="false" customHeight="true" outlineLevel="0" collapsed="false">
      <c r="A3" s="88" t="s">
        <v>782</v>
      </c>
      <c r="B3" s="88"/>
    </row>
    <row r="4" customFormat="false" ht="24" hidden="false" customHeight="true" outlineLevel="0" collapsed="false">
      <c r="A4" s="89" t="s">
        <v>783</v>
      </c>
      <c r="B4" s="89"/>
    </row>
    <row r="5" customFormat="false" ht="30" hidden="false" customHeight="true" outlineLevel="0" collapsed="false">
      <c r="A5" s="87" t="s">
        <v>784</v>
      </c>
      <c r="B5" s="87"/>
    </row>
    <row r="6" customFormat="false" ht="18" hidden="false" customHeight="true" outlineLevel="0" collapsed="false">
      <c r="A6" s="90" t="s">
        <v>785</v>
      </c>
      <c r="B6" s="90"/>
    </row>
    <row r="7" customFormat="false" ht="18" hidden="false" customHeight="true" outlineLevel="0" collapsed="false">
      <c r="A7" s="90" t="s">
        <v>786</v>
      </c>
      <c r="B7" s="90"/>
    </row>
    <row r="8" customFormat="false" ht="18" hidden="false" customHeight="true" outlineLevel="0" collapsed="false">
      <c r="A8" s="90" t="s">
        <v>787</v>
      </c>
      <c r="B8" s="90"/>
    </row>
    <row r="9" customFormat="false" ht="30" hidden="false" customHeight="true" outlineLevel="0" collapsed="false">
      <c r="A9" s="87" t="s">
        <v>788</v>
      </c>
      <c r="B9" s="87"/>
    </row>
    <row r="10" customFormat="false" ht="24" hidden="false" customHeight="true" outlineLevel="0" collapsed="false">
      <c r="A10" s="89" t="s">
        <v>789</v>
      </c>
      <c r="B10" s="89"/>
    </row>
    <row r="11" customFormat="false" ht="30" hidden="false" customHeight="true" outlineLevel="0" collapsed="false">
      <c r="A11" s="87" t="s">
        <v>790</v>
      </c>
      <c r="B11" s="87"/>
    </row>
    <row r="12" customFormat="false" ht="18" hidden="false" customHeight="true" outlineLevel="0" collapsed="false">
      <c r="A12" s="90" t="s">
        <v>791</v>
      </c>
      <c r="B12" s="90"/>
    </row>
    <row r="13" customFormat="false" ht="18" hidden="false" customHeight="true" outlineLevel="0" collapsed="false">
      <c r="A13" s="90" t="s">
        <v>792</v>
      </c>
      <c r="B13" s="90"/>
    </row>
    <row r="14" customFormat="false" ht="30" hidden="false" customHeight="true" outlineLevel="0" collapsed="false">
      <c r="A14" s="87" t="s">
        <v>793</v>
      </c>
      <c r="B14" s="87"/>
    </row>
    <row r="15" customFormat="false" ht="24" hidden="false" customHeight="true" outlineLevel="0" collapsed="false">
      <c r="A15" s="89" t="s">
        <v>794</v>
      </c>
      <c r="B15" s="89"/>
    </row>
    <row r="16" customFormat="false" ht="11.9" hidden="false" customHeight="false" outlineLevel="0" collapsed="false">
      <c r="A16" s="91" t="s">
        <v>795</v>
      </c>
      <c r="B16" s="91"/>
    </row>
    <row r="17" customFormat="false" ht="15" hidden="false" customHeight="false" outlineLevel="0" collapsed="false">
      <c r="A17" s="91" t="s">
        <v>796</v>
      </c>
      <c r="B17" s="91"/>
    </row>
    <row r="18" customFormat="false" ht="11.9" hidden="false" customHeight="false" outlineLevel="0" collapsed="false">
      <c r="A18" s="91" t="s">
        <v>797</v>
      </c>
      <c r="B18" s="91"/>
    </row>
    <row r="19" customFormat="false" ht="15" hidden="false" customHeight="false" outlineLevel="0" collapsed="false">
      <c r="A19" s="91" t="s">
        <v>798</v>
      </c>
      <c r="B19" s="91"/>
    </row>
    <row r="20" customFormat="false" ht="15" hidden="false" customHeight="false" outlineLevel="0" collapsed="false">
      <c r="A20" s="91" t="s">
        <v>799</v>
      </c>
      <c r="B20" s="91"/>
    </row>
    <row r="21" customFormat="false" ht="11.9" hidden="false" customHeight="false" outlineLevel="0" collapsed="false">
      <c r="A21" s="91" t="s">
        <v>800</v>
      </c>
      <c r="B21" s="91"/>
    </row>
    <row r="22" customFormat="false" ht="11.9" hidden="false" customHeight="false" outlineLevel="0" collapsed="false">
      <c r="A22" s="91" t="s">
        <v>801</v>
      </c>
      <c r="B22" s="91"/>
    </row>
    <row r="23" customFormat="false" ht="30" hidden="false" customHeight="true" outlineLevel="0" collapsed="false">
      <c r="A23" s="87" t="s">
        <v>802</v>
      </c>
      <c r="B23" s="87"/>
    </row>
    <row r="24" customFormat="false" ht="24" hidden="false" customHeight="true" outlineLevel="0" collapsed="false">
      <c r="A24" s="89" t="s">
        <v>803</v>
      </c>
      <c r="B24" s="89"/>
    </row>
    <row r="25" customFormat="false" ht="30" hidden="false" customHeight="true" outlineLevel="0" collapsed="false">
      <c r="A25" s="87" t="s">
        <v>804</v>
      </c>
      <c r="B25" s="87"/>
    </row>
    <row r="26" customFormat="false" ht="30" hidden="false" customHeight="true" outlineLevel="0" collapsed="false">
      <c r="A26" s="92" t="s">
        <v>805</v>
      </c>
      <c r="B26" s="93" t="s">
        <v>806</v>
      </c>
    </row>
    <row r="27" customFormat="false" ht="30" hidden="false" customHeight="true" outlineLevel="0" collapsed="false">
      <c r="A27" s="92" t="s">
        <v>807</v>
      </c>
      <c r="B27" s="93" t="s">
        <v>808</v>
      </c>
    </row>
    <row r="28" customFormat="false" ht="30" hidden="false" customHeight="true" outlineLevel="0" collapsed="false">
      <c r="A28" s="92" t="s">
        <v>809</v>
      </c>
      <c r="B28" s="93" t="s">
        <v>810</v>
      </c>
    </row>
    <row r="29" customFormat="false" ht="30" hidden="false" customHeight="true" outlineLevel="0" collapsed="false">
      <c r="A29" s="92" t="s">
        <v>811</v>
      </c>
      <c r="B29" s="93" t="s">
        <v>812</v>
      </c>
    </row>
    <row r="30" customFormat="false" ht="30" hidden="false" customHeight="true" outlineLevel="0" collapsed="false">
      <c r="A30" s="92" t="s">
        <v>813</v>
      </c>
      <c r="B30" s="93" t="s">
        <v>814</v>
      </c>
    </row>
    <row r="31" customFormat="false" ht="30" hidden="false" customHeight="true" outlineLevel="0" collapsed="false">
      <c r="A31" s="92" t="s">
        <v>815</v>
      </c>
      <c r="B31" s="93" t="s">
        <v>816</v>
      </c>
    </row>
    <row r="32" customFormat="false" ht="30" hidden="false" customHeight="true" outlineLevel="0" collapsed="false">
      <c r="A32" s="87" t="s">
        <v>817</v>
      </c>
      <c r="B32" s="87"/>
    </row>
    <row r="33" customFormat="false" ht="30" hidden="false" customHeight="true" outlineLevel="0" collapsed="false">
      <c r="A33" s="87" t="s">
        <v>818</v>
      </c>
      <c r="B33" s="87"/>
    </row>
    <row r="34" customFormat="false" ht="30" hidden="false" customHeight="true" outlineLevel="0" collapsed="false">
      <c r="A34" s="92" t="s">
        <v>819</v>
      </c>
      <c r="B34" s="93" t="s">
        <v>820</v>
      </c>
    </row>
    <row r="35" customFormat="false" ht="30" hidden="false" customHeight="true" outlineLevel="0" collapsed="false">
      <c r="A35" s="92" t="s">
        <v>821</v>
      </c>
      <c r="B35" s="93" t="s">
        <v>822</v>
      </c>
    </row>
    <row r="36" customFormat="false" ht="24" hidden="false" customHeight="true" outlineLevel="0" collapsed="false">
      <c r="A36" s="89" t="s">
        <v>823</v>
      </c>
      <c r="B36" s="89"/>
    </row>
    <row r="37" customFormat="false" ht="30" hidden="false" customHeight="true" outlineLevel="0" collapsed="false">
      <c r="A37" s="87" t="s">
        <v>824</v>
      </c>
      <c r="B37" s="87"/>
    </row>
    <row r="38" customFormat="false" ht="30" hidden="false" customHeight="true" outlineLevel="0" collapsed="false">
      <c r="A38" s="87" t="s">
        <v>825</v>
      </c>
      <c r="B38" s="87"/>
    </row>
    <row r="39" customFormat="false" ht="18" hidden="false" customHeight="true" outlineLevel="0" collapsed="false">
      <c r="A39" s="90" t="s">
        <v>826</v>
      </c>
      <c r="B39" s="90"/>
    </row>
    <row r="40" customFormat="false" ht="18" hidden="false" customHeight="true" outlineLevel="0" collapsed="false">
      <c r="A40" s="90" t="s">
        <v>827</v>
      </c>
      <c r="B40" s="90"/>
    </row>
    <row r="41" customFormat="false" ht="18" hidden="false" customHeight="true" outlineLevel="0" collapsed="false">
      <c r="A41" s="90" t="s">
        <v>828</v>
      </c>
      <c r="B41" s="90"/>
    </row>
    <row r="42" customFormat="false" ht="24" hidden="false" customHeight="true" outlineLevel="0" collapsed="false">
      <c r="A42" s="89" t="s">
        <v>829</v>
      </c>
      <c r="B42" s="89"/>
    </row>
    <row r="43" customFormat="false" ht="30" hidden="false" customHeight="true" outlineLevel="0" collapsed="false">
      <c r="A43" s="87" t="s">
        <v>830</v>
      </c>
      <c r="B43" s="87"/>
    </row>
    <row r="44" customFormat="false" ht="30" hidden="false" customHeight="true" outlineLevel="0" collapsed="false">
      <c r="A44" s="87" t="s">
        <v>831</v>
      </c>
      <c r="B44" s="87"/>
    </row>
    <row r="45" customFormat="false" ht="18" hidden="false" customHeight="true" outlineLevel="0" collapsed="false">
      <c r="A45" s="90" t="s">
        <v>832</v>
      </c>
      <c r="B45" s="90"/>
    </row>
    <row r="46" customFormat="false" ht="18" hidden="false" customHeight="true" outlineLevel="0" collapsed="false">
      <c r="A46" s="90" t="s">
        <v>833</v>
      </c>
      <c r="B46" s="90"/>
    </row>
    <row r="47" customFormat="false" ht="18" hidden="false" customHeight="true" outlineLevel="0" collapsed="false">
      <c r="A47" s="90" t="s">
        <v>834</v>
      </c>
      <c r="B47" s="90"/>
    </row>
    <row r="48" customFormat="false" ht="24" hidden="false" customHeight="true" outlineLevel="0" collapsed="false">
      <c r="A48" s="89" t="s">
        <v>835</v>
      </c>
      <c r="B48" s="89"/>
    </row>
    <row r="49" customFormat="false" ht="30" hidden="false" customHeight="true" outlineLevel="0" collapsed="false">
      <c r="A49" s="87" t="s">
        <v>836</v>
      </c>
      <c r="B49" s="87"/>
    </row>
    <row r="50" customFormat="false" ht="30" hidden="false" customHeight="true" outlineLevel="0" collapsed="false">
      <c r="A50" s="92" t="s">
        <v>837</v>
      </c>
      <c r="B50" s="93" t="s">
        <v>838</v>
      </c>
    </row>
    <row r="51" customFormat="false" ht="30" hidden="false" customHeight="true" outlineLevel="0" collapsed="false">
      <c r="A51" s="92" t="s">
        <v>839</v>
      </c>
      <c r="B51" s="93" t="s">
        <v>840</v>
      </c>
    </row>
    <row r="52" customFormat="false" ht="30" hidden="false" customHeight="true" outlineLevel="0" collapsed="false">
      <c r="A52" s="92" t="s">
        <v>841</v>
      </c>
      <c r="B52" s="93" t="s">
        <v>842</v>
      </c>
    </row>
    <row r="53" customFormat="false" ht="30" hidden="false" customHeight="true" outlineLevel="0" collapsed="false">
      <c r="A53" s="92" t="s">
        <v>843</v>
      </c>
      <c r="B53" s="93" t="s">
        <v>844</v>
      </c>
    </row>
    <row r="54" customFormat="false" ht="30" hidden="false" customHeight="true" outlineLevel="0" collapsed="false">
      <c r="A54" s="92" t="s">
        <v>845</v>
      </c>
      <c r="B54" s="93" t="s">
        <v>846</v>
      </c>
    </row>
    <row r="55" customFormat="false" ht="30" hidden="false" customHeight="true" outlineLevel="0" collapsed="false">
      <c r="A55" s="92" t="s">
        <v>847</v>
      </c>
      <c r="B55" s="93" t="s">
        <v>848</v>
      </c>
    </row>
    <row r="56" customFormat="false" ht="30" hidden="false" customHeight="true" outlineLevel="0" collapsed="false">
      <c r="A56" s="92" t="s">
        <v>849</v>
      </c>
      <c r="B56" s="93" t="s">
        <v>850</v>
      </c>
    </row>
    <row r="57" customFormat="false" ht="30" hidden="false" customHeight="true" outlineLevel="0" collapsed="false">
      <c r="A57" s="92" t="s">
        <v>851</v>
      </c>
      <c r="B57" s="93" t="s">
        <v>852</v>
      </c>
    </row>
    <row r="58" customFormat="false" ht="30" hidden="false" customHeight="true" outlineLevel="0" collapsed="false">
      <c r="A58" s="92" t="s">
        <v>853</v>
      </c>
      <c r="B58" s="93" t="s">
        <v>854</v>
      </c>
    </row>
    <row r="59" customFormat="false" ht="30" hidden="false" customHeight="true" outlineLevel="0" collapsed="false">
      <c r="A59" s="92" t="s">
        <v>855</v>
      </c>
      <c r="B59" s="93" t="s">
        <v>856</v>
      </c>
    </row>
    <row r="60" customFormat="false" ht="30" hidden="false" customHeight="true" outlineLevel="0" collapsed="false">
      <c r="A60" s="87" t="s">
        <v>857</v>
      </c>
      <c r="B60" s="87"/>
    </row>
    <row r="61" customFormat="false" ht="30" hidden="false" customHeight="true" outlineLevel="0" collapsed="false">
      <c r="A61" s="87" t="s">
        <v>858</v>
      </c>
      <c r="B61" s="87"/>
    </row>
    <row r="62" customFormat="false" ht="24" hidden="false" customHeight="true" outlineLevel="0" collapsed="false">
      <c r="A62" s="89" t="s">
        <v>859</v>
      </c>
      <c r="B62" s="89"/>
    </row>
    <row r="63" customFormat="false" ht="18" hidden="false" customHeight="true" outlineLevel="0" collapsed="false">
      <c r="A63" s="90" t="s">
        <v>860</v>
      </c>
      <c r="B63" s="90"/>
    </row>
    <row r="64" customFormat="false" ht="18" hidden="false" customHeight="true" outlineLevel="0" collapsed="false">
      <c r="A64" s="90" t="s">
        <v>861</v>
      </c>
      <c r="B64" s="90"/>
    </row>
    <row r="65" customFormat="false" ht="18" hidden="false" customHeight="true" outlineLevel="0" collapsed="false">
      <c r="A65" s="90" t="s">
        <v>862</v>
      </c>
      <c r="B65" s="90"/>
    </row>
    <row r="66" customFormat="false" ht="18" hidden="false" customHeight="true" outlineLevel="0" collapsed="false">
      <c r="A66" s="90" t="s">
        <v>863</v>
      </c>
      <c r="B66" s="90"/>
    </row>
    <row r="67" customFormat="false" ht="18" hidden="false" customHeight="true" outlineLevel="0" collapsed="false">
      <c r="A67" s="90" t="s">
        <v>864</v>
      </c>
      <c r="B67" s="90"/>
    </row>
    <row r="68" customFormat="false" ht="18" hidden="false" customHeight="true" outlineLevel="0" collapsed="false">
      <c r="A68" s="90" t="s">
        <v>865</v>
      </c>
      <c r="B68" s="90"/>
    </row>
    <row r="69" customFormat="false" ht="24" hidden="false" customHeight="true" outlineLevel="0" collapsed="false">
      <c r="A69" s="89" t="s">
        <v>866</v>
      </c>
      <c r="B69" s="89"/>
    </row>
    <row r="70" customFormat="false" ht="18" hidden="false" customHeight="true" outlineLevel="0" collapsed="false">
      <c r="A70" s="90" t="s">
        <v>867</v>
      </c>
      <c r="B70" s="90"/>
    </row>
    <row r="71" customFormat="false" ht="18" hidden="false" customHeight="true" outlineLevel="0" collapsed="false">
      <c r="A71" s="90" t="s">
        <v>868</v>
      </c>
      <c r="B71" s="90"/>
    </row>
    <row r="72" customFormat="false" ht="18" hidden="false" customHeight="true" outlineLevel="0" collapsed="false">
      <c r="A72" s="90" t="s">
        <v>869</v>
      </c>
      <c r="B72" s="90"/>
    </row>
    <row r="73" customFormat="false" ht="18" hidden="false" customHeight="true" outlineLevel="0" collapsed="false">
      <c r="A73" s="90" t="s">
        <v>870</v>
      </c>
      <c r="B73" s="90"/>
    </row>
  </sheetData>
  <mergeCells count="5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32:B32"/>
    <mergeCell ref="A33:B33"/>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2026-09-06T16:00:52Z</dcterms:created>
  <dc:creator>openpyxl</dc:creator>
  <dc:description/>
  <dc:language>en-US</dc:language>
  <cp:lastModifiedBy/>
  <dcterms:modified xsi:type="dcterms:W3CDTF">2026-09-06T16:00:57Z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